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hepatocytes_lysate_PBS_R2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4293" i="1" l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<sst xmlns="http://schemas.openxmlformats.org/spreadsheetml/2006/main" count="34353" uniqueCount="21372">
  <si>
    <t>Protein_ID</t>
  </si>
  <si>
    <t>plot</t>
  </si>
  <si>
    <t>uniprot_ac</t>
  </si>
  <si>
    <t>auc</t>
  </si>
  <si>
    <t>plot_link</t>
  </si>
  <si>
    <t>gene_name</t>
  </si>
  <si>
    <t>A0AVT1_UBA6</t>
  </si>
  <si>
    <t>A0JNW5_UHRF1BP1L</t>
  </si>
  <si>
    <t>A0MZ66_KIAA1598</t>
  </si>
  <si>
    <t>A1L170_C1orf226</t>
  </si>
  <si>
    <t>A1L188_C17orf89</t>
  </si>
  <si>
    <t>A1X283_SH3PXD2B</t>
  </si>
  <si>
    <t>A2RUC4_TYW5</t>
  </si>
  <si>
    <t>A2VDF0-2_FUOM</t>
  </si>
  <si>
    <t>A3KMH1-3_VWA8</t>
  </si>
  <si>
    <t>A3KN83-3_SBNO1</t>
  </si>
  <si>
    <t>A4D126-2_ISPD</t>
  </si>
  <si>
    <t>A4D1P6-2_WDR91</t>
  </si>
  <si>
    <t>A5PLN9-2_TRAPPC13</t>
  </si>
  <si>
    <t>A5YKK6-2_CNOT1</t>
  </si>
  <si>
    <t>A6ND36-2_FAM83G</t>
  </si>
  <si>
    <t>A6ND91_ASPDH</t>
  </si>
  <si>
    <t>A6NDB9_PALM3</t>
  </si>
  <si>
    <t>A6NDG6_PGP</t>
  </si>
  <si>
    <t>A6NED2_RCCD1</t>
  </si>
  <si>
    <t>A6NEL2_SOWAHB</t>
  </si>
  <si>
    <t>A6NFY7_SDHAF1</t>
  </si>
  <si>
    <t>A6NIH7_UNC119B</t>
  </si>
  <si>
    <t>A6NK44_GLOD5</t>
  </si>
  <si>
    <t>A6NK58_LIPT2</t>
  </si>
  <si>
    <t>A6NKD9_CCDC85C</t>
  </si>
  <si>
    <t>A6NKN8_PCP4L1</t>
  </si>
  <si>
    <t>A6NLP5_TTC36</t>
  </si>
  <si>
    <t>A8MSI8_LYRM9</t>
  </si>
  <si>
    <t>A8MXV4_NUDT19</t>
  </si>
  <si>
    <t>B1AJZ9-4_FHAD1</t>
  </si>
  <si>
    <t>B1AK53_ESPN</t>
  </si>
  <si>
    <t>B7ZBB8_PPP1R3G</t>
  </si>
  <si>
    <t>B9A064_IGLL5</t>
  </si>
  <si>
    <t>C4AMC7_WASH3P</t>
  </si>
  <si>
    <t>F8WCM5_INS-IGF2</t>
  </si>
  <si>
    <t>O00116_AGPS</t>
  </si>
  <si>
    <t>O00124-3_UBXN8</t>
  </si>
  <si>
    <t>O00139-2_KIF2A</t>
  </si>
  <si>
    <t>O00142_TK2</t>
  </si>
  <si>
    <t>O00151_PDLIM1</t>
  </si>
  <si>
    <t>O00154-6_ACOT7</t>
  </si>
  <si>
    <t>O00161_SNAP23</t>
  </si>
  <si>
    <t>O00170_AIP</t>
  </si>
  <si>
    <t>O00178_GTPBP1</t>
  </si>
  <si>
    <t>O00214_LGALS8</t>
  </si>
  <si>
    <t>O00231_PSMD11</t>
  </si>
  <si>
    <t>O00232_PSMD12</t>
  </si>
  <si>
    <t>O00244_ATOX1</t>
  </si>
  <si>
    <t>O00264_PGRMC1</t>
  </si>
  <si>
    <t>O00267-2_SUPT5H</t>
  </si>
  <si>
    <t>O00273_DFFA</t>
  </si>
  <si>
    <t>O00291_HIP1</t>
  </si>
  <si>
    <t>O00299_CLIC1</t>
  </si>
  <si>
    <t>O00399_DCTN6</t>
  </si>
  <si>
    <t>O00401_WASL</t>
  </si>
  <si>
    <t>O00410_IPO5</t>
  </si>
  <si>
    <t>O00429-4_DNM1L</t>
  </si>
  <si>
    <t>O00459_PIK3R2</t>
  </si>
  <si>
    <t>O00462_MANBA</t>
  </si>
  <si>
    <t>O00468-2_AGRN</t>
  </si>
  <si>
    <t>O00471_EXOC5</t>
  </si>
  <si>
    <t>O00479_HMGN4</t>
  </si>
  <si>
    <t>O00483_NDUFA4</t>
  </si>
  <si>
    <t>O00487_PSMD14</t>
  </si>
  <si>
    <t>O00499-6_BIN1</t>
  </si>
  <si>
    <t>O00505_KPNA3</t>
  </si>
  <si>
    <t>O00506_STK25</t>
  </si>
  <si>
    <t>O00515_LAD1</t>
  </si>
  <si>
    <t>O00534_VWA5A</t>
  </si>
  <si>
    <t>O00567_NOP56</t>
  </si>
  <si>
    <t>O00571_DDX3X</t>
  </si>
  <si>
    <t>O00625_PIR</t>
  </si>
  <si>
    <t>O00629_KPNA4</t>
  </si>
  <si>
    <t>O00635_TRIM38</t>
  </si>
  <si>
    <t>O00743_PPP6C</t>
  </si>
  <si>
    <t>O00748_CES2</t>
  </si>
  <si>
    <t>O00754_MAN2B1</t>
  </si>
  <si>
    <t>O00757_FBP2</t>
  </si>
  <si>
    <t>O00763_ACACB</t>
  </si>
  <si>
    <t>O00764_PDXK</t>
  </si>
  <si>
    <t>O14497_ARID1A</t>
  </si>
  <si>
    <t>O14519-2_CDK2AP1</t>
  </si>
  <si>
    <t>O14545_TRAFD1</t>
  </si>
  <si>
    <t>O14561_NDUFAB1</t>
  </si>
  <si>
    <t>O14579-2_COPE</t>
  </si>
  <si>
    <t>O14579_COPE</t>
  </si>
  <si>
    <t>O14617-4_AP3D1</t>
  </si>
  <si>
    <t>O14686_MLL2</t>
  </si>
  <si>
    <t>O14732-2_IMPA2</t>
  </si>
  <si>
    <t>O14734_ACOT8</t>
  </si>
  <si>
    <t>O14737_PDCD5</t>
  </si>
  <si>
    <t>O14744_PRMT5</t>
  </si>
  <si>
    <t>O14745_SLC9A3R1</t>
  </si>
  <si>
    <t>O14756_HSD17B6</t>
  </si>
  <si>
    <t>O14772_FPGT</t>
  </si>
  <si>
    <t>O14773-2_TPP1</t>
  </si>
  <si>
    <t>O14776-2_TCERG1</t>
  </si>
  <si>
    <t>O14787-2_TNPO2</t>
  </si>
  <si>
    <t>O14818_PSMA7</t>
  </si>
  <si>
    <t>O14832_PHYH</t>
  </si>
  <si>
    <t>O14841_OPLAH</t>
  </si>
  <si>
    <t>O14867_BACH1</t>
  </si>
  <si>
    <t>O14879_IFIT3</t>
  </si>
  <si>
    <t>O14896_IRF6</t>
  </si>
  <si>
    <t>O14907_TAX1BP3</t>
  </si>
  <si>
    <t>O14929_HAT1</t>
  </si>
  <si>
    <t>O14933_UBE2L6</t>
  </si>
  <si>
    <t>O14936-3_CASK</t>
  </si>
  <si>
    <t>O14964_HGS</t>
  </si>
  <si>
    <t>O14974_PPP1R12A</t>
  </si>
  <si>
    <t>O14975-2_SLC27A2</t>
  </si>
  <si>
    <t>O14976_GAK</t>
  </si>
  <si>
    <t>O14979-3_HNRPDL</t>
  </si>
  <si>
    <t>O14980_XPO1</t>
  </si>
  <si>
    <t>O14981_BTAF1</t>
  </si>
  <si>
    <t>O15014_ZNF609</t>
  </si>
  <si>
    <t>O15020_SPTBN2</t>
  </si>
  <si>
    <t>O15021-2_MAST4</t>
  </si>
  <si>
    <t>O15031_PLXNB2</t>
  </si>
  <si>
    <t>O15056-3_SYNJ2</t>
  </si>
  <si>
    <t>O15067_PFAS</t>
  </si>
  <si>
    <t>O15084_ANKRD28</t>
  </si>
  <si>
    <t>O15085_ARHGEF11</t>
  </si>
  <si>
    <t>O15116_LSM1</t>
  </si>
  <si>
    <t>O15143_ARPC1B</t>
  </si>
  <si>
    <t>O15144_ARPC2</t>
  </si>
  <si>
    <t>O15145_ARPC3</t>
  </si>
  <si>
    <t>O15156_ZBTB7B</t>
  </si>
  <si>
    <t>O15173_PGRMC2</t>
  </si>
  <si>
    <t>O15212_PFDN6</t>
  </si>
  <si>
    <t>O15230_LAMA5</t>
  </si>
  <si>
    <t>O15234_CASC3</t>
  </si>
  <si>
    <t>O15254_ACOX3</t>
  </si>
  <si>
    <t>O15294-3_OGT</t>
  </si>
  <si>
    <t>O15305_PMM2</t>
  </si>
  <si>
    <t>O15355_PPM1G</t>
  </si>
  <si>
    <t>O15372_EIF3H</t>
  </si>
  <si>
    <t>O15379_HDAC3</t>
  </si>
  <si>
    <t>O15382_BCAT2</t>
  </si>
  <si>
    <t>O15397_IPO8</t>
  </si>
  <si>
    <t>O15400-2_STX7</t>
  </si>
  <si>
    <t>O15467_CCL16</t>
  </si>
  <si>
    <t>O15488-4_GYG2</t>
  </si>
  <si>
    <t>O15498_YKT6</t>
  </si>
  <si>
    <t>O15511_ARPC5</t>
  </si>
  <si>
    <t>O15514_POLR2D</t>
  </si>
  <si>
    <t>O15541_RNF113A</t>
  </si>
  <si>
    <t>O43143_DHX15</t>
  </si>
  <si>
    <t>O43148_RNMT</t>
  </si>
  <si>
    <t>O43172-2_PRPF4</t>
  </si>
  <si>
    <t>O43175_PHGDH</t>
  </si>
  <si>
    <t>O43236-5_SEPT4</t>
  </si>
  <si>
    <t>O43237_DYNC1LI2</t>
  </si>
  <si>
    <t>O43242_PSMD3</t>
  </si>
  <si>
    <t>O43252_PAPSS1</t>
  </si>
  <si>
    <t>O43264_ZW10</t>
  </si>
  <si>
    <t>O43290_SART1</t>
  </si>
  <si>
    <t>O43312-4_MTSS1</t>
  </si>
  <si>
    <t>O43314-2_PPIP5K2</t>
  </si>
  <si>
    <t>O43318-2_MAP3K7</t>
  </si>
  <si>
    <t>O43325_LYRM1</t>
  </si>
  <si>
    <t>O43353-2_RIPK2</t>
  </si>
  <si>
    <t>O43390_HNRNPR</t>
  </si>
  <si>
    <t>O43396_TXNL1</t>
  </si>
  <si>
    <t>O43399_TPD52L2</t>
  </si>
  <si>
    <t>O43414-3_ERI3</t>
  </si>
  <si>
    <t>O43426-4_SYNJ1</t>
  </si>
  <si>
    <t>O43432_EIF4G3</t>
  </si>
  <si>
    <t>O43464-3_HTRA2</t>
  </si>
  <si>
    <t>O43491-4_EPB41L2</t>
  </si>
  <si>
    <t>O43493-2_TGOLN2</t>
  </si>
  <si>
    <t>O43566-5_RGS14</t>
  </si>
  <si>
    <t>O43583_DENR</t>
  </si>
  <si>
    <t>O43592_XPOT</t>
  </si>
  <si>
    <t>O43598_DNPH1</t>
  </si>
  <si>
    <t>O43615_TIMM44</t>
  </si>
  <si>
    <t>O43617_TRAPPC3</t>
  </si>
  <si>
    <t>O43633_CHMP2A</t>
  </si>
  <si>
    <t>O43660-2_PLRG1</t>
  </si>
  <si>
    <t>O43663-3_PRC1</t>
  </si>
  <si>
    <t>O43670-2_ZNF207</t>
  </si>
  <si>
    <t>O43678_NDUFA2</t>
  </si>
  <si>
    <t>O43681_ASNA1</t>
  </si>
  <si>
    <t>O43684-2_BUB3</t>
  </si>
  <si>
    <t>O43704_SULT1B1</t>
  </si>
  <si>
    <t>O43707_ACTN4</t>
  </si>
  <si>
    <t>O43715_TRIAP1</t>
  </si>
  <si>
    <t>O43716_GATC</t>
  </si>
  <si>
    <t>O43719_HTATSF1</t>
  </si>
  <si>
    <t>O43747_AP1G1</t>
  </si>
  <si>
    <t>O43765_SGTA</t>
  </si>
  <si>
    <t>O43766_LIAS</t>
  </si>
  <si>
    <t>O43768-2_ENSA</t>
  </si>
  <si>
    <t>O43776_NARS</t>
  </si>
  <si>
    <t>O43809_NUDT21</t>
  </si>
  <si>
    <t>O43813_LANCL1</t>
  </si>
  <si>
    <t>O43815-2_STRN</t>
  </si>
  <si>
    <t>O43819_SCO2</t>
  </si>
  <si>
    <t>O43820-4_HYAL3</t>
  </si>
  <si>
    <t>O43837_IDH3B</t>
  </si>
  <si>
    <t>O43847-2_NRD1</t>
  </si>
  <si>
    <t>O43852_CALU</t>
  </si>
  <si>
    <t>O43865_AHCYL1</t>
  </si>
  <si>
    <t>O43896_KIF1C</t>
  </si>
  <si>
    <t>O60216_RAD21</t>
  </si>
  <si>
    <t>O60218_AKR1B10</t>
  </si>
  <si>
    <t>O60220_TIMM8A</t>
  </si>
  <si>
    <t>O60231_DHX16</t>
  </si>
  <si>
    <t>O60234_GMFG</t>
  </si>
  <si>
    <t>O60240_PLIN1</t>
  </si>
  <si>
    <t>O60256_PRPSAP2</t>
  </si>
  <si>
    <t>O60260-5_PARK2</t>
  </si>
  <si>
    <t>O60271-4_SPAG9</t>
  </si>
  <si>
    <t>O60341_KDM1A</t>
  </si>
  <si>
    <t>O60343-2_TBC1D4</t>
  </si>
  <si>
    <t>O60437_PPL</t>
  </si>
  <si>
    <t>O60443_DFNA5</t>
  </si>
  <si>
    <t>O60447_EVI5</t>
  </si>
  <si>
    <t>O60493_SNX3</t>
  </si>
  <si>
    <t>O60504_SORBS3</t>
  </si>
  <si>
    <t>O60506-3_SYNCRIP</t>
  </si>
  <si>
    <t>O60518_RANBP6</t>
  </si>
  <si>
    <t>O60547-2_GMDS</t>
  </si>
  <si>
    <t>O60551_NMT2</t>
  </si>
  <si>
    <t>O60568_PLOD3</t>
  </si>
  <si>
    <t>O60613_SEP15</t>
  </si>
  <si>
    <t>O60645-3_EXOC3</t>
  </si>
  <si>
    <t>O60664-4_PLIN3</t>
  </si>
  <si>
    <t>O60701_UGDH</t>
  </si>
  <si>
    <t>O60716-5_CTNND1</t>
  </si>
  <si>
    <t>O60749_SNX2</t>
  </si>
  <si>
    <t>O60763_USO1</t>
  </si>
  <si>
    <t>O60826_CCDC22</t>
  </si>
  <si>
    <t>O60828-2_PQBP1</t>
  </si>
  <si>
    <t>O60832_DKC1</t>
  </si>
  <si>
    <t>O60841_EIF5B</t>
  </si>
  <si>
    <t>O60869_EDF1</t>
  </si>
  <si>
    <t>O60884_DNAJA2</t>
  </si>
  <si>
    <t>O60885_BRD4</t>
  </si>
  <si>
    <t>O60888-3_CUTA</t>
  </si>
  <si>
    <t>O60907_TBL1X</t>
  </si>
  <si>
    <t>O60925_PFDN1</t>
  </si>
  <si>
    <t>O60927_PPP1R11</t>
  </si>
  <si>
    <t>O60934_NBN</t>
  </si>
  <si>
    <t>O75052-3_NOS1AP</t>
  </si>
  <si>
    <t>O75081-2_CBFA2T3</t>
  </si>
  <si>
    <t>O75083_WDR1</t>
  </si>
  <si>
    <t>O75116_ROCK2</t>
  </si>
  <si>
    <t>O75128_COBL</t>
  </si>
  <si>
    <t>O75131_CPNE3</t>
  </si>
  <si>
    <t>O75146_HIP1R</t>
  </si>
  <si>
    <t>O75150_RNF40</t>
  </si>
  <si>
    <t>O75152_ZC3H11A</t>
  </si>
  <si>
    <t>O75154-2_RAB11FIP3</t>
  </si>
  <si>
    <t>O75157-2_TSC22D2</t>
  </si>
  <si>
    <t>O75165_DNAJC13</t>
  </si>
  <si>
    <t>O75170-4_PPP6R2</t>
  </si>
  <si>
    <t>O75175_CNOT3</t>
  </si>
  <si>
    <t>O75191_XYLB</t>
  </si>
  <si>
    <t>O75208_COQ9</t>
  </si>
  <si>
    <t>O75223_GGCT</t>
  </si>
  <si>
    <t>O75323_GBAS</t>
  </si>
  <si>
    <t>O75340_PDCD6</t>
  </si>
  <si>
    <t>O75347_TBCA</t>
  </si>
  <si>
    <t>O75348_ATP6V1G1</t>
  </si>
  <si>
    <t>O75351_VPS4B</t>
  </si>
  <si>
    <t>O75356_ENTPD5</t>
  </si>
  <si>
    <t>O75367-2_H2AFY</t>
  </si>
  <si>
    <t>O75368_SH3BGRL</t>
  </si>
  <si>
    <t>O75369-2_FLNB</t>
  </si>
  <si>
    <t>O75369-8_FLNB</t>
  </si>
  <si>
    <t>O75376_NCOR1</t>
  </si>
  <si>
    <t>O75380_NDUFS6</t>
  </si>
  <si>
    <t>O75382-2_TRIM3</t>
  </si>
  <si>
    <t>O75396_SEC22B</t>
  </si>
  <si>
    <t>O75410-7_TACC1</t>
  </si>
  <si>
    <t>O75436_VPS26A</t>
  </si>
  <si>
    <t>O75439_PMPCB</t>
  </si>
  <si>
    <t>O75449_KATNA1</t>
  </si>
  <si>
    <t>O75452_RDH16</t>
  </si>
  <si>
    <t>O75475_PSIP1</t>
  </si>
  <si>
    <t>O75489_NDUFS3</t>
  </si>
  <si>
    <t>O75503_CLN5</t>
  </si>
  <si>
    <t>O75521-2_ECI2</t>
  </si>
  <si>
    <t>O75525-2_KHDRBS3</t>
  </si>
  <si>
    <t>O75531_BANF1</t>
  </si>
  <si>
    <t>O75533_SF3B1</t>
  </si>
  <si>
    <t>O75534_CSDE1</t>
  </si>
  <si>
    <t>O75600_GCAT</t>
  </si>
  <si>
    <t>O75608-2_LYPLA1</t>
  </si>
  <si>
    <t>O75629_CREG1</t>
  </si>
  <si>
    <t>O75643_SNRNP200</t>
  </si>
  <si>
    <t>O75648_TRMU</t>
  </si>
  <si>
    <t>O75663_TIPRL</t>
  </si>
  <si>
    <t>O75688_PPM1B</t>
  </si>
  <si>
    <t>O75695_RP2</t>
  </si>
  <si>
    <t>O75764_TCEA3</t>
  </si>
  <si>
    <t>O75821_EIF3G</t>
  </si>
  <si>
    <t>O75822_EIF3J</t>
  </si>
  <si>
    <t>O75828_CBR3</t>
  </si>
  <si>
    <t>O75843_AP1G2</t>
  </si>
  <si>
    <t>O75874_IDH1</t>
  </si>
  <si>
    <t>O75882-2_ATRN</t>
  </si>
  <si>
    <t>O75884_RBBP9</t>
  </si>
  <si>
    <t>O75886_STAM2</t>
  </si>
  <si>
    <t>O75891_ALDH1L1</t>
  </si>
  <si>
    <t>O75915_ARL6IP5</t>
  </si>
  <si>
    <t>O75934_BCAS2</t>
  </si>
  <si>
    <t>O75935_DCTN3</t>
  </si>
  <si>
    <t>O75936_BBOX1</t>
  </si>
  <si>
    <t>O75937_DNAJC8</t>
  </si>
  <si>
    <t>O75940_SMNDC1</t>
  </si>
  <si>
    <t>O75970-3_MPDZ</t>
  </si>
  <si>
    <t>O75976_CPD</t>
  </si>
  <si>
    <t>O76003_GLRX3</t>
  </si>
  <si>
    <t>O76024_WFS1</t>
  </si>
  <si>
    <t>O76027_ANXA9</t>
  </si>
  <si>
    <t>O76031_CLPX</t>
  </si>
  <si>
    <t>O76054_SEC14L2</t>
  </si>
  <si>
    <t>O76071_CIAO1</t>
  </si>
  <si>
    <t>O76094_SRP72</t>
  </si>
  <si>
    <t>O94760_DDAH1</t>
  </si>
  <si>
    <t>O94776_MTA2</t>
  </si>
  <si>
    <t>O94788-4_ALDH1A2</t>
  </si>
  <si>
    <t>O94811_TPPP</t>
  </si>
  <si>
    <t>O94817_ATG12</t>
  </si>
  <si>
    <t>O94819_KBTBD11</t>
  </si>
  <si>
    <t>O94822_LTN1</t>
  </si>
  <si>
    <t>O94826_TOMM70A</t>
  </si>
  <si>
    <t>O94829_IPO13</t>
  </si>
  <si>
    <t>O94851-5_MICAL2</t>
  </si>
  <si>
    <t>O94855_SEC24D</t>
  </si>
  <si>
    <t>O94874_UFL1</t>
  </si>
  <si>
    <t>O94875-12_SORBS2</t>
  </si>
  <si>
    <t>O94880_PHF14</t>
  </si>
  <si>
    <t>O94887_FARP2</t>
  </si>
  <si>
    <t>O94888_UBXN7</t>
  </si>
  <si>
    <t>O94903_PROSC</t>
  </si>
  <si>
    <t>O94913_PCF11</t>
  </si>
  <si>
    <t>O94925_GLS</t>
  </si>
  <si>
    <t>O94929-2_ABLIM3</t>
  </si>
  <si>
    <t>O94966-7_USP19</t>
  </si>
  <si>
    <t>O94973_AP2A2</t>
  </si>
  <si>
    <t>O94979-6_SEC31A</t>
  </si>
  <si>
    <t>O94992_HEXIM1</t>
  </si>
  <si>
    <t>O95081_AGFG2</t>
  </si>
  <si>
    <t>O95104-3_SCAF4</t>
  </si>
  <si>
    <t>O95154_AKR7A3</t>
  </si>
  <si>
    <t>O95155-2_UBE4B</t>
  </si>
  <si>
    <t>O95163_IKBKAP</t>
  </si>
  <si>
    <t>O95202_LETM1</t>
  </si>
  <si>
    <t>O95210_STBD1</t>
  </si>
  <si>
    <t>O95218-2_ZRANB2</t>
  </si>
  <si>
    <t>O95219_SNX4</t>
  </si>
  <si>
    <t>O95232_LUC7L3</t>
  </si>
  <si>
    <t>O95243-3_MBD4</t>
  </si>
  <si>
    <t>O95251-2_KAT7</t>
  </si>
  <si>
    <t>O95278-6_EPM2A</t>
  </si>
  <si>
    <t>O95292_VAPB</t>
  </si>
  <si>
    <t>O95295_SNAPIN</t>
  </si>
  <si>
    <t>O95302_FKBP9</t>
  </si>
  <si>
    <t>O95336_PGLS</t>
  </si>
  <si>
    <t>O95340_PAPSS2</t>
  </si>
  <si>
    <t>O95352_ATG7</t>
  </si>
  <si>
    <t>O95363_FARS2</t>
  </si>
  <si>
    <t>O95372_LYPLA2</t>
  </si>
  <si>
    <t>O95373_IPO7</t>
  </si>
  <si>
    <t>O95376_ARIH2</t>
  </si>
  <si>
    <t>O95391_SLU7</t>
  </si>
  <si>
    <t>O95394_PGM3</t>
  </si>
  <si>
    <t>O95396_MOCS3</t>
  </si>
  <si>
    <t>O95399_UTS2</t>
  </si>
  <si>
    <t>O95400_CD2BP2</t>
  </si>
  <si>
    <t>O95425-2_SVIL</t>
  </si>
  <si>
    <t>O95429-2_BAG4</t>
  </si>
  <si>
    <t>O95433_AHSA1</t>
  </si>
  <si>
    <t>O95453-2_PARN</t>
  </si>
  <si>
    <t>O95456_PSMG1</t>
  </si>
  <si>
    <t>O95479_H6PD</t>
  </si>
  <si>
    <t>O95486_SEC24A</t>
  </si>
  <si>
    <t>O95487-2_SEC24B</t>
  </si>
  <si>
    <t>O95497_VNN1</t>
  </si>
  <si>
    <t>O95544_NADK</t>
  </si>
  <si>
    <t>O95551_TDP2</t>
  </si>
  <si>
    <t>O95571_ETHE1</t>
  </si>
  <si>
    <t>O95573_ACSL3</t>
  </si>
  <si>
    <t>O95628-5_CNOT4</t>
  </si>
  <si>
    <t>O95630_STAMBP</t>
  </si>
  <si>
    <t>O95671-2_ASMTL</t>
  </si>
  <si>
    <t>O95684_FGFR1OP</t>
  </si>
  <si>
    <t>O95721_SNAP29</t>
  </si>
  <si>
    <t>O95747_OXSR1</t>
  </si>
  <si>
    <t>O95757_HSPA4L</t>
  </si>
  <si>
    <t>O95777_NAA38</t>
  </si>
  <si>
    <t>O95782-2_AP2A1</t>
  </si>
  <si>
    <t>O95786-2_DDX58</t>
  </si>
  <si>
    <t>O95801_TTC4</t>
  </si>
  <si>
    <t>O95816_BAG2</t>
  </si>
  <si>
    <t>O95817_BAG3</t>
  </si>
  <si>
    <t>O95822_MLYCD</t>
  </si>
  <si>
    <t>O95825_CRYZL1</t>
  </si>
  <si>
    <t>O95831-3_AIFM1</t>
  </si>
  <si>
    <t>O95834_EML2</t>
  </si>
  <si>
    <t>O95865_DDAH2</t>
  </si>
  <si>
    <t>O95881_TXNDC12</t>
  </si>
  <si>
    <t>O95954_FTCD</t>
  </si>
  <si>
    <t>O95989_NUDT3</t>
  </si>
  <si>
    <t>O95999_BCL10</t>
  </si>
  <si>
    <t>O96007_MOCS2</t>
  </si>
  <si>
    <t>O96013-4_PAK4</t>
  </si>
  <si>
    <t>O96019_ACTL6A</t>
  </si>
  <si>
    <t>O96033_MOCS2</t>
  </si>
  <si>
    <t>P00325_ADH1B</t>
  </si>
  <si>
    <t>P00326_ADH1C</t>
  </si>
  <si>
    <t>P00338_LDHA</t>
  </si>
  <si>
    <t>P00352_ALDH1A1</t>
  </si>
  <si>
    <t>P00374_DHFR</t>
  </si>
  <si>
    <t>P00387-2_CYB5R3</t>
  </si>
  <si>
    <t>P00390-2_GSR</t>
  </si>
  <si>
    <t>P00439_PAH</t>
  </si>
  <si>
    <t>P00450_CP</t>
  </si>
  <si>
    <t>P00480_OTC</t>
  </si>
  <si>
    <t>P00491_PNP</t>
  </si>
  <si>
    <t>P00492_HPRT1</t>
  </si>
  <si>
    <t>P00505_GOT2</t>
  </si>
  <si>
    <t>P00558_PGK1</t>
  </si>
  <si>
    <t>P00568_AK1</t>
  </si>
  <si>
    <t>P00734_F2</t>
  </si>
  <si>
    <t>P00736_C1R</t>
  </si>
  <si>
    <t>P00738_HP</t>
  </si>
  <si>
    <t>P00739_HPR</t>
  </si>
  <si>
    <t>P00740_F9</t>
  </si>
  <si>
    <t>P00742_F10</t>
  </si>
  <si>
    <t>P00747_PLG</t>
  </si>
  <si>
    <t>P00748_F12</t>
  </si>
  <si>
    <t>P00966_ASS1</t>
  </si>
  <si>
    <t>P01009_SERPINA1</t>
  </si>
  <si>
    <t>P01011_SERPINA3</t>
  </si>
  <si>
    <t>P01019_AGT</t>
  </si>
  <si>
    <t>P01023_A2M</t>
  </si>
  <si>
    <t>P01024_C3</t>
  </si>
  <si>
    <t>P01034_CST3</t>
  </si>
  <si>
    <t>P01040_CSTA</t>
  </si>
  <si>
    <t>P01042-2_KNG1</t>
  </si>
  <si>
    <t>P01111_NRAS</t>
  </si>
  <si>
    <t>P01116-2_KRAS</t>
  </si>
  <si>
    <t>P01116_KRAS</t>
  </si>
  <si>
    <t>P01608_</t>
  </si>
  <si>
    <t>P01743_</t>
  </si>
  <si>
    <t>P01764_</t>
  </si>
  <si>
    <t>P01766_</t>
  </si>
  <si>
    <t>P01834_IGKC</t>
  </si>
  <si>
    <t>P01857_IGHG1</t>
  </si>
  <si>
    <t>P01859_IGHG2</t>
  </si>
  <si>
    <t>P01860_IGHG3</t>
  </si>
  <si>
    <t>P01871_IGHM</t>
  </si>
  <si>
    <t>P01876_IGHA1</t>
  </si>
  <si>
    <t>P01877_IGHA2</t>
  </si>
  <si>
    <t>P02008_HBZ</t>
  </si>
  <si>
    <t>P02452_COL1A1</t>
  </si>
  <si>
    <t>P02462_COL4A1</t>
  </si>
  <si>
    <t>P02538_KRT6A</t>
  </si>
  <si>
    <t>P02545_LMNA</t>
  </si>
  <si>
    <t>P02647_APOA1</t>
  </si>
  <si>
    <t>P02649_APOE</t>
  </si>
  <si>
    <t>P02652_APOA2</t>
  </si>
  <si>
    <t>P02656_APOC3</t>
  </si>
  <si>
    <t>P02671-2_FGA</t>
  </si>
  <si>
    <t>P02675_FGB</t>
  </si>
  <si>
    <t>P02679-2_FGG</t>
  </si>
  <si>
    <t>P02743_APCS</t>
  </si>
  <si>
    <t>P02748_C9</t>
  </si>
  <si>
    <t>P02749_APOH</t>
  </si>
  <si>
    <t>P02750_LRG1</t>
  </si>
  <si>
    <t>P02751-10_FN1</t>
  </si>
  <si>
    <t>P02760_AMBP</t>
  </si>
  <si>
    <t>P02763_ORM1</t>
  </si>
  <si>
    <t>P02765_AHSG</t>
  </si>
  <si>
    <t>P02766_TTR</t>
  </si>
  <si>
    <t>P02771_AFP</t>
  </si>
  <si>
    <t>P02774_GC</t>
  </si>
  <si>
    <t>P02790_HPX</t>
  </si>
  <si>
    <t>P02792_FTL</t>
  </si>
  <si>
    <t>P02794_FTH1</t>
  </si>
  <si>
    <t>P02795_MT2A</t>
  </si>
  <si>
    <t>P03950_ANG</t>
  </si>
  <si>
    <t>P03952_KLKB1</t>
  </si>
  <si>
    <t>P04003_C4BPA</t>
  </si>
  <si>
    <t>P04004_VTN</t>
  </si>
  <si>
    <t>P04066_FUCA1</t>
  </si>
  <si>
    <t>P04080_CSTB</t>
  </si>
  <si>
    <t>P04114_APOB</t>
  </si>
  <si>
    <t>P04150-7_NR3C1</t>
  </si>
  <si>
    <t>P04179_SOD2</t>
  </si>
  <si>
    <t>P04181_OAT</t>
  </si>
  <si>
    <t>P04196_HRG</t>
  </si>
  <si>
    <t>P04206_</t>
  </si>
  <si>
    <t>P04217_A1BG</t>
  </si>
  <si>
    <t>P04264_KRT1</t>
  </si>
  <si>
    <t>P04406_GAPDH</t>
  </si>
  <si>
    <t>P04424_ASL</t>
  </si>
  <si>
    <t>P04632_CAPNS1</t>
  </si>
  <si>
    <t>P04731_MT1A</t>
  </si>
  <si>
    <t>P04732_MT1E</t>
  </si>
  <si>
    <t>P04733_MT1F</t>
  </si>
  <si>
    <t>P04792_HSPB1</t>
  </si>
  <si>
    <t>P04899_GNAI2</t>
  </si>
  <si>
    <t>P05023-3_ATP1A1</t>
  </si>
  <si>
    <t>P05062_ALDOB</t>
  </si>
  <si>
    <t>P05089_ARG1</t>
  </si>
  <si>
    <t>P05090_APOD</t>
  </si>
  <si>
    <t>P05091_ALDH2</t>
  </si>
  <si>
    <t>P05109_S100A8</t>
  </si>
  <si>
    <t>P05114_HMGN1</t>
  </si>
  <si>
    <t>P05141_SLC25A5</t>
  </si>
  <si>
    <t>P05154_SERPINA5</t>
  </si>
  <si>
    <t>P05155_SERPING1</t>
  </si>
  <si>
    <t>P05161_ISG15</t>
  </si>
  <si>
    <t>P05164-2_MPO</t>
  </si>
  <si>
    <t>P05165_PCCA</t>
  </si>
  <si>
    <t>P05166_PCCB</t>
  </si>
  <si>
    <t>P05177_CYP1A2</t>
  </si>
  <si>
    <t>P05181_CYP2E1</t>
  </si>
  <si>
    <t>P05186_ALPL</t>
  </si>
  <si>
    <t>P05198_EIF2S1</t>
  </si>
  <si>
    <t>P05204_HMGN2</t>
  </si>
  <si>
    <t>P05387_RPLP2</t>
  </si>
  <si>
    <t>P05455_SSB</t>
  </si>
  <si>
    <t>P05543_SERPINA7</t>
  </si>
  <si>
    <t>P05546_SERPIND1</t>
  </si>
  <si>
    <t>P05556_ITGB1</t>
  </si>
  <si>
    <t>P05783_KRT18</t>
  </si>
  <si>
    <t>P05787_KRT8</t>
  </si>
  <si>
    <t>P05976-2_MYL1</t>
  </si>
  <si>
    <t>P06132_UROD</t>
  </si>
  <si>
    <t>P06133_UGT2B4</t>
  </si>
  <si>
    <t>P06280_GLA</t>
  </si>
  <si>
    <t>P06576_ATP5B</t>
  </si>
  <si>
    <t>P06681_C2</t>
  </si>
  <si>
    <t>P06702_S100A9</t>
  </si>
  <si>
    <t>P06727_APOA4</t>
  </si>
  <si>
    <t>P06730_EIF4E</t>
  </si>
  <si>
    <t>P06733_ENO1</t>
  </si>
  <si>
    <t>P06737_PYGL</t>
  </si>
  <si>
    <t>P06744_GPI</t>
  </si>
  <si>
    <t>P06748_NPM1</t>
  </si>
  <si>
    <t>P06753-2_TPM3</t>
  </si>
  <si>
    <t>P06865_HEXA</t>
  </si>
  <si>
    <t>P07099_EPHX1</t>
  </si>
  <si>
    <t>P07108_DBI</t>
  </si>
  <si>
    <t>P07148_FABP1</t>
  </si>
  <si>
    <t>P07195_LDHB</t>
  </si>
  <si>
    <t>P07203_GPX1</t>
  </si>
  <si>
    <t>P07205_PGK2</t>
  </si>
  <si>
    <t>P07237_P4HB</t>
  </si>
  <si>
    <t>P07305_H1F0</t>
  </si>
  <si>
    <t>P07307-3_ASGR2</t>
  </si>
  <si>
    <t>P07327_ADH1A</t>
  </si>
  <si>
    <t>P07355_ANXA2</t>
  </si>
  <si>
    <t>P07357_C8A</t>
  </si>
  <si>
    <t>P07360_C8G</t>
  </si>
  <si>
    <t>P07384_CAPN1</t>
  </si>
  <si>
    <t>P07438_MT1B</t>
  </si>
  <si>
    <t>P07602_PSAP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</si>
  <si>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</si>
  <si>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</si>
  <si>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</si>
  <si>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</si>
  <si>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</si>
  <si>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</si>
  <si>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</si>
  <si>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</si>
  <si>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</si>
  <si>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P07947_YES1</t>
  </si>
  <si>
    <t>P07954-2_FH</t>
  </si>
  <si>
    <t>P07996_THBS1</t>
  </si>
  <si>
    <t>P08107_HSPA1A</t>
  </si>
  <si>
    <t>P08123_COL1A2</t>
  </si>
  <si>
    <t>P08133_ANXA6</t>
  </si>
  <si>
    <t>P08185_SERPINA6</t>
  </si>
  <si>
    <t>P08236-2_GUSB</t>
  </si>
  <si>
    <t>P08238_HSP90AB1</t>
  </si>
  <si>
    <t>P08240-2_SRPR</t>
  </si>
  <si>
    <t>P08294_SOD3</t>
  </si>
  <si>
    <t>P08319_ADH4</t>
  </si>
  <si>
    <t>P08397-2_HMBS</t>
  </si>
  <si>
    <t>P08519_LPA</t>
  </si>
  <si>
    <t>P08559-3_PDHA1</t>
  </si>
  <si>
    <t>P08571_CD14</t>
  </si>
  <si>
    <t>P08579_SNRPB2</t>
  </si>
  <si>
    <t>P08581_MET</t>
  </si>
  <si>
    <t>P08603_CFH</t>
  </si>
  <si>
    <t>P08621-2_SNRNP70</t>
  </si>
  <si>
    <t>P08651-2_NFIC</t>
  </si>
  <si>
    <t>P08670_VIM</t>
  </si>
  <si>
    <t>P08684_CYP3A4</t>
  </si>
  <si>
    <t>P08697_SERPINF2</t>
  </si>
  <si>
    <t>P08727_KRT19</t>
  </si>
  <si>
    <t>P08729_KRT7</t>
  </si>
  <si>
    <t>P08754_GNAI3</t>
  </si>
  <si>
    <t>P08779_KRT16</t>
  </si>
  <si>
    <t>P09012_SNRPA</t>
  </si>
  <si>
    <t>P09110_ACAA1</t>
  </si>
  <si>
    <t>P09132_SRP19</t>
  </si>
  <si>
    <t>P09210_GSTA2</t>
  </si>
  <si>
    <t>P09234_SNRPC</t>
  </si>
  <si>
    <t>P09327_VIL1</t>
  </si>
  <si>
    <t>P09382_LGALS1</t>
  </si>
  <si>
    <t>P09417_QDPR</t>
  </si>
  <si>
    <t>P09429_HMGB1</t>
  </si>
  <si>
    <t>P09467_FBP1</t>
  </si>
  <si>
    <t>P09493-3_TPM1</t>
  </si>
  <si>
    <t>P09496-2_CLTA</t>
  </si>
  <si>
    <t>P09497-2_CLTB</t>
  </si>
  <si>
    <t>P09525_ANXA4</t>
  </si>
  <si>
    <t>P09543-2_CNP</t>
  </si>
  <si>
    <t>P09601_HMOX1</t>
  </si>
  <si>
    <t>P09622_DLD</t>
  </si>
  <si>
    <t>P09651-3_HNRNPA1</t>
  </si>
  <si>
    <t>P09661_SNRPA1</t>
  </si>
  <si>
    <t>P09668_CTSH</t>
  </si>
  <si>
    <t>P09871_C1S</t>
  </si>
  <si>
    <t>P09874_PARP1</t>
  </si>
  <si>
    <t>P09913_IFIT2</t>
  </si>
  <si>
    <t>P09960_LTA4H</t>
  </si>
  <si>
    <t>P09972_ALDOC</t>
  </si>
  <si>
    <t>P0C0L4_C4A</t>
  </si>
  <si>
    <t>P0C0L5_C4B</t>
  </si>
  <si>
    <t>P0C7P0_CISD3</t>
  </si>
  <si>
    <t>P0C7U0_ELFN1</t>
  </si>
  <si>
    <t>P0CAP1-11_MYZAP</t>
  </si>
  <si>
    <t>P0CG05_IGLC2</t>
  </si>
  <si>
    <t>P0DI82_TRAPPC2P1</t>
  </si>
  <si>
    <t>P0DJI8_SAA1</t>
  </si>
  <si>
    <t>P10109_FDX1</t>
  </si>
  <si>
    <t>P10153_RNASE2</t>
  </si>
  <si>
    <t>P10155_TROVE2</t>
  </si>
  <si>
    <t>P10253_GAA</t>
  </si>
  <si>
    <t>P10398_ARAF</t>
  </si>
  <si>
    <t>P10412_HIST1H1E</t>
  </si>
  <si>
    <t>P10515_DLAT</t>
  </si>
  <si>
    <t>P10586-2_PTPRF</t>
  </si>
  <si>
    <t>P10606_COX5B</t>
  </si>
  <si>
    <t>P10619_CTSA</t>
  </si>
  <si>
    <t>P10632_CYP2C8</t>
  </si>
  <si>
    <t>P10635_CYP2D6</t>
  </si>
  <si>
    <t>P10643_C7</t>
  </si>
  <si>
    <t>P10644_PRKAR1A</t>
  </si>
  <si>
    <t>P10746_UROS</t>
  </si>
  <si>
    <t>P10768_ESD</t>
  </si>
  <si>
    <t>P10809_HSPD1</t>
  </si>
  <si>
    <t>P10909-4_CLU</t>
  </si>
  <si>
    <t>P11021_HSPA5</t>
  </si>
  <si>
    <t>P11047_LAMC1</t>
  </si>
  <si>
    <t>P11142_HSPA8</t>
  </si>
  <si>
    <t>P11168_SLC2A2</t>
  </si>
  <si>
    <t>P11171-4_EPB41</t>
  </si>
  <si>
    <t>P11172_UMPS</t>
  </si>
  <si>
    <t>P11177-2_PDHB</t>
  </si>
  <si>
    <t>P11182_DBT</t>
  </si>
  <si>
    <t>P11216_PYGB</t>
  </si>
  <si>
    <t>P11226_MBL2</t>
  </si>
  <si>
    <t>P11245_NAT2</t>
  </si>
  <si>
    <t>P11274-2_BCR</t>
  </si>
  <si>
    <t>P11279_LAMP1</t>
  </si>
  <si>
    <t>P11310_ACADM</t>
  </si>
  <si>
    <t>P11413_G6PD</t>
  </si>
  <si>
    <t>P11441_UBL4A</t>
  </si>
  <si>
    <t>P11498_PC</t>
  </si>
  <si>
    <t>P11509_CYP2A6</t>
  </si>
  <si>
    <t>P11532-3_DMD</t>
  </si>
  <si>
    <t>P11586_MTHFD1</t>
  </si>
  <si>
    <t>P11712_CYP2C9</t>
  </si>
  <si>
    <t>P11717_IGF2R</t>
  </si>
  <si>
    <t>P11766_ADH5</t>
  </si>
  <si>
    <t>P11802_CDK4</t>
  </si>
  <si>
    <t>P11908_PRPS2</t>
  </si>
  <si>
    <t>P11940_PABPC1</t>
  </si>
  <si>
    <t>P12004_PCNA</t>
  </si>
  <si>
    <t>P12270_TPR</t>
  </si>
  <si>
    <t>P12694_BCKDHA</t>
  </si>
  <si>
    <t>P12724_RNASE3</t>
  </si>
  <si>
    <t>P12814_ACTN1</t>
  </si>
  <si>
    <t>P12955_PEPD</t>
  </si>
  <si>
    <t>P12956_XRCC6</t>
  </si>
  <si>
    <t>P13010_XRCC5</t>
  </si>
  <si>
    <t>P13073_COX4I1</t>
  </si>
  <si>
    <t>P13196_ALAS1</t>
  </si>
  <si>
    <t>P13284_IFI30</t>
  </si>
  <si>
    <t>P13473_LAMP2</t>
  </si>
  <si>
    <t>P13489_RNH1</t>
  </si>
  <si>
    <t>P13639_EEF2</t>
  </si>
  <si>
    <t>P13640-2_MT1G</t>
  </si>
  <si>
    <t>P13640_MT1G</t>
  </si>
  <si>
    <t>P13647_KRT5</t>
  </si>
  <si>
    <t>P13667_PDIA4</t>
  </si>
  <si>
    <t>P13671_C6</t>
  </si>
  <si>
    <t>P13674-2_P4HA1</t>
  </si>
  <si>
    <t>P13693_TPT1</t>
  </si>
  <si>
    <t>P13796_LCP1</t>
  </si>
  <si>
    <t>P13797_PLS3</t>
  </si>
  <si>
    <t>P13798_APEH</t>
  </si>
  <si>
    <t>P13804_ETFA</t>
  </si>
  <si>
    <t>P13861_PRKAR2A</t>
  </si>
  <si>
    <t>P13929_ENO3</t>
  </si>
  <si>
    <t>P13984_GTF2F2</t>
  </si>
  <si>
    <t>P14174_MIF</t>
  </si>
  <si>
    <t>P14210-3_HGF</t>
  </si>
  <si>
    <t>P14317_HCLS1</t>
  </si>
  <si>
    <t>P14324-2_FDPS</t>
  </si>
  <si>
    <t>P14543_NID1</t>
  </si>
  <si>
    <t>P14550_AKR1A1</t>
  </si>
  <si>
    <t>P14618_PKM</t>
  </si>
  <si>
    <t>P14621_ACYP2</t>
  </si>
  <si>
    <t>P14625_HSP90B1</t>
  </si>
  <si>
    <t>P14649_MYL6B</t>
  </si>
  <si>
    <t>P14735_IDE</t>
  </si>
  <si>
    <t>P14854_COX6B1</t>
  </si>
  <si>
    <t>P14866_HNRNPL</t>
  </si>
  <si>
    <t>P14868_DARS</t>
  </si>
  <si>
    <t>P14920_DAO</t>
  </si>
  <si>
    <t>P14923_JUP</t>
  </si>
  <si>
    <t>P15104_GLUL</t>
  </si>
  <si>
    <t>P15121_AKR1B1</t>
  </si>
  <si>
    <t>P15144_ANPEP</t>
  </si>
  <si>
    <t>P15170-2_GSPT1</t>
  </si>
  <si>
    <t>P15289-2_ARSA</t>
  </si>
  <si>
    <t>P15289_ARSA</t>
  </si>
  <si>
    <t>P15311_EZR</t>
  </si>
  <si>
    <t>P15336-3_ATF2</t>
  </si>
  <si>
    <t>P15374_UCHL3</t>
  </si>
  <si>
    <t>P15428_HPGD</t>
  </si>
  <si>
    <t>P15529-16_CD46</t>
  </si>
  <si>
    <t>P15531_NME1</t>
  </si>
  <si>
    <t>P15735-2_PHKG2</t>
  </si>
  <si>
    <t>P15848_ARSB</t>
  </si>
  <si>
    <t>P15907_ST6GAL1</t>
  </si>
  <si>
    <t>P15924_DSP</t>
  </si>
  <si>
    <t>P15927_RPA2</t>
  </si>
  <si>
    <t>P16118_PFKFB1</t>
  </si>
  <si>
    <t>P16152_CBR1</t>
  </si>
  <si>
    <t>P16219_ACADS</t>
  </si>
  <si>
    <t>P16278-3_GLB1</t>
  </si>
  <si>
    <t>P16298-3_PPP3CB</t>
  </si>
  <si>
    <t>P16333_NCK1</t>
  </si>
  <si>
    <t>P16383-2_GCFC2</t>
  </si>
  <si>
    <t>P16401_HIST1H1B</t>
  </si>
  <si>
    <t>P16435_POR</t>
  </si>
  <si>
    <t>P16455_MGMT</t>
  </si>
  <si>
    <t>P16662_UGT2B7</t>
  </si>
  <si>
    <t>P16885_PLCG2</t>
  </si>
  <si>
    <t>P16930_FAH</t>
  </si>
  <si>
    <t>P16949_STMN1</t>
  </si>
  <si>
    <t>P17029_ZKSCAN1</t>
  </si>
  <si>
    <t>P17050_NAGA</t>
  </si>
  <si>
    <t>P17066_HSPA6</t>
  </si>
  <si>
    <t>P17174_GOT1</t>
  </si>
  <si>
    <t>P17480-2_UBTF</t>
  </si>
  <si>
    <t>P17516_AKR1C4</t>
  </si>
  <si>
    <t>P17544-5_ATF7</t>
  </si>
  <si>
    <t>P17612_PRKACA</t>
  </si>
  <si>
    <t>P17655_CAPN2</t>
  </si>
  <si>
    <t>P17676_CEBPB</t>
  </si>
  <si>
    <t>P17735_TAT</t>
  </si>
  <si>
    <t>P17812_CTPS1</t>
  </si>
  <si>
    <t>P17858_PFKL</t>
  </si>
  <si>
    <t>P17900_GM2A</t>
  </si>
  <si>
    <t>P17931_LGALS3</t>
  </si>
  <si>
    <t>P17987_TCP1</t>
  </si>
  <si>
    <t>P18031_PTPN1</t>
  </si>
  <si>
    <t>P18054_ALOX12</t>
  </si>
  <si>
    <t>P18065_IGFBP2</t>
  </si>
  <si>
    <t>P18085_ARF4</t>
  </si>
  <si>
    <t>P18206-2_VCL</t>
  </si>
  <si>
    <t>P18283_GPX2</t>
  </si>
  <si>
    <t>P18510-4_IL1RN</t>
  </si>
  <si>
    <t>P18583-6_SON</t>
  </si>
  <si>
    <t>P18615_NELFE</t>
  </si>
  <si>
    <t>P18669_PGAM1</t>
  </si>
  <si>
    <t>P18827_SDC1</t>
  </si>
  <si>
    <t>P18859_ATP5J</t>
  </si>
  <si>
    <t>P19105_MYL12A</t>
  </si>
  <si>
    <t>P19174_PLCG1</t>
  </si>
  <si>
    <t>P19338_NCL</t>
  </si>
  <si>
    <t>P19388_POLR2E</t>
  </si>
  <si>
    <t>P19404_NDUFV2</t>
  </si>
  <si>
    <t>P19525_EIF2AK2</t>
  </si>
  <si>
    <t>P19623_SRM</t>
  </si>
  <si>
    <t>P19652_ORM2</t>
  </si>
  <si>
    <t>P19784_CSNK2A2</t>
  </si>
  <si>
    <t>P19827_ITIH1</t>
  </si>
  <si>
    <t>P19838_NFKB1</t>
  </si>
  <si>
    <t>P19971_TYMP</t>
  </si>
  <si>
    <t>P20042_EIF2S2</t>
  </si>
  <si>
    <t>P20132_SDS</t>
  </si>
  <si>
    <t>P20290_BTF3</t>
  </si>
  <si>
    <t>P20338_RAB4A</t>
  </si>
  <si>
    <t>P20340-2_RAB6A</t>
  </si>
  <si>
    <t>P20585_MSH3</t>
  </si>
  <si>
    <t>P20591_MX1</t>
  </si>
  <si>
    <t>P20618_PSMB1</t>
  </si>
  <si>
    <t>P20674_COX5A</t>
  </si>
  <si>
    <t>P20700_LMNB1</t>
  </si>
  <si>
    <t>P20711_DDC</t>
  </si>
  <si>
    <t>P20742_PZP</t>
  </si>
  <si>
    <t>P20810-5_CAST</t>
  </si>
  <si>
    <t>P20810-6_CAST</t>
  </si>
  <si>
    <t>P20823-3_HNF1A</t>
  </si>
  <si>
    <t>P20908_COL5A1</t>
  </si>
  <si>
    <t>P20962_PTMS</t>
  </si>
  <si>
    <t>P21127-8_CDK11B</t>
  </si>
  <si>
    <t>P21266_GSTM3</t>
  </si>
  <si>
    <t>P21281_ATP6V1B2</t>
  </si>
  <si>
    <t>P21283_ATP6V1C1</t>
  </si>
  <si>
    <t>P21291_CSRP1</t>
  </si>
  <si>
    <t>P21397-2_MAOA</t>
  </si>
  <si>
    <t>P21399_ACO1</t>
  </si>
  <si>
    <t>P21549_AGXT</t>
  </si>
  <si>
    <t>P21589-2_NT5E</t>
  </si>
  <si>
    <t>P21695-2_GPD1</t>
  </si>
  <si>
    <t>P21912_SDHB</t>
  </si>
  <si>
    <t>P21953_BCKDHB</t>
  </si>
  <si>
    <t>P21964-2_COMT</t>
  </si>
  <si>
    <t>P21980_TGM2</t>
  </si>
  <si>
    <t>P22033_MUT</t>
  </si>
  <si>
    <t>P22059_OSBP</t>
  </si>
  <si>
    <t>P22061_PCMT1</t>
  </si>
  <si>
    <t>P22102_GART</t>
  </si>
  <si>
    <t>P22234_PAICS</t>
  </si>
  <si>
    <t>P22307-2_SCP2</t>
  </si>
  <si>
    <t>P22307_SCP2</t>
  </si>
  <si>
    <t>P22310_UGT1A4</t>
  </si>
  <si>
    <t>P22314_UBA1</t>
  </si>
  <si>
    <t>P22392-2_NME2</t>
  </si>
  <si>
    <t>P22570_FDXR</t>
  </si>
  <si>
    <t>P22626_HNRNPA2B1</t>
  </si>
  <si>
    <t>P22694-4_PRKACB</t>
  </si>
  <si>
    <t>P22760_AADAC</t>
  </si>
  <si>
    <t>P22830_FECH</t>
  </si>
  <si>
    <t>P23141_CES1</t>
  </si>
  <si>
    <t>P23142-3_FBLN1</t>
  </si>
  <si>
    <t>P23193_TCEA1</t>
  </si>
  <si>
    <t>P23246_SFPQ</t>
  </si>
  <si>
    <t>P23284_PPIB</t>
  </si>
  <si>
    <t>P23368_ME2</t>
  </si>
  <si>
    <t>P23378_GLDC</t>
  </si>
  <si>
    <t>P23381_WARS</t>
  </si>
  <si>
    <t>P23409_MYF6</t>
  </si>
  <si>
    <t>P23434_GCSH</t>
  </si>
  <si>
    <t>P23497_SP100</t>
  </si>
  <si>
    <t>P23508-2_MCC</t>
  </si>
  <si>
    <t>P23526_AHCY</t>
  </si>
  <si>
    <t>P23528_CFL1</t>
  </si>
  <si>
    <t>P23588_EIF4B</t>
  </si>
  <si>
    <t>P23786_CPT2</t>
  </si>
  <si>
    <t>P23919_DTYMK</t>
  </si>
  <si>
    <t>P23921_RRM1</t>
  </si>
  <si>
    <t>P24158_PRTN3</t>
  </si>
  <si>
    <t>P24298_GPT</t>
  </si>
  <si>
    <t>P24534_EEF1B2</t>
  </si>
  <si>
    <t>P24666-2_ACP1</t>
  </si>
  <si>
    <t>P24666_ACP1</t>
  </si>
  <si>
    <t>P24752_ACAT1</t>
  </si>
  <si>
    <t>P24928_POLR2A</t>
  </si>
  <si>
    <t>P24941_CDK2</t>
  </si>
  <si>
    <t>P25054-2_APC</t>
  </si>
  <si>
    <t>P25098_ADRBK1</t>
  </si>
  <si>
    <t>P25205_MCM3</t>
  </si>
  <si>
    <t>P25311_AZGP1</t>
  </si>
  <si>
    <t>P25398_RPS12</t>
  </si>
  <si>
    <t>P25440_BRD2</t>
  </si>
  <si>
    <t>P25685_DNAJB1</t>
  </si>
  <si>
    <t>P25686_DNAJB2</t>
  </si>
  <si>
    <t>P25705_ATP5A1</t>
  </si>
  <si>
    <t>P25774_CTSS</t>
  </si>
  <si>
    <t>P25786_PSMA1</t>
  </si>
  <si>
    <t>P25787_PSMA2</t>
  </si>
  <si>
    <t>P25788-2_PSMA3</t>
  </si>
  <si>
    <t>P25789_PSMA4</t>
  </si>
  <si>
    <t>P26038_MSN</t>
  </si>
  <si>
    <t>P26196_DDX6</t>
  </si>
  <si>
    <t>P26358_DNMT1</t>
  </si>
  <si>
    <t>P26368-2_U2AF2</t>
  </si>
  <si>
    <t>P26373_RPL13</t>
  </si>
  <si>
    <t>P26440_IVD</t>
  </si>
  <si>
    <t>P26447_S100A4</t>
  </si>
  <si>
    <t>P26583_HMGB2</t>
  </si>
  <si>
    <t>P26599_PTBP1</t>
  </si>
  <si>
    <t>P26639_TARS</t>
  </si>
  <si>
    <t>P26640_VARS</t>
  </si>
  <si>
    <t>P26641_EEF1G</t>
  </si>
  <si>
    <t>P26885_FKBP2</t>
  </si>
  <si>
    <t>P26927_MST1</t>
  </si>
  <si>
    <t>P27144_AK4</t>
  </si>
  <si>
    <t>P27169_PON1</t>
  </si>
  <si>
    <t>P27348_YWHAQ</t>
  </si>
  <si>
    <t>P27540-2_ARNT</t>
  </si>
  <si>
    <t>P27694_RPA1</t>
  </si>
  <si>
    <t>P27695_APEX1</t>
  </si>
  <si>
    <t>P27797_CALR</t>
  </si>
  <si>
    <t>P27816_MAP4</t>
  </si>
  <si>
    <t>P27986_PIK3R1</t>
  </si>
  <si>
    <t>P28062-2_PSMB8</t>
  </si>
  <si>
    <t>P28066_PSMA5</t>
  </si>
  <si>
    <t>P28070_PSMB4</t>
  </si>
  <si>
    <t>P28072_PSMB6</t>
  </si>
  <si>
    <t>P28074_PSMB5</t>
  </si>
  <si>
    <t>P28288-2_ABCD3</t>
  </si>
  <si>
    <t>P28330_ACADL</t>
  </si>
  <si>
    <t>P28331_NDUFS1</t>
  </si>
  <si>
    <t>P28332_ADH6</t>
  </si>
  <si>
    <t>P28340_POLD1</t>
  </si>
  <si>
    <t>P28482_MAPK1</t>
  </si>
  <si>
    <t>P28715_ERCC5</t>
  </si>
  <si>
    <t>P28799_GRN</t>
  </si>
  <si>
    <t>P28838-2_LAP3</t>
  </si>
  <si>
    <t>P28845_HSD11B1</t>
  </si>
  <si>
    <t>P29083_GTF2E1</t>
  </si>
  <si>
    <t>P29084_GTF2E2</t>
  </si>
  <si>
    <t>P29144_TPP2</t>
  </si>
  <si>
    <t>P29218_IMPA1</t>
  </si>
  <si>
    <t>P29350_PTPN6</t>
  </si>
  <si>
    <t>P29353-7_SHC1</t>
  </si>
  <si>
    <t>P29372-5_MPG</t>
  </si>
  <si>
    <t>P29374-3_ARID4A</t>
  </si>
  <si>
    <t>P29401_TKT</t>
  </si>
  <si>
    <t>P29590_PML</t>
  </si>
  <si>
    <t>P29966_MARCKS</t>
  </si>
  <si>
    <t>P30038_ALDH4A1</t>
  </si>
  <si>
    <t>P30039_PBLD</t>
  </si>
  <si>
    <t>P30040_ERP29</t>
  </si>
  <si>
    <t>P30041_PRDX6</t>
  </si>
  <si>
    <t>P30042_C21orf33</t>
  </si>
  <si>
    <t>P30043_BLVRB</t>
  </si>
  <si>
    <t>P30044-2_PRDX5</t>
  </si>
  <si>
    <t>P30046_DDT</t>
  </si>
  <si>
    <t>P30047_GCHFR</t>
  </si>
  <si>
    <t>P30049_ATP5D</t>
  </si>
  <si>
    <t>P30050_RPL12</t>
  </si>
  <si>
    <t>P30084_ECHS1</t>
  </si>
  <si>
    <t>P30085_CMPK1</t>
  </si>
  <si>
    <t>P30086_PEBP1</t>
  </si>
  <si>
    <t>P30153_PPP2R1A</t>
  </si>
  <si>
    <t>P30154_PPP2R1B</t>
  </si>
  <si>
    <t>P30405_PPIF</t>
  </si>
  <si>
    <t>P30419_NMT1</t>
  </si>
  <si>
    <t>P30519_HMOX2</t>
  </si>
  <si>
    <t>P30520_ADSS</t>
  </si>
  <si>
    <t>P30533_LRPAP1</t>
  </si>
  <si>
    <t>P30566_ADSL</t>
  </si>
  <si>
    <t>P30613-2_PKLR</t>
  </si>
  <si>
    <t>P30622-2_CLIP1</t>
  </si>
  <si>
    <t>P30711_GSTT1</t>
  </si>
  <si>
    <t>P30740_SERPINB1</t>
  </si>
  <si>
    <t>P30793_GCH1</t>
  </si>
  <si>
    <t>P30837_ALDH1B1</t>
  </si>
  <si>
    <t>P31040_SDHA</t>
  </si>
  <si>
    <t>P31146_CORO1A</t>
  </si>
  <si>
    <t>P31150_GDI1</t>
  </si>
  <si>
    <t>P31153_MAT2A</t>
  </si>
  <si>
    <t>P31327_CPS1</t>
  </si>
  <si>
    <t>P31350_RRM2</t>
  </si>
  <si>
    <t>P31513_FMO3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</si>
  <si>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</si>
  <si>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</si>
  <si>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</si>
  <si>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</si>
  <si>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</si>
  <si>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</si>
  <si>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</si>
  <si>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P31946-2_YWHAB</t>
  </si>
  <si>
    <t>P31947-2_SFN</t>
  </si>
  <si>
    <t>P31948_STIP1</t>
  </si>
  <si>
    <t>P31949_S100A11</t>
  </si>
  <si>
    <t>P32119_PRDX2</t>
  </si>
  <si>
    <t>P32189-1_GK</t>
  </si>
  <si>
    <t>P32320_CDA</t>
  </si>
  <si>
    <t>P32321_DCTD</t>
  </si>
  <si>
    <t>P32455_GBP1</t>
  </si>
  <si>
    <t>P32456_GBP2</t>
  </si>
  <si>
    <t>P32519-2_ELF1</t>
  </si>
  <si>
    <t>P32754-2_HPD</t>
  </si>
  <si>
    <t>P32754_HPD</t>
  </si>
  <si>
    <t>P32929_CTH</t>
  </si>
  <si>
    <t>P33121_ACSL1</t>
  </si>
  <si>
    <t>P33176_KIF5B</t>
  </si>
  <si>
    <t>P33240-2_CSTF2</t>
  </si>
  <si>
    <t>P33241_LSP1</t>
  </si>
  <si>
    <t>P33261_CYP2C19</t>
  </si>
  <si>
    <t>P33316_DUT</t>
  </si>
  <si>
    <t>P33908_MAN1A1</t>
  </si>
  <si>
    <t>P33991_MCM4</t>
  </si>
  <si>
    <t>P33992_MCM5</t>
  </si>
  <si>
    <t>P33993_MCM7</t>
  </si>
  <si>
    <t>P34059_GALNS</t>
  </si>
  <si>
    <t>P34096_RNASE4</t>
  </si>
  <si>
    <t>P34896_SHMT1</t>
  </si>
  <si>
    <t>P34897-3_SHMT2</t>
  </si>
  <si>
    <t>P34913_EPHX2</t>
  </si>
  <si>
    <t>P34932_HSPA4</t>
  </si>
  <si>
    <t>P35030-2_PRSS3</t>
  </si>
  <si>
    <t>P35218_CA5A</t>
  </si>
  <si>
    <t>P35221_CTNNA1</t>
  </si>
  <si>
    <t>P35232_PHB</t>
  </si>
  <si>
    <t>P35237_SERPINB6</t>
  </si>
  <si>
    <t>P35241_RDX</t>
  </si>
  <si>
    <t>P35268_RPL22</t>
  </si>
  <si>
    <t>P35269_GTF2F1</t>
  </si>
  <si>
    <t>P35270_SPR</t>
  </si>
  <si>
    <t>P35520_CBS</t>
  </si>
  <si>
    <t>P35555_FBN1</t>
  </si>
  <si>
    <t>P35558_PCK1</t>
  </si>
  <si>
    <t>P35568_IRS1</t>
  </si>
  <si>
    <t>P35573_AGL</t>
  </si>
  <si>
    <t>P35579_MYH9</t>
  </si>
  <si>
    <t>P35580_MYH10</t>
  </si>
  <si>
    <t>P35606_COPB2</t>
  </si>
  <si>
    <t>P35611-2_ADD1</t>
  </si>
  <si>
    <t>P35637-2_FUS</t>
  </si>
  <si>
    <t>P35658-2_NUP214</t>
  </si>
  <si>
    <t>P35659_DEK</t>
  </si>
  <si>
    <t>P35754_GLRX</t>
  </si>
  <si>
    <t>P35813_PPM1A</t>
  </si>
  <si>
    <t>P35858_IGFALS</t>
  </si>
  <si>
    <t>P35914_HMGCL</t>
  </si>
  <si>
    <t>P35998_PSMC2</t>
  </si>
  <si>
    <t>P36405_ARL3</t>
  </si>
  <si>
    <t>P36507_MAP2K2</t>
  </si>
  <si>
    <t>P36543_ATP6V1E1</t>
  </si>
  <si>
    <t>P36551_CPOX</t>
  </si>
  <si>
    <t>P36578_RPL4</t>
  </si>
  <si>
    <t>P36639-4_NUDT1</t>
  </si>
  <si>
    <t>P36871_PGM1</t>
  </si>
  <si>
    <t>P36915_GNL1</t>
  </si>
  <si>
    <t>P36954_POLR2I</t>
  </si>
  <si>
    <t>P36955_SERPINF1</t>
  </si>
  <si>
    <t>P36957_DLST</t>
  </si>
  <si>
    <t>P36959_GMPR</t>
  </si>
  <si>
    <t>P36969-2_GPX4</t>
  </si>
  <si>
    <t>P36980-2_CFHR2</t>
  </si>
  <si>
    <t>P37059_HSD17B2</t>
  </si>
  <si>
    <t>P37108_SRP14</t>
  </si>
  <si>
    <t>P37198_NUP62</t>
  </si>
  <si>
    <t>P37235_HPCAL1</t>
  </si>
  <si>
    <t>P37802_TAGLN2</t>
  </si>
  <si>
    <t>P37837_TALDO1</t>
  </si>
  <si>
    <t>P38117_ETFB</t>
  </si>
  <si>
    <t>P38159_RBMX</t>
  </si>
  <si>
    <t>P38432_COIL</t>
  </si>
  <si>
    <t>P38606_ATP6V1A</t>
  </si>
  <si>
    <t>P38646_HSPA9</t>
  </si>
  <si>
    <t>P38919_EIF4A3</t>
  </si>
  <si>
    <t>P39687_ANP32A</t>
  </si>
  <si>
    <t>P39748_FEN1</t>
  </si>
  <si>
    <t>P40123_CAP2</t>
  </si>
  <si>
    <t>P40222_TXLNA</t>
  </si>
  <si>
    <t>P40227_CCT6A</t>
  </si>
  <si>
    <t>P40261_NNMT</t>
  </si>
  <si>
    <t>P40306_PSMB10</t>
  </si>
  <si>
    <t>P40394_ADH7</t>
  </si>
  <si>
    <t>P40763-2_STAT3</t>
  </si>
  <si>
    <t>P40763_STAT3</t>
  </si>
  <si>
    <t>P40818_USP8</t>
  </si>
  <si>
    <t>P40925_MDH1</t>
  </si>
  <si>
    <t>P40926_MDH2</t>
  </si>
  <si>
    <t>P40939_HADHA</t>
  </si>
  <si>
    <t>P41091_EIF2S3</t>
  </si>
  <si>
    <t>P41208_CETN2</t>
  </si>
  <si>
    <t>P41223_BUD31</t>
  </si>
  <si>
    <t>P41226_UBA7</t>
  </si>
  <si>
    <t>P41227-2_NAA10</t>
  </si>
  <si>
    <t>P41236_PPP1R2</t>
  </si>
  <si>
    <t>P41240_CSK</t>
  </si>
  <si>
    <t>P41250_GARS</t>
  </si>
  <si>
    <t>P41252_IARS</t>
  </si>
  <si>
    <t>P41567_EIF1</t>
  </si>
  <si>
    <t>P41743_PRKCI</t>
  </si>
  <si>
    <t>P42025_ACTR1B</t>
  </si>
  <si>
    <t>P42126-2_ECI1</t>
  </si>
  <si>
    <t>P42166_TMPO</t>
  </si>
  <si>
    <t>P42224_STAT1</t>
  </si>
  <si>
    <t>P42226_STAT6</t>
  </si>
  <si>
    <t>P42285_SKIV2L2</t>
  </si>
  <si>
    <t>P42330_AKR1C3</t>
  </si>
  <si>
    <t>P42336_PIK3CA</t>
  </si>
  <si>
    <t>P42338_PIK3CB</t>
  </si>
  <si>
    <t>P42357_HAL</t>
  </si>
  <si>
    <t>P42566_EPS15</t>
  </si>
  <si>
    <t>P42574_CASP3</t>
  </si>
  <si>
    <t>P42704_LRPPRC</t>
  </si>
  <si>
    <t>P42765_ACAA2</t>
  </si>
  <si>
    <t>P42768_WAS</t>
  </si>
  <si>
    <t>P42773_CDKN2C</t>
  </si>
  <si>
    <t>P42785_PRCP</t>
  </si>
  <si>
    <t>P42858_HTT</t>
  </si>
  <si>
    <t>P43034_PAFAH1B1</t>
  </si>
  <si>
    <t>P43155-2_CRAT</t>
  </si>
  <si>
    <t>P43246_MSH2</t>
  </si>
  <si>
    <t>P43487_RANBP1</t>
  </si>
  <si>
    <t>P43490_NAMPT</t>
  </si>
  <si>
    <t>P43652_AFM</t>
  </si>
  <si>
    <t>P43686_PSMC4</t>
  </si>
  <si>
    <t>P43694_GATA4</t>
  </si>
  <si>
    <t>P43897_TSFM</t>
  </si>
  <si>
    <t>P45381_ASPA</t>
  </si>
  <si>
    <t>P45954_ACADSB</t>
  </si>
  <si>
    <t>P45973_CBX5</t>
  </si>
  <si>
    <t>P45974-2_USP5</t>
  </si>
  <si>
    <t>P45983-3_MAPK8</t>
  </si>
  <si>
    <t>P45984-2_MAPK9</t>
  </si>
  <si>
    <t>P45985_MAP2K4</t>
  </si>
  <si>
    <t>P46013-2_MKI67</t>
  </si>
  <si>
    <t>P46019_PHKA2</t>
  </si>
  <si>
    <t>P46060_RANGAP1</t>
  </si>
  <si>
    <t>P46063_RECQL</t>
  </si>
  <si>
    <t>P46087-2_NOP2</t>
  </si>
  <si>
    <t>P46100-2_ATRX</t>
  </si>
  <si>
    <t>P46108_CRK</t>
  </si>
  <si>
    <t>P46109_CRKL</t>
  </si>
  <si>
    <t>P46199_MTIF2</t>
  </si>
  <si>
    <t>P46527_CDKN1B</t>
  </si>
  <si>
    <t>P46734-2_MAP2K3</t>
  </si>
  <si>
    <t>P46736-2_BRCC3</t>
  </si>
  <si>
    <t>P46777_RPL5</t>
  </si>
  <si>
    <t>P46779-4_RPL28</t>
  </si>
  <si>
    <t>P46781_RPS9</t>
  </si>
  <si>
    <t>P46783_RPS10</t>
  </si>
  <si>
    <t>P46926_GNPDA1</t>
  </si>
  <si>
    <t>P46934-4_NEDD4</t>
  </si>
  <si>
    <t>P46937_YAP1</t>
  </si>
  <si>
    <t>P46939_UTRN</t>
  </si>
  <si>
    <t>P46940_IQGAP1</t>
  </si>
  <si>
    <t>P46952_HAAO</t>
  </si>
  <si>
    <t>P46976-2_GYG1</t>
  </si>
  <si>
    <t>P47224_RABIF</t>
  </si>
  <si>
    <t>P47755_CAPZA2</t>
  </si>
  <si>
    <t>P47813_EIF1AX</t>
  </si>
  <si>
    <t>P47897_QARS</t>
  </si>
  <si>
    <t>P47914_RPL29</t>
  </si>
  <si>
    <t>P47985_UQCRFS1</t>
  </si>
  <si>
    <t>P47989_XDH</t>
  </si>
  <si>
    <t>P48059_LIMS1</t>
  </si>
  <si>
    <t>P48147_PREP</t>
  </si>
  <si>
    <t>P48163_ME1</t>
  </si>
  <si>
    <t>P48200_IREB2</t>
  </si>
  <si>
    <t>P48444_ARCN1</t>
  </si>
  <si>
    <t>P48449-3_LSS</t>
  </si>
  <si>
    <t>P48506_GCLC</t>
  </si>
  <si>
    <t>P48507_GCLM</t>
  </si>
  <si>
    <t>P48553_TRAPPC10</t>
  </si>
  <si>
    <t>P48634_PRRC2A</t>
  </si>
  <si>
    <t>P48637_GSS</t>
  </si>
  <si>
    <t>P48643_CCT5</t>
  </si>
  <si>
    <t>P48728_AMT</t>
  </si>
  <si>
    <t>P48735_IDH2</t>
  </si>
  <si>
    <t>P48739_PITPNB</t>
  </si>
  <si>
    <t>P48775_TDO2</t>
  </si>
  <si>
    <t>P49005_POLD2</t>
  </si>
  <si>
    <t>P49006_MARCKSL1</t>
  </si>
  <si>
    <t>P49023-2_PXN</t>
  </si>
  <si>
    <t>P49189_ALDH9A1</t>
  </si>
  <si>
    <t>P49247_RPIA</t>
  </si>
  <si>
    <t>P49321_NASP</t>
  </si>
  <si>
    <t>P49326_FMO5</t>
  </si>
  <si>
    <t>P49327_FASN</t>
  </si>
  <si>
    <t>P49354_FNTA</t>
  </si>
  <si>
    <t>P49366_DHPS</t>
  </si>
  <si>
    <t>P49368_CCT3</t>
  </si>
  <si>
    <t>P49407-2_ARRB1</t>
  </si>
  <si>
    <t>P49411_TUFM</t>
  </si>
  <si>
    <t>P49419-2_ALDH7A1</t>
  </si>
  <si>
    <t>P49427_CDC34</t>
  </si>
  <si>
    <t>P49441_INPP1</t>
  </si>
  <si>
    <t>P49448_GLUD2</t>
  </si>
  <si>
    <t>P49458_SRP9</t>
  </si>
  <si>
    <t>P49459_UBE2A</t>
  </si>
  <si>
    <t>P49585_PCYT1A</t>
  </si>
  <si>
    <t>P49588_AARS</t>
  </si>
  <si>
    <t>P49589-3_CARS</t>
  </si>
  <si>
    <t>P49590_HARS2</t>
  </si>
  <si>
    <t>P49591_SARS</t>
  </si>
  <si>
    <t>P49638_TTPA</t>
  </si>
  <si>
    <t>P49662-2_CASP4</t>
  </si>
  <si>
    <t>P49711_CTCF</t>
  </si>
  <si>
    <t>P49720_PSMB3</t>
  </si>
  <si>
    <t>P49721_PSMB2</t>
  </si>
  <si>
    <t>P49736_MCM2</t>
  </si>
  <si>
    <t>P49748_ACADVL</t>
  </si>
  <si>
    <t>P49750-4_YLPM1</t>
  </si>
  <si>
    <t>P49753_ACOT2</t>
  </si>
  <si>
    <t>P49755_TMED10</t>
  </si>
  <si>
    <t>P49756_RBM25</t>
  </si>
  <si>
    <t>P49757-3_NUMB</t>
  </si>
  <si>
    <t>P49770_EIF2B2</t>
  </si>
  <si>
    <t>P49773_HINT1</t>
  </si>
  <si>
    <t>P49789_FHIT</t>
  </si>
  <si>
    <t>P49790_NUP153</t>
  </si>
  <si>
    <t>P49792_RANBP2</t>
  </si>
  <si>
    <t>P49821-2_NDUFV1</t>
  </si>
  <si>
    <t>P49840_GSK3A</t>
  </si>
  <si>
    <t>P49841_GSK3B</t>
  </si>
  <si>
    <t>P49888_SULT1E1</t>
  </si>
  <si>
    <t>P49902_NT5C2</t>
  </si>
  <si>
    <t>P49903_SEPHS1</t>
  </si>
  <si>
    <t>P49914_MTHFS</t>
  </si>
  <si>
    <t>P49959_MRE11A</t>
  </si>
  <si>
    <t>P50053-2_KHK</t>
  </si>
  <si>
    <t>P50053_KHK</t>
  </si>
  <si>
    <t>P50135_HNMT</t>
  </si>
  <si>
    <t>P50213_IDH3A</t>
  </si>
  <si>
    <t>P50224_SULT1A3</t>
  </si>
  <si>
    <t>P50225_SULT1A1</t>
  </si>
  <si>
    <t>P50226_SULT1A2</t>
  </si>
  <si>
    <t>P50336_PPOX</t>
  </si>
  <si>
    <t>P50395_GDI2</t>
  </si>
  <si>
    <t>P50402_EMD</t>
  </si>
  <si>
    <t>P50416_CPT1A</t>
  </si>
  <si>
    <t>P50440-2_GATM</t>
  </si>
  <si>
    <t>P50440_GATM</t>
  </si>
  <si>
    <t>P50452_SERPINB8</t>
  </si>
  <si>
    <t>P50453_SERPINB9</t>
  </si>
  <si>
    <t>P50454_SERPINH1</t>
  </si>
  <si>
    <t>P50502_ST13</t>
  </si>
  <si>
    <t>P50542-2_PEX5</t>
  </si>
  <si>
    <t>P50552_VASP</t>
  </si>
  <si>
    <t>P50570_DNM2</t>
  </si>
  <si>
    <t>P50579_METAP2</t>
  </si>
  <si>
    <t>P50583_NUDT2</t>
  </si>
  <si>
    <t>P50747_HLCS</t>
  </si>
  <si>
    <t>P50748_KNTC1</t>
  </si>
  <si>
    <t>P50897_PPT1</t>
  </si>
  <si>
    <t>P50991_CCT4</t>
  </si>
  <si>
    <t>P51003_PAPOLA</t>
  </si>
  <si>
    <t>P51116_FXR2</t>
  </si>
  <si>
    <t>P51148_RAB5C</t>
  </si>
  <si>
    <t>P51149_RAB7A</t>
  </si>
  <si>
    <t>P51151_RAB9A</t>
  </si>
  <si>
    <t>P51153_RAB13</t>
  </si>
  <si>
    <t>P51178-2_PLCD1</t>
  </si>
  <si>
    <t>P51398-2_DAP3</t>
  </si>
  <si>
    <t>P51452_DUSP3</t>
  </si>
  <si>
    <t>P51531-2_SMARCA2</t>
  </si>
  <si>
    <t>P51532-5_SMARCA4</t>
  </si>
  <si>
    <t>P51553_IDH3G</t>
  </si>
  <si>
    <t>P51570_GALK1</t>
  </si>
  <si>
    <t>P51572_BCAP31</t>
  </si>
  <si>
    <t>P51580_TPMT</t>
  </si>
  <si>
    <t>P51608_MECP2</t>
  </si>
  <si>
    <t>P51610-4_HCFC1</t>
  </si>
  <si>
    <t>P51649_ALDH5A1</t>
  </si>
  <si>
    <t>P51659_HSD17B4</t>
  </si>
  <si>
    <t>P51665_PSMD7</t>
  </si>
  <si>
    <t>P51687_SUOX</t>
  </si>
  <si>
    <t>P51688_SGSH</t>
  </si>
  <si>
    <t>P51692_STAT5B</t>
  </si>
  <si>
    <t>P51808_DYNLT3</t>
  </si>
  <si>
    <t>P51857_AKR1D1</t>
  </si>
  <si>
    <t>P51858_HDGF</t>
  </si>
  <si>
    <t>P51948-2_MNAT1</t>
  </si>
  <si>
    <t>P51991_HNRNPA3</t>
  </si>
  <si>
    <t>P52272-2_HNRNPM</t>
  </si>
  <si>
    <t>P52294_KPNA1</t>
  </si>
  <si>
    <t>P52306_RAP1GDS1</t>
  </si>
  <si>
    <t>P52565_ARHGDIA</t>
  </si>
  <si>
    <t>P52594-2_AGFG1</t>
  </si>
  <si>
    <t>P52597_HNRNPF</t>
  </si>
  <si>
    <t>P52630-4_STAT2</t>
  </si>
  <si>
    <t>P52657_GTF2A2</t>
  </si>
  <si>
    <t>P52701_MSH6</t>
  </si>
  <si>
    <t>P52735-3_VAV2</t>
  </si>
  <si>
    <t>P52758_HRSP12</t>
  </si>
  <si>
    <t>P52788_SMS</t>
  </si>
  <si>
    <t>P52790_HK3</t>
  </si>
  <si>
    <t>P52888_THOP1</t>
  </si>
  <si>
    <t>P52895_AKR1C2</t>
  </si>
  <si>
    <t>P52907_CAPZA1</t>
  </si>
  <si>
    <t>P52943_CRIP2</t>
  </si>
  <si>
    <t>P52948-6_NUP98</t>
  </si>
  <si>
    <t>P53004_BLVRA</t>
  </si>
  <si>
    <t>P53367_ARFIP1</t>
  </si>
  <si>
    <t>P53370_NUDT6</t>
  </si>
  <si>
    <t>P53384-2_NUBP1</t>
  </si>
  <si>
    <t>P53396_ACLY</t>
  </si>
  <si>
    <t>P53582_METAP1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</si>
  <si>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</si>
  <si>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</si>
  <si>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</si>
  <si>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</si>
  <si>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</si>
  <si>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</si>
  <si>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</si>
  <si>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P53675-2_CLTCL1</t>
  </si>
  <si>
    <t>P53680_AP2S1</t>
  </si>
  <si>
    <t>P53990-2_IST1</t>
  </si>
  <si>
    <t>P53992_SEC24C</t>
  </si>
  <si>
    <t>P53999_SUB1</t>
  </si>
  <si>
    <t>P54098_POLG</t>
  </si>
  <si>
    <t>P54136_RARS</t>
  </si>
  <si>
    <t>P54253_ATXN1</t>
  </si>
  <si>
    <t>P54278-3_PMS2</t>
  </si>
  <si>
    <t>P54577_YARS</t>
  </si>
  <si>
    <t>P54578-2_USP14</t>
  </si>
  <si>
    <t>P54619-2_PRKAG1</t>
  </si>
  <si>
    <t>P54727_RAD23B</t>
  </si>
  <si>
    <t>P54802_NAGLU</t>
  </si>
  <si>
    <t>P54840_GYS2</t>
  </si>
  <si>
    <t>P54855_UGT2B15</t>
  </si>
  <si>
    <t>P54868_HMGCS2</t>
  </si>
  <si>
    <t>P54886-2_ALDH18A1</t>
  </si>
  <si>
    <t>P54920_NAPA</t>
  </si>
  <si>
    <t>P55008_AIF1</t>
  </si>
  <si>
    <t>P55010_EIF5</t>
  </si>
  <si>
    <t>P55036_PSMD4</t>
  </si>
  <si>
    <t>P55039_DRG2</t>
  </si>
  <si>
    <t>P55058_PLTP</t>
  </si>
  <si>
    <t>P55060-3_CSE1L</t>
  </si>
  <si>
    <t>P55072_VCP</t>
  </si>
  <si>
    <t>P55081_MFAP1</t>
  </si>
  <si>
    <t>P55084_HADHB</t>
  </si>
  <si>
    <t>P55103_INHBC</t>
  </si>
  <si>
    <t>P55145_MANF</t>
  </si>
  <si>
    <t>P55157_MTTP</t>
  </si>
  <si>
    <t>P55196-3_MLLT4</t>
  </si>
  <si>
    <t>P55196_MLLT4</t>
  </si>
  <si>
    <t>P55199_ELL</t>
  </si>
  <si>
    <t>P55210_CASP7</t>
  </si>
  <si>
    <t>P55212_CASP6</t>
  </si>
  <si>
    <t>P55263_ADK</t>
  </si>
  <si>
    <t>P55265-3_ADAR</t>
  </si>
  <si>
    <t>P55268_LAMB2</t>
  </si>
  <si>
    <t>P55327-2_TPD52</t>
  </si>
  <si>
    <t>P55735_SEC13</t>
  </si>
  <si>
    <t>P55769_NHP2L1</t>
  </si>
  <si>
    <t>P55789_GFER</t>
  </si>
  <si>
    <t>P55795_HNRNPH2</t>
  </si>
  <si>
    <t>P55854_SUMO3</t>
  </si>
  <si>
    <t>P55884_EIF3B</t>
  </si>
  <si>
    <t>P56181-2_NDUFV3</t>
  </si>
  <si>
    <t>P56181_NDUFV3</t>
  </si>
  <si>
    <t>P56192_MARS</t>
  </si>
  <si>
    <t>P56199_ITGA1</t>
  </si>
  <si>
    <t>P56277_CMC4</t>
  </si>
  <si>
    <t>P56470_LGALS4</t>
  </si>
  <si>
    <t>P56524_HDAC4</t>
  </si>
  <si>
    <t>P56537_EIF6</t>
  </si>
  <si>
    <t>P56937-2_HSD17B7</t>
  </si>
  <si>
    <t>P57060_RWDD2B</t>
  </si>
  <si>
    <t>P57076_C21orf59</t>
  </si>
  <si>
    <t>P57081-2_WDR4</t>
  </si>
  <si>
    <t>P57737-3_CORO7</t>
  </si>
  <si>
    <t>P57764_GSDMD</t>
  </si>
  <si>
    <t>P57772_EEFSEC</t>
  </si>
  <si>
    <t>P58546_MTPN</t>
  </si>
  <si>
    <t>P59666_DEFA3</t>
  </si>
  <si>
    <t>P59998_ARPC4</t>
  </si>
  <si>
    <t>P60174-1_TPI1</t>
  </si>
  <si>
    <t>P60228_EIF3E</t>
  </si>
  <si>
    <t>P60468_SEC61B</t>
  </si>
  <si>
    <t>P60842_EIF4A1</t>
  </si>
  <si>
    <t>P60866_RPS20</t>
  </si>
  <si>
    <t>P60891_PRPS1</t>
  </si>
  <si>
    <t>P60900_PSMA6</t>
  </si>
  <si>
    <t>P60903_S100A10</t>
  </si>
  <si>
    <t>P60953_CDC42</t>
  </si>
  <si>
    <t>P60981-2_DSTN</t>
  </si>
  <si>
    <t>P60983_GMFB</t>
  </si>
  <si>
    <t>P61006_RAB8A</t>
  </si>
  <si>
    <t>P61011_SRP54</t>
  </si>
  <si>
    <t>P61019_RAB2A</t>
  </si>
  <si>
    <t>P61020_RAB5B</t>
  </si>
  <si>
    <t>P61026_RAB10</t>
  </si>
  <si>
    <t>P61077_UBE2D3</t>
  </si>
  <si>
    <t>P61081_UBE2M</t>
  </si>
  <si>
    <t>P61086_UBE2K</t>
  </si>
  <si>
    <t>P61088_UBE2N</t>
  </si>
  <si>
    <t>P61106_RAB14</t>
  </si>
  <si>
    <t>P61158_ACTR3</t>
  </si>
  <si>
    <t>P61160_ACTR2</t>
  </si>
  <si>
    <t>P61163_ACTR1A</t>
  </si>
  <si>
    <t>P61201_COPS2</t>
  </si>
  <si>
    <t>P61218_POLR2F</t>
  </si>
  <si>
    <t>P61221_ABCE1</t>
  </si>
  <si>
    <t>P61224-3_RAP1B</t>
  </si>
  <si>
    <t>P61247_RPS3A</t>
  </si>
  <si>
    <t>P61289_PSME3</t>
  </si>
  <si>
    <t>P61326_MAGOH</t>
  </si>
  <si>
    <t>P61457_PCBD1</t>
  </si>
  <si>
    <t>P61586_RHOA</t>
  </si>
  <si>
    <t>P61604_HSPE1</t>
  </si>
  <si>
    <t>P61758_VBP1</t>
  </si>
  <si>
    <t>P61923_COPZ1</t>
  </si>
  <si>
    <t>P61956-2_SUMO2</t>
  </si>
  <si>
    <t>P61964_WDR5</t>
  </si>
  <si>
    <t>P61966_AP1S1</t>
  </si>
  <si>
    <t>P61970_NUTF2</t>
  </si>
  <si>
    <t>P61978-3_HNRNPK</t>
  </si>
  <si>
    <t>P61981_YWHAG</t>
  </si>
  <si>
    <t>P62070_RRAS2</t>
  </si>
  <si>
    <t>P62072_TIMM10</t>
  </si>
  <si>
    <t>P62136_PPP1CA</t>
  </si>
  <si>
    <t>P62140_PPP1CB</t>
  </si>
  <si>
    <t>P62158_CALM1</t>
  </si>
  <si>
    <t>P62191_PSMC1</t>
  </si>
  <si>
    <t>P62195-2_PSMC5</t>
  </si>
  <si>
    <t>P62241_RPS8</t>
  </si>
  <si>
    <t>P62258_YWHAE</t>
  </si>
  <si>
    <t>P62277_RPS13</t>
  </si>
  <si>
    <t>P62280_RPS11</t>
  </si>
  <si>
    <t>P62304_SNRPE</t>
  </si>
  <si>
    <t>P62308_SNRPG</t>
  </si>
  <si>
    <t>P62310_LSM3</t>
  </si>
  <si>
    <t>P62312_LSM6</t>
  </si>
  <si>
    <t>P62314_SNRPD1</t>
  </si>
  <si>
    <t>P62316_SNRPD2</t>
  </si>
  <si>
    <t>P62328_TMSB4X</t>
  </si>
  <si>
    <t>P62330_ARF6</t>
  </si>
  <si>
    <t>P62333_PSMC6</t>
  </si>
  <si>
    <t>P62424_RPL7A</t>
  </si>
  <si>
    <t>P62495_ETF1</t>
  </si>
  <si>
    <t>P62633-2_CNBP</t>
  </si>
  <si>
    <t>P62701_RPS4X</t>
  </si>
  <si>
    <t>P62714_PPP2CB</t>
  </si>
  <si>
    <t>P62745_RHOB</t>
  </si>
  <si>
    <t>P62750_RPL23A</t>
  </si>
  <si>
    <t>P62753_RPS6</t>
  </si>
  <si>
    <t>P62760_VSNL1</t>
  </si>
  <si>
    <t>P62805_HIST1H4A</t>
  </si>
  <si>
    <t>P62807_HIST1H2BC</t>
  </si>
  <si>
    <t>P62820_RAB1A</t>
  </si>
  <si>
    <t>P62826_RAN</t>
  </si>
  <si>
    <t>P62829_RPL23</t>
  </si>
  <si>
    <t>P62834_RAP1A</t>
  </si>
  <si>
    <t>P62851_RPS25</t>
  </si>
  <si>
    <t>P62854_RPS26</t>
  </si>
  <si>
    <t>P62873_GNB1</t>
  </si>
  <si>
    <t>P62877_RBX1</t>
  </si>
  <si>
    <t>P62879_GNB2</t>
  </si>
  <si>
    <t>P62942_FKBP1A</t>
  </si>
  <si>
    <t>P62993_GRB2</t>
  </si>
  <si>
    <t>P62995-3_TRA2B</t>
  </si>
  <si>
    <t>P63000_RAC1</t>
  </si>
  <si>
    <t>P63010_AP2B1</t>
  </si>
  <si>
    <t>P63104_YWHAZ</t>
  </si>
  <si>
    <t>P63151_PPP2R2A</t>
  </si>
  <si>
    <t>P63167_DYNLL1</t>
  </si>
  <si>
    <t>P63244_GNB2L1</t>
  </si>
  <si>
    <t>P63261_ACTG1</t>
  </si>
  <si>
    <t>P63313_TMSB10</t>
  </si>
  <si>
    <t>P67775_PPP2CA</t>
  </si>
  <si>
    <t>P67809_YBX1</t>
  </si>
  <si>
    <t>P67870_CSNK2B</t>
  </si>
  <si>
    <t>P67936_TPM4</t>
  </si>
  <si>
    <t>P68036_UBE2L3</t>
  </si>
  <si>
    <t>P68133_ACTA1</t>
  </si>
  <si>
    <t>P68363_TUBA1B</t>
  </si>
  <si>
    <t>P68371_TUBB4B</t>
  </si>
  <si>
    <t>P68402_PAFAH1B2</t>
  </si>
  <si>
    <t>P78314_SH3BP2</t>
  </si>
  <si>
    <t>P78318_IGBP1</t>
  </si>
  <si>
    <t>P78329_CYP4F2</t>
  </si>
  <si>
    <t>P78332_RBM6</t>
  </si>
  <si>
    <t>P78345_RPP38</t>
  </si>
  <si>
    <t>P78346_RPP30</t>
  </si>
  <si>
    <t>P78347-2_GTF2I</t>
  </si>
  <si>
    <t>P78356_PIP4K2B</t>
  </si>
  <si>
    <t>P78362_SRPK2</t>
  </si>
  <si>
    <t>P78371_CCT2</t>
  </si>
  <si>
    <t>P78406_RAE1</t>
  </si>
  <si>
    <t>P78417_GSTO1</t>
  </si>
  <si>
    <t>P78524_ST5</t>
  </si>
  <si>
    <t>P78560_CRADD</t>
  </si>
  <si>
    <t>P80188-2_LCN2</t>
  </si>
  <si>
    <t>P80217_IFI35</t>
  </si>
  <si>
    <t>P80294_MT1H</t>
  </si>
  <si>
    <t>P80297_MT1X</t>
  </si>
  <si>
    <t>P80303_NUCB2</t>
  </si>
  <si>
    <t>P80404_ABAT</t>
  </si>
  <si>
    <t>P80723_BASP1</t>
  </si>
  <si>
    <t>P81605_DCD</t>
  </si>
  <si>
    <t>P82094_TMF1</t>
  </si>
  <si>
    <t>P82664_MRPS10</t>
  </si>
  <si>
    <t>P82675_MRPS5</t>
  </si>
  <si>
    <t>P82909_MRPS36</t>
  </si>
  <si>
    <t>P82914_MRPS15</t>
  </si>
  <si>
    <t>P82930_MRPS34</t>
  </si>
  <si>
    <t>P82932_MRPS6</t>
  </si>
  <si>
    <t>P82979_SARNP</t>
  </si>
  <si>
    <t>P82980_RBP5</t>
  </si>
  <si>
    <t>P83111_LACTB</t>
  </si>
  <si>
    <t>P83436_COG7</t>
  </si>
  <si>
    <t>P83876_TXNL4A</t>
  </si>
  <si>
    <t>P84077_ARF1</t>
  </si>
  <si>
    <t>P84085_ARF5</t>
  </si>
  <si>
    <t>P84090_ERH</t>
  </si>
  <si>
    <t>P85037_FOXK1</t>
  </si>
  <si>
    <t>P86791_CCZ1</t>
  </si>
  <si>
    <t>P98082-2_DAB2</t>
  </si>
  <si>
    <t>P98160_HSPG2</t>
  </si>
  <si>
    <t>P98170_XIAP</t>
  </si>
  <si>
    <t>P98175-2_RBM10</t>
  </si>
  <si>
    <t>P98179_RBM3</t>
  </si>
  <si>
    <t>Q00059_TFAM</t>
  </si>
  <si>
    <t>Q00169_PITPNA</t>
  </si>
  <si>
    <t>Q00266_MAT1A</t>
  </si>
  <si>
    <t>Q00341_HDLBP</t>
  </si>
  <si>
    <t>Q00403_GTF2B</t>
  </si>
  <si>
    <t>Q00534_CDK6</t>
  </si>
  <si>
    <t>Q00535_CDK5</t>
  </si>
  <si>
    <t>Q00577_PURA</t>
  </si>
  <si>
    <t>Q00587-2_CDC42EP1</t>
  </si>
  <si>
    <t>Q00610-2_CLTC</t>
  </si>
  <si>
    <t>Q00653_NFKB2</t>
  </si>
  <si>
    <t>Q00688_FKBP3</t>
  </si>
  <si>
    <t>Q00796_SORD</t>
  </si>
  <si>
    <t>Q00839_HNRNPU</t>
  </si>
  <si>
    <t>Q00G26_PLIN5</t>
  </si>
  <si>
    <t>Q01081_U2AF1</t>
  </si>
  <si>
    <t>Q01082-3_SPTBN1</t>
  </si>
  <si>
    <t>Q01082_SPTBN1</t>
  </si>
  <si>
    <t>Q01085-2_TIAL1</t>
  </si>
  <si>
    <t>Q01105_SET</t>
  </si>
  <si>
    <t>Q01433-2_AMPD2</t>
  </si>
  <si>
    <t>Q01459_CTBS</t>
  </si>
  <si>
    <t>Q01469_FABP5</t>
  </si>
  <si>
    <t>Q01518-2_CAP1</t>
  </si>
  <si>
    <t>Q01581_HMGCS1</t>
  </si>
  <si>
    <t>Q01658_DR1</t>
  </si>
  <si>
    <t>Q01804_OTUD4</t>
  </si>
  <si>
    <t>Q01831-2_XPC</t>
  </si>
  <si>
    <t>Q01844-6_EWSR1</t>
  </si>
  <si>
    <t>Q01968-2_OCRL</t>
  </si>
  <si>
    <t>Q02083-2_NAAA</t>
  </si>
  <si>
    <t>Q02086-2_SP2</t>
  </si>
  <si>
    <t>Q02252_ALDH6A1</t>
  </si>
  <si>
    <t>Q02318_CYP27A1</t>
  </si>
  <si>
    <t>Q02325_PLGLB1</t>
  </si>
  <si>
    <t>Q02410_APBA1</t>
  </si>
  <si>
    <t>Q02487-2_DSC2</t>
  </si>
  <si>
    <t>Q02487_DSC2</t>
  </si>
  <si>
    <t>Q02750_MAP2K1</t>
  </si>
  <si>
    <t>Q02790_FKBP4</t>
  </si>
  <si>
    <t>Q02818_NUCB1</t>
  </si>
  <si>
    <t>Q02928_CYP4A11</t>
  </si>
  <si>
    <t>Q02952-3_AKAP12</t>
  </si>
  <si>
    <t>Q02985-2_CFHR3</t>
  </si>
  <si>
    <t>Q03001-8_DST</t>
  </si>
  <si>
    <t>Q03013-2_GSTM4</t>
  </si>
  <si>
    <t>Q03154_ACY1</t>
  </si>
  <si>
    <t>Q03252_LMNB2</t>
  </si>
  <si>
    <t>Q03591_CFHR1</t>
  </si>
  <si>
    <t>Q04446_GBE1</t>
  </si>
  <si>
    <t>Q04637-5_EIF4G1</t>
  </si>
  <si>
    <t>Q04721_NOTCH2</t>
  </si>
  <si>
    <t>Q04724_TLE1</t>
  </si>
  <si>
    <t>Q04726-2_TLE3</t>
  </si>
  <si>
    <t>Q04756_HGFAC</t>
  </si>
  <si>
    <t>Q04760_GLO1</t>
  </si>
  <si>
    <t>Q04828_AKR1C1</t>
  </si>
  <si>
    <t>Q04837_SSBP1</t>
  </si>
  <si>
    <t>Q04917_YWHAH</t>
  </si>
  <si>
    <t>Q05048_CSTF1</t>
  </si>
  <si>
    <t>Q05086-3_UBE3A</t>
  </si>
  <si>
    <t>Q05209_PTPN12</t>
  </si>
  <si>
    <t>Q05519-2_SRSF11</t>
  </si>
  <si>
    <t>Q05639_EEF1A2</t>
  </si>
  <si>
    <t>Q05682-5_CALD1</t>
  </si>
  <si>
    <t>Q05682_CALD1</t>
  </si>
  <si>
    <t>Q06033-2_ITIH3</t>
  </si>
  <si>
    <t>Q06124-2_PTPN11</t>
  </si>
  <si>
    <t>Q06203_PPAT</t>
  </si>
  <si>
    <t>Q06210-2_GFPT1</t>
  </si>
  <si>
    <t>Q06265_EXOSC9</t>
  </si>
  <si>
    <t>Q06278_AOX1</t>
  </si>
  <si>
    <t>Q06323_PSME1</t>
  </si>
  <si>
    <t>Q06330-5_RBPJ</t>
  </si>
  <si>
    <t>Q06520_SULT2A1</t>
  </si>
  <si>
    <t>Q06546_GABPA</t>
  </si>
  <si>
    <t>Q06587_RING1</t>
  </si>
  <si>
    <t>Q07021_C1QBP</t>
  </si>
  <si>
    <t>Q07065_CKAP4</t>
  </si>
  <si>
    <t>Q07075_ENPEP</t>
  </si>
  <si>
    <t>Q07157_TJP1</t>
  </si>
  <si>
    <t>Q07283_TCHH</t>
  </si>
  <si>
    <t>Q07666_KHDRBS1</t>
  </si>
  <si>
    <t>Q07812-5_BAX</t>
  </si>
  <si>
    <t>Q07912_TNK2</t>
  </si>
  <si>
    <t>Q07954_LRP1</t>
  </si>
  <si>
    <t>Q07955_SRSF1</t>
  </si>
  <si>
    <t>Q07960_ARHGAP1</t>
  </si>
  <si>
    <t>Q08170_SRSF4</t>
  </si>
  <si>
    <t>Q08209-2_PPP3CA</t>
  </si>
  <si>
    <t>Q08211_DHX9</t>
  </si>
  <si>
    <t>Q08257_CRYZ</t>
  </si>
  <si>
    <t>Q08378_GOLGA3</t>
  </si>
  <si>
    <t>Q08379_GOLGA2</t>
  </si>
  <si>
    <t>Q08380_LGALS3BP</t>
  </si>
  <si>
    <t>Q08426_EHHADH</t>
  </si>
  <si>
    <t>Q08477-2_CYP4F3</t>
  </si>
  <si>
    <t>Q08495-2_EPB49</t>
  </si>
  <si>
    <t>Q08752_PPID</t>
  </si>
  <si>
    <t>Q08830_FGL1</t>
  </si>
  <si>
    <t>Q08999_RBL2</t>
  </si>
  <si>
    <t>Q08AG7_MZT1</t>
  </si>
  <si>
    <t>Q08AH3_ACSM2A</t>
  </si>
  <si>
    <t>Q08AM6_VAC14</t>
  </si>
  <si>
    <t>Q08J23_NSUN2</t>
  </si>
  <si>
    <t>Q09028-3_RBBP4</t>
  </si>
  <si>
    <t>Q09472_EP300</t>
  </si>
  <si>
    <t>Q09666_AHNAK</t>
  </si>
  <si>
    <t>Q0JRZ9_FCHO2</t>
  </si>
  <si>
    <t>Q0VDF9_HSPA14</t>
  </si>
  <si>
    <t>Q0VDG4_SCRN3</t>
  </si>
  <si>
    <t>Q0VF96_CGNL1</t>
  </si>
  <si>
    <t>Q10567-2_AP1B1</t>
  </si>
  <si>
    <t>Q10567-3_AP1B1</t>
  </si>
  <si>
    <t>Q10570_CPSF1</t>
  </si>
  <si>
    <t>Q10713_PMPCA</t>
  </si>
  <si>
    <t>Q12768_KIAA0196</t>
  </si>
  <si>
    <t>Q12769_NUP160</t>
  </si>
  <si>
    <t>Q12774_ARHGEF5</t>
  </si>
  <si>
    <t>Q12792_TWF1</t>
  </si>
  <si>
    <t>Q12794-7_HYAL1</t>
  </si>
  <si>
    <t>Q12802-4_AKAP13</t>
  </si>
  <si>
    <t>Q12849-5_GRSF1</t>
  </si>
  <si>
    <t>Q12874_SF3A3</t>
  </si>
  <si>
    <t>Q12882_DPYD</t>
  </si>
  <si>
    <t>Q12888_TP53BP1</t>
  </si>
  <si>
    <t>Q12899_TRIM26</t>
  </si>
  <si>
    <t>Q12904_AIMP1</t>
  </si>
  <si>
    <t>Q12905_ILF2</t>
  </si>
  <si>
    <t>Q12906-4_ILF3</t>
  </si>
  <si>
    <t>Q12929_EPS8</t>
  </si>
  <si>
    <t>Q12933-4_TRAF2</t>
  </si>
  <si>
    <t>Q12959-5_DLG1</t>
  </si>
  <si>
    <t>Q12962_TAF10</t>
  </si>
  <si>
    <t>Q12965_MYO1E</t>
  </si>
  <si>
    <t>Q12972_PPP1R8</t>
  </si>
  <si>
    <t>Q12986-3_NFX1</t>
  </si>
  <si>
    <t>Q12996_CSTF3</t>
  </si>
  <si>
    <t>Q13011_ECH1</t>
  </si>
  <si>
    <t>Q13017-2_ARHGAP5</t>
  </si>
  <si>
    <t>Q13033-2_STRN3</t>
  </si>
  <si>
    <t>Q13045-2_FLII</t>
  </si>
  <si>
    <t>Q13045_FLII</t>
  </si>
  <si>
    <t>Q13057_COASY</t>
  </si>
  <si>
    <t>Q13085_ACACA</t>
  </si>
  <si>
    <t>Q13107-2_USP4</t>
  </si>
  <si>
    <t>Q13123_IK</t>
  </si>
  <si>
    <t>Q13126_MTAP</t>
  </si>
  <si>
    <t>Q13131_PRKAA1</t>
  </si>
  <si>
    <t>Q13136-2_PPFIA1</t>
  </si>
  <si>
    <t>Q13148_TARDBP</t>
  </si>
  <si>
    <t>Q13151_HNRNPA0</t>
  </si>
  <si>
    <t>Q13153_PAK1</t>
  </si>
  <si>
    <t>Q13155_AIMP2</t>
  </si>
  <si>
    <t>Q13162_PRDX4</t>
  </si>
  <si>
    <t>Q13177_PAK2</t>
  </si>
  <si>
    <t>Q13185_CBX3</t>
  </si>
  <si>
    <t>Q13188_STK3</t>
  </si>
  <si>
    <t>Q13200_PSMD2</t>
  </si>
  <si>
    <t>Q13206_DDX10</t>
  </si>
  <si>
    <t>Q13217_DNAJC3</t>
  </si>
  <si>
    <t>Q13228_SELENBP1</t>
  </si>
  <si>
    <t>Q13232_NME3</t>
  </si>
  <si>
    <t>Q13243-3_SRSF5</t>
  </si>
  <si>
    <t>Q13247-3_SRSF6</t>
  </si>
  <si>
    <t>Q13257_MAD2L1</t>
  </si>
  <si>
    <t>Q13263_TRIM28</t>
  </si>
  <si>
    <t>Q13283_G3BP1</t>
  </si>
  <si>
    <t>Q13287_NMI</t>
  </si>
  <si>
    <t>Q13310-3_PABPC4</t>
  </si>
  <si>
    <t>Q13310_PABPC4</t>
  </si>
  <si>
    <t>Q13325_IFIT5</t>
  </si>
  <si>
    <t>Q13330-3_MTA1</t>
  </si>
  <si>
    <t>Q13347_EIF3I</t>
  </si>
  <si>
    <t>Q13362-4_PPP2R5C</t>
  </si>
  <si>
    <t>Q13363-2_CTBP1</t>
  </si>
  <si>
    <t>Q13404_UBE2V1</t>
  </si>
  <si>
    <t>Q13409-6_DYNC1I2</t>
  </si>
  <si>
    <t>Q13418_ILK</t>
  </si>
  <si>
    <t>Q13423_NNT</t>
  </si>
  <si>
    <t>Q13424_SNTA1</t>
  </si>
  <si>
    <t>Q13426-2_XRCC4</t>
  </si>
  <si>
    <t>Q13427-2_PPIG</t>
  </si>
  <si>
    <t>Q13428-4_TCOF1</t>
  </si>
  <si>
    <t>Q13435_SF3B2</t>
  </si>
  <si>
    <t>Q13442_PDAP1</t>
  </si>
  <si>
    <t>Q13451_FKBP5</t>
  </si>
  <si>
    <t>Q13459-2_MYO9B</t>
  </si>
  <si>
    <t>Q13464_ROCK1</t>
  </si>
  <si>
    <t>Q13492-3_PICALM</t>
  </si>
  <si>
    <t>Q13496_MTM1</t>
  </si>
  <si>
    <t>Q13501-2_SQSTM1</t>
  </si>
  <si>
    <t>Q13526_PIN1</t>
  </si>
  <si>
    <t>Q13541_EIF4EBP1</t>
  </si>
  <si>
    <t>Q13542_EIF4EBP2</t>
  </si>
  <si>
    <t>Q13546_RIPK1</t>
  </si>
  <si>
    <t>Q13547_HDAC1</t>
  </si>
  <si>
    <t>Q13555-10_CAMK2G</t>
  </si>
  <si>
    <t>Q13557-8_CAMK2D</t>
  </si>
  <si>
    <t>Q13561_DCTN2</t>
  </si>
  <si>
    <t>Q13572_ITPK1</t>
  </si>
  <si>
    <t>Q13573_SNW1</t>
  </si>
  <si>
    <t>Q13576_IQGAP2</t>
  </si>
  <si>
    <t>Q13586_STIM1</t>
  </si>
  <si>
    <t>Q13596_SNX1</t>
  </si>
  <si>
    <t>Q13610_PWP1</t>
  </si>
  <si>
    <t>Q13616_CUL1</t>
  </si>
  <si>
    <t>Q13617_CUL2</t>
  </si>
  <si>
    <t>Q13618_CUL3</t>
  </si>
  <si>
    <t>Q13619_CUL4A</t>
  </si>
  <si>
    <t>Q13620-1_CUL4B</t>
  </si>
  <si>
    <t>Q13630_TSTA3</t>
  </si>
  <si>
    <t>Q13642-1_FHL1</t>
  </si>
  <si>
    <t>Q13686_ALKBH1</t>
  </si>
  <si>
    <t>Q13796_SHROOM2</t>
  </si>
  <si>
    <t>Q13813-2_SPTAN1</t>
  </si>
  <si>
    <t>Q13813_SPTAN1</t>
  </si>
  <si>
    <t>Q13825_AUH</t>
  </si>
  <si>
    <t>Q13838_DDX39B</t>
  </si>
  <si>
    <t>Q13867_BLMH</t>
  </si>
  <si>
    <t>Q13868_EXOSC2</t>
  </si>
  <si>
    <t>Q13884_SNTB1</t>
  </si>
  <si>
    <t>Q13885_TUBB2A</t>
  </si>
  <si>
    <t>Q13907_IDI1</t>
  </si>
  <si>
    <t>Q13951-2_CBFB</t>
  </si>
  <si>
    <t>Q14008-2_CKAP5</t>
  </si>
  <si>
    <t>Q14011_CIRBP</t>
  </si>
  <si>
    <t>Q14012_CAMK1</t>
  </si>
  <si>
    <t>Q14019_COTL1</t>
  </si>
  <si>
    <t>Q14032_BAAT</t>
  </si>
  <si>
    <t>Q14061_COX17</t>
  </si>
  <si>
    <t>Q14103-3_HNRNPD</t>
  </si>
  <si>
    <t>Q14116-2_IL18</t>
  </si>
  <si>
    <t>Q14117_DPYS</t>
  </si>
  <si>
    <t>Q14118_DAG1</t>
  </si>
  <si>
    <t>Q14126_DSG2</t>
  </si>
  <si>
    <t>Q14139_UBE4A</t>
  </si>
  <si>
    <t>Q14141-2_SEPT6</t>
  </si>
  <si>
    <t>Q14155-1_ARHGEF7</t>
  </si>
  <si>
    <t>Q14157_UBAP2L</t>
  </si>
  <si>
    <t>Q14160_SCRIB</t>
  </si>
  <si>
    <t>Q14161_GIT2</t>
  </si>
  <si>
    <t>Q14166_TTLL12</t>
  </si>
  <si>
    <t>Q14185_DOCK1</t>
  </si>
  <si>
    <t>Q14192_FHL2</t>
  </si>
  <si>
    <t>Q14203-6_DCTN1</t>
  </si>
  <si>
    <t>Q14204_DYNC1H1</t>
  </si>
  <si>
    <t>Q14232_EIF2B1</t>
  </si>
  <si>
    <t>Q14240_EIF4A2</t>
  </si>
  <si>
    <t>Q14241_TCEB3</t>
  </si>
  <si>
    <t>Q14244-2_MAP7</t>
  </si>
  <si>
    <t>Q14247-3_CTTN</t>
  </si>
  <si>
    <t>Q14247_CTTN</t>
  </si>
  <si>
    <t>Q14249_ENDOG</t>
  </si>
  <si>
    <t>Q14258_TRIM25</t>
  </si>
  <si>
    <t>Q14289-2_PTK2B</t>
  </si>
  <si>
    <t>Q14318-2_FKBP8</t>
  </si>
  <si>
    <t>Q14320_FAM50A</t>
  </si>
  <si>
    <t>Q14353_GAMT</t>
  </si>
  <si>
    <t>Q14376_GALE</t>
  </si>
  <si>
    <t>Q14397_GCKR</t>
  </si>
  <si>
    <t>Q14410_GK2</t>
  </si>
  <si>
    <t>Q14444-2_CAPRIN1</t>
  </si>
  <si>
    <t>Q14498-2_RBM39</t>
  </si>
  <si>
    <t>Q14520-2_HABP2</t>
  </si>
  <si>
    <t>Q14527_HLTF</t>
  </si>
  <si>
    <t>Q14554_PDIA5</t>
  </si>
  <si>
    <t>Q14558_PRPSAP1</t>
  </si>
  <si>
    <t>Q14566_MCM6</t>
  </si>
  <si>
    <t>Q14624_ITIH4</t>
  </si>
  <si>
    <t>Q14651_PLS1</t>
  </si>
  <si>
    <t>Q14653_IRF3</t>
  </si>
  <si>
    <t>Q14657_LAGE3</t>
  </si>
  <si>
    <t>Q14669_TRIP12</t>
  </si>
  <si>
    <t>Q14676-3_MDC1</t>
  </si>
  <si>
    <t>Q14677_CLINT1</t>
  </si>
  <si>
    <t>Q14678-2_KANK1</t>
  </si>
  <si>
    <t>Q14683_SMC1A</t>
  </si>
  <si>
    <t>Q14684-2_RRP1B</t>
  </si>
  <si>
    <t>Q14687-2_GSE1</t>
  </si>
  <si>
    <t>Q14689-6_DIP2A</t>
  </si>
  <si>
    <t>Q14694_USP10</t>
  </si>
  <si>
    <t>Q14696_MESDC2</t>
  </si>
  <si>
    <t>Q14697_GANAB</t>
  </si>
  <si>
    <t>Q14749_GNMT</t>
  </si>
  <si>
    <t>Q14789_GOLGB1</t>
  </si>
  <si>
    <t>Q147X3_NAA30</t>
  </si>
  <si>
    <t>Q14847_LASP1</t>
  </si>
  <si>
    <t>Q14894_CRYM</t>
  </si>
  <si>
    <t>Q14914-2_PTGR1</t>
  </si>
  <si>
    <t>Q14938-5_NFIX</t>
  </si>
  <si>
    <t>Q14966_ZNF638</t>
  </si>
  <si>
    <t>Q14974_KPNB1</t>
  </si>
  <si>
    <t>Q14978_NOLC1</t>
  </si>
  <si>
    <t>Q14980_NUMA1</t>
  </si>
  <si>
    <t>Q14997_PSME4</t>
  </si>
  <si>
    <t>Q14C86-4_GAPVD1</t>
  </si>
  <si>
    <t>Q14CX7-2_NAA25</t>
  </si>
  <si>
    <t>Q15008_PSMD6</t>
  </si>
  <si>
    <t>Q15018_FAM175B</t>
  </si>
  <si>
    <t>Q15019_SEPT2</t>
  </si>
  <si>
    <t>Q15020_SART3</t>
  </si>
  <si>
    <t>Q15024_EXOSC7</t>
  </si>
  <si>
    <t>Q15029-2_EFTUD2</t>
  </si>
  <si>
    <t>Q15036-2_SNX17</t>
  </si>
  <si>
    <t>Q15043-2_SLC39A14</t>
  </si>
  <si>
    <t>Q15046_KARS</t>
  </si>
  <si>
    <t>Q15056-2_EIF4H</t>
  </si>
  <si>
    <t>Q15057_ACAP2</t>
  </si>
  <si>
    <t>Q15059_BRD3</t>
  </si>
  <si>
    <t>Q15067-2_ACOX1</t>
  </si>
  <si>
    <t>Q15067_ACOX1</t>
  </si>
  <si>
    <t>Q15075_EEA1</t>
  </si>
  <si>
    <t>Q15102_PAFAH1B3</t>
  </si>
  <si>
    <t>Q15118_PDK1</t>
  </si>
  <si>
    <t>Q15119_PDK2</t>
  </si>
  <si>
    <t>Q15120_PDK3</t>
  </si>
  <si>
    <t>Q15124-2_PGM5</t>
  </si>
  <si>
    <t>Q15126_PMVK</t>
  </si>
  <si>
    <t>Q15149-8_PLEC</t>
  </si>
  <si>
    <t>Q15166_PON3</t>
  </si>
  <si>
    <t>Q15172_PPP2R5A</t>
  </si>
  <si>
    <t>Q15181_PPA1</t>
  </si>
  <si>
    <t>Q15208_STK38</t>
  </si>
  <si>
    <t>Q15233_NONO</t>
  </si>
  <si>
    <t>Q15257-2_PPP2R4</t>
  </si>
  <si>
    <t>Q15257_PPP2R4</t>
  </si>
  <si>
    <t>Q15274_QPRT</t>
  </si>
  <si>
    <t>Q15276_RABEP1</t>
  </si>
  <si>
    <t>Q15291_RBBP5</t>
  </si>
  <si>
    <t>Q15293_RCN1</t>
  </si>
  <si>
    <t>Q15311_RALBP1</t>
  </si>
  <si>
    <t>Q15345_LRRC41</t>
  </si>
  <si>
    <t>Q15365_PCBP1</t>
  </si>
  <si>
    <t>Q15382_RHEB</t>
  </si>
  <si>
    <t>Q15386_UBE3C</t>
  </si>
  <si>
    <t>Q15393_SF3B3</t>
  </si>
  <si>
    <t>Q15404_RSU1</t>
  </si>
  <si>
    <t>Q15417_CNN3</t>
  </si>
  <si>
    <t>Q15424_SAFB</t>
  </si>
  <si>
    <t>Q15427_SF3B4</t>
  </si>
  <si>
    <t>Q15435_PPP1R7</t>
  </si>
  <si>
    <t>Q15437_SEC23B</t>
  </si>
  <si>
    <t>Q15459_SF3A1</t>
  </si>
  <si>
    <t>Q15464_SHB</t>
  </si>
  <si>
    <t>Q15477_SKIV2L</t>
  </si>
  <si>
    <t>Q15493_RGN</t>
  </si>
  <si>
    <t>Q15526-2_SURF1</t>
  </si>
  <si>
    <t>Q15554_TERF2</t>
  </si>
  <si>
    <t>Q15555-4_MAPRE2</t>
  </si>
  <si>
    <t>Q15596_NCOA2</t>
  </si>
  <si>
    <t>Q15599_SLC9A3R2</t>
  </si>
  <si>
    <t>Q15628_TRADD</t>
  </si>
  <si>
    <t>Q15633-2_TARBP2</t>
  </si>
  <si>
    <t>Q15637-5_SF1</t>
  </si>
  <si>
    <t>Q15642_TRIP10</t>
  </si>
  <si>
    <t>Q15643_TRIP11</t>
  </si>
  <si>
    <t>Q15650_TRIP4</t>
  </si>
  <si>
    <t>Q15652_JMJD1C</t>
  </si>
  <si>
    <t>Q15654_TRIP6</t>
  </si>
  <si>
    <t>Q15691_MAPRE1</t>
  </si>
  <si>
    <t>Q15717_ELAVL1</t>
  </si>
  <si>
    <t>Q15746-2_MYLK</t>
  </si>
  <si>
    <t>Q15746-6_MYLK</t>
  </si>
  <si>
    <t>Q15750-2_TAB1</t>
  </si>
  <si>
    <t>Q15785_TOMM34</t>
  </si>
  <si>
    <t>Q15813_TBCE</t>
  </si>
  <si>
    <t>Q15814_TBCC</t>
  </si>
  <si>
    <t>Q15819_UBE2V2</t>
  </si>
  <si>
    <t>Q15833_STXBP2</t>
  </si>
  <si>
    <t>Q15847_ADIRF</t>
  </si>
  <si>
    <t>Q15907_RAB11B</t>
  </si>
  <si>
    <t>Q15942_ZYX</t>
  </si>
  <si>
    <t>Q16134_ETFDH</t>
  </si>
  <si>
    <t>Q16181_SEPT7</t>
  </si>
  <si>
    <t>Q16186_ADRM1</t>
  </si>
  <si>
    <t>Q16204_CCDC6</t>
  </si>
  <si>
    <t>Q16222-2_UAP1</t>
  </si>
  <si>
    <t>Q16254_E2F4</t>
  </si>
  <si>
    <t>Q16270-2_IGFBP7</t>
  </si>
  <si>
    <t>Q16401-2_PSMD5</t>
  </si>
  <si>
    <t>Q16531_DDB1</t>
  </si>
  <si>
    <t>Q16539_MAPK14</t>
  </si>
  <si>
    <t>Q16543_CDC37</t>
  </si>
  <si>
    <t>Q16555-2_DPYSL2</t>
  </si>
  <si>
    <t>Q16576_RBBP7</t>
  </si>
  <si>
    <t>Q16625-5_OCLN</t>
  </si>
  <si>
    <t>Q16626_MEA1</t>
  </si>
  <si>
    <t>Q16644_MAPKAPK3</t>
  </si>
  <si>
    <t>Q16654_PDK4</t>
  </si>
  <si>
    <t>Q16658_FSCN1</t>
  </si>
  <si>
    <t>Q16719_KYNU</t>
  </si>
  <si>
    <t>Q16740_CLPP</t>
  </si>
  <si>
    <t>Q16762_TST</t>
  </si>
  <si>
    <t>Q16773_CCBL1</t>
  </si>
  <si>
    <t>Q16775_HAGH</t>
  </si>
  <si>
    <t>Q16822_PCK2</t>
  </si>
  <si>
    <t>Q16825_PTPN21</t>
  </si>
  <si>
    <t>Q16831_UPP1</t>
  </si>
  <si>
    <t>Q16836_HADH</t>
  </si>
  <si>
    <t>Q16851-2_UGP2</t>
  </si>
  <si>
    <t>Q16851_UGP2</t>
  </si>
  <si>
    <t>Q16854_DGUOK</t>
  </si>
  <si>
    <t>Q16864_ATP6V1F</t>
  </si>
  <si>
    <t>Q16878_CDO1</t>
  </si>
  <si>
    <t>Q17R31-5_TATDN3</t>
  </si>
  <si>
    <t>Q17RC7_EXOC3L4</t>
  </si>
  <si>
    <t>Q17RN3_FAM98C</t>
  </si>
  <si>
    <t>Q1W6H9_FAM110C</t>
  </si>
  <si>
    <t>Q27J81_INF2</t>
  </si>
  <si>
    <t>Q29RF7_PDS5A</t>
  </si>
  <si>
    <t>Q2KHT3_CLEC16A</t>
  </si>
  <si>
    <t>Q2M389_KIAA1033</t>
  </si>
  <si>
    <t>Q2PPJ7-3_RALGAPA2</t>
  </si>
  <si>
    <t>Q2T9J0_TYSND1</t>
  </si>
  <si>
    <t>Q2TAL8_QRICH1</t>
  </si>
  <si>
    <t>Q2TAY7_SMU1</t>
  </si>
  <si>
    <t>Q32M88_ATHL1</t>
  </si>
  <si>
    <t>Q32MZ4-2_LRRFIP1</t>
  </si>
  <si>
    <t>Q32MZ4-3_LRRFIP1</t>
  </si>
  <si>
    <t>Q32MZ4-4_LRRFIP1</t>
  </si>
  <si>
    <t>Q32P28_LEPRE1</t>
  </si>
  <si>
    <t>Q32P44_EML3</t>
  </si>
  <si>
    <t>Q3B7J2_GFOD2</t>
  </si>
  <si>
    <t>Q3LXA3_DAK</t>
  </si>
  <si>
    <t>Q3MHD2_LSM12</t>
  </si>
  <si>
    <t>Q3MIT2_PUS10</t>
  </si>
  <si>
    <t>Q3YEC7_RABL6</t>
  </si>
  <si>
    <t>Q3ZCM7_TUBB8</t>
  </si>
  <si>
    <t>Q49A26-5_GLYR1</t>
  </si>
  <si>
    <t>Q49AH0_CDNF</t>
  </si>
  <si>
    <t>Q49AN0_CRY2</t>
  </si>
  <si>
    <t>Q49AR2-2_C5orf22</t>
  </si>
  <si>
    <t>Q49B96_COX19</t>
  </si>
  <si>
    <t>Q4G0F5_VPS26B</t>
  </si>
  <si>
    <t>Q4G0J3_LARP7</t>
  </si>
  <si>
    <t>Q4G0N4_NADKD1</t>
  </si>
  <si>
    <t>Q4G0X4_KCTD21</t>
  </si>
  <si>
    <t>Q4G148-2_GXYLT1</t>
  </si>
  <si>
    <t>Q4G176_ACSF3</t>
  </si>
  <si>
    <t>Q4J6C6-4_PREPL</t>
  </si>
  <si>
    <t>Q4KMQ1-2_TPRN</t>
  </si>
  <si>
    <t>Q4KWH8-3_PLCH1</t>
  </si>
  <si>
    <t>Q4LE39-3_ARID4B</t>
  </si>
  <si>
    <t>Q4V328_GRIPAP1</t>
  </si>
  <si>
    <t>Q4V348_ZNF658B</t>
  </si>
  <si>
    <t>Q52LJ0-2_FAM98B</t>
  </si>
  <si>
    <t>Q52LW3_ARHGAP29</t>
  </si>
  <si>
    <t>Q53F19_C17orf85</t>
  </si>
  <si>
    <t>Q53FA7_TP53I3</t>
  </si>
  <si>
    <t>Q53FZ2_ACSM3</t>
  </si>
  <si>
    <t>Q53GQ0_HSD17B12</t>
  </si>
  <si>
    <t>Q53H82_LACTB2</t>
  </si>
  <si>
    <t>Q53HC9_TSSC1</t>
  </si>
  <si>
    <t>Q53LP3_SOWAHC</t>
  </si>
  <si>
    <t>Q53S33_BOLA3</t>
  </si>
  <si>
    <t>Q53SF7-4_COBLL1</t>
  </si>
  <si>
    <t>Q53T59_HS1BP3</t>
  </si>
  <si>
    <t>Q562E7_WDR81</t>
  </si>
  <si>
    <t>Q58FF8_HSP90AB2P</t>
  </si>
  <si>
    <t>Q58WW2_DCAF6</t>
  </si>
  <si>
    <t>Q5BKU9_OXLD1</t>
  </si>
  <si>
    <t>Q5EBL4-2_RILPL1</t>
  </si>
  <si>
    <t>Q5EBL8_PDZD11</t>
  </si>
  <si>
    <t>Q5EBM0_CMPK2</t>
  </si>
  <si>
    <t>Q5GLZ8-3_HERC4</t>
  </si>
  <si>
    <t>Q5HYK7-3_SH3D19</t>
  </si>
  <si>
    <t>Q5I0X7_TTC32</t>
  </si>
  <si>
    <t>Q5JR59_MTUS2</t>
  </si>
  <si>
    <t>Q5JRX3_PITRM1</t>
  </si>
  <si>
    <t>Q5JS37_NHLRC3</t>
  </si>
  <si>
    <t>Q5JSH3-2_WDR44</t>
  </si>
  <si>
    <t>Q5JSZ5-5_PRRC2B</t>
  </si>
  <si>
    <t>Q5JTD0-2_TJAP1</t>
  </si>
  <si>
    <t>Q5JTJ3-3_COA6</t>
  </si>
  <si>
    <t>Q5JTV8_TOR1AIP1</t>
  </si>
  <si>
    <t>Q5JTZ9_AARS2</t>
  </si>
  <si>
    <t>Q5JVF3-3_PCID2</t>
  </si>
  <si>
    <t>Q5JVS0_HABP4</t>
  </si>
  <si>
    <t>Q5KU26_COLEC12</t>
  </si>
  <si>
    <t>Q5MIZ7-3_SMEK2</t>
  </si>
  <si>
    <t>Q5MNZ6_WDR45B</t>
  </si>
  <si>
    <t>Q5MNZ9-2_WIPI1</t>
  </si>
  <si>
    <t>Q5NDL2_EOGT</t>
  </si>
  <si>
    <t>Q5QJ74_TBCEL</t>
  </si>
  <si>
    <t>Q5R3I4_TTC38</t>
  </si>
  <si>
    <t>Q5RHP9_C1orf173</t>
  </si>
  <si>
    <t>Q5RKV6_EXOSC6</t>
  </si>
  <si>
    <t>Q5SNT6_FAM21B</t>
  </si>
  <si>
    <t>Q5SRE7_PHYHD1</t>
  </si>
  <si>
    <t>Q5SSJ5_HP1BP3</t>
  </si>
  <si>
    <t>Q5ST30_VARS2</t>
  </si>
  <si>
    <t>Q5SW79-2_CEP170</t>
  </si>
  <si>
    <t>Q5SW96_LDLRAP1</t>
  </si>
  <si>
    <t>Q5SXM8_DNLZ</t>
  </si>
  <si>
    <t>Q5SYE7-2_NHSL1</t>
  </si>
  <si>
    <t>Q5T0N5-3_FNBP1L</t>
  </si>
  <si>
    <t>Q5T160_RARS2</t>
  </si>
  <si>
    <t>Q5T1C6_THEM4</t>
  </si>
  <si>
    <t>Q5T1M5_FKBP15</t>
  </si>
  <si>
    <t>Q5T200_ZC3H13</t>
  </si>
  <si>
    <t>Q5T2E6_C10orf76</t>
  </si>
  <si>
    <t>Q5T2W1_PDZK1</t>
  </si>
  <si>
    <t>Q5T440_IBA57</t>
  </si>
  <si>
    <t>Q5T4F4-6_ZFYVE27</t>
  </si>
  <si>
    <t>Q5T4S7-3_UBR4</t>
  </si>
  <si>
    <t>Q5T5P2_KIAA1217</t>
  </si>
  <si>
    <t>Q5T5U3_ARHGAP21</t>
  </si>
  <si>
    <t>Q5T6J7_IDNK</t>
  </si>
  <si>
    <t>Q5T6V5_C9orf64</t>
  </si>
  <si>
    <t>Q5T7V8_GORAB</t>
  </si>
  <si>
    <t>Q5T8D3-2_ACBD5</t>
  </si>
  <si>
    <t>Q5T8D3_ACBD5</t>
  </si>
  <si>
    <t>Q5T8P6-2_RBM26</t>
  </si>
  <si>
    <t>Q5TA50_GLTPD1</t>
  </si>
  <si>
    <t>Q5TBA9_FRY</t>
  </si>
  <si>
    <t>Q5TC12_ATPAF1</t>
  </si>
  <si>
    <t>Q5TCQ9-4_MAGI3</t>
  </si>
  <si>
    <t>Q5TDH0_DDI2</t>
  </si>
  <si>
    <t>Q5TEU4_NDUFAF5</t>
  </si>
  <si>
    <t>Q5TFE4_NT5DC1</t>
  </si>
  <si>
    <t>Q5TFQ8_SIRPB1</t>
  </si>
  <si>
    <t>Q5TZA2_CROCC</t>
  </si>
  <si>
    <t>Q5U5X0_LYRM7</t>
  </si>
  <si>
    <t>Q5UIP0-2_RIF1</t>
  </si>
  <si>
    <t>Q5VIR6-4_VPS53</t>
  </si>
  <si>
    <t>Q5VSL9_STRIP1</t>
  </si>
  <si>
    <t>Q5VSP4_LCN1P1</t>
  </si>
  <si>
    <t>Q5VT06_CEP350</t>
  </si>
  <si>
    <t>Q5VT52_RPRD2</t>
  </si>
  <si>
    <t>Q5VTE0_EEF1A1P5</t>
  </si>
  <si>
    <t>Q5VTQ0-5_TTC39B</t>
  </si>
  <si>
    <t>Q5VTR2_RNF20</t>
  </si>
  <si>
    <t>Q5VTU8_ATP5EP2</t>
  </si>
  <si>
    <t>Q5VUA4_ZNF318</t>
  </si>
  <si>
    <t>Q5VUE5_C1orf53</t>
  </si>
  <si>
    <t>Q5VVQ6-2_YOD1</t>
  </si>
  <si>
    <t>Q5VW32_BROX</t>
  </si>
  <si>
    <t>Q5VW36_FOCAD</t>
  </si>
  <si>
    <t>Q5VWP3_MLIP</t>
  </si>
  <si>
    <t>Q5VWQ8-3_DAB2IP</t>
  </si>
  <si>
    <t>Q5VWZ2_LYPLAL1</t>
  </si>
  <si>
    <t>Q5VYK3_ECM29</t>
  </si>
  <si>
    <t>Q5VYX0-2_RNLS</t>
  </si>
  <si>
    <t>Q5VZK9_LRRC16A</t>
  </si>
  <si>
    <t>Q5W0V3_FAM160B1</t>
  </si>
  <si>
    <t>Q5W111_SPRYD7</t>
  </si>
  <si>
    <t>Q5XPI4_RNF123</t>
  </si>
  <si>
    <t>Q63HM1_AFMID</t>
  </si>
  <si>
    <t>Q63HN8_RNF213</t>
  </si>
  <si>
    <t>Q63ZY3-3_KANK2</t>
  </si>
  <si>
    <t>Q658Y4_FAM91A1</t>
  </si>
  <si>
    <t>Q66K14-2_TBC1D9B</t>
  </si>
  <si>
    <t>Q66PJ3-5_ARL6IP4</t>
  </si>
  <si>
    <t>Q66PJ3_ARL6IP4</t>
  </si>
  <si>
    <t>Q676U5-2_ATG16L1</t>
  </si>
  <si>
    <t>Q68CK6_ACSM2B</t>
  </si>
  <si>
    <t>Q68CZ2_TNS3</t>
  </si>
  <si>
    <t>Q68E01-2_INTS3</t>
  </si>
  <si>
    <t>Q68EM7-6_ARHGAP17</t>
  </si>
  <si>
    <t>Q69YN2_CWF19L1</t>
  </si>
  <si>
    <t>Q69YN4-3_KIAA1429</t>
  </si>
  <si>
    <t>Q69YQ0-2_SPECC1L</t>
  </si>
  <si>
    <t>Q6A1A2_PDPK2</t>
  </si>
  <si>
    <t>Q6DD87_ZNF787</t>
  </si>
  <si>
    <t>Q6DD88_ATL3</t>
  </si>
  <si>
    <t>Q6DHV7-2_ADAL</t>
  </si>
  <si>
    <t>Q6DKK2_TTC19</t>
  </si>
  <si>
    <t>Q6DN90-2_IQSEC1</t>
  </si>
  <si>
    <t>Q6EMK4_VASN</t>
  </si>
  <si>
    <t>Q6FI81-3_CIAPIN1</t>
  </si>
  <si>
    <t>Q6FIF0-2_ZFAND6</t>
  </si>
  <si>
    <t>Q6GMV2_SMYD5</t>
  </si>
  <si>
    <t>Q6GMV3_PTRHD1</t>
  </si>
  <si>
    <t>Q6GQQ9-2_OTUD7B</t>
  </si>
  <si>
    <t>Q6GYQ0-4_RALGAPA1</t>
  </si>
  <si>
    <t>Q6IA69_NADSYN1</t>
  </si>
  <si>
    <t>Q6IA86-2_ELP2</t>
  </si>
  <si>
    <t>Q6IB77_GLYAT</t>
  </si>
  <si>
    <t>Q6IBS0_TWF2</t>
  </si>
  <si>
    <t>Q6ICG6-3_KIAA0930</t>
  </si>
  <si>
    <t>Q6IN85-2_SMEK1</t>
  </si>
  <si>
    <t>Q6IPR1_LYRM5</t>
  </si>
  <si>
    <t>Q6JQN1_ACAD10</t>
  </si>
  <si>
    <t>Q6KC79-2_NIPBL</t>
  </si>
  <si>
    <t>Q6N043-2_ZNF280D</t>
  </si>
  <si>
    <t>Q6N063_OGFOD2</t>
  </si>
  <si>
    <t>Q6NUM9_RETSAT</t>
  </si>
  <si>
    <t>Q6NUN0_ACSM5</t>
  </si>
  <si>
    <t>Q6NUQ1_RINT1</t>
  </si>
  <si>
    <t>Q6NUQ4-2_TMEM214</t>
  </si>
  <si>
    <t>Q6NVY1_HIBCH</t>
  </si>
  <si>
    <t>Q6NYC8_PPP1R18</t>
  </si>
  <si>
    <t>Q6NZY4_ZCCHC8</t>
  </si>
  <si>
    <t>Q6P1J9_CDC73</t>
  </si>
  <si>
    <t>Q6P1M3-2_LLGL2</t>
  </si>
  <si>
    <t>Q6P1N0-2_CC2D1A</t>
  </si>
  <si>
    <t>Q6P1N9_TATDN1</t>
  </si>
  <si>
    <t>Q6P1R4_DUS1L</t>
  </si>
  <si>
    <t>Q6P1X6_C8orf82</t>
  </si>
  <si>
    <t>Q6P2E9_EDC4</t>
  </si>
  <si>
    <t>Q6P2P2_PRMT10</t>
  </si>
  <si>
    <t>Q6P2Q9_PRPF8</t>
  </si>
  <si>
    <t>Q6P3W7_SCYL2</t>
  </si>
  <si>
    <t>Q6P3X3_TTC27</t>
  </si>
  <si>
    <t>Q6P4A8_PLBD1</t>
  </si>
  <si>
    <t>Q6P4F2_FDX1L</t>
  </si>
  <si>
    <t>Q6P4R8-3_NFRKB</t>
  </si>
  <si>
    <t>Q6P587_FAHD1</t>
  </si>
  <si>
    <t>Q6P6B1_C8orf47</t>
  </si>
  <si>
    <t>Q6PCB5_RSBN1L</t>
  </si>
  <si>
    <t>Q6PD62_CTR9</t>
  </si>
  <si>
    <t>Q6PD74_AAGAB</t>
  </si>
  <si>
    <t>Q6PGP7_TTC37</t>
  </si>
  <si>
    <t>Q6PH81_C16orf87</t>
  </si>
  <si>
    <t>Q6PI48_DARS2</t>
  </si>
  <si>
    <t>Q6PIJ6-2_FBXO38</t>
  </si>
  <si>
    <t>Q6PJT7-4_ZC3H14</t>
  </si>
  <si>
    <t>Q6PJW8-2_CNST</t>
  </si>
  <si>
    <t>Q6PK81-2_ZNF773</t>
  </si>
  <si>
    <t>Q6PKG0_LARP1</t>
  </si>
  <si>
    <t>Q6PL24_TMED8</t>
  </si>
  <si>
    <t>Q6QHF9-3_PAOX</t>
  </si>
  <si>
    <t>Q6QNY0_BLOC1S3</t>
  </si>
  <si>
    <t>Q6SPF0_SAMD1</t>
  </si>
  <si>
    <t>Q6UB28_METAP1D</t>
  </si>
  <si>
    <t>Q6ULP2-5_AFTPH</t>
  </si>
  <si>
    <t>Q6UN15-4_FIP1L1</t>
  </si>
  <si>
    <t>Q6UWE0_LRSAM1</t>
  </si>
  <si>
    <t>Q6UWP2_DHRS11</t>
  </si>
  <si>
    <t>Q6UWW8_CES3</t>
  </si>
  <si>
    <t>Q6UX53_METTL7B</t>
  </si>
  <si>
    <t>Q6UXH1-4_CRELD2</t>
  </si>
  <si>
    <t>Q6UXN9_WDR82</t>
  </si>
  <si>
    <t>Q6UXV4_APOOL</t>
  </si>
  <si>
    <t>Q6VY07_PACS1</t>
  </si>
  <si>
    <t>Q6WCQ1_MPRIP</t>
  </si>
  <si>
    <t>Q6WKZ4-3_RAB11FIP1</t>
  </si>
  <si>
    <t>Q6XQN6_NAPRT1</t>
  </si>
  <si>
    <t>Q6XZF7_DNMBP</t>
  </si>
  <si>
    <t>Q6Y7W6-4_GIGYF2</t>
  </si>
  <si>
    <t>Q6YN16_HSDL2</t>
  </si>
  <si>
    <t>Q6YP21-3_CCBL2</t>
  </si>
  <si>
    <t>Q6ZMI0_PPP1R21</t>
  </si>
  <si>
    <t>Q6ZNW5_GDPGP1</t>
  </si>
  <si>
    <t>Q6ZS30_NBEAL1</t>
  </si>
  <si>
    <t>Q6ZSZ5-2_ARHGEF18</t>
  </si>
  <si>
    <t>Q6ZT12_UBR3</t>
  </si>
  <si>
    <t>Q6ZUJ8_PIK3AP1</t>
  </si>
  <si>
    <t>Q6ZVK8-2_NUDT18</t>
  </si>
  <si>
    <t>Q6ZVM7_TOM1L2</t>
  </si>
  <si>
    <t>Q709C8-3_VPS13C</t>
  </si>
  <si>
    <t>Q709F0_ACAD11</t>
  </si>
  <si>
    <t>Q70E73_RAPH1</t>
  </si>
  <si>
    <t>Q712K3_UBE2R2</t>
  </si>
  <si>
    <t>Q71RC2-6_LARP4</t>
  </si>
  <si>
    <t>Q71U36-2_TUBA1A</t>
  </si>
  <si>
    <t>Q765P7_MTSS1L</t>
  </si>
  <si>
    <t>Q76FK4-3_NOL8</t>
  </si>
  <si>
    <t>Q7KZ85_SUPT6H</t>
  </si>
  <si>
    <t>Q7KZF4_SND1</t>
  </si>
  <si>
    <t>Q7KZI7-12_MARK2</t>
  </si>
  <si>
    <t>Q7L014_DDX46</t>
  </si>
  <si>
    <t>Q7L099-2_RUFY3</t>
  </si>
  <si>
    <t>Q7L099-4_RUFY3</t>
  </si>
  <si>
    <t>Q7L0Y3_TRMT10C</t>
  </si>
  <si>
    <t>Q7L1Q6_BZW1</t>
  </si>
  <si>
    <t>Q7L266_ASRGL1</t>
  </si>
  <si>
    <t>Q7L2J0_MEPCE</t>
  </si>
  <si>
    <t>Q7L3T8_PARS2</t>
  </si>
  <si>
    <t>Q7L4I2_RSRC2</t>
  </si>
  <si>
    <t>Q7L576_CYFIP1</t>
  </si>
  <si>
    <t>Q7L592_NDUFAF7</t>
  </si>
  <si>
    <t>Q7L5D6_GET4</t>
  </si>
  <si>
    <t>Q7L5Y1_ENOSF1</t>
  </si>
  <si>
    <t>Q7L775_EPM2AIP1</t>
  </si>
  <si>
    <t>Q7L8L6_FASTKD5</t>
  </si>
  <si>
    <t>Q7LBC6_KDM3B</t>
  </si>
  <si>
    <t>Q7LBR1_CHMP1B</t>
  </si>
  <si>
    <t>Q7LG56_RRM2B</t>
  </si>
  <si>
    <t>Q7RTP6_MICAL3</t>
  </si>
  <si>
    <t>Q7RTV0_PHF5A</t>
  </si>
  <si>
    <t>Q7Z2W4_ZC3HAV1</t>
  </si>
  <si>
    <t>Q7Z2Z2_EFTUD1</t>
  </si>
  <si>
    <t>Q7Z392-3_TRAPPC11</t>
  </si>
  <si>
    <t>Q7Z3E2_C10orf118</t>
  </si>
  <si>
    <t>Q7Z3J2_C16orf62</t>
  </si>
  <si>
    <t>Q7Z3T8_ZFYVE16</t>
  </si>
  <si>
    <t>Q7Z406_MYH14</t>
  </si>
  <si>
    <t>Q7Z417_NUFIP2</t>
  </si>
  <si>
    <t>Q7Z422-2_SZRD1</t>
  </si>
  <si>
    <t>Q7Z434_MAVS</t>
  </si>
  <si>
    <t>Q7Z460-2_CLASP1</t>
  </si>
  <si>
    <t>Q7Z478_DHX29</t>
  </si>
  <si>
    <t>Q7Z4G1_COMMD6</t>
  </si>
  <si>
    <t>Q7Z4G4-2_TRMT11</t>
  </si>
  <si>
    <t>Q7Z4H8_KDELC2</t>
  </si>
  <si>
    <t>Q7Z4I7-3_LIMS2</t>
  </si>
  <si>
    <t>Q7Z4Q2_HEATR3</t>
  </si>
  <si>
    <t>Q7Z4S6-3_KIF21A</t>
  </si>
  <si>
    <t>Q7Z4V5_HDGFRP2</t>
  </si>
  <si>
    <t>Q7Z4W1_DCXR</t>
  </si>
  <si>
    <t>Q7Z5K2_WAPAL</t>
  </si>
  <si>
    <t>Q7Z5L9-2_IRF2BP2</t>
  </si>
  <si>
    <t>Q7Z5P4_HSD17B13</t>
  </si>
  <si>
    <t>Q7Z5Q1-7_CPEB2</t>
  </si>
  <si>
    <t>Q7Z5R6_APBB1IP</t>
  </si>
  <si>
    <t>Q7Z6E9-4_RBBP6</t>
  </si>
  <si>
    <t>Q7Z6K3_PTAR1</t>
  </si>
  <si>
    <t>Q7Z6M1_RABEPK</t>
  </si>
  <si>
    <t>Q7Z6Z7-2_HUWE1</t>
  </si>
  <si>
    <t>Q7Z7G8-2_VPS13B</t>
  </si>
  <si>
    <t>Q7Z7K0_CMC1</t>
  </si>
  <si>
    <t>Q7Z7K6-3_CENPV</t>
  </si>
  <si>
    <t>Q86SQ0-3_PHLDB2</t>
  </si>
  <si>
    <t>Q86SQ0_PHLDB2</t>
  </si>
  <si>
    <t>Q86SX6_GLRX5</t>
  </si>
  <si>
    <t>Q86SZ2_TRAPPC6B</t>
  </si>
  <si>
    <t>Q86TB9-4_PATL1</t>
  </si>
  <si>
    <t>Q86TI2_DPP9</t>
  </si>
  <si>
    <t>Q86TP1_PRUNE</t>
  </si>
  <si>
    <t>Q86TU7_SETD3</t>
  </si>
  <si>
    <t>Q86TX2_ACOT1</t>
  </si>
  <si>
    <t>Q86U17_SERPINA11</t>
  </si>
  <si>
    <t>Q86U28_ISCA2</t>
  </si>
  <si>
    <t>Q86U42-2_PABPN1</t>
  </si>
  <si>
    <t>Q86U44_METTL3</t>
  </si>
  <si>
    <t>Q86U90_YRDC</t>
  </si>
  <si>
    <t>Q86UA1_PRPF39</t>
  </si>
  <si>
    <t>Q86UE4_MTDH</t>
  </si>
  <si>
    <t>Q86UK7-2_ZNF598</t>
  </si>
  <si>
    <t>Q86UP2_KTN1</t>
  </si>
  <si>
    <t>Q86US8_SMG6</t>
  </si>
  <si>
    <t>Q86UU0-4_BCL9L</t>
  </si>
  <si>
    <t>Q86UW7-3_CADPS2</t>
  </si>
  <si>
    <t>Q86UX7-2_FERMT3</t>
  </si>
  <si>
    <t>Q86UY8-2_NT5DC3</t>
  </si>
  <si>
    <t>Q86V48-2_LUZP1</t>
  </si>
  <si>
    <t>Q86V81_ALYREF</t>
  </si>
  <si>
    <t>Q86VM9_ZC3H18</t>
  </si>
  <si>
    <t>Q86VN1-2_VPS36</t>
  </si>
  <si>
    <t>Q86VP6_CAND1</t>
  </si>
  <si>
    <t>Q86VQ6_TXNRD3</t>
  </si>
  <si>
    <t>Q86VR2_FAM134C</t>
  </si>
  <si>
    <t>Q86VS8_HOOK3</t>
  </si>
  <si>
    <t>Q86VX2-2_COMMD7</t>
  </si>
  <si>
    <t>Q86W92-4_PPFIBP1</t>
  </si>
  <si>
    <t>Q86WA6_BPHL</t>
  </si>
  <si>
    <t>Q86WA8_LONP2</t>
  </si>
  <si>
    <t>Q86WR0_CCDC25</t>
  </si>
  <si>
    <t>Q86WR7_PROSER2</t>
  </si>
  <si>
    <t>Q86WU2-2_LDHD</t>
  </si>
  <si>
    <t>Q86X10-3_RALGAPB</t>
  </si>
  <si>
    <t>Q86X27_RALGPS2</t>
  </si>
  <si>
    <t>Q86X55-1_CARM1</t>
  </si>
  <si>
    <t>Q86X76-2_NIT1</t>
  </si>
  <si>
    <t>Q86X83_COMMD2</t>
  </si>
  <si>
    <t>Q86XE5_HOGA1</t>
  </si>
  <si>
    <t>Q86XP3_DDX42</t>
  </si>
  <si>
    <t>Q86Y07-4_VRK2</t>
  </si>
  <si>
    <t>Q86Y56-2_HEATR2</t>
  </si>
  <si>
    <t>Q86Y82_STX12</t>
  </si>
  <si>
    <t>Q86YB7_ECHDC2</t>
  </si>
  <si>
    <t>Q86YB8_ERO1LB</t>
  </si>
  <si>
    <t>Q86YH6_PDSS2</t>
  </si>
  <si>
    <t>Q86YJ6-4_THNSL2</t>
  </si>
  <si>
    <t>Q86YP4-2_GATAD2A</t>
  </si>
  <si>
    <t>Q86YS6_RAB43</t>
  </si>
  <si>
    <t>Q86YS7_C2CD5</t>
  </si>
  <si>
    <t>Q8IU81_IRF2BP1</t>
  </si>
  <si>
    <t>Q8IU85-2_CAMK1D</t>
  </si>
  <si>
    <t>Q8IUC4_RHPN2</t>
  </si>
  <si>
    <t>Q8IUD2_ERC1</t>
  </si>
  <si>
    <t>Q8IUZ5_AGXT2L2</t>
  </si>
  <si>
    <t>Q8IV08_PLD3</t>
  </si>
  <si>
    <t>Q8IV20_LACC1</t>
  </si>
  <si>
    <t>Q8IV38_ANKMY2</t>
  </si>
  <si>
    <t>Q8IV50_LYSMD2</t>
  </si>
  <si>
    <t>Q8IVD9_NUDCD3</t>
  </si>
  <si>
    <t>Q8IVH4_MMAA</t>
  </si>
  <si>
    <t>Q8IVM0-2_CCDC50</t>
  </si>
  <si>
    <t>Q8IVS2_MCAT</t>
  </si>
  <si>
    <t>Q8IVS8_GLYCTK</t>
  </si>
  <si>
    <t>Q8IW45_CARKD</t>
  </si>
  <si>
    <t>Q8IWB7_WDFY1</t>
  </si>
  <si>
    <t>Q8IWB9_TEX2</t>
  </si>
  <si>
    <t>Q8IWE2_FAM114A1</t>
  </si>
  <si>
    <t>Q8IWJ2_GCC2</t>
  </si>
  <si>
    <t>Q8IWL3_HSCB</t>
  </si>
  <si>
    <t>Q8IWU2_LMTK2</t>
  </si>
  <si>
    <t>Q8IWV7_UBR1</t>
  </si>
  <si>
    <t>Q8IWV8-4_UBR2</t>
  </si>
  <si>
    <t>Q8IWW6-2_ARHGAP12</t>
  </si>
  <si>
    <t>Q8IWW8_ADHFE1</t>
  </si>
  <si>
    <t>Q8IWX8_CHERP</t>
  </si>
  <si>
    <t>Q8IWZ3_ANKHD1</t>
  </si>
  <si>
    <t>Q8IWZ8_SUGP1</t>
  </si>
  <si>
    <t>Q8IX04-6_UEVLD</t>
  </si>
  <si>
    <t>Q8IX07_ZFPM1</t>
  </si>
  <si>
    <t>Q8IX12-2_CCAR1</t>
  </si>
  <si>
    <t>Q8IXH7-4_NELFCD</t>
  </si>
  <si>
    <t>Q8IXJ6-2_SIRT2</t>
  </si>
  <si>
    <t>Q8IXK0-2_PHC2</t>
  </si>
  <si>
    <t>Q8IXQ4_KIAA1704</t>
  </si>
  <si>
    <t>Q8IXQ6-2_PARP9</t>
  </si>
  <si>
    <t>Q8IY81_FTSJ3</t>
  </si>
  <si>
    <t>Q8IYB5-3_SMAP1</t>
  </si>
  <si>
    <t>Q8IYB7_DIS3L2</t>
  </si>
  <si>
    <t>Q8IYB8_SUPV3L1</t>
  </si>
  <si>
    <t>Q8IYD1_GSPT2</t>
  </si>
  <si>
    <t>Q8IYI6_EXOC8</t>
  </si>
  <si>
    <t>Q8IYL3_C1orf174</t>
  </si>
  <si>
    <t>Q8IYQ7_THNSL1</t>
  </si>
  <si>
    <t>Q8IYS1_PM20D2</t>
  </si>
  <si>
    <t>Q8IYT2_FTSJD1</t>
  </si>
  <si>
    <t>Q8IZ07_ANKRD13A</t>
  </si>
  <si>
    <t>Q8IZ21-3_PHACTR4</t>
  </si>
  <si>
    <t>Q8IZ69_TRMT2A</t>
  </si>
  <si>
    <t>Q8IZ83_ALDH16A1</t>
  </si>
  <si>
    <t>Q8IZD4_DCP1B</t>
  </si>
  <si>
    <t>Q8IZH2-2_XRN1</t>
  </si>
  <si>
    <t>Q8IZP0-10_ABI1</t>
  </si>
  <si>
    <t>Q8IZV5_RDH10</t>
  </si>
  <si>
    <t>Q8N0U4_FAM185A</t>
  </si>
  <si>
    <t>Q8N0W3_FUK</t>
  </si>
  <si>
    <t>Q8N0X4_CLYBL</t>
  </si>
  <si>
    <t>Q8N0X7_SPG20</t>
  </si>
  <si>
    <t>Q8N108-17_MIER1</t>
  </si>
  <si>
    <t>Q8N129_CNPY4</t>
  </si>
  <si>
    <t>Q8N142_ADSSL1</t>
  </si>
  <si>
    <t>Q8N163_KIAA1967</t>
  </si>
  <si>
    <t>Q8N1B4_VPS52</t>
  </si>
  <si>
    <t>Q8N1F7_NUP93</t>
  </si>
  <si>
    <t>Q8N1G2_FTSJD2</t>
  </si>
  <si>
    <t>Q8N1G4_LRRC47</t>
  </si>
  <si>
    <t>Q8N1I0_DOCK4</t>
  </si>
  <si>
    <t>Q8N201_INTS1</t>
  </si>
  <si>
    <t>Q8N283_ANKRD35</t>
  </si>
  <si>
    <t>Q8N2H3_PYROXD2</t>
  </si>
  <si>
    <t>Q8N371_KDM8</t>
  </si>
  <si>
    <t>Q8N3F8_MICALL1</t>
  </si>
  <si>
    <t>Q8N3V7-2_SYNPO</t>
  </si>
  <si>
    <t>Q8N3X1_FNBP4</t>
  </si>
  <si>
    <t>Q8N465_D2HGDH</t>
  </si>
  <si>
    <t>Q8N490-4_PNKD</t>
  </si>
  <si>
    <t>Q8N4C8-4_MINK1</t>
  </si>
  <si>
    <t>Q8N4J0_C9orf41</t>
  </si>
  <si>
    <t>Q8N4P3_HDDC3</t>
  </si>
  <si>
    <t>Q8N4Q0_ZADH2</t>
  </si>
  <si>
    <t>Q8N4Q1_CHCHD4</t>
  </si>
  <si>
    <t>Q8N4T8_CBR4</t>
  </si>
  <si>
    <t>Q8N573-8_OXR1</t>
  </si>
  <si>
    <t>Q8N584_TTC39C</t>
  </si>
  <si>
    <t>Q8N5G2_TMEM57</t>
  </si>
  <si>
    <t>Q8N5J2_FAM63A</t>
  </si>
  <si>
    <t>Q8N5L8_RPP25L</t>
  </si>
  <si>
    <t>Q8N5M1_ATPAF2</t>
  </si>
  <si>
    <t>Q8N5N7_MRPL50</t>
  </si>
  <si>
    <t>Q8N5P1_ZC3H8</t>
  </si>
  <si>
    <t>Q8N5V2_NGEF</t>
  </si>
  <si>
    <t>Q8N5Z0_AADAT</t>
  </si>
  <si>
    <t>Q8N612_FAM160A2</t>
  </si>
  <si>
    <t>Q8N684-2_CPSF7</t>
  </si>
  <si>
    <t>Q8N6H7_ARFGAP2</t>
  </si>
  <si>
    <t>Q8N6N3-2_C1orf52</t>
  </si>
  <si>
    <t>Q8N8N7_PTGR2</t>
  </si>
  <si>
    <t>Q8N8R5_C2orf69</t>
  </si>
  <si>
    <t>Q8N8S7_ENAH</t>
  </si>
  <si>
    <t>Q8N8V2_GBP7</t>
  </si>
  <si>
    <t>Q8N954_GPATCH11</t>
  </si>
  <si>
    <t>Q8N9L9_ACOT4</t>
  </si>
  <si>
    <t>Q8N9N7_LRRC57</t>
  </si>
  <si>
    <t>Q8N9V3-2_WDSUB1</t>
  </si>
  <si>
    <t>Q8NB15-2_ZNF511</t>
  </si>
  <si>
    <t>Q8NB37_PDDC1</t>
  </si>
  <si>
    <t>Q8NBF2_NHLRC2</t>
  </si>
  <si>
    <t>Q8NBJ4-2_GOLM1</t>
  </si>
  <si>
    <t>Q8NBJ7_SUMF2</t>
  </si>
  <si>
    <t>Q8NBK3-4_SUMF1</t>
  </si>
  <si>
    <t>Q8NBL1_POGLUT1</t>
  </si>
  <si>
    <t>Q8NBN7-2_RDH13</t>
  </si>
  <si>
    <t>Q8NBX0_SCCPDH</t>
  </si>
  <si>
    <t>Q8NC06_ACBD4</t>
  </si>
  <si>
    <t>Q8NC51-4_SERBP1</t>
  </si>
  <si>
    <t>Q8NC96_NECAP1</t>
  </si>
  <si>
    <t>Q8NCA5-2_FAM98A</t>
  </si>
  <si>
    <t>Q8NCC3_PLA2G15</t>
  </si>
  <si>
    <t>Q8NCE2-3_MTMR14</t>
  </si>
  <si>
    <t>Q8NCN4_RNF169</t>
  </si>
  <si>
    <t>Q8NCN5_PDPR</t>
  </si>
  <si>
    <t>Q8NCW5_APOA1BP</t>
  </si>
  <si>
    <t>Q8ND23-2_LRRC16B</t>
  </si>
  <si>
    <t>Q8ND24_RNF214</t>
  </si>
  <si>
    <t>Q8ND30_PPFIBP2</t>
  </si>
  <si>
    <t>Q8ND76-3_CCNY</t>
  </si>
  <si>
    <t>Q8NDH3_NPEPL1</t>
  </si>
  <si>
    <t>Q8NDI1-3_EHBP1</t>
  </si>
  <si>
    <t>Q8NDX1-2_PSD4</t>
  </si>
  <si>
    <t>Q8NDX5-2_PHC3</t>
  </si>
  <si>
    <t>Q8NE62_CHDH</t>
  </si>
  <si>
    <t>Q8NE71_ABCF1</t>
  </si>
  <si>
    <t>Q8NEB9_PIK3C3</t>
  </si>
  <si>
    <t>Q8NEN9_PDZD8</t>
  </si>
  <si>
    <t>Q8NEU8_APPL2</t>
  </si>
  <si>
    <t>Q8NEY8-6_PPHLN1</t>
  </si>
  <si>
    <t>Q8NEZ2-2_VPS37A</t>
  </si>
  <si>
    <t>Q8NEZ5_FBXO22</t>
  </si>
  <si>
    <t>Q8NFC6_BOD1L1</t>
  </si>
  <si>
    <t>Q8NFF5-2_FLAD1</t>
  </si>
  <si>
    <t>Q8NFH3_NUP43</t>
  </si>
  <si>
    <t>Q8NFH4_NUP37</t>
  </si>
  <si>
    <t>Q8NFH8-4_REPS2</t>
  </si>
  <si>
    <t>Q8NFI3_ENGASE</t>
  </si>
  <si>
    <t>Q8NFQ8_TOR1AIP2</t>
  </si>
  <si>
    <t>Q8NFU3-4_TSTD1</t>
  </si>
  <si>
    <t>Q8NFU3_TSTD1</t>
  </si>
  <si>
    <t>Q8NFV4_ABHD11</t>
  </si>
  <si>
    <t>Q8NFW8_CMAS</t>
  </si>
  <si>
    <t>Q8NFW9-5_MYRIP</t>
  </si>
  <si>
    <t>Q8NHG8_ZNRF2</t>
  </si>
  <si>
    <t>Q8NHM4_TRY6</t>
  </si>
  <si>
    <t>Q8NI35_INADL</t>
  </si>
  <si>
    <t>Q8TAP9_MPLKIP</t>
  </si>
  <si>
    <t>Q8TAQ2-2_SMARCC2</t>
  </si>
  <si>
    <t>Q8TAT6_NPLOC4</t>
  </si>
  <si>
    <t>Q8TAV0-5_FAM76A</t>
  </si>
  <si>
    <t>Q8TB03_CXorf38</t>
  </si>
  <si>
    <t>Q8TB22_SPATA20</t>
  </si>
  <si>
    <t>Q8TB24_RIN3</t>
  </si>
  <si>
    <t>Q8TB37_NUBPL</t>
  </si>
  <si>
    <t>Q8TB45_DEPTOR</t>
  </si>
  <si>
    <t>Q8TBA6-2_GOLGA5</t>
  </si>
  <si>
    <t>Q8TBC4_UBA3</t>
  </si>
  <si>
    <t>Q8TBC5_ZSCAN18</t>
  </si>
  <si>
    <t>Q8TBF2-4_FAM213B</t>
  </si>
  <si>
    <t>Q8TBG4-3_AGXT2L1</t>
  </si>
  <si>
    <t>Q8TBX8_PIP4K2C</t>
  </si>
  <si>
    <t>Q8TC07-2_TBC1D15</t>
  </si>
  <si>
    <t>Q8TC12_RDH11</t>
  </si>
  <si>
    <t>Q8TCA0_LRRC20</t>
  </si>
  <si>
    <t>Q8TCD5_NT5C</t>
  </si>
  <si>
    <t>Q8TCE6-2_FAM45A</t>
  </si>
  <si>
    <t>Q8TCS8_PNPT1</t>
  </si>
  <si>
    <t>Q8TD16_BICD2</t>
  </si>
  <si>
    <t>Q8TD19_NEK9</t>
  </si>
  <si>
    <t>Q8TD30_GPT2</t>
  </si>
  <si>
    <t>Q8TDB6_DTX3L</t>
  </si>
  <si>
    <t>Q8TDD1-2_DDX54</t>
  </si>
  <si>
    <t>Q8TDH9-2_BLOC1S5</t>
  </si>
  <si>
    <t>Q8TDX5_ACMSD</t>
  </si>
  <si>
    <t>Q8TE04-2_PANK1</t>
  </si>
  <si>
    <t>Q8TE77_SSH3</t>
  </si>
  <si>
    <t>Q8TEA1_NSUN6</t>
  </si>
  <si>
    <t>Q8TEA7-3_TBCK</t>
  </si>
  <si>
    <t>Q8TEB1-2_DCAF11</t>
  </si>
  <si>
    <t>Q8TEH3_DENND1A</t>
  </si>
  <si>
    <t>Q8TEQ6_GEMIN5</t>
  </si>
  <si>
    <t>Q8TER0-5_SNED1</t>
  </si>
  <si>
    <t>Q8TER5_ARHGEF40</t>
  </si>
  <si>
    <t>Q8TEW0-5_PARD3</t>
  </si>
  <si>
    <t>Q8TEW8-5_PARD3B</t>
  </si>
  <si>
    <t>Q8TEX9_IPO4</t>
  </si>
  <si>
    <t>Q8TF05-2_PPP4R1</t>
  </si>
  <si>
    <t>Q8TF46-2_DIS3L</t>
  </si>
  <si>
    <t>Q8TF65_GIPC2</t>
  </si>
  <si>
    <t>Q8TF72_SHROOM3</t>
  </si>
  <si>
    <t>Q8TF74_WIPF2</t>
  </si>
  <si>
    <t>Q8WTS6_SETD7</t>
  </si>
  <si>
    <t>Q8WU76-2_SCFD2</t>
  </si>
  <si>
    <t>Q8WU79-2_SMAP2</t>
  </si>
  <si>
    <t>Q8WU90_ZC3H15</t>
  </si>
  <si>
    <t>Q8WUA2_PPIL4</t>
  </si>
  <si>
    <t>Q8WUA7-3_TBC1D22A</t>
  </si>
  <si>
    <t>Q8WUD4_CCDC12</t>
  </si>
  <si>
    <t>Q8WUF5_PPP1R13L</t>
  </si>
  <si>
    <t>Q8WUM4_PDCD6IP</t>
  </si>
  <si>
    <t>Q8WUN7_UBTD2</t>
  </si>
  <si>
    <t>Q8WUR7_C15orf40</t>
  </si>
  <si>
    <t>Q8WUW1_BRK1</t>
  </si>
  <si>
    <t>Q8WV28_BLNK</t>
  </si>
  <si>
    <t>Q8WV74_NUDT8</t>
  </si>
  <si>
    <t>Q8WVC0_LEO1</t>
  </si>
  <si>
    <t>Q8WVJ2_NUDCD2</t>
  </si>
  <si>
    <t>Q8WVM8_SCFD1</t>
  </si>
  <si>
    <t>Q8WVP5_TNFAIP8L1</t>
  </si>
  <si>
    <t>Q8WVT3_TRAPPC12</t>
  </si>
  <si>
    <t>Q8WVY7_UBLCP1</t>
  </si>
  <si>
    <t>Q8WW12_PCNP</t>
  </si>
  <si>
    <t>Q8WW59_SPRYD4</t>
  </si>
  <si>
    <t>Q8WWM7_ATXN2L</t>
  </si>
  <si>
    <t>Q8WWV3_RTN4IP1</t>
  </si>
  <si>
    <t>Q8WWY3_PRPF31</t>
  </si>
  <si>
    <t>Q8WX92_NELFB</t>
  </si>
  <si>
    <t>Q8WXA2-2_PATE1</t>
  </si>
  <si>
    <t>Q8WXA3-2_RUFY2</t>
  </si>
  <si>
    <t>Q8WXA9-2_SREK1</t>
  </si>
  <si>
    <t>Q8WXE0_CASKIN2</t>
  </si>
  <si>
    <t>Q8WXE1-2_ATRIP</t>
  </si>
  <si>
    <t>Q8WXF1_PSPC1</t>
  </si>
  <si>
    <t>Q8WXH0_SYNE2</t>
  </si>
  <si>
    <t>Q8WXI4-2_ACOT11</t>
  </si>
  <si>
    <t>Q8WXI9_GATAD2B</t>
  </si>
  <si>
    <t>Q8WY91-2_THAP4</t>
  </si>
  <si>
    <t>Q8WYK0_ACOT12</t>
  </si>
  <si>
    <t>Q8WYN0-3_ATG4A</t>
  </si>
  <si>
    <t>Q8WYP5_AHCTF1</t>
  </si>
  <si>
    <t>Q8WYQ3_CHCHD10</t>
  </si>
  <si>
    <t>Q8WZ42-3_TTN</t>
  </si>
  <si>
    <t>Q8WZ82_OVCA2</t>
  </si>
  <si>
    <t>Q8WZA0_LZIC</t>
  </si>
  <si>
    <t>Q8WZA9_IRGQ</t>
  </si>
  <si>
    <t>Q92466_DDB2</t>
  </si>
  <si>
    <t>Q92499_DDX1</t>
  </si>
  <si>
    <t>Q92506_HSD17B8</t>
  </si>
  <si>
    <t>Q92520_FAM3C</t>
  </si>
  <si>
    <t>Q92522_H1FX</t>
  </si>
  <si>
    <t>Q92538_GBF1</t>
  </si>
  <si>
    <t>Q92541_RTF1</t>
  </si>
  <si>
    <t>Q92546_RGP1</t>
  </si>
  <si>
    <t>Q92552_MRPS27</t>
  </si>
  <si>
    <t>Q92556_ELMO1</t>
  </si>
  <si>
    <t>Q92572_AP3S1</t>
  </si>
  <si>
    <t>Q92575_UBXN4</t>
  </si>
  <si>
    <t>Q92576-2_PHF3</t>
  </si>
  <si>
    <t>Q92597_NDRG1</t>
  </si>
  <si>
    <t>Q92598-2_HSPH1</t>
  </si>
  <si>
    <t>Q92599-2_SEPT8</t>
  </si>
  <si>
    <t>Q92600_RQCD1</t>
  </si>
  <si>
    <t>Q92609_TBC1D5</t>
  </si>
  <si>
    <t>Q92614-4_MYO18A</t>
  </si>
  <si>
    <t>Q92616_GCN1L1</t>
  </si>
  <si>
    <t>Q92620_DHX38</t>
  </si>
  <si>
    <t>Q92621_NUP205</t>
  </si>
  <si>
    <t>Q92665_MRPS31</t>
  </si>
  <si>
    <t>Q92667_AKAP1</t>
  </si>
  <si>
    <t>Q92688-2_ANP32B</t>
  </si>
  <si>
    <t>Q92696_RABGGTA</t>
  </si>
  <si>
    <t>Q92734-2_TFG</t>
  </si>
  <si>
    <t>Q92738_USP6NL</t>
  </si>
  <si>
    <t>Q92747_ARPC1A</t>
  </si>
  <si>
    <t>Q92748_THRSP</t>
  </si>
  <si>
    <t>Q92766_RREB1</t>
  </si>
  <si>
    <t>Q92783-2_STAM</t>
  </si>
  <si>
    <t>Q92785_DPF2</t>
  </si>
  <si>
    <t>Q92786_PROX1</t>
  </si>
  <si>
    <t>Q92793-2_CREBBP</t>
  </si>
  <si>
    <t>Q92797_SYMPK</t>
  </si>
  <si>
    <t>Q92805_GOLGA1</t>
  </si>
  <si>
    <t>Q92817_EVPL</t>
  </si>
  <si>
    <t>Q92820_GGH</t>
  </si>
  <si>
    <t>Q92841_DDX17</t>
  </si>
  <si>
    <t>Q92878_RAD50</t>
  </si>
  <si>
    <t>Q92879-5_CELF1</t>
  </si>
  <si>
    <t>Q92882_OSTF1</t>
  </si>
  <si>
    <t>Q92888-2_ARHGEF1</t>
  </si>
  <si>
    <t>Q92890_UFD1L</t>
  </si>
  <si>
    <t>Q92896_GLG1</t>
  </si>
  <si>
    <t>Q92900-2_UPF1</t>
  </si>
  <si>
    <t>Q92905_COPS5</t>
  </si>
  <si>
    <t>Q92917_GPKOW</t>
  </si>
  <si>
    <t>Q92934_BAD</t>
  </si>
  <si>
    <t>Q92945_KHSRP</t>
  </si>
  <si>
    <t>Q92947_GCDH</t>
  </si>
  <si>
    <t>Q92954-3_PRG4</t>
  </si>
  <si>
    <t>Q92973-2_TNPO1</t>
  </si>
  <si>
    <t>Q92979_EMG1</t>
  </si>
  <si>
    <t>Q92989-2_CLP1</t>
  </si>
  <si>
    <t>Q92990_GLMN</t>
  </si>
  <si>
    <t>Q93008_USP9X</t>
  </si>
  <si>
    <t>Q93015_NAT6</t>
  </si>
  <si>
    <t>Q93034_CUL5</t>
  </si>
  <si>
    <t>Q93052_LPP</t>
  </si>
  <si>
    <t>Q93062-4_RBPMS</t>
  </si>
  <si>
    <t>Q93073-2_SECISBP2L</t>
  </si>
  <si>
    <t>Q93077_HIST1H2AC</t>
  </si>
  <si>
    <t>Q93088_BHMT</t>
  </si>
  <si>
    <t>Q93096_PTP4A1</t>
  </si>
  <si>
    <t>Q93099_HGD</t>
  </si>
  <si>
    <t>Q93100-4_PHKB</t>
  </si>
  <si>
    <t>Q969E8_TSR2</t>
  </si>
  <si>
    <t>Q969G6_RFK</t>
  </si>
  <si>
    <t>Q969H8_C19orf10</t>
  </si>
  <si>
    <t>Q969I3_GLYATL1</t>
  </si>
  <si>
    <t>Q969M3_YIPF5</t>
  </si>
  <si>
    <t>Q969Q0_RPL36AL</t>
  </si>
  <si>
    <t>Q969S3_ZNF622</t>
  </si>
  <si>
    <t>Q969S9-2_GFM2</t>
  </si>
  <si>
    <t>Q969T7-2_NT5C3B</t>
  </si>
  <si>
    <t>Q969Y2-3_GTPBP3</t>
  </si>
  <si>
    <t>Q969Z0_TBRG4</t>
  </si>
  <si>
    <t>Q969Z3_MARC2</t>
  </si>
  <si>
    <t>Q96A49_SYAP1</t>
  </si>
  <si>
    <t>Q96A65_EXOC4</t>
  </si>
  <si>
    <t>Q96AB3_ISOC2</t>
  </si>
  <si>
    <t>Q96AB6_NTAN1</t>
  </si>
  <si>
    <t>Q96AC1_FERMT2</t>
  </si>
  <si>
    <t>Q96AE4-2_FUBP1</t>
  </si>
  <si>
    <t>Q96AE4_FUBP1</t>
  </si>
  <si>
    <t>Q96AG4_LRRC59</t>
  </si>
  <si>
    <t>Q96AT1_KIAA1143</t>
  </si>
  <si>
    <t>Q96AT9_RPE</t>
  </si>
  <si>
    <t>Q96B23-2_C18orf25</t>
  </si>
  <si>
    <t>Q96B26_EXOSC8</t>
  </si>
  <si>
    <t>Q96B36_AKT1S1</t>
  </si>
  <si>
    <t>Q96B45_C10orf32</t>
  </si>
  <si>
    <t>Q96B54_ZNF428</t>
  </si>
  <si>
    <t>Q96B70_LENG9</t>
  </si>
  <si>
    <t>Q96B97_SH3KBP1</t>
  </si>
  <si>
    <t>Q96BJ3_AIDA</t>
  </si>
  <si>
    <t>Q96BN8_FAM105B</t>
  </si>
  <si>
    <t>Q96BP3_PPWD1</t>
  </si>
  <si>
    <t>Q96BR5_SELRC1</t>
  </si>
  <si>
    <t>Q96BW5-2_PTER</t>
  </si>
  <si>
    <t>Q96BY7_ATG2B</t>
  </si>
  <si>
    <t>Q96BZ8_LENG1</t>
  </si>
  <si>
    <t>Q96C01_FAM136A</t>
  </si>
  <si>
    <t>Q96C11_FGGY</t>
  </si>
  <si>
    <t>Q96C19_EFHD2</t>
  </si>
  <si>
    <t>Q96C23_GALM</t>
  </si>
  <si>
    <t>Q96C24_SYTL4</t>
  </si>
  <si>
    <t>Q96C86_DCPS</t>
  </si>
  <si>
    <t>Q96CB8_INTS12</t>
  </si>
  <si>
    <t>Q96CD0_FBXL8</t>
  </si>
  <si>
    <t>Q96CF2_CHMP4C</t>
  </si>
  <si>
    <t>Q96CN7_ISOC1</t>
  </si>
  <si>
    <t>Q96CN9_GCC1</t>
  </si>
  <si>
    <t>Q96CP2_FLYWCH2</t>
  </si>
  <si>
    <t>Q96CS3_FAF2</t>
  </si>
  <si>
    <t>Q96CT7_CCDC124</t>
  </si>
  <si>
    <t>Q96CU9-3_FOXRED1</t>
  </si>
  <si>
    <t>Q96CV9_OPTN</t>
  </si>
  <si>
    <t>Q96CW1-2_AP2M1</t>
  </si>
  <si>
    <t>Q96CX2_KCTD12</t>
  </si>
  <si>
    <t>Q96D46_NMD3</t>
  </si>
  <si>
    <t>Q96D71-2_REPS1</t>
  </si>
  <si>
    <t>Q96DC8_ECHDC3</t>
  </si>
  <si>
    <t>Q96DE0_NUDT16</t>
  </si>
  <si>
    <t>Q96DG6_CMBL</t>
  </si>
  <si>
    <t>Q96DH6-2_MSI2</t>
  </si>
  <si>
    <t>Q96DI7_SNRNP40</t>
  </si>
  <si>
    <t>Q96DR7_ARHGEF26</t>
  </si>
  <si>
    <t>Q96DT5_DNAH11</t>
  </si>
  <si>
    <t>Q96DX5_ASB9</t>
  </si>
  <si>
    <t>Q96E09_FAM122A</t>
  </si>
  <si>
    <t>Q96E11-3_MRRF</t>
  </si>
  <si>
    <t>Q96E39_RBMXL1</t>
  </si>
  <si>
    <t>Q96EB1_ELP4</t>
  </si>
  <si>
    <t>Q96ED9-2_HOOK2</t>
  </si>
  <si>
    <t>Q96EE3_SEH1L</t>
  </si>
  <si>
    <t>Q96EI5_TCEAL4</t>
  </si>
  <si>
    <t>Q96EK6_GNPNAT1</t>
  </si>
  <si>
    <t>Q96EM0_L3HYPDH</t>
  </si>
  <si>
    <t>Q96EN8_MOCOS</t>
  </si>
  <si>
    <t>Q96EP5-2_DAZAP1</t>
  </si>
  <si>
    <t>Q96EV2_RBM33</t>
  </si>
  <si>
    <t>Q96EV8_DTNBP1</t>
  </si>
  <si>
    <t>Q96EY1-2_DNAJA3</t>
  </si>
  <si>
    <t>Q96EY4_TMA16</t>
  </si>
  <si>
    <t>Q96EY7_PTCD3</t>
  </si>
  <si>
    <t>Q96EY8_MMAB</t>
  </si>
  <si>
    <t>Q96F10_SAT2</t>
  </si>
  <si>
    <t>Q96F24-2_NRBF2</t>
  </si>
  <si>
    <t>Q96F63_CCDC97</t>
  </si>
  <si>
    <t>Q96FJ2_DYNLL2</t>
  </si>
  <si>
    <t>Q96FV2_SCRN2</t>
  </si>
  <si>
    <t>Q96FX7_TRMT61A</t>
  </si>
  <si>
    <t>Q96G03_PGM2</t>
  </si>
  <si>
    <t>Q96G46_DUS3L</t>
  </si>
  <si>
    <t>Q96GA7_SDSL</t>
  </si>
  <si>
    <t>Q96GD0_PDXP</t>
  </si>
  <si>
    <t>Q96GE6-2_CALML4</t>
  </si>
  <si>
    <t>Q96GF1_RNF185</t>
  </si>
  <si>
    <t>Q96GG9_DCUN1D1</t>
  </si>
  <si>
    <t>Q96GK7_FAHD2A</t>
  </si>
  <si>
    <t>Q96GS4_C17orf59</t>
  </si>
  <si>
    <t>Q96GW9_MARS2</t>
  </si>
  <si>
    <t>Q96GX9_APIP</t>
  </si>
  <si>
    <t>Q96H20_SNF8</t>
  </si>
  <si>
    <t>Q96HC4_PDLIM5</t>
  </si>
  <si>
    <t>Q96HD9_ACY3</t>
  </si>
  <si>
    <t>Q96HE7_ERO1L</t>
  </si>
  <si>
    <t>Q96HJ9-2_C7orf55</t>
  </si>
  <si>
    <t>Q96HJ9_C7orf55</t>
  </si>
  <si>
    <t>Q96HP4_OXNAD1</t>
  </si>
  <si>
    <t>Q96HQ2-2_CDKN2AIPNL</t>
  </si>
  <si>
    <t>Q96HR9_REEP6</t>
  </si>
  <si>
    <t>Q96HS1_PGAM5</t>
  </si>
  <si>
    <t>Q96HY6_DDRGK1</t>
  </si>
  <si>
    <t>Q96HY7_DHTKD1</t>
  </si>
  <si>
    <t>Q96I15_SCLY</t>
  </si>
  <si>
    <t>Q96I23_PYURF</t>
  </si>
  <si>
    <t>Q96I24_FUBP3</t>
  </si>
  <si>
    <t>Q96I25_RBM17</t>
  </si>
  <si>
    <t>Q96I51_WBSCR16</t>
  </si>
  <si>
    <t>Q96I59_NARS2</t>
  </si>
  <si>
    <t>Q96I99_SUCLG2</t>
  </si>
  <si>
    <t>Q96IF1_AJUBA</t>
  </si>
  <si>
    <t>Q96II8-3_LRCH3</t>
  </si>
  <si>
    <t>Q96IJ6_GMPPA</t>
  </si>
  <si>
    <t>Q96IQ9-2_ZNF414</t>
  </si>
  <si>
    <t>Q96IU4_ABHD14B</t>
  </si>
  <si>
    <t>Q96IV0-2_NGLY1</t>
  </si>
  <si>
    <t>Q96IY4_CPB2</t>
  </si>
  <si>
    <t>Q96IZ0_PAWR</t>
  </si>
  <si>
    <t>Q96J02-2_ITCH</t>
  </si>
  <si>
    <t>Q96JB2_COG3</t>
  </si>
  <si>
    <t>Q96JB5_CDK5RAP3</t>
  </si>
  <si>
    <t>Q96JE7_SEC16B</t>
  </si>
  <si>
    <t>Q96JG6-3_CCDC132</t>
  </si>
  <si>
    <t>Q96JH7_VCPIP1</t>
  </si>
  <si>
    <t>Q96JM3_CHAMP1</t>
  </si>
  <si>
    <t>Q96JP2_MYO15B</t>
  </si>
  <si>
    <t>Q96JP5-2_ZFP91</t>
  </si>
  <si>
    <t>Q96JQ2_CLMN</t>
  </si>
  <si>
    <t>Q96JY6_PDLIM2</t>
  </si>
  <si>
    <t>Q96K17-2_BTF3L4</t>
  </si>
  <si>
    <t>Q96KC8_DNAJC1</t>
  </si>
  <si>
    <t>Q96KG9-3_SCYL1</t>
  </si>
  <si>
    <t>Q96KM6_ZNF512B</t>
  </si>
  <si>
    <t>Q96KP1_EXOC2</t>
  </si>
  <si>
    <t>Q96KP4_CNDP2</t>
  </si>
  <si>
    <t>Q96KR1_ZFR</t>
  </si>
  <si>
    <t>Q96L91-3_EP400</t>
  </si>
  <si>
    <t>Q96L92-3_SNX27</t>
  </si>
  <si>
    <t>Q96LD4_TRIM47</t>
  </si>
  <si>
    <t>Q96LD8_SENP8</t>
  </si>
  <si>
    <t>Q96LJ7_DHRS1</t>
  </si>
  <si>
    <t>Q96M27_PRRC1</t>
  </si>
  <si>
    <t>Q96ME1-4_FBXL18</t>
  </si>
  <si>
    <t>Q96MG8_PCMTD1</t>
  </si>
  <si>
    <t>Q96MH2_HEXIM2</t>
  </si>
  <si>
    <t>Q96MU7-2_YTHDC1</t>
  </si>
  <si>
    <t>Q96MW1_CCDC43</t>
  </si>
  <si>
    <t>Q96MX6_WDR92</t>
  </si>
  <si>
    <t>Q96N67-4_DOCK7</t>
  </si>
  <si>
    <t>Q96N76_UROC1</t>
  </si>
  <si>
    <t>Q96NA2_RILP</t>
  </si>
  <si>
    <t>Q96NB3_ZNF830</t>
  </si>
  <si>
    <t>Q96NC0_ZMAT2</t>
  </si>
  <si>
    <t>Q96NL8_C8orf37</t>
  </si>
  <si>
    <t>Q96NT1_NAP1L5</t>
  </si>
  <si>
    <t>Q96NU7_AMDHD1</t>
  </si>
  <si>
    <t>Q96NZ9_PRAP1</t>
  </si>
  <si>
    <t>Q96P16-3_RPRD1A</t>
  </si>
  <si>
    <t>Q96P47_AGAP3</t>
  </si>
  <si>
    <t>Q96P48-7_ARAP1</t>
  </si>
  <si>
    <t>Q96P70_IPO9</t>
  </si>
  <si>
    <t>Q96PD5_PGLYRP2</t>
  </si>
  <si>
    <t>Q96PE7_MCEE</t>
  </si>
  <si>
    <t>Q96PK6_RBM14</t>
  </si>
  <si>
    <t>Q96PM5-3_RCHY1</t>
  </si>
  <si>
    <t>Q96PU8-5_QKI</t>
  </si>
  <si>
    <t>Q96PU8-9_QKI</t>
  </si>
  <si>
    <t>Q96PV6_LENG8</t>
  </si>
  <si>
    <t>Q96PZ0_PUS7</t>
  </si>
  <si>
    <t>Q96Q05-3_TRAPPC9</t>
  </si>
  <si>
    <t>Q96Q06-2_PLIN4</t>
  </si>
  <si>
    <t>Q96Q11-2_TRNT1</t>
  </si>
  <si>
    <t>Q96Q42_ALS2</t>
  </si>
  <si>
    <t>Q96Q83_ALKBH3</t>
  </si>
  <si>
    <t>Q96Q89-4_KIF20B</t>
  </si>
  <si>
    <t>Q96QC0_PPP1R10</t>
  </si>
  <si>
    <t>Q96QK1_VPS35</t>
  </si>
  <si>
    <t>Q96QR8_PURB</t>
  </si>
  <si>
    <t>Q96QZ7-3_MAGI1</t>
  </si>
  <si>
    <t>Q96R06_SPAG5</t>
  </si>
  <si>
    <t>Q96RE7_NACC1</t>
  </si>
  <si>
    <t>Q96RF0-2_SNX18</t>
  </si>
  <si>
    <t>Q96RL7-4_VPS13A</t>
  </si>
  <si>
    <t>Q96RN5-3_MED15</t>
  </si>
  <si>
    <t>Q96RP9_GFM1</t>
  </si>
  <si>
    <t>Q96RQ3_MCCC1</t>
  </si>
  <si>
    <t>Q96RS6-3_NUDCD1</t>
  </si>
  <si>
    <t>Q96RT1-9_ERBB2IP</t>
  </si>
  <si>
    <t>Q96RU2-2_USP28</t>
  </si>
  <si>
    <t>Q96RU3-4_FNBP1</t>
  </si>
  <si>
    <t>Q96RW7-2_HMCN1</t>
  </si>
  <si>
    <t>Q96S19_C16orf13</t>
  </si>
  <si>
    <t>Q96S44_TP53RK</t>
  </si>
  <si>
    <t>Q96S55-2_WRNIP1</t>
  </si>
  <si>
    <t>Q96S59-2_RANBP9</t>
  </si>
  <si>
    <t>Q96S66-4_CLCC1</t>
  </si>
  <si>
    <t>Q96SB3_PPP1R9B</t>
  </si>
  <si>
    <t>Q96ST2_IWS1</t>
  </si>
  <si>
    <t>Q96ST3_SIN3A</t>
  </si>
  <si>
    <t>Q96SU4-7_OSBPL9</t>
  </si>
  <si>
    <t>Q96SZ5_ADO</t>
  </si>
  <si>
    <t>Q96T37-2_RBM15</t>
  </si>
  <si>
    <t>Q96T51_RUFY1</t>
  </si>
  <si>
    <t>Q96T58_SPEN</t>
  </si>
  <si>
    <t>Q96T76_MMS19</t>
  </si>
  <si>
    <t>Q99417_MYCBP</t>
  </si>
  <si>
    <t>Q99424_ACOX2</t>
  </si>
  <si>
    <t>Q99426_TBCB</t>
  </si>
  <si>
    <t>Q99436_PSMB7</t>
  </si>
  <si>
    <t>Q99447-3_PCYT2</t>
  </si>
  <si>
    <t>Q99459_CDC5L</t>
  </si>
  <si>
    <t>Q99460_PSMD1</t>
  </si>
  <si>
    <t>Q99470_SDF2</t>
  </si>
  <si>
    <t>Q99471_PFDN5</t>
  </si>
  <si>
    <t>Q99487_PAFAH2</t>
  </si>
  <si>
    <t>Q99489_DDO</t>
  </si>
  <si>
    <t>Q99497_PARK7</t>
  </si>
  <si>
    <t>Q99519_NEU1</t>
  </si>
  <si>
    <t>Q99536_VAT1</t>
  </si>
  <si>
    <t>Q99538_LGMN</t>
  </si>
  <si>
    <t>Q99543_DNAJC2</t>
  </si>
  <si>
    <t>Q99549_MPHOSPH8</t>
  </si>
  <si>
    <t>Q99567_NUP88</t>
  </si>
  <si>
    <t>Q99569-2_PKP4</t>
  </si>
  <si>
    <t>Q99570_PIK3R4</t>
  </si>
  <si>
    <t>Q99575_POP1</t>
  </si>
  <si>
    <t>Q99584_S100A13</t>
  </si>
  <si>
    <t>Q99590-2_SCAF11</t>
  </si>
  <si>
    <t>Q99598_TSNAX</t>
  </si>
  <si>
    <t>Q99611_SEPHS2</t>
  </si>
  <si>
    <t>Q99614_TTC1</t>
  </si>
  <si>
    <t>Q99615_DNAJC7</t>
  </si>
  <si>
    <t>Q99622_C12orf57</t>
  </si>
  <si>
    <t>Q99624_SLC38A3</t>
  </si>
  <si>
    <t>Q99627-2_COPS8</t>
  </si>
  <si>
    <t>Q99685_MGLL</t>
  </si>
  <si>
    <t>Q99700-4_ATXN2</t>
  </si>
  <si>
    <t>Q99707_MTR</t>
  </si>
  <si>
    <t>Q99714_HSD17B10</t>
  </si>
  <si>
    <t>Q99733_NAP1L4</t>
  </si>
  <si>
    <t>Q99735-2_MGST2</t>
  </si>
  <si>
    <t>Q99747_NAPG</t>
  </si>
  <si>
    <t>Q99757_TXN2</t>
  </si>
  <si>
    <t>Q99766_ATP5S</t>
  </si>
  <si>
    <t>Q99797_MIPEP</t>
  </si>
  <si>
    <t>Q99798_ACO2</t>
  </si>
  <si>
    <t>Q99807-2_COQ7</t>
  </si>
  <si>
    <t>Q99832_CCT7</t>
  </si>
  <si>
    <t>Q99836_MYD88</t>
  </si>
  <si>
    <t>Q99878_HIST1H2AJ</t>
  </si>
  <si>
    <t>Q99952_PTPN18</t>
  </si>
  <si>
    <t>Q99959-2_PKP2</t>
  </si>
  <si>
    <t>Q99961_SH3GL1</t>
  </si>
  <si>
    <t>Q99996-5_AKAP9</t>
  </si>
  <si>
    <t>Q9BPW8_NIPSNAP1</t>
  </si>
  <si>
    <t>Q9BPX5_ARPC5L</t>
  </si>
  <si>
    <t>Q9BPZ3_PAIP2</t>
  </si>
  <si>
    <t>Q9BQ24_ZFYVE21</t>
  </si>
  <si>
    <t>Q9BQ52_ELAC2</t>
  </si>
  <si>
    <t>Q9BQ61_C19orf43</t>
  </si>
  <si>
    <t>Q9BQ67_GRWD1</t>
  </si>
  <si>
    <t>Q9BQ69_MACROD1</t>
  </si>
  <si>
    <t>Q9BQA1_WDR77</t>
  </si>
  <si>
    <t>Q9BQB6-3_VKORC1</t>
  </si>
  <si>
    <t>Q9BQE3_TUBA1C</t>
  </si>
  <si>
    <t>Q9BQE5_APOL2</t>
  </si>
  <si>
    <t>Q9BQG0_MYBBP1A</t>
  </si>
  <si>
    <t>Q9BQG2_NUDT12</t>
  </si>
  <si>
    <t>Q9BQK8-2_LPIN3</t>
  </si>
  <si>
    <t>Q9BQP7_MGME1</t>
  </si>
  <si>
    <t>Q9BQS8_FYCO1</t>
  </si>
  <si>
    <t>Q9BR61_ACBD6</t>
  </si>
  <si>
    <t>Q9BR76_CORO1B</t>
  </si>
  <si>
    <t>Q9BRA2_TXNDC17</t>
  </si>
  <si>
    <t>Q9BRF8_CPPED1</t>
  </si>
  <si>
    <t>Q9BRG1_VPS25</t>
  </si>
  <si>
    <t>Q9BRK5_SDF4</t>
  </si>
  <si>
    <t>Q9BRP4_PAAF1</t>
  </si>
  <si>
    <t>Q9BRP8-2_WIBG</t>
  </si>
  <si>
    <t>Q9BRT3_MIEN1</t>
  </si>
  <si>
    <t>Q9BRX2_PELO</t>
  </si>
  <si>
    <t>Q9BRZ2_TRIM56</t>
  </si>
  <si>
    <t>Q9BS26_ERP44</t>
  </si>
  <si>
    <t>Q9BSE5_AGMAT</t>
  </si>
  <si>
    <t>Q9BSH4_TACO1</t>
  </si>
  <si>
    <t>Q9BSH5_HDHD3</t>
  </si>
  <si>
    <t>Q9BSJ5-3_C17orf80</t>
  </si>
  <si>
    <t>Q9BSJ8_ESYT1</t>
  </si>
  <si>
    <t>Q9BSL1_UBAC1</t>
  </si>
  <si>
    <t>Q9BST9_RTKN</t>
  </si>
  <si>
    <t>Q9BSU1_C16orf70</t>
  </si>
  <si>
    <t>Q9BSY4_CHCHD5</t>
  </si>
  <si>
    <t>Q9BT09_CNPY3</t>
  </si>
  <si>
    <t>Q9BT30_ALKBH7</t>
  </si>
  <si>
    <t>Q9BT73_PSMG3</t>
  </si>
  <si>
    <t>Q9BT78_COPS4</t>
  </si>
  <si>
    <t>Q9BTA9-2_WAC</t>
  </si>
  <si>
    <t>Q9BTC0_DIDO1</t>
  </si>
  <si>
    <t>Q9BTE1-2_DCTN5</t>
  </si>
  <si>
    <t>Q9BTE3-2_MCMBP</t>
  </si>
  <si>
    <t>Q9BTE6_AARSD1</t>
  </si>
  <si>
    <t>Q9BTL3_FAM103A1</t>
  </si>
  <si>
    <t>Q9BTT0_ANP32E</t>
  </si>
  <si>
    <t>Q9BTW9_TBCD</t>
  </si>
  <si>
    <t>Q9BTX7_TTPAL</t>
  </si>
  <si>
    <t>Q9BTY2_FUCA2</t>
  </si>
  <si>
    <t>Q9BTY7_FAM203A</t>
  </si>
  <si>
    <t>Q9BTZ2_DHRS4</t>
  </si>
  <si>
    <t>Q9BU02_THTPA</t>
  </si>
  <si>
    <t>Q9BU89_DOHH</t>
  </si>
  <si>
    <t>Q9BUE6_ISCA1</t>
  </si>
  <si>
    <t>Q9BUH6_C9orf142</t>
  </si>
  <si>
    <t>Q9BUJ2-2_HNRNPUL1</t>
  </si>
  <si>
    <t>Q9BUK6-4_MSTO1</t>
  </si>
  <si>
    <t>Q9BUP0_EFHD1</t>
  </si>
  <si>
    <t>Q9BUP3_HTATIP2</t>
  </si>
  <si>
    <t>Q9BUQ8_DDX23</t>
  </si>
  <si>
    <t>Q9BUT1_BDH2</t>
  </si>
  <si>
    <t>Q9BUT9_FAM195A</t>
  </si>
  <si>
    <t>Q9BV19_C1orf50</t>
  </si>
  <si>
    <t>Q9BV20_MRI1</t>
  </si>
  <si>
    <t>Q9BV44_THUMPD3</t>
  </si>
  <si>
    <t>Q9BV57_ADI1</t>
  </si>
  <si>
    <t>Q9BV79_MECR</t>
  </si>
  <si>
    <t>Q9BV86_NTMT1</t>
  </si>
  <si>
    <t>Q9BVG4_PBDC1</t>
  </si>
  <si>
    <t>Q9BVJ7_DUSP23</t>
  </si>
  <si>
    <t>Q9BVL4_SELO</t>
  </si>
  <si>
    <t>Q9BVM4_GGACT</t>
  </si>
  <si>
    <t>Q9BVS5_TRMT61B</t>
  </si>
  <si>
    <t>Q9BW27_NUP85</t>
  </si>
  <si>
    <t>Q9BW61_DDA1</t>
  </si>
  <si>
    <t>Q9BW71_HIRIP3</t>
  </si>
  <si>
    <t>Q9BW83-2_IFT27</t>
  </si>
  <si>
    <t>Q9BW85_CCDC94</t>
  </si>
  <si>
    <t>Q9BW91-2_NUDT9</t>
  </si>
  <si>
    <t>Q9BW92_TARS2</t>
  </si>
  <si>
    <t>Q9BWD1_ACAT2</t>
  </si>
  <si>
    <t>Q9BWE0_REPIN1</t>
  </si>
  <si>
    <t>Q9BWJ5_SF3B5</t>
  </si>
  <si>
    <t>Q9BWS9-3_CHID1</t>
  </si>
  <si>
    <t>Q9BWU0_SLC4A1AP</t>
  </si>
  <si>
    <t>Q9BX66-5_SORBS1</t>
  </si>
  <si>
    <t>Q9BX66-9_SORBS1</t>
  </si>
  <si>
    <t>Q9BX68_HINT2</t>
  </si>
  <si>
    <t>Q9BX95_SGPP1</t>
  </si>
  <si>
    <t>Q9BXB4_OSBPL11</t>
  </si>
  <si>
    <t>Q9BXI6_TBC1D10A</t>
  </si>
  <si>
    <t>Q9BXJ9_NAA15</t>
  </si>
  <si>
    <t>Q9BXK5_BCL2L13</t>
  </si>
  <si>
    <t>Q9BXP5-5_SRRT</t>
  </si>
  <si>
    <t>Q9BXR0_QTRT1</t>
  </si>
  <si>
    <t>Q9BXS5_AP1M1</t>
  </si>
  <si>
    <t>Q9BXS6-7_NUSAP1</t>
  </si>
  <si>
    <t>Q9BXV9_C14orf142</t>
  </si>
  <si>
    <t>Q9BXW6_OSBPL1A</t>
  </si>
  <si>
    <t>Q9BXW7-2_CECR5</t>
  </si>
  <si>
    <t>Q9BY32_ITPA</t>
  </si>
  <si>
    <t>Q9BY42_RTFDC1</t>
  </si>
  <si>
    <t>Q9BY43_CHMP4A</t>
  </si>
  <si>
    <t>Q9BY49_PECR</t>
  </si>
  <si>
    <t>Q9BY67-2_CADM1</t>
  </si>
  <si>
    <t>Q9BY77_POLDIP3</t>
  </si>
  <si>
    <t>Q9BY89_KIAA1671</t>
  </si>
  <si>
    <t>Q9BYM8_RBCK1</t>
  </si>
  <si>
    <t>Q9BYN0_SRXN1</t>
  </si>
  <si>
    <t>Q9BYP7-3_WNK3</t>
  </si>
  <si>
    <t>Q9BYT8_NLN</t>
  </si>
  <si>
    <t>Q9BYV1_AGXT2</t>
  </si>
  <si>
    <t>Q9BYV7-4_BCO2</t>
  </si>
  <si>
    <t>Q9BYW2_SETD2</t>
  </si>
  <si>
    <t>Q9BYX4_IFIH1</t>
  </si>
  <si>
    <t>Q9BZ29-3_DOCK9</t>
  </si>
  <si>
    <t>Q9BZE2_PUS3</t>
  </si>
  <si>
    <t>Q9BZE9_ASPSCR1</t>
  </si>
  <si>
    <t>Q9BZF1-3_OSBPL8</t>
  </si>
  <si>
    <t>Q9BZH6_WDR11</t>
  </si>
  <si>
    <t>Q9BZI7-2_UPF3B</t>
  </si>
  <si>
    <t>Q9BZJ0-2_CRNKL1</t>
  </si>
  <si>
    <t>Q9BZK7_TBL1XR1</t>
  </si>
  <si>
    <t>Q9BZL1_UBL5</t>
  </si>
  <si>
    <t>Q9BZL4_PPP1R12C</t>
  </si>
  <si>
    <t>Q9BZM1_PLA2G12A</t>
  </si>
  <si>
    <t>Q9BZZ5-2_API5</t>
  </si>
  <si>
    <t>Q9C005_DPY30</t>
  </si>
  <si>
    <t>Q9C0B0_UNK</t>
  </si>
  <si>
    <t>Q9C0B1_FTO</t>
  </si>
  <si>
    <t>Q9C0B5-2_ZDHHC5</t>
  </si>
  <si>
    <t>Q9C0C2_TNKS1BP1</t>
  </si>
  <si>
    <t>Q9C0C9_UBE2O</t>
  </si>
  <si>
    <t>Q9C0H9-5_SRCIN1</t>
  </si>
  <si>
    <t>Q9C0I1_MTMR12</t>
  </si>
  <si>
    <t>Q9C0J8_WDR33</t>
  </si>
  <si>
    <t>Q9GZM5_YIPF3</t>
  </si>
  <si>
    <t>Q9GZM7-3_TINAGL1</t>
  </si>
  <si>
    <t>Q9GZN8_C20orf27</t>
  </si>
  <si>
    <t>Q9GZP4_PITHD1</t>
  </si>
  <si>
    <t>Q9GZQ3_COMMD5</t>
  </si>
  <si>
    <t>Q9GZT3-2_SLIRP</t>
  </si>
  <si>
    <t>Q9GZT8-2_NIF3L1</t>
  </si>
  <si>
    <t>Q9GZT9_EGLN1</t>
  </si>
  <si>
    <t>Q9GZU8_FAM192A</t>
  </si>
  <si>
    <t>Q9GZY8-2_MFF</t>
  </si>
  <si>
    <t>Q9GZZ9_UBA5</t>
  </si>
  <si>
    <t>Q9H008_LHPP</t>
  </si>
  <si>
    <t>Q9H074_PAIP1</t>
  </si>
  <si>
    <t>Q9H098_FAM107B</t>
  </si>
  <si>
    <t>Q9H0A8_COMMD4</t>
  </si>
  <si>
    <t>Q9H0C8_ILKAP</t>
  </si>
  <si>
    <t>Q9H0D6_XRN2</t>
  </si>
  <si>
    <t>Q9H0E2_TOLLIP</t>
  </si>
  <si>
    <t>Q9H0F6_SHARPIN</t>
  </si>
  <si>
    <t>Q9H0G5_NSRP1</t>
  </si>
  <si>
    <t>Q9H0K1_SIK2</t>
  </si>
  <si>
    <t>Q9H0L4_CSTF2T</t>
  </si>
  <si>
    <t>Q9H0P0-1_NT5C3A</t>
  </si>
  <si>
    <t>Q9H0R4_HDHD2</t>
  </si>
  <si>
    <t>Q9H0R6_QRSL1</t>
  </si>
  <si>
    <t>Q9H0U4_RAB1B</t>
  </si>
  <si>
    <t>Q9H0W9_C11orf54</t>
  </si>
  <si>
    <t>Q9H173_SIL1</t>
  </si>
  <si>
    <t>Q9H1B7_IRF2BPL</t>
  </si>
  <si>
    <t>Q9H1E3_NUCKS1</t>
  </si>
  <si>
    <t>Q9H1H9-3_KIF13A</t>
  </si>
  <si>
    <t>Q9H1J1_UPF3A</t>
  </si>
  <si>
    <t>Q9H1K0_ZFYVE20</t>
  </si>
  <si>
    <t>Q9H1K1_ISCU</t>
  </si>
  <si>
    <t>Q9H1P3-2_OSBPL2</t>
  </si>
  <si>
    <t>Q9H1Y0_ATG5</t>
  </si>
  <si>
    <t>Q9H1Z4_WDR13</t>
  </si>
  <si>
    <t>Q9H223_EHD4</t>
  </si>
  <si>
    <t>Q9H227_GBA3</t>
  </si>
  <si>
    <t>Q9H270_VPS11</t>
  </si>
  <si>
    <t>Q9H2A2_ALDH8A1</t>
  </si>
  <si>
    <t>Q9H2D6-3_TRIOBP</t>
  </si>
  <si>
    <t>Q9H2G2_SLK</t>
  </si>
  <si>
    <t>Q9H2H8_PPIL3</t>
  </si>
  <si>
    <t>Q9H2K8_TAOK3</t>
  </si>
  <si>
    <t>Q9H2M3_BHMT2</t>
  </si>
  <si>
    <t>Q9H2M9_RAB3GAP2</t>
  </si>
  <si>
    <t>Q9H2P0_ADNP</t>
  </si>
  <si>
    <t>Q9H2P9-3_DPH5</t>
  </si>
  <si>
    <t>Q9H2U1-3_DHX36</t>
  </si>
  <si>
    <t>Q9H2U2_PPA2</t>
  </si>
  <si>
    <t>Q9H2W6_MRPL46</t>
  </si>
  <si>
    <t>Q9H307_PNN</t>
  </si>
  <si>
    <t>Q9H329-2_EPB41L4B</t>
  </si>
  <si>
    <t>Q9H3G5_CPVL</t>
  </si>
  <si>
    <t>Q9H3H3_C11orf68</t>
  </si>
  <si>
    <t>Q9H3K6_BOLA2</t>
  </si>
  <si>
    <t>Q9H3N1_TMX1</t>
  </si>
  <si>
    <t>Q9H3P2_NELFA</t>
  </si>
  <si>
    <t>Q9H3P7_ACBD3</t>
  </si>
  <si>
    <t>Q9H3Q1_CDC42EP4</t>
  </si>
  <si>
    <t>Q9H3S7_PTPN23</t>
  </si>
  <si>
    <t>Q9H3U1-2_UNC45A</t>
  </si>
  <si>
    <t>Q9H444_CHMP4B</t>
  </si>
  <si>
    <t>Q9H477_RBKS</t>
  </si>
  <si>
    <t>Q9H479_FN3K</t>
  </si>
  <si>
    <t>Q9H488_POFUT1</t>
  </si>
  <si>
    <t>Q9H4A4_RNPEP</t>
  </si>
  <si>
    <t>Q9H4A6_GOLPH3</t>
  </si>
  <si>
    <t>Q9H4B0_OSGEPL1</t>
  </si>
  <si>
    <t>Q9H4I2_ZHX3</t>
  </si>
  <si>
    <t>Q9H4L7_SMARCAD1</t>
  </si>
  <si>
    <t>Q9H4M9_EHD1</t>
  </si>
  <si>
    <t>Q9H4Z3_PCIF1</t>
  </si>
  <si>
    <t>Q9H5N1_RABEP2</t>
  </si>
  <si>
    <t>Q9H5Q4_TFB2M</t>
  </si>
  <si>
    <t>Q9H5V9-2_CXorf56</t>
  </si>
  <si>
    <t>Q9H6E5_TUT1</t>
  </si>
  <si>
    <t>Q9H6Q4_NARFL</t>
  </si>
  <si>
    <t>Q9H6R3_ACSS3</t>
  </si>
  <si>
    <t>Q9H6S0_YTHDC2</t>
  </si>
  <si>
    <t>Q9H6S3_EPS8L2</t>
  </si>
  <si>
    <t>Q9H6T0-2_ESRP2</t>
  </si>
  <si>
    <t>Q9H6U6-2_BCAS3</t>
  </si>
  <si>
    <t>Q9H773_DCTPP1</t>
  </si>
  <si>
    <t>Q9H777_ELAC1</t>
  </si>
  <si>
    <t>Q9H788_SH2D4A</t>
  </si>
  <si>
    <t>Q9H7C9_AAMDC</t>
  </si>
  <si>
    <t>Q9H7D0_DOCK5</t>
  </si>
  <si>
    <t>Q9H7E2-3_TDRD3</t>
  </si>
  <si>
    <t>Q9H7N4_SCAF1</t>
  </si>
  <si>
    <t>Q9H7Z6_KAT8</t>
  </si>
  <si>
    <t>Q9H7Z7_PTGES2</t>
  </si>
  <si>
    <t>Q9H832_UBE2Z</t>
  </si>
  <si>
    <t>Q9H845_ACAD9</t>
  </si>
  <si>
    <t>Q9H8M7_FAM188A</t>
  </si>
  <si>
    <t>Q9H8S9_MOB1A</t>
  </si>
  <si>
    <t>Q9H8T0_AKTIP</t>
  </si>
  <si>
    <t>Q9H8W4_PLEKHF2</t>
  </si>
  <si>
    <t>Q9H8Y8_GORASP2</t>
  </si>
  <si>
    <t>Q9H939_PSTPIP2</t>
  </si>
  <si>
    <t>Q9H974_QTRTD1</t>
  </si>
  <si>
    <t>Q9H993_C6orf211</t>
  </si>
  <si>
    <t>Q9H9A5-2_CNOT10</t>
  </si>
  <si>
    <t>Q9H9A6_LRRC40</t>
  </si>
  <si>
    <t>Q9H9B1-3_EHMT1</t>
  </si>
  <si>
    <t>Q9H9B4_SFXN1</t>
  </si>
  <si>
    <t>Q9H9C1-2_VIPAS39</t>
  </si>
  <si>
    <t>Q9H9E3_COG4</t>
  </si>
  <si>
    <t>Q9H9G7_AGO3</t>
  </si>
  <si>
    <t>Q9H9J2_MRPL44</t>
  </si>
  <si>
    <t>Q9H9L3_ISG20L2</t>
  </si>
  <si>
    <t>Q9H9T3-2_ELP3</t>
  </si>
  <si>
    <t>Q9HA47-3_UCK1</t>
  </si>
  <si>
    <t>Q9HA64_FN3KRP</t>
  </si>
  <si>
    <t>Q9HA65_TBC1D17</t>
  </si>
  <si>
    <t>Q9HA77_CARS2</t>
  </si>
  <si>
    <t>Q9HAB8_PPCS</t>
  </si>
  <si>
    <t>Q9HAC7-4_C7orf10</t>
  </si>
  <si>
    <t>Q9HAJ7-2_SAP30L</t>
  </si>
  <si>
    <t>Q9HAN9_NMNAT1</t>
  </si>
  <si>
    <t>Q9HAT2-2_SIAE</t>
  </si>
  <si>
    <t>Q9HAU0_PLEKHA5</t>
  </si>
  <si>
    <t>Q9HAU5_UPF2</t>
  </si>
  <si>
    <t>Q9HAV4_XPO5</t>
  </si>
  <si>
    <t>Q9HAV7_GRPEL1</t>
  </si>
  <si>
    <t>Q9HB07_C12orf10</t>
  </si>
  <si>
    <t>Q9HB21_PLEKHA1</t>
  </si>
  <si>
    <t>Q9HB71_CACYBP</t>
  </si>
  <si>
    <t>Q9HB90_RRAGC</t>
  </si>
  <si>
    <t>Q9HBF4-2_ZFYVE1</t>
  </si>
  <si>
    <t>Q9HBH1_PDF</t>
  </si>
  <si>
    <t>Q9HBK9_AS3MT</t>
  </si>
  <si>
    <t>Q9HBL8_NMRAL1</t>
  </si>
  <si>
    <t>Q9HBY8-2_SGK2</t>
  </si>
  <si>
    <t>Q9HC35_EML4</t>
  </si>
  <si>
    <t>Q9HC38-2_GLOD4</t>
  </si>
  <si>
    <t>Q9HC52_CBX8</t>
  </si>
  <si>
    <t>Q9HCB6_SPON1</t>
  </si>
  <si>
    <t>Q9HCC0_MCCC2</t>
  </si>
  <si>
    <t>Q9HCC9-5_ZFYVE28</t>
  </si>
  <si>
    <t>Q9HCE1_MOV10</t>
  </si>
  <si>
    <t>Q9HCE5_METTL14</t>
  </si>
  <si>
    <t>Q9HCE6-3_ARHGEF10L</t>
  </si>
  <si>
    <t>Q9HCL3_ZFP14</t>
  </si>
  <si>
    <t>Q9HCM4-2_EPB41L5</t>
  </si>
  <si>
    <t>Q9HCN4-3_GPN1</t>
  </si>
  <si>
    <t>Q9HCN8_SDF2L1</t>
  </si>
  <si>
    <t>Q9HD15_SRA1</t>
  </si>
  <si>
    <t>Q9HD26-2_GOPC</t>
  </si>
  <si>
    <t>Q9HD34_LYRM4</t>
  </si>
  <si>
    <t>Q9HD40_SEPSECS</t>
  </si>
  <si>
    <t>Q9HD42_CHMP1A</t>
  </si>
  <si>
    <t>Q9HD47-4_RANGRF</t>
  </si>
  <si>
    <t>Q9HD89_RETN</t>
  </si>
  <si>
    <t>Q9HDC9-2_APMAP</t>
  </si>
  <si>
    <t>Q9NP61_ARFGAP3</t>
  </si>
  <si>
    <t>Q9NP71-4_MLXIPL</t>
  </si>
  <si>
    <t>Q9NP72_RAB18</t>
  </si>
  <si>
    <t>Q9NP73-2_ALG13</t>
  </si>
  <si>
    <t>Q9NP74_PALMD</t>
  </si>
  <si>
    <t>Q9NP77_SSU72</t>
  </si>
  <si>
    <t>Q9NP79_VTA1</t>
  </si>
  <si>
    <t>Q9NP97_DYNLRB1</t>
  </si>
  <si>
    <t>Q9NPA8-2_ENY2</t>
  </si>
  <si>
    <t>Q9NPD3_EXOSC4</t>
  </si>
  <si>
    <t>Q9NPE3_NOP10</t>
  </si>
  <si>
    <t>Q9NPF4_OSGEP</t>
  </si>
  <si>
    <t>Q9NPG3-2_UBN1</t>
  </si>
  <si>
    <t>Q9NPH0_ACP6</t>
  </si>
  <si>
    <t>Q9NPJ3_ACOT13</t>
  </si>
  <si>
    <t>Q9NPQ8-4_RIC8A</t>
  </si>
  <si>
    <t>Q9NQ88_TIGAR</t>
  </si>
  <si>
    <t>Q9NQ94-2_A1CF</t>
  </si>
  <si>
    <t>Q9NQG5_RPRD1B</t>
  </si>
  <si>
    <t>Q9NQH7-2_XPNPEP3</t>
  </si>
  <si>
    <t>Q9NQP4_PFDN4</t>
  </si>
  <si>
    <t>Q9NQR4_NIT2</t>
  </si>
  <si>
    <t>Q9NQS1_AVEN</t>
  </si>
  <si>
    <t>Q9NQT4_EXOSC5</t>
  </si>
  <si>
    <t>Q9NQT8_KIF13B</t>
  </si>
  <si>
    <t>Q9NQW7-3_XPNPEP1</t>
  </si>
  <si>
    <t>Q9NQX3_GPHN</t>
  </si>
  <si>
    <t>Q9NQZ2_UTP3</t>
  </si>
  <si>
    <t>Q9NR12-3_PDLIM7</t>
  </si>
  <si>
    <t>Q9NR19_ACSS2</t>
  </si>
  <si>
    <t>Q9NR28-2_DIABLO</t>
  </si>
  <si>
    <t>Q9NR30_DDX21</t>
  </si>
  <si>
    <t>Q9NR31_SAR1A</t>
  </si>
  <si>
    <t>Q9NR45_NANS</t>
  </si>
  <si>
    <t>Q9NR50-3_EIF2B3</t>
  </si>
  <si>
    <t>Q9NRF8_CTPS2</t>
  </si>
  <si>
    <t>Q9NRG7-2_SDR39U1</t>
  </si>
  <si>
    <t>Q9NRN7_AASDHPPT</t>
  </si>
  <si>
    <t>Q9NRP4_ACN9</t>
  </si>
  <si>
    <t>Q9NRR5_UBQLN4</t>
  </si>
  <si>
    <t>Q9NRS6-2_SNX15</t>
  </si>
  <si>
    <t>Q9NRV9_HEBP1</t>
  </si>
  <si>
    <t>Q9NRW7_VPS45</t>
  </si>
  <si>
    <t>Q9NRX4_PHPT1</t>
  </si>
  <si>
    <t>Q9NRY2_INIP</t>
  </si>
  <si>
    <t>Q9NRY4_ARHGAP35</t>
  </si>
  <si>
    <t>Q9NRY5_FAM114A2</t>
  </si>
  <si>
    <t>Q9NS86_LANCL2</t>
  </si>
  <si>
    <t>Q9NSA3_CTNNBIP1</t>
  </si>
  <si>
    <t>Q9NSB8-2_HOMER2</t>
  </si>
  <si>
    <t>Q9NSE4_IARS2</t>
  </si>
  <si>
    <t>Q9NSK0_KLC4</t>
  </si>
  <si>
    <t>Q9NSY0_NRBP2</t>
  </si>
  <si>
    <t>Q9NSY2_STARD5</t>
  </si>
  <si>
    <t>Q9NT62_ATG3</t>
  </si>
  <si>
    <t>Q9NTG7_SIRT3</t>
  </si>
  <si>
    <t>Q9NTI5-2_PDS5B</t>
  </si>
  <si>
    <t>Q9NTJ4-3_MAN2C1</t>
  </si>
  <si>
    <t>Q9NTK5_OLA1</t>
  </si>
  <si>
    <t>Q9NTM9_CUTC</t>
  </si>
  <si>
    <t>Q9NTN9_SEMA4G</t>
  </si>
  <si>
    <t>Q9NTX5-6_ECHDC1</t>
  </si>
  <si>
    <t>Q9NTZ6_RBM12</t>
  </si>
  <si>
    <t>Q9NU23_LYRM2</t>
  </si>
  <si>
    <t>Q9NUI1_DECR2</t>
  </si>
  <si>
    <t>Q9NUJ1_ABHD10</t>
  </si>
  <si>
    <t>Q9NUL5-4_C19orf66</t>
  </si>
  <si>
    <t>Q9NUP1_BLOC1S4</t>
  </si>
  <si>
    <t>Q9NUP9_LIN7C</t>
  </si>
  <si>
    <t>Q9NUQ3_TXLNG</t>
  </si>
  <si>
    <t>Q9NUQ6_SPATS2L</t>
  </si>
  <si>
    <t>Q9NUQ8-2_ABCF3</t>
  </si>
  <si>
    <t>Q9NUQ9_FAM49B</t>
  </si>
  <si>
    <t>Q9NUV9_GIMAP4</t>
  </si>
  <si>
    <t>Q9NUY8-2_TBC1D23</t>
  </si>
  <si>
    <t>Q9NV35_NUDT15</t>
  </si>
  <si>
    <t>Q9NV56_MRGBP</t>
  </si>
  <si>
    <t>Q9NV70-2_EXOC1</t>
  </si>
  <si>
    <t>Q9NVD7_PARVA</t>
  </si>
  <si>
    <t>Q9NVE7_PANK4</t>
  </si>
  <si>
    <t>Q9NVF9_ETNK2</t>
  </si>
  <si>
    <t>Q9NVG8_TBC1D13</t>
  </si>
  <si>
    <t>Q9NVH0-2_EXD2</t>
  </si>
  <si>
    <t>Q9NVH6_TMLHE</t>
  </si>
  <si>
    <t>Q9NVM4-3_PRMT7</t>
  </si>
  <si>
    <t>Q9NVM6_DNAJC17</t>
  </si>
  <si>
    <t>Q9NVS9_PNPO</t>
  </si>
  <si>
    <t>Q9NVT9_ARMC1</t>
  </si>
  <si>
    <t>Q9NVU7-2_SDAD1</t>
  </si>
  <si>
    <t>Q9NVX2_NLE1</t>
  </si>
  <si>
    <t>Q9NVZ3_NECAP2</t>
  </si>
  <si>
    <t>Q9NW13_RBM28</t>
  </si>
  <si>
    <t>Q9NW64_RBM22</t>
  </si>
  <si>
    <t>Q9NW68-4_BSDC1</t>
  </si>
  <si>
    <t>Q9NW82_WDR70</t>
  </si>
  <si>
    <t>Q9NWB6_ARGLU1</t>
  </si>
  <si>
    <t>Q9NWH9_SLTM</t>
  </si>
  <si>
    <t>Q9NWK9-2_ZNHIT6</t>
  </si>
  <si>
    <t>Q9NWT8_AURKAIP1</t>
  </si>
  <si>
    <t>Q9NWU1_OXSM</t>
  </si>
  <si>
    <t>Q9NWV4_C1orf123</t>
  </si>
  <si>
    <t>Q9NWX6_THG1L</t>
  </si>
  <si>
    <t>Q9NWY4_C4orf27</t>
  </si>
  <si>
    <t>Q9NWZ3_IRAK4</t>
  </si>
  <si>
    <t>Q9NX01_TXNL4B</t>
  </si>
  <si>
    <t>Q9NX07-2_TRNAU1AP</t>
  </si>
  <si>
    <t>Q9NX08_COMMD8</t>
  </si>
  <si>
    <t>Q9NX14_NDUFB11</t>
  </si>
  <si>
    <t>Q9NX38_FAM206A</t>
  </si>
  <si>
    <t>Q9NX46_ADPRHL2</t>
  </si>
  <si>
    <t>Q9NX55_HYPK</t>
  </si>
  <si>
    <t>Q9NX74_DUS2L</t>
  </si>
  <si>
    <t>Q9NXA8_SIRT5</t>
  </si>
  <si>
    <t>Q9NXD2_MTMR10</t>
  </si>
  <si>
    <t>Q9NXG2_THUMPD1</t>
  </si>
  <si>
    <t>Q9NXH9_TRMT1</t>
  </si>
  <si>
    <t>Q9NXR7-4_BRE</t>
  </si>
  <si>
    <t>Q9NXU5_ARL15</t>
  </si>
  <si>
    <t>Q9NXV6_CDKN2AIP</t>
  </si>
  <si>
    <t>Q9NXW2_DNAJB12</t>
  </si>
  <si>
    <t>Q9NXW9_ALKBH4</t>
  </si>
  <si>
    <t>Q9NY27_PPP4R2</t>
  </si>
  <si>
    <t>Q9NY33_DPP3</t>
  </si>
  <si>
    <t>Q9NYB0_TERF2IP</t>
  </si>
  <si>
    <t>Q9NYF8-2_BCLAF1</t>
  </si>
  <si>
    <t>Q9NYJ1_COA4</t>
  </si>
  <si>
    <t>Q9NYJ8_TAB2</t>
  </si>
  <si>
    <t>Q9NYL2_MLTK</t>
  </si>
  <si>
    <t>Q9NYL9_TMOD3</t>
  </si>
  <si>
    <t>Q9NYQ3_HAO2</t>
  </si>
  <si>
    <t>Q9NYU2-2_UGGT1</t>
  </si>
  <si>
    <t>Q9NYV4-2_CDK12</t>
  </si>
  <si>
    <t>Q9NYY8-2_FASTKD2</t>
  </si>
  <si>
    <t>Q9NZ08_ERAP1</t>
  </si>
  <si>
    <t>Q9NZ32_ACTR10</t>
  </si>
  <si>
    <t>Q9NZ63_C9orf78</t>
  </si>
  <si>
    <t>Q9NZB2_FAM120A</t>
  </si>
  <si>
    <t>Q9NZB8-2_MOCS1</t>
  </si>
  <si>
    <t>Q9NZD2_GLTP</t>
  </si>
  <si>
    <t>Q9NZD8-2_SPG21</t>
  </si>
  <si>
    <t>Q9NZJ4-2_SACS</t>
  </si>
  <si>
    <t>Q9NZJ6_COQ3</t>
  </si>
  <si>
    <t>Q9NZJ9_NUDT4</t>
  </si>
  <si>
    <t>Q9NZL4_HSPBP1</t>
  </si>
  <si>
    <t>Q9NZL9_MAT2B</t>
  </si>
  <si>
    <t>Q9NZM3-2_ITSN2</t>
  </si>
  <si>
    <t>Q9NZN5-2_ARHGEF12</t>
  </si>
  <si>
    <t>Q9NZN8-4_CNOT2</t>
  </si>
  <si>
    <t>Q9NZP8_C1RL</t>
  </si>
  <si>
    <t>Q9NZT2-2_OGFR</t>
  </si>
  <si>
    <t>Q9NZU5_LMCD1</t>
  </si>
  <si>
    <t>Q9NZZ3_CHMP5</t>
  </si>
  <si>
    <t>Q9P000_COMMD9</t>
  </si>
  <si>
    <t>Q9P013_CWC15</t>
  </si>
  <si>
    <t>Q9P016_THYN1</t>
  </si>
  <si>
    <t>Q9P032_NDUFAF4</t>
  </si>
  <si>
    <t>Q9P0J1_PDP1</t>
  </si>
  <si>
    <t>Q9P0K7-3_RAI14</t>
  </si>
  <si>
    <t>Q9P0L0_VAPA</t>
  </si>
  <si>
    <t>Q9P0M2_AKAP7</t>
  </si>
  <si>
    <t>Q9P0P8_C6orf203</t>
  </si>
  <si>
    <t>Q9P0R6_GSKIP</t>
  </si>
  <si>
    <t>Q9P0Z9_PIPOX</t>
  </si>
  <si>
    <t>Q9P1F3_ABRACL</t>
  </si>
  <si>
    <t>Q9P1Y5_CAMSAP3</t>
  </si>
  <si>
    <t>Q9P1Z2-2_CALCOCO1</t>
  </si>
  <si>
    <t>Q9P206-2_KIAA1522</t>
  </si>
  <si>
    <t>Q9P253_VPS18</t>
  </si>
  <si>
    <t>Q9P258_RCC2</t>
  </si>
  <si>
    <t>Q9P260-2_KIAA1468</t>
  </si>
  <si>
    <t>Q9P265_DIP2B</t>
  </si>
  <si>
    <t>Q9P266_KIAA1462</t>
  </si>
  <si>
    <t>Q9P270_SLAIN2</t>
  </si>
  <si>
    <t>Q9P287_BCCIP</t>
  </si>
  <si>
    <t>Q9P299_COPZ2</t>
  </si>
  <si>
    <t>Q9P2D0-2_IBTK</t>
  </si>
  <si>
    <t>Q9P2D3-3_HEATR5B</t>
  </si>
  <si>
    <t>Q9P2E9-2_RRBP1</t>
  </si>
  <si>
    <t>Q9P2E9_RRBP1</t>
  </si>
  <si>
    <t>Q9P2I0_CPSF2</t>
  </si>
  <si>
    <t>Q9P2K8-2_EIF2AK4</t>
  </si>
  <si>
    <t>Q9P2M7_CGN</t>
  </si>
  <si>
    <t>Q9P2N5_RBM27</t>
  </si>
  <si>
    <t>Q9P2R3_ANKFY1</t>
  </si>
  <si>
    <t>Q9P2R6-2_RERE</t>
  </si>
  <si>
    <t>Q9P2X3_IMPACT</t>
  </si>
  <si>
    <t>Q9UBB4_ATXN10</t>
  </si>
  <si>
    <t>Q9UBB5_MBD2</t>
  </si>
  <si>
    <t>Q9UBC2-3_EPS15L1</t>
  </si>
  <si>
    <t>Q9UBE0_SAE1</t>
  </si>
  <si>
    <t>Q9UBF2_COPG2</t>
  </si>
  <si>
    <t>Q9UBF6_RNF7</t>
  </si>
  <si>
    <t>Q9UBI1_COMMD3</t>
  </si>
  <si>
    <t>Q9UBI6_GNG12</t>
  </si>
  <si>
    <t>Q9UBK8-2_MTRR</t>
  </si>
  <si>
    <t>Q9UBM7_DHCR7</t>
  </si>
  <si>
    <t>Q9UBN7_HDAC6</t>
  </si>
  <si>
    <t>Q9UBP0-3_SPAST</t>
  </si>
  <si>
    <t>Q9UBP6_METTL1</t>
  </si>
  <si>
    <t>Q9UBQ0_VPS29</t>
  </si>
  <si>
    <t>Q9UBQ7_GRHPR</t>
  </si>
  <si>
    <t>Q9UBR1_UPB1</t>
  </si>
  <si>
    <t>Q9UBR2_CTSZ</t>
  </si>
  <si>
    <t>Q9UBS4_DNAJB11</t>
  </si>
  <si>
    <t>Q9UBS8_RNF14</t>
  </si>
  <si>
    <t>Q9UBT2_UBA2</t>
  </si>
  <si>
    <t>Q9UBV8_PEF1</t>
  </si>
  <si>
    <t>Q9UBW7-2_ZMYM2</t>
  </si>
  <si>
    <t>Q9UBW8_COPS7A</t>
  </si>
  <si>
    <t>Q9UBX1_CTSF</t>
  </si>
  <si>
    <t>Q9UDR5_AASS</t>
  </si>
  <si>
    <t>Q9UDX3_SEC14L4</t>
  </si>
  <si>
    <t>Q9UDY2_TJP2</t>
  </si>
  <si>
    <t>Q9UDY8-2_MALT1</t>
  </si>
  <si>
    <t>Q9UEU0_VTI1B</t>
  </si>
  <si>
    <t>Q9UEY8-2_ADD3</t>
  </si>
  <si>
    <t>Q9UFG5_C19orf25</t>
  </si>
  <si>
    <t>Q9UFN0_NIPSNAP3A</t>
  </si>
  <si>
    <t>Q9UFW8_CGGBP1</t>
  </si>
  <si>
    <t>Q9UGC7_MTRF1L</t>
  </si>
  <si>
    <t>Q9UGI8_TES</t>
  </si>
  <si>
    <t>Q9UGJ0-2_PRKAG2</t>
  </si>
  <si>
    <t>Q9UGK3_STAP2</t>
  </si>
  <si>
    <t>Q9UGP4_LIMD1</t>
  </si>
  <si>
    <t>Q9UH62_ARMCX3</t>
  </si>
  <si>
    <t>Q9UH65_SWAP70</t>
  </si>
  <si>
    <t>Q9UHA4_LAMTOR3</t>
  </si>
  <si>
    <t>Q9UHB6_LIMA1</t>
  </si>
  <si>
    <t>Q9UHB7-2_AFF4</t>
  </si>
  <si>
    <t>Q9UHB9_SRP68</t>
  </si>
  <si>
    <t>Q9UHD1_CHORDC1</t>
  </si>
  <si>
    <t>Q9UHD2_TBK1</t>
  </si>
  <si>
    <t>Q9UHD8_SEPT9</t>
  </si>
  <si>
    <t>Q9UHD9_UBQLN2</t>
  </si>
  <si>
    <t>Q9UHG3_PCYOX1</t>
  </si>
  <si>
    <t>Q9UHJ6_SHPK</t>
  </si>
  <si>
    <t>Q9UHL4_DPP7</t>
  </si>
  <si>
    <t>Q9UHR4_BAIAP2L1</t>
  </si>
  <si>
    <t>Q9UHV9_PFDN2</t>
  </si>
  <si>
    <t>Q9UHX1-4_PUF60</t>
  </si>
  <si>
    <t>Q9UHY7_ENOPH1</t>
  </si>
  <si>
    <t>Q9UI08_EVL</t>
  </si>
  <si>
    <t>Q9UI10-3_EIF2B4</t>
  </si>
  <si>
    <t>Q9UI10_EIF2B4</t>
  </si>
  <si>
    <t>Q9UI12-2_ATP6V1H</t>
  </si>
  <si>
    <t>Q9UI17_DMGDH</t>
  </si>
  <si>
    <t>Q9UI32_GLS2</t>
  </si>
  <si>
    <t>Q9UIA9_XPO7</t>
  </si>
  <si>
    <t>Q9UID3_VPS51</t>
  </si>
  <si>
    <t>Q9UII2_ATPIF1</t>
  </si>
  <si>
    <t>Q9UIJ7_AK3</t>
  </si>
  <si>
    <t>Q9UIL1-3_SCOC</t>
  </si>
  <si>
    <t>Q9UJ41-2_RABGEF1</t>
  </si>
  <si>
    <t>Q9UJ68-5_MSRA</t>
  </si>
  <si>
    <t>Q9UJ70_NAGK</t>
  </si>
  <si>
    <t>Q9UJA5_TRMT6</t>
  </si>
  <si>
    <t>Q9UJC5_SH3BGRL2</t>
  </si>
  <si>
    <t>Q9UJM3_ERRFI1</t>
  </si>
  <si>
    <t>Q9UJM8_HAO1</t>
  </si>
  <si>
    <t>Q9UJS0_SLC25A13</t>
  </si>
  <si>
    <t>Q9UJU6-2_DBNL</t>
  </si>
  <si>
    <t>Q9UJU6_DBNL</t>
  </si>
  <si>
    <t>Q9UJW0_DCTN4</t>
  </si>
  <si>
    <t>Q9UJY5-4_GGA1</t>
  </si>
  <si>
    <t>Q9UK22_FBXO2</t>
  </si>
  <si>
    <t>Q9UK45_LSM7</t>
  </si>
  <si>
    <t>Q9UK55_SERPINA10</t>
  </si>
  <si>
    <t>Q9UK59_DBR1</t>
  </si>
  <si>
    <t>Q9UK99_FBXO3</t>
  </si>
  <si>
    <t>Q9UKA4_AKAP11</t>
  </si>
  <si>
    <t>Q9UKB3_DNAJC12</t>
  </si>
  <si>
    <t>Q9UKE5-8_TNIK</t>
  </si>
  <si>
    <t>Q9UKF6_CPSF3</t>
  </si>
  <si>
    <t>Q9UKG1_APPL1</t>
  </si>
  <si>
    <t>Q9UKG9_CROT</t>
  </si>
  <si>
    <t>Q9UKI8-5_TLK1</t>
  </si>
  <si>
    <t>Q9UKJ3_GPATCH8</t>
  </si>
  <si>
    <t>Q9UKK9_NUDT5</t>
  </si>
  <si>
    <t>Q9UKL0_RCOR1</t>
  </si>
  <si>
    <t>Q9UKL6_PCTP</t>
  </si>
  <si>
    <t>Q9UKN8_GTF3C4</t>
  </si>
  <si>
    <t>Q9UKS6_PACSIN3</t>
  </si>
  <si>
    <t>Q9UKT5_FBXO4</t>
  </si>
  <si>
    <t>Q9UKU7_ACAD8</t>
  </si>
  <si>
    <t>Q9UKV8_AGO2</t>
  </si>
  <si>
    <t>Q9UKX7_NUP50</t>
  </si>
  <si>
    <t>Q9UKY7-2_CDV3</t>
  </si>
  <si>
    <t>Q9UL12_SARDH</t>
  </si>
  <si>
    <t>Q9UL25_RAB21</t>
  </si>
  <si>
    <t>Q9UL26_RAB22A</t>
  </si>
  <si>
    <t>Q9UL42_PNMA2</t>
  </si>
  <si>
    <t>Q9UL46_PSME2</t>
  </si>
  <si>
    <t>Q9ULA0_DNPEP</t>
  </si>
  <si>
    <t>Q9ULC4_MCTS1</t>
  </si>
  <si>
    <t>Q9ULC5_ACSL5</t>
  </si>
  <si>
    <t>Q9ULD0_OGDHL</t>
  </si>
  <si>
    <t>Q9ULD2-2_MTUS1</t>
  </si>
  <si>
    <t>Q9ULH7-4_MKL2</t>
  </si>
  <si>
    <t>Q9ULJ3-2_ZBTB21</t>
  </si>
  <si>
    <t>Q9ULJ6_ZMIZ1</t>
  </si>
  <si>
    <t>Q9ULP9-2_TBC1D24</t>
  </si>
  <si>
    <t>Q9ULT8_HECTD1</t>
  </si>
  <si>
    <t>Q9ULV4_CORO1C</t>
  </si>
  <si>
    <t>Q9ULZ3-2_PYCARD</t>
  </si>
  <si>
    <t>Q9UM22-2_EPDR1</t>
  </si>
  <si>
    <t>Q9UMS0-3_NFU1</t>
  </si>
  <si>
    <t>Q9UMS4_PRPF19</t>
  </si>
  <si>
    <t>Q9UMX0-2_UBQLN1</t>
  </si>
  <si>
    <t>Q9UMX5_NENF</t>
  </si>
  <si>
    <t>Q9UMY4-2_SNX12</t>
  </si>
  <si>
    <t>Q9UMZ2-6_SYNRG</t>
  </si>
  <si>
    <t>Q9UN36-2_NDRG2</t>
  </si>
  <si>
    <t>Q9UN36_NDRG2</t>
  </si>
  <si>
    <t>Q9UN86-2_G3BP2</t>
  </si>
  <si>
    <t>Q9UNE7_STUB1</t>
  </si>
  <si>
    <t>Q9UNF0_PACSIN2</t>
  </si>
  <si>
    <t>Q9UNH7_SNX6</t>
  </si>
  <si>
    <t>Q9UNM6_PSMD13</t>
  </si>
  <si>
    <t>Q9UNN5_FAF1</t>
  </si>
  <si>
    <t>Q9UNS2_COPS3</t>
  </si>
  <si>
    <t>Q9UNW1_MINPP1</t>
  </si>
  <si>
    <t>Q9UNZ2_NSFL1C</t>
  </si>
  <si>
    <t>Q9UP83_COG5</t>
  </si>
  <si>
    <t>Q9UPN6_SCAF8</t>
  </si>
  <si>
    <t>Q9UPN7_PPP6R1</t>
  </si>
  <si>
    <t>Q9UPP1-4_PHF8</t>
  </si>
  <si>
    <t>Q9UPQ3-2_AGAP1</t>
  </si>
  <si>
    <t>Q9UPQ9-1_TNRC6B</t>
  </si>
  <si>
    <t>Q9UPR0_PLCL2</t>
  </si>
  <si>
    <t>Q9UPT5-2_EXOC7</t>
  </si>
  <si>
    <t>Q9UPT8_ZC3H4</t>
  </si>
  <si>
    <t>Q9UPU5_USP24</t>
  </si>
  <si>
    <t>Q9UPU7_TBC1D2B</t>
  </si>
  <si>
    <t>Q9UPX8-3_SHANK2</t>
  </si>
  <si>
    <t>Q9UPY3_DICER1</t>
  </si>
  <si>
    <t>Q9UPY8-2_MAPRE3</t>
  </si>
  <si>
    <t>Q9UQ35_SRRM2</t>
  </si>
  <si>
    <t>Q9UQ80_PA2G4</t>
  </si>
  <si>
    <t>Q9UQB8-5_BAIAP2</t>
  </si>
  <si>
    <t>Q9UQE7_SMC3</t>
  </si>
  <si>
    <t>Q9Y217_MTMR6</t>
  </si>
  <si>
    <t>Q9Y223-2_GNE</t>
  </si>
  <si>
    <t>Q9Y224_C14orf166</t>
  </si>
  <si>
    <t>Q9Y230_RUVBL2</t>
  </si>
  <si>
    <t>Q9Y237_PIN4</t>
  </si>
  <si>
    <t>Q9Y259_CHKB</t>
  </si>
  <si>
    <t>Q9Y262_EIF3L</t>
  </si>
  <si>
    <t>Q9Y263_PLAA</t>
  </si>
  <si>
    <t>Q9Y265_RUVBL1</t>
  </si>
  <si>
    <t>Q9Y266_NUDC</t>
  </si>
  <si>
    <t>Q9Y281_CFL2</t>
  </si>
  <si>
    <t>Q9Y295_DRG1</t>
  </si>
  <si>
    <t>Q9Y296_TRAPPC4</t>
  </si>
  <si>
    <t>Q9Y2A7_NCKAP1</t>
  </si>
  <si>
    <t>Q9Y2B0_CNPY2</t>
  </si>
  <si>
    <t>Q9Y2D4_EXOC6B</t>
  </si>
  <si>
    <t>Q9Y2D5-6_AKAP2</t>
  </si>
  <si>
    <t>Q9Y2E4_DIP2C</t>
  </si>
  <si>
    <t>Q9Y2G5_POFUT2</t>
  </si>
  <si>
    <t>Q9Y2I1-4_NISCH</t>
  </si>
  <si>
    <t>Q9Y2J2-2_EPB41L3</t>
  </si>
  <si>
    <t>Q9Y2K7-4_KDM2A</t>
  </si>
  <si>
    <t>Q9Y2L1_DIS3</t>
  </si>
  <si>
    <t>Q9Y2L9-2_LRCH1</t>
  </si>
  <si>
    <t>Q9Y2P5_SLC27A5</t>
  </si>
  <si>
    <t>Q9Y2Q3_GSTK1</t>
  </si>
  <si>
    <t>Q9Y2Q5_LAMTOR2</t>
  </si>
  <si>
    <t>Q9Y2R9_MRPS7</t>
  </si>
  <si>
    <t>Q9Y2S2_CRYL1</t>
  </si>
  <si>
    <t>Q9Y2S6_TMA7</t>
  </si>
  <si>
    <t>Q9Y2S7_POLDIP2</t>
  </si>
  <si>
    <t>Q9Y2T2_AP3M1</t>
  </si>
  <si>
    <t>Q9Y2T3-3_GDA</t>
  </si>
  <si>
    <t>Q9Y2U5_MAP3K2</t>
  </si>
  <si>
    <t>Q9Y2U8_LEMD3</t>
  </si>
  <si>
    <t>Q9Y2V2_CARHSP1</t>
  </si>
  <si>
    <t>Q9Y2V7_COG6</t>
  </si>
  <si>
    <t>Q9Y2W1_THRAP3</t>
  </si>
  <si>
    <t>Q9Y2X3_NOP58</t>
  </si>
  <si>
    <t>Q9Y2Z0_SUGT1</t>
  </si>
  <si>
    <t>Q9Y2Z2-5_MTO1</t>
  </si>
  <si>
    <t>Q9Y2Z4_YARS2</t>
  </si>
  <si>
    <t>Q9Y2Z9-3_COQ6</t>
  </si>
  <si>
    <t>Q9Y303_AMDHD2</t>
  </si>
  <si>
    <t>Q9Y305_ACOT9</t>
  </si>
  <si>
    <t>Q9Y312_AAR2</t>
  </si>
  <si>
    <t>Q9Y314_NOSIP</t>
  </si>
  <si>
    <t>Q9Y315_DERA</t>
  </si>
  <si>
    <t>Q9Y316_MEMO1</t>
  </si>
  <si>
    <t>Q9Y333_LSM2</t>
  </si>
  <si>
    <t>Q9Y371_SH3GLB1</t>
  </si>
  <si>
    <t>Q9Y376_CAB39</t>
  </si>
  <si>
    <t>Q9Y383_LUC7L2</t>
  </si>
  <si>
    <t>Q9Y385_UBE2J1</t>
  </si>
  <si>
    <t>Q9Y3A3-2_MOB4</t>
  </si>
  <si>
    <t>Q9Y3A5_SBDS</t>
  </si>
  <si>
    <t>Q9Y3B9_RRP15</t>
  </si>
  <si>
    <t>Q9Y3C1_NOP16</t>
  </si>
  <si>
    <t>Q9Y3C4-2_TPRKB</t>
  </si>
  <si>
    <t>Q9Y3C6_PPIL1</t>
  </si>
  <si>
    <t>Q9Y3C8_UFC1</t>
  </si>
  <si>
    <t>Q9Y3D0_FAM96B</t>
  </si>
  <si>
    <t>Q9Y3D2_MSRB2</t>
  </si>
  <si>
    <t>Q9Y3D6_FIS1</t>
  </si>
  <si>
    <t>Q9Y3D8-2_TAF9</t>
  </si>
  <si>
    <t>Q9Y3D9_MRPS23</t>
  </si>
  <si>
    <t>Q9Y3E2_BOLA1</t>
  </si>
  <si>
    <t>Q9Y3F4_STRAP</t>
  </si>
  <si>
    <t>Q9Y3I0_C22orf28</t>
  </si>
  <si>
    <t>Q9Y3I1_FBXO7</t>
  </si>
  <si>
    <t>Q9Y3L5_RAP2C</t>
  </si>
  <si>
    <t>Q9Y3P9_RABGAP1</t>
  </si>
  <si>
    <t>Q9Y3S2_ZNF330</t>
  </si>
  <si>
    <t>Q9Y3X0_CCDC9</t>
  </si>
  <si>
    <t>Q9Y3Y2-4_CHTOP</t>
  </si>
  <si>
    <t>Q9Y3Z3_SAMHD1</t>
  </si>
  <si>
    <t>Q9Y450-4_HBS1L</t>
  </si>
  <si>
    <t>Q9Y490_TLN1</t>
  </si>
  <si>
    <t>Q9Y4B6-3_VPRBP</t>
  </si>
  <si>
    <t>Q9Y4C2-2_FAM115A</t>
  </si>
  <si>
    <t>Q9Y4E8-2_USP15</t>
  </si>
  <si>
    <t>Q9Y4F1_FARP1</t>
  </si>
  <si>
    <t>Q9Y4G6_TLN2</t>
  </si>
  <si>
    <t>Q9Y4H2_IRS2</t>
  </si>
  <si>
    <t>Q9Y4I1-2_MYO5A</t>
  </si>
  <si>
    <t>Q9Y4K1_AIM1</t>
  </si>
  <si>
    <t>Q9Y4K3_TRAF6</t>
  </si>
  <si>
    <t>Q9Y4P8-4_WIPI2</t>
  </si>
  <si>
    <t>Q9Y4U1_MMACHC</t>
  </si>
  <si>
    <t>Q9Y4W6_AFG3L2</t>
  </si>
  <si>
    <t>Q9Y4X5_ARIH1</t>
  </si>
  <si>
    <t>Q9Y4Z0_LSM4</t>
  </si>
  <si>
    <t>Q9Y508_RNF114</t>
  </si>
  <si>
    <t>Q9Y520-4_PRRC2C</t>
  </si>
  <si>
    <t>Q9Y547_HSPB11</t>
  </si>
  <si>
    <t>Q9Y570_PPME1</t>
  </si>
  <si>
    <t>Q9Y597-2_KCTD3</t>
  </si>
  <si>
    <t>Q9Y5A7-2_NUB1</t>
  </si>
  <si>
    <t>Q9Y5A9-2_YTHDF2</t>
  </si>
  <si>
    <t>Q9Y5B0_CTDP1</t>
  </si>
  <si>
    <t>Q9Y5B9_SUPT16H</t>
  </si>
  <si>
    <t>Q9Y5J7_TIMM9</t>
  </si>
  <si>
    <t>Q9Y5K5-2_UCHL5</t>
  </si>
  <si>
    <t>Q9Y5K6_CD2AP</t>
  </si>
  <si>
    <t>Q9Y5K8_ATP6V1D</t>
  </si>
  <si>
    <t>Q9Y5L0_TNPO3</t>
  </si>
  <si>
    <t>Q9Y5L4_TIMM13</t>
  </si>
  <si>
    <t>Q9Y5P4-2_COL4A3BP</t>
  </si>
  <si>
    <t>Q9Y5P6_GMPPB</t>
  </si>
  <si>
    <t>Q9Y5S2_CDC42BPB</t>
  </si>
  <si>
    <t>Q9Y5S9_RBM8A</t>
  </si>
  <si>
    <t>Q9Y5U2-2_TSSC4</t>
  </si>
  <si>
    <t>Q9Y5V0_ZNF706</t>
  </si>
  <si>
    <t>Q9Y5X1_SNX9</t>
  </si>
  <si>
    <t>Q9Y5X3_SNX5</t>
  </si>
  <si>
    <t>Q9Y5Y2_NUBP2</t>
  </si>
  <si>
    <t>Q9Y5Z4_HEBP2</t>
  </si>
  <si>
    <t>Q9Y608-4_LRRFIP2</t>
  </si>
  <si>
    <t>Q9Y617_PSAT1</t>
  </si>
  <si>
    <t>Q9Y646_CPQ</t>
  </si>
  <si>
    <t>Q9Y678_COPG1</t>
  </si>
  <si>
    <t>Q9Y680-3_FKBP7</t>
  </si>
  <si>
    <t>Q9Y696_CLIC4</t>
  </si>
  <si>
    <t>Q9Y697-2_NFS1</t>
  </si>
  <si>
    <t>Q9Y6A4_C16orf80</t>
  </si>
  <si>
    <t>Q9Y6B6_SAR1B</t>
  </si>
  <si>
    <t>Q9Y6D5_ARFGEF2</t>
  </si>
  <si>
    <t>Q9Y6D6_ARFGEF1</t>
  </si>
  <si>
    <t>Q9Y6G5_COMMD10</t>
  </si>
  <si>
    <t>Q9Y6G9_DYNC1LI1</t>
  </si>
  <si>
    <t>Q9Y6H1_CHCHD2</t>
  </si>
  <si>
    <t>Q9Y6I3-3_EPN1</t>
  </si>
  <si>
    <t>Q9Y6I9_TEX264</t>
  </si>
  <si>
    <t>Q9Y6K5_OAS3</t>
  </si>
  <si>
    <t>Q9Y6K9_IKBKG</t>
  </si>
  <si>
    <t>Q9Y6N5_SQRDL</t>
  </si>
  <si>
    <t>Q9Y6W3_CAPN7</t>
  </si>
  <si>
    <t>Q9Y6W5_WASF2</t>
  </si>
  <si>
    <t>Q9Y6X5_ENPP4</t>
  </si>
  <si>
    <t>Q9Y6X8_ZHX2</t>
  </si>
  <si>
    <t>A1A5A8_KIAA0999</t>
  </si>
  <si>
    <t>A2ACR1_PSMB9</t>
  </si>
  <si>
    <t>A6H8Z3_RAB3GAP1</t>
  </si>
  <si>
    <t>A6ND22_MRPS16</t>
  </si>
  <si>
    <t>A6NDT1_MLIP</t>
  </si>
  <si>
    <t>A6NG64_C10orf11</t>
  </si>
  <si>
    <t>A6NGP5_HN1L</t>
  </si>
  <si>
    <t>A6NJX6_CHCHD1</t>
  </si>
  <si>
    <t>A6NKZ2_RENBP</t>
  </si>
  <si>
    <t>A6NML8_DIAPH2</t>
  </si>
  <si>
    <t>A6NN40_SHROOM1</t>
  </si>
  <si>
    <t>A8CTX8_ITSN1</t>
  </si>
  <si>
    <t>A8K7Q2_HSPA8</t>
  </si>
  <si>
    <t>A8MQB8_FMR1</t>
  </si>
  <si>
    <t>A8MTY9_DSCR3</t>
  </si>
  <si>
    <t>A8MU28_NAE1</t>
  </si>
  <si>
    <t>A8MU44_HOOK1</t>
  </si>
  <si>
    <t>A8MUB1_TUBA4A</t>
  </si>
  <si>
    <t>A8MWR6_TSC22D4</t>
  </si>
  <si>
    <t>A8MXP9_MATR3</t>
  </si>
  <si>
    <t>A8MYC1_POP4</t>
  </si>
  <si>
    <t>A9Z1X7_SRRM1</t>
  </si>
  <si>
    <t>B0FLL2_PFKFB2</t>
  </si>
  <si>
    <t>B0UX83_BAG6</t>
  </si>
  <si>
    <t>B1AK87_CAPZB</t>
  </si>
  <si>
    <t>B1AKL4_EIF4ENIF1</t>
  </si>
  <si>
    <t>B1AKN7_NFIA</t>
  </si>
  <si>
    <t>B1AKV3_UQCC</t>
  </si>
  <si>
    <t>B1AKZ5_PEA15</t>
  </si>
  <si>
    <t>B1AL69_CDC37L1</t>
  </si>
  <si>
    <t>B1ALY0_PALM2-AKAP2</t>
  </si>
  <si>
    <t>B1ANH0_GUK1</t>
  </si>
  <si>
    <t>B1AT46_GMEB1</t>
  </si>
  <si>
    <t>B3KRS5_HDAC2</t>
  </si>
  <si>
    <t>B3KSI9_LZTFL1</t>
  </si>
  <si>
    <t>B3KVH8_PHF23</t>
  </si>
  <si>
    <t>B3KY83_RXRA</t>
  </si>
  <si>
    <t>B4DDD1_RPUSD2</t>
  </si>
  <si>
    <t>B4DDF4_CNN2</t>
  </si>
  <si>
    <t>B4DDZ0_MON1B</t>
  </si>
  <si>
    <t>B4DE16_CTNNBL1</t>
  </si>
  <si>
    <t>B4DEM7_CCT8</t>
  </si>
  <si>
    <t>B4DEW9_EIF3F</t>
  </si>
  <si>
    <t>B4DFA2_NSF</t>
  </si>
  <si>
    <t>B4DFG6_MRPS18B</t>
  </si>
  <si>
    <t>B4DFI9_HUS1</t>
  </si>
  <si>
    <t>B4DFQ4_COMMD1</t>
  </si>
  <si>
    <t>B4DGU4_CTNNB1</t>
  </si>
  <si>
    <t>B4DH21_CCNT2</t>
  </si>
  <si>
    <t>B4DH53_MAP1S</t>
  </si>
  <si>
    <t>B4DHJ7_BNIP3</t>
  </si>
  <si>
    <t>B4DHT5_ACSF2</t>
  </si>
  <si>
    <t>B4DJA5_RAB5A</t>
  </si>
  <si>
    <t>B4DJP7_SNRPD3</t>
  </si>
  <si>
    <t>B4DJV2_CS</t>
  </si>
  <si>
    <t>B4DKG8_EXOSC10</t>
  </si>
  <si>
    <t>B4DKJ3_COMP</t>
  </si>
  <si>
    <t>B4DKL4_LSR</t>
  </si>
  <si>
    <t>B4DL14_ATP5C1</t>
  </si>
  <si>
    <t>B4DL54_CHURC1-FNTB</t>
  </si>
  <si>
    <t>B4DL80_CDC27</t>
  </si>
  <si>
    <t>B4DLN1_SLC25A10</t>
  </si>
  <si>
    <t>B4DLW8_DDX5</t>
  </si>
  <si>
    <t>B4DMX0_KDSR</t>
  </si>
  <si>
    <t>B4DNC9_ISCU</t>
  </si>
  <si>
    <t>B4DNK1_ASUN</t>
  </si>
  <si>
    <t>B4DP21_PTGES3</t>
  </si>
  <si>
    <t>B4DPR4_MKRN2</t>
  </si>
  <si>
    <t>B4DPY8_TOX4</t>
  </si>
  <si>
    <t>B4DQ14_EIF2A</t>
  </si>
  <si>
    <t>B4DQA8_GOSR1</t>
  </si>
  <si>
    <t>B4DQJ8_PGD</t>
  </si>
  <si>
    <t>B4DR80_STK24</t>
  </si>
  <si>
    <t>B4DRL9_CHM</t>
  </si>
  <si>
    <t>B4DTG6_LSM14A</t>
  </si>
  <si>
    <t>B4DTU4_LIG1</t>
  </si>
  <si>
    <t>B4DUS9_BPNT1</t>
  </si>
  <si>
    <t>B4DVY1_EIF3D</t>
  </si>
  <si>
    <t>B4DWI1_HACL1</t>
  </si>
  <si>
    <t>B4DXK4_KRT72</t>
  </si>
  <si>
    <t>B4DXZ6_FXR1</t>
  </si>
  <si>
    <t>B4DYB4_NUP35</t>
  </si>
  <si>
    <t>B4DZ67_NUP107</t>
  </si>
  <si>
    <t>B4DZW6_RMDN1</t>
  </si>
  <si>
    <t>B4E072_ACAA1</t>
  </si>
  <si>
    <t>B4E107_ATE1</t>
  </si>
  <si>
    <t>B4E1J0_PBXIP1</t>
  </si>
  <si>
    <t>B4E1K7_STOML2</t>
  </si>
  <si>
    <t>B4E1Z4_CFB</t>
  </si>
  <si>
    <t>B4E241_SFRS3</t>
  </si>
  <si>
    <t>B4E351_IGFBP4</t>
  </si>
  <si>
    <t>B4E3Q4_CECR1</t>
  </si>
  <si>
    <t>B5MC59_RPA3</t>
  </si>
  <si>
    <t>B5MCF9_PES1</t>
  </si>
  <si>
    <t>B5MCK8_GGT2</t>
  </si>
  <si>
    <t>B5MCP9_RPS7</t>
  </si>
  <si>
    <t>B5MCQ5_PDIA6</t>
  </si>
  <si>
    <t>B5MCT7_PPM1F</t>
  </si>
  <si>
    <t>B5MCU0_R3HDM2</t>
  </si>
  <si>
    <t>B5MEB3_CABIN1</t>
  </si>
  <si>
    <t>B7WP27_CWC22</t>
  </si>
  <si>
    <t>B7Z1T4_CYTH1</t>
  </si>
  <si>
    <t>B7Z1W9_CHN2</t>
  </si>
  <si>
    <t>B7Z242_MAOB</t>
  </si>
  <si>
    <t>B7Z291_MTMR9</t>
  </si>
  <si>
    <t>B7Z2Y2_COG2</t>
  </si>
  <si>
    <t>B7Z341_NDRG3</t>
  </si>
  <si>
    <t>B7Z3B9_GAB1</t>
  </si>
  <si>
    <t>B7Z3I9_ALAD</t>
  </si>
  <si>
    <t>B7Z4K6_DNASE2</t>
  </si>
  <si>
    <t>B7Z4M2_WBP4</t>
  </si>
  <si>
    <t>B7Z4R0_ERF</t>
  </si>
  <si>
    <t>B7Z583_TANGO2</t>
  </si>
  <si>
    <t>B7Z637_ARMC8</t>
  </si>
  <si>
    <t>B7Z6B8_DECR1</t>
  </si>
  <si>
    <t>B7Z729_SMPDL3A</t>
  </si>
  <si>
    <t>B7Z7F3_RANBP3</t>
  </si>
  <si>
    <t>B7Z7F9_GRB14</t>
  </si>
  <si>
    <t>B7Z7X8_ATL2</t>
  </si>
  <si>
    <t>B7Z815_USP7</t>
  </si>
  <si>
    <t>B7Z817_DHCR24</t>
  </si>
  <si>
    <t>B7Z8K9_PTPN3</t>
  </si>
  <si>
    <t>B7Z8V7_NADK2</t>
  </si>
  <si>
    <t>B7Z941_F11R</t>
  </si>
  <si>
    <t>B7Z9S8_ATP1B1</t>
  </si>
  <si>
    <t>B7ZAX5_GALK2</t>
  </si>
  <si>
    <t>B7ZBQ3_MED20</t>
  </si>
  <si>
    <t>B7ZC39_SH3GLB2</t>
  </si>
  <si>
    <t>B7ZKK9_PPP2R5E</t>
  </si>
  <si>
    <t>B7ZLP8_TARSL2</t>
  </si>
  <si>
    <t>B7ZLZ2_EDEM3</t>
  </si>
  <si>
    <t>B7ZM82_WIZ</t>
  </si>
  <si>
    <t>B8ZZC8_METTL5</t>
  </si>
  <si>
    <t>B8ZZG1_MPP6</t>
  </si>
  <si>
    <t>B8ZZK4_RPL31</t>
  </si>
  <si>
    <t>B8ZZQ6_PTMA</t>
  </si>
  <si>
    <t>B8ZZU8_TCEB2</t>
  </si>
  <si>
    <t>B9A057_COA5</t>
  </si>
  <si>
    <t>B9A058_HIBCH</t>
  </si>
  <si>
    <t>B9ZVN9_POLR1A</t>
  </si>
  <si>
    <t>C9IZA5_VCP</t>
  </si>
  <si>
    <t>C9J060_TRIM22</t>
  </si>
  <si>
    <t>C9J0A7_CHMP2B</t>
  </si>
  <si>
    <t>C9J0K6_SRI</t>
  </si>
  <si>
    <t>C9J1C6_RNF181</t>
  </si>
  <si>
    <t>C9J212_UBE2F</t>
  </si>
  <si>
    <t>C9J3Q2_GLS2</t>
  </si>
  <si>
    <t>C9J406_IMMT</t>
  </si>
  <si>
    <t>C9J5C3_PDCD10</t>
  </si>
  <si>
    <t>C9J6H2_IGFBP1</t>
  </si>
  <si>
    <t>C9J712_PFN2</t>
  </si>
  <si>
    <t>C9J8B8_HDAC10</t>
  </si>
  <si>
    <t>C9J9K3_RPSA</t>
  </si>
  <si>
    <t>C9JAX1_FXN</t>
  </si>
  <si>
    <t>C9JB56_ARHGAP25</t>
  </si>
  <si>
    <t>C9JBI3_PSPH</t>
  </si>
  <si>
    <t>C9JBJ6_POLR2H</t>
  </si>
  <si>
    <t>C9JE98_NCOR2</t>
  </si>
  <si>
    <t>C9JEL3_EIF4E2</t>
  </si>
  <si>
    <t>C9JFE4_GPS1</t>
  </si>
  <si>
    <t>C9JFR9_CYP8B1</t>
  </si>
  <si>
    <t>C9JG97_AAMP</t>
  </si>
  <si>
    <t>C9JGB2_RMDN2</t>
  </si>
  <si>
    <t>C9JIK8_ATG4B</t>
  </si>
  <si>
    <t>C9JNE2_OARD1</t>
  </si>
  <si>
    <t>C9JP32_SMARCAL1</t>
  </si>
  <si>
    <t>C9JQ41_CCDC58</t>
  </si>
  <si>
    <t>C9JQB1_NME6</t>
  </si>
  <si>
    <t>C9JQD1_GCK</t>
  </si>
  <si>
    <t>C9JQD4_PPIH</t>
  </si>
  <si>
    <t>C9JQV3_STK11IP</t>
  </si>
  <si>
    <t>C9JTW6_GRB10</t>
  </si>
  <si>
    <t>C9JVN9_L2HGDH</t>
  </si>
  <si>
    <t>C9JVR1_TENC1</t>
  </si>
  <si>
    <t>C9JW69_RCC1</t>
  </si>
  <si>
    <t>C9JXB8_RPL24</t>
  </si>
  <si>
    <t>C9JXK0_LBR</t>
  </si>
  <si>
    <t>C9JXK9_LPP</t>
  </si>
  <si>
    <t>C9JZP6_DHRS2</t>
  </si>
  <si>
    <t>C9JZY6_UBE2H</t>
  </si>
  <si>
    <t>D3DR31_IFIT1</t>
  </si>
  <si>
    <t>D3DTZ5_SUPT4H1</t>
  </si>
  <si>
    <t>D3YHP0_CXADR</t>
  </si>
  <si>
    <t>D3YTE0_KRI1</t>
  </si>
  <si>
    <t>D6R9D6_RBM47</t>
  </si>
  <si>
    <t>D6R9G1_CDK7</t>
  </si>
  <si>
    <t>D6R9P3_HNRNPAB</t>
  </si>
  <si>
    <t>D6RAL3_SH3RF1</t>
  </si>
  <si>
    <t>D6RB81_AMACR</t>
  </si>
  <si>
    <t>D6RBN5_OCIAD1</t>
  </si>
  <si>
    <t>D6RBV0_LEMD2</t>
  </si>
  <si>
    <t>D6RCD0_HSD17B11</t>
  </si>
  <si>
    <t>D6RD47_RPS23</t>
  </si>
  <si>
    <t>D6REA0_PET112</t>
  </si>
  <si>
    <t>D6REB0_CALCOCO2</t>
  </si>
  <si>
    <t>D6RF92_CXCL6</t>
  </si>
  <si>
    <t>D6RGI3_SEPT11</t>
  </si>
  <si>
    <t>D6RHI9_RNASET2</t>
  </si>
  <si>
    <t>E2QRD5_C15orf38-AP3S2</t>
  </si>
  <si>
    <t>E5RFY9_C1orf198</t>
  </si>
  <si>
    <t>E5RGS9_CHRAC1</t>
  </si>
  <si>
    <t>E5RGX5_STMN2</t>
  </si>
  <si>
    <t>E5RHG8_TCEB1</t>
  </si>
  <si>
    <t>E5RJ68_AP3B1</t>
  </si>
  <si>
    <t>E5RJD2_DECR1</t>
  </si>
  <si>
    <t>E5RJR5_SKP1</t>
  </si>
  <si>
    <t>E7EM64_COPS6</t>
  </si>
  <si>
    <t>E7EMM4_ASAH1</t>
  </si>
  <si>
    <t>E7EMV7_TNIP1</t>
  </si>
  <si>
    <t>E7EMZ9_TACC2</t>
  </si>
  <si>
    <t>E7EN68_SETMAR</t>
  </si>
  <si>
    <t>E7END2_SSFA2</t>
  </si>
  <si>
    <t>E7ENN3_SYNE1</t>
  </si>
  <si>
    <t>E7ENY8_COL3A1</t>
  </si>
  <si>
    <t>E7EPD0_TOM1</t>
  </si>
  <si>
    <t>E7EPL4_PDXDC1</t>
  </si>
  <si>
    <t>E7EQ69_NAA50</t>
  </si>
  <si>
    <t>E7EQA9_TANK</t>
  </si>
  <si>
    <t>E7EQB9_POLR1C</t>
  </si>
  <si>
    <t>E7EQT4_ACIN1</t>
  </si>
  <si>
    <t>E7EQV9_RPL15</t>
  </si>
  <si>
    <t>E7ES08_HMGB3</t>
  </si>
  <si>
    <t>E7ESU4_NAT10</t>
  </si>
  <si>
    <t>E7ESY6_AMOTL1</t>
  </si>
  <si>
    <t>E7ET15_U2SURP</t>
  </si>
  <si>
    <t>E7ETA6_PCM1</t>
  </si>
  <si>
    <t>E7ETD6_BPTF</t>
  </si>
  <si>
    <t>E7ETZ4_BZW2</t>
  </si>
  <si>
    <t>E7EU96_CSNK2A1</t>
  </si>
  <si>
    <t>E7EUY0_PRKDC</t>
  </si>
  <si>
    <t>E7EV62_ARFGAP1</t>
  </si>
  <si>
    <t>E7EVD1_PRPF3</t>
  </si>
  <si>
    <t>E7EVG2_PBRM1</t>
  </si>
  <si>
    <t>E7EVJ5_CYFIP2</t>
  </si>
  <si>
    <t>E7EVX9_PTPRM</t>
  </si>
  <si>
    <t>E7EW69_SEPT10</t>
  </si>
  <si>
    <t>E7EWG4_UBAP2</t>
  </si>
  <si>
    <t>E7EX83_MAP4K4</t>
  </si>
  <si>
    <t>E9PB09_HEATR5A</t>
  </si>
  <si>
    <t>E9PB14_PDHX</t>
  </si>
  <si>
    <t>E9PBL8_COG1</t>
  </si>
  <si>
    <t>E9PCG9_BDH1</t>
  </si>
  <si>
    <t>E9PCJ7_UBR7</t>
  </si>
  <si>
    <t>E9PCY7_HNRNPH1</t>
  </si>
  <si>
    <t>E9PDC3_ARVCF</t>
  </si>
  <si>
    <t>E9PEG3_AR</t>
  </si>
  <si>
    <t>E9PEZ3_DIAPH1</t>
  </si>
  <si>
    <t>E9PF10_NUP155</t>
  </si>
  <si>
    <t>E9PF19_TBL2</t>
  </si>
  <si>
    <t>E9PFC1_CEP170B</t>
  </si>
  <si>
    <t>E9PFD7_EGFR</t>
  </si>
  <si>
    <t>E9PFR3_PPP2R5D</t>
  </si>
  <si>
    <t>E9PG46_AAK1</t>
  </si>
  <si>
    <t>E9PGF5_TNS1</t>
  </si>
  <si>
    <t>E9PGF9_MGEA5</t>
  </si>
  <si>
    <t>E9PGM7_FAM13A</t>
  </si>
  <si>
    <t>E9PGT1_TSN</t>
  </si>
  <si>
    <t>E9PH29_PRDX3</t>
  </si>
  <si>
    <t>E9PHK0_CLEC3B</t>
  </si>
  <si>
    <t>E9PHM2_LARS2</t>
  </si>
  <si>
    <t>E9PHY8_MROH1</t>
  </si>
  <si>
    <t>E9PIB9_GLI1</t>
  </si>
  <si>
    <t>E9PIC2_STX17</t>
  </si>
  <si>
    <t>E9PIR7_TXNRD1</t>
  </si>
  <si>
    <t>E9PJ24_PHRF1</t>
  </si>
  <si>
    <t>E9PJ81_UBXN1</t>
  </si>
  <si>
    <t>E9PJB2_C11orf73</t>
  </si>
  <si>
    <t>E9PJD7_CYHR1</t>
  </si>
  <si>
    <t>E9PJH1_MKNK1</t>
  </si>
  <si>
    <t>E9PK01_EEF1D</t>
  </si>
  <si>
    <t>E9PK67_PARP10</t>
  </si>
  <si>
    <t>E9PKB0_SORL1</t>
  </si>
  <si>
    <t>E9PKC0_PLEKHA7</t>
  </si>
  <si>
    <t>E9PKF3_ACAT1</t>
  </si>
  <si>
    <t>E9PKG1_PRMT1</t>
  </si>
  <si>
    <t>E9PKV8_TTC9C</t>
  </si>
  <si>
    <t>E9PKY5_PPIE</t>
  </si>
  <si>
    <t>E9PL22_HYOU1</t>
  </si>
  <si>
    <t>E9PL24_PDE4DIP</t>
  </si>
  <si>
    <t>E9PL57_NEDD8-MDP1</t>
  </si>
  <si>
    <t>E9PLK3_NPEPPS</t>
  </si>
  <si>
    <t>E9PM46_USP47</t>
  </si>
  <si>
    <t>E9PM92_C11orf58</t>
  </si>
  <si>
    <t>E9PMI6_CLNS1A</t>
  </si>
  <si>
    <t>E9PMJ2_FAM118B</t>
  </si>
  <si>
    <t>E9PMS6_LMO7</t>
  </si>
  <si>
    <t>E9PN48_ARFGAP2</t>
  </si>
  <si>
    <t>E9PNK6_TPD52L1</t>
  </si>
  <si>
    <t>E9PNN3_PTS</t>
  </si>
  <si>
    <t>E9PNU4_STX5</t>
  </si>
  <si>
    <t>E9PNW4_CD59</t>
  </si>
  <si>
    <t>E9PP36_RPL8</t>
  </si>
  <si>
    <t>E9PPR2_ATG13</t>
  </si>
  <si>
    <t>E9PQ74_GAS2</t>
  </si>
  <si>
    <t>E9PQR7_VPS28</t>
  </si>
  <si>
    <t>E9PQW4_MAPK3</t>
  </si>
  <si>
    <t>E9PQY3_ACP2</t>
  </si>
  <si>
    <t>E9PR54_CTSB</t>
  </si>
  <si>
    <t>E9PRD9_VNN2</t>
  </si>
  <si>
    <t>E9PRE7_PC</t>
  </si>
  <si>
    <t>E9PRI4_RPS6KA1</t>
  </si>
  <si>
    <t>F2Z2E1_FAM120B</t>
  </si>
  <si>
    <t>F2Z2V0_CPNE1</t>
  </si>
  <si>
    <t>F2Z2X4_XPO4</t>
  </si>
  <si>
    <t>F2Z3K9_ESYT2</t>
  </si>
  <si>
    <t>F2Z3M0_TSEN15</t>
  </si>
  <si>
    <t>F5GWI9_CCDC53</t>
  </si>
  <si>
    <t>F5GWP8_JUP</t>
  </si>
  <si>
    <t>F5GWT4_WNK1</t>
  </si>
  <si>
    <t>F5GWX5_CHD4</t>
  </si>
  <si>
    <t>F5GX77_TRMT112</t>
  </si>
  <si>
    <t>F5GXC8_SUCLA2</t>
  </si>
  <si>
    <t>F5GXD1_AKAP7</t>
  </si>
  <si>
    <t>F5GXJ9_ALCAM</t>
  </si>
  <si>
    <t>F5GY80_C8B</t>
  </si>
  <si>
    <t>F5GYA2_UNG</t>
  </si>
  <si>
    <t>F5GYC4_RPS6KA3</t>
  </si>
  <si>
    <t>F5GYJ5_</t>
  </si>
  <si>
    <t>F5GYK2_STRN4</t>
  </si>
  <si>
    <t>F5GYN4_OTUB1</t>
  </si>
  <si>
    <t>F5GZY0_APLP2</t>
  </si>
  <si>
    <t>F5GZY7_GABARAPL1</t>
  </si>
  <si>
    <t>F5GZZ9_CD163</t>
  </si>
  <si>
    <t>F5H012_TRIM21</t>
  </si>
  <si>
    <t>F5H0B0_TPD52</t>
  </si>
  <si>
    <t>F5H0C8_ENO2</t>
  </si>
  <si>
    <t>F5H0L8_SEC23IP</t>
  </si>
  <si>
    <t>F5H157_RAB35</t>
  </si>
  <si>
    <t>F5H1L4_TXNRD2</t>
  </si>
  <si>
    <t>F5H1X8_LRBA</t>
  </si>
  <si>
    <t>F5H1Z6_STARD10</t>
  </si>
  <si>
    <t>F5H2B9_UACA</t>
  </si>
  <si>
    <t>F5H2Q7_KIAA1715</t>
  </si>
  <si>
    <t>F5H2X0_TJP3</t>
  </si>
  <si>
    <t>F5H335_EIF3A</t>
  </si>
  <si>
    <t>F5H365_SEC23A</t>
  </si>
  <si>
    <t>F5H442_TSG101</t>
  </si>
  <si>
    <t>F5H4F1_RAD9A</t>
  </si>
  <si>
    <t>F5H4G7_KPNA6</t>
  </si>
  <si>
    <t>F5H4J2_PEX14</t>
  </si>
  <si>
    <t>F5H4S0_CYP3A5</t>
  </si>
  <si>
    <t>F5H5C2_NUP133</t>
  </si>
  <si>
    <t>F5H604_CLASP2</t>
  </si>
  <si>
    <t>F5H698_LARS</t>
  </si>
  <si>
    <t>F5H721_WBP11</t>
  </si>
  <si>
    <t>F5H7F6_MGST1</t>
  </si>
  <si>
    <t>F5H7J5_RPTOR</t>
  </si>
  <si>
    <t>F5H801_OGDH</t>
  </si>
  <si>
    <t>F5H897_TRAP1</t>
  </si>
  <si>
    <t>F5H8D7_XRCC1</t>
  </si>
  <si>
    <t>F5H8F7_ASH2L</t>
  </si>
  <si>
    <t>F5H8H2_MVK</t>
  </si>
  <si>
    <t>F5H8H4_POGZ</t>
  </si>
  <si>
    <t>F5H8L0_RABGAP1L</t>
  </si>
  <si>
    <t>F6PQP6_EPN2</t>
  </si>
  <si>
    <t>F6RY50_SIPA1</t>
  </si>
  <si>
    <t>F6T1Q0_PDE12</t>
  </si>
  <si>
    <t>F6TQG2_SMARCA1</t>
  </si>
  <si>
    <t>F6U1T9_PPP3R1</t>
  </si>
  <si>
    <t>F6XY72_NME2</t>
  </si>
  <si>
    <t>F8VQR7_CSRP2</t>
  </si>
  <si>
    <t>F8VQX6_METTL7A</t>
  </si>
  <si>
    <t>F8VRD9_SLC38A4</t>
  </si>
  <si>
    <t>F8VSL3_NFYB</t>
  </si>
  <si>
    <t>F8VU65_RPLP0</t>
  </si>
  <si>
    <t>F8VUA6_RPL18</t>
  </si>
  <si>
    <t>F8VVM2_SLC25A3</t>
  </si>
  <si>
    <t>F8VVX6_COQ5</t>
  </si>
  <si>
    <t>F8VWA5_CASP9</t>
  </si>
  <si>
    <t>F8VWA6_MON2</t>
  </si>
  <si>
    <t>F8VWL3_FGD4</t>
  </si>
  <si>
    <t>F8VXY3_OAS1</t>
  </si>
  <si>
    <t>F8VZJ2_NACA</t>
  </si>
  <si>
    <t>F8W038_C17orf49</t>
  </si>
  <si>
    <t>F8W118_NAP1L1</t>
  </si>
  <si>
    <t>F8W1A4_AK2</t>
  </si>
  <si>
    <t>F8W1Q3_BTD</t>
  </si>
  <si>
    <t>F8W1R7_MYL6</t>
  </si>
  <si>
    <t>F8W720_GMPS</t>
  </si>
  <si>
    <t>F8W785_GOLIM4</t>
  </si>
  <si>
    <t>F8W7C6_RPL10</t>
  </si>
  <si>
    <t>F8W7U3_FAM21A</t>
  </si>
  <si>
    <t>F8W8I6_TIA1</t>
  </si>
  <si>
    <t>F8W8M4_ABLIM1</t>
  </si>
  <si>
    <t>F8W9I4_MLLT4</t>
  </si>
  <si>
    <t>F8W9X7_CCDC93</t>
  </si>
  <si>
    <t>F8WAK8_STAG2</t>
  </si>
  <si>
    <t>F8WEE4_ZFAND2B</t>
  </si>
  <si>
    <t>F8WF49_DLGAP4</t>
  </si>
  <si>
    <t>F8WJN3_CPSF6</t>
  </si>
  <si>
    <t>G3V0E8_PCBP2</t>
  </si>
  <si>
    <t>G3V169_CASP1</t>
  </si>
  <si>
    <t>G3V1P3_LOH12CR1</t>
  </si>
  <si>
    <t>G3V1R9_ISYNA1</t>
  </si>
  <si>
    <t>G3V1Y8_ASPG</t>
  </si>
  <si>
    <t>G3V238_METTL10</t>
  </si>
  <si>
    <t>G3V2T6_</t>
  </si>
  <si>
    <t>G3V2U7_ACYP1</t>
  </si>
  <si>
    <t>G3V357_RNASE1</t>
  </si>
  <si>
    <t>G3V3D2_SPATA7</t>
  </si>
  <si>
    <t>G3V3G9_DCAF8</t>
  </si>
  <si>
    <t>G3V3R7_ATXN3</t>
  </si>
  <si>
    <t>G3V4P7_AP4S1</t>
  </si>
  <si>
    <t>G3V4S8_CHD2</t>
  </si>
  <si>
    <t>G3V4W0_HNRNPC</t>
  </si>
  <si>
    <t>G3V599_CTAGE5</t>
  </si>
  <si>
    <t>G3V5E1_CCNK</t>
  </si>
  <si>
    <t>G3V5T0_GSTZ1</t>
  </si>
  <si>
    <t>G3V5V3_NEMF</t>
  </si>
  <si>
    <t>G3XAA0_ARID1B</t>
  </si>
  <si>
    <t>G3XAM2_CFI</t>
  </si>
  <si>
    <t>G3XAN8_TIMM8B</t>
  </si>
  <si>
    <t>G5E9C8_SOS1</t>
  </si>
  <si>
    <t>G5E9W7_MRPS22</t>
  </si>
  <si>
    <t>G5E9X3_FNDC3A</t>
  </si>
  <si>
    <t>G5EA52_PDIA3</t>
  </si>
  <si>
    <t>G8JLB3_PUS1</t>
  </si>
  <si>
    <t>G8JLC6_MIA3</t>
  </si>
  <si>
    <t>G8JLE5_TIPIN</t>
  </si>
  <si>
    <t>G8JLI5_WDR45</t>
  </si>
  <si>
    <t>G8JLK3_PACS2</t>
  </si>
  <si>
    <t>H0Y300_HP</t>
  </si>
  <si>
    <t>H0Y304_DMD</t>
  </si>
  <si>
    <t>H0Y3A0_RPL35</t>
  </si>
  <si>
    <t>H0Y3P2_EIF4G2</t>
  </si>
  <si>
    <t>H0Y4R1_IMPDH2</t>
  </si>
  <si>
    <t>H0Y5G7_NBAS</t>
  </si>
  <si>
    <t>H0Y612_TRIM33</t>
  </si>
  <si>
    <t>H0Y614_UFM1</t>
  </si>
  <si>
    <t>H0Y6A0_ARFGAP3</t>
  </si>
  <si>
    <t>H0Y6C3_PYCRL</t>
  </si>
  <si>
    <t>H0Y6I0_GOLGA4</t>
  </si>
  <si>
    <t>H0Y7P1_MED12</t>
  </si>
  <si>
    <t>H0Y7U4_THOC2</t>
  </si>
  <si>
    <t>H0Y8L5_MLIP</t>
  </si>
  <si>
    <t>H0Y9B0_UFSP2</t>
  </si>
  <si>
    <t>H0Y9C8_FAT1</t>
  </si>
  <si>
    <t>H0Y9D7_TGFBI</t>
  </si>
  <si>
    <t>H0YA52_PCBD2</t>
  </si>
  <si>
    <t>H0YA61_RBM24</t>
  </si>
  <si>
    <t>H0YA68_MAN2B2</t>
  </si>
  <si>
    <t>H0YAJ5_APBB2</t>
  </si>
  <si>
    <t>H0YAL7_EEF1E1</t>
  </si>
  <si>
    <t>H0YAT2_MRPS28</t>
  </si>
  <si>
    <t>H0YBZ4_MTFR1</t>
  </si>
  <si>
    <t>H0YDR8_RCOR3</t>
  </si>
  <si>
    <t>H0YDU8_PPP5C</t>
  </si>
  <si>
    <t>H0YE28_C11orf31</t>
  </si>
  <si>
    <t>H0YEB6_SSSCA1</t>
  </si>
  <si>
    <t>H0YEG5_TMEM126B</t>
  </si>
  <si>
    <t>H0YEH2_PUM1</t>
  </si>
  <si>
    <t>H0YEI0_RASSF7</t>
  </si>
  <si>
    <t>H0YEN5_RPS2</t>
  </si>
  <si>
    <t>H0YEP5_SMPD1</t>
  </si>
  <si>
    <t>H0YER1_RSF1</t>
  </si>
  <si>
    <t>H0YFI1_LAMTOR1</t>
  </si>
  <si>
    <t>H0YG38_PRPF40A</t>
  </si>
  <si>
    <t>H0YGR4_REXO2</t>
  </si>
  <si>
    <t>H0YGX7_ARHGDIB</t>
  </si>
  <si>
    <t>H0YI02_RAB3IP</t>
  </si>
  <si>
    <t>H0YLA4_SORD</t>
  </si>
  <si>
    <t>H0YLN8_TRPM7</t>
  </si>
  <si>
    <t>H0YM11_KNSTRN</t>
  </si>
  <si>
    <t>H0YMB0_IRF9</t>
  </si>
  <si>
    <t>H0YMB1_RMDN3</t>
  </si>
  <si>
    <t>H0YMB3_GMPR2</t>
  </si>
  <si>
    <t>H0YMM7_SHF</t>
  </si>
  <si>
    <t>H0YN81_WDR61</t>
  </si>
  <si>
    <t>H0YNE9_RAB8B</t>
  </si>
  <si>
    <t>H0YNU5_BLM</t>
  </si>
  <si>
    <t>H3BLU7_AKR7A2</t>
  </si>
  <si>
    <t>H3BM67_NOL3</t>
  </si>
  <si>
    <t>H3BMM5_</t>
  </si>
  <si>
    <t>H3BN98_</t>
  </si>
  <si>
    <t>H3BND3_NUDT21</t>
  </si>
  <si>
    <t>H3BPB8_MPI</t>
  </si>
  <si>
    <t>H3BPE1_MACF1</t>
  </si>
  <si>
    <t>H3BPZ6_CDAN1</t>
  </si>
  <si>
    <t>H3BQ52_ARPP19</t>
  </si>
  <si>
    <t>H3BQH3_KLHDC4</t>
  </si>
  <si>
    <t>H3BQP5_EDC3</t>
  </si>
  <si>
    <t>H3BQV3_COG8</t>
  </si>
  <si>
    <t>H3BQZ7_hCG_2044799</t>
  </si>
  <si>
    <t>H3BRF9_ZFYVE19</t>
  </si>
  <si>
    <t>H3BRG4_UQCRC2</t>
  </si>
  <si>
    <t>H3BRL3_UBFD1</t>
  </si>
  <si>
    <t>H3BRQ0_PPCDC</t>
  </si>
  <si>
    <t>H3BRQ8_NUDT7</t>
  </si>
  <si>
    <t>H3BRT1_ABAT</t>
  </si>
  <si>
    <t>H3BRV0_EIF3C</t>
  </si>
  <si>
    <t>H3BTA2_PPP4C</t>
  </si>
  <si>
    <t>H3BTB7_EARS2</t>
  </si>
  <si>
    <t>H3BTL2_BCKDK</t>
  </si>
  <si>
    <t>H3BU49_ARL2BP</t>
  </si>
  <si>
    <t>H3BV05_NSMCE1</t>
  </si>
  <si>
    <t>H3BV16_NDUFB10</t>
  </si>
  <si>
    <t>H7BXH2_PPP6R3</t>
  </si>
  <si>
    <t>H7BXV2_TMEM209</t>
  </si>
  <si>
    <t>H7BXV5_COL18A1</t>
  </si>
  <si>
    <t>H7BXZ5_KALRN</t>
  </si>
  <si>
    <t>H7BYD0_NDUFA5</t>
  </si>
  <si>
    <t>H7BYY1_TPM1</t>
  </si>
  <si>
    <t>H7BZ00_NR4A2</t>
  </si>
  <si>
    <t>H7BZL0_MKI67IP</t>
  </si>
  <si>
    <t>H7C0E5_ZNF259</t>
  </si>
  <si>
    <t>H7C0G7_NHEJ1</t>
  </si>
  <si>
    <t>H7C0V9_APP</t>
  </si>
  <si>
    <t>H7C0Y4_DUSP22</t>
  </si>
  <si>
    <t>H7C128_BRD8</t>
  </si>
  <si>
    <t>H7C1I7_ZMYM4</t>
  </si>
  <si>
    <t>H7C1J4_UHRF1BP1</t>
  </si>
  <si>
    <t>H7C1V3_MLXIPL</t>
  </si>
  <si>
    <t>H7C2B1_NOL7</t>
  </si>
  <si>
    <t>H7C2G2_ART4</t>
  </si>
  <si>
    <t>H7C3G7_CWF19L2</t>
  </si>
  <si>
    <t>H7C3P4_GNS</t>
  </si>
  <si>
    <t>H7C3T2_ATG2A</t>
  </si>
  <si>
    <t>H7C4T5_MBNL1</t>
  </si>
  <si>
    <t>H7C5G1_IAH1</t>
  </si>
  <si>
    <t>I3L097_</t>
  </si>
  <si>
    <t>I3L0A5_SOX5</t>
  </si>
  <si>
    <t>I3L0H8_DDX19A</t>
  </si>
  <si>
    <t>I3L0K7_TRAP1</t>
  </si>
  <si>
    <t>I3L1H5_DPH1</t>
  </si>
  <si>
    <t>I3L1K7_GOSR2</t>
  </si>
  <si>
    <t>I3L1Q3_ELP5</t>
  </si>
  <si>
    <t>I3L2B0_CLUH</t>
  </si>
  <si>
    <t>I3L2J0_CIC</t>
  </si>
  <si>
    <t>I3L2L5_FAM195B</t>
  </si>
  <si>
    <t>I3L397_EIF5A</t>
  </si>
  <si>
    <t>I3L4C3_SPAG7</t>
  </si>
  <si>
    <t>I3L4X3_NFKBIB</t>
  </si>
  <si>
    <t>I3L521_</t>
  </si>
  <si>
    <t>J3KMY5_NPC2</t>
  </si>
  <si>
    <t>J3KN29_PSMD9</t>
  </si>
  <si>
    <t>J3KN66_TOR1AIP1</t>
  </si>
  <si>
    <t>J3KN75_TBC1D8B</t>
  </si>
  <si>
    <t>J3KNC0_GTF2A1</t>
  </si>
  <si>
    <t>J3KND1_SAAL1</t>
  </si>
  <si>
    <t>J3KNE2_INO80E</t>
  </si>
  <si>
    <t>J3KNF4_CCS</t>
  </si>
  <si>
    <t>J3KNL6_SEC16A</t>
  </si>
  <si>
    <t>J3KNN7_BRAP</t>
  </si>
  <si>
    <t>J3KP15_SRSF2</t>
  </si>
  <si>
    <t>J3KP19_SIPA1L1</t>
  </si>
  <si>
    <t>J3KP30_DNTTIP2</t>
  </si>
  <si>
    <t>J3KP36_FAM21C</t>
  </si>
  <si>
    <t>J3KPS2_FAM83H</t>
  </si>
  <si>
    <t>J3KPV7_MPST</t>
  </si>
  <si>
    <t>J3KQ72_FBXO6</t>
  </si>
  <si>
    <t>J3KQG4_GBA</t>
  </si>
  <si>
    <t>J3KQS6_BABAM1</t>
  </si>
  <si>
    <t>J3KRP0_CNDP1</t>
  </si>
  <si>
    <t>J3KRR7_CYLD</t>
  </si>
  <si>
    <t>J3KS05_CBX1</t>
  </si>
  <si>
    <t>J3KS94_MBP</t>
  </si>
  <si>
    <t>J3KSS7_GGA3</t>
  </si>
  <si>
    <t>J3KST8_CRLF3</t>
  </si>
  <si>
    <t>J3KSZ8_MSL1</t>
  </si>
  <si>
    <t>J3KT51_HN1</t>
  </si>
  <si>
    <t>J3KT74_SS18</t>
  </si>
  <si>
    <t>J3KTJ8_RPL26</t>
  </si>
  <si>
    <t>J3QL56_SCO1</t>
  </si>
  <si>
    <t>J3QLE5_SNRPN</t>
  </si>
  <si>
    <t>J3QLP6_CWC25</t>
  </si>
  <si>
    <t>J3QLU0_RECQL5</t>
  </si>
  <si>
    <t>J3QQJ5_TRAPPC8</t>
  </si>
  <si>
    <t>J3QQT2_RPL17</t>
  </si>
  <si>
    <t>J3QQX3_FDXR</t>
  </si>
  <si>
    <t>J3QR09_RPL19</t>
  </si>
  <si>
    <t>J3QRH2_IFT20</t>
  </si>
  <si>
    <t>J3QRK2_hCG_1996301</t>
  </si>
  <si>
    <t>J3QRX6_COPRS</t>
  </si>
  <si>
    <t>J3QRZ6_MIF4GD</t>
  </si>
  <si>
    <t>J3QSE5_LCAT</t>
  </si>
  <si>
    <t>J3QSV6_RSL1D1</t>
  </si>
  <si>
    <t>J3QSY4_NHP2</t>
  </si>
  <si>
    <t>J9JIC5_C17orf75</t>
  </si>
  <si>
    <t>J9JIE0_GPRC5C</t>
  </si>
  <si>
    <t>J9JIE9_HYI</t>
  </si>
  <si>
    <t>K7EIG1_CLUH</t>
  </si>
  <si>
    <t>K7EIN1_WBP2</t>
  </si>
  <si>
    <t>K7EIR0_WDR18</t>
  </si>
  <si>
    <t>K7EIU8_SMAD4</t>
  </si>
  <si>
    <t>K7EIV9_HEXDC</t>
  </si>
  <si>
    <t>K7EJ05_STX10</t>
  </si>
  <si>
    <t>K7EJB9_CALR</t>
  </si>
  <si>
    <t>K7EJG0_hCG_27535</t>
  </si>
  <si>
    <t>K7EJX0_SMAD2</t>
  </si>
  <si>
    <t>K7EK07_H3F3B</t>
  </si>
  <si>
    <t>K7EK11_NAGS</t>
  </si>
  <si>
    <t>K7EKE6_LONP1</t>
  </si>
  <si>
    <t>K7ELL7_PRKCSH</t>
  </si>
  <si>
    <t>K7EM02_KATNAL2</t>
  </si>
  <si>
    <t>K7EM09_TMEM205</t>
  </si>
  <si>
    <t>K7EM38_ACTG1</t>
  </si>
  <si>
    <t>K7EME0_ACAA2</t>
  </si>
  <si>
    <t>K7EN05_ELOF1</t>
  </si>
  <si>
    <t>K7ENR6_PSMG2</t>
  </si>
  <si>
    <t>K7ENT8_PRODH2</t>
  </si>
  <si>
    <t>K7EP32_UBXN6</t>
  </si>
  <si>
    <t>K7ER46_BECN1</t>
  </si>
  <si>
    <t>K7ERE3_KRT13</t>
  </si>
  <si>
    <t>K7ERI9_APOC1</t>
  </si>
  <si>
    <t>K7ES31_EIF3K</t>
  </si>
  <si>
    <t>K7ESE3_RAD23A</t>
  </si>
  <si>
    <t>M0QWZ7_SARS2</t>
  </si>
  <si>
    <t>M0QX35_PAF1</t>
  </si>
  <si>
    <t>M0QXL5_FBL</t>
  </si>
  <si>
    <t>M0QYF4_PIH1D1</t>
  </si>
  <si>
    <t>M0QZC7_SMG9</t>
  </si>
  <si>
    <t>M0QZE0_USE1</t>
  </si>
  <si>
    <t>M0R021_DTNA</t>
  </si>
  <si>
    <t>M0R0B4_KXD1</t>
  </si>
  <si>
    <t>M0R248_ECH1</t>
  </si>
  <si>
    <t>M0R2L9_RPS19</t>
  </si>
  <si>
    <t>O95205_MBLL</t>
  </si>
  <si>
    <t>Q17RU2_REL</t>
  </si>
  <si>
    <t>Q2TAM5_RELA</t>
  </si>
  <si>
    <t>Q32N00_POLD3</t>
  </si>
  <si>
    <t>Q53XA7_DKFZp686F13224</t>
  </si>
  <si>
    <t>Q567Q0_PPIA</t>
  </si>
  <si>
    <t>Q5H9A7_TIMP1</t>
  </si>
  <si>
    <t>Q5HY54_FLNA</t>
  </si>
  <si>
    <t>Q5JB52_HNRPLL</t>
  </si>
  <si>
    <t>Q5JP53_TUBB</t>
  </si>
  <si>
    <t>Q5JR08_RHOC</t>
  </si>
  <si>
    <t>Q5JRG1_NUPL1</t>
  </si>
  <si>
    <t>Q5JTV1_GMEB2</t>
  </si>
  <si>
    <t>Q5JUA8_VPS16</t>
  </si>
  <si>
    <t>Q5JW30_STAU1</t>
  </si>
  <si>
    <t>Q5QNY5_PEX19</t>
  </si>
  <si>
    <t>Q5QPL9_RALY</t>
  </si>
  <si>
    <t>Q5QPM7_PSMF1</t>
  </si>
  <si>
    <t>Q5SSZ3_AGER</t>
  </si>
  <si>
    <t>Q5SZC6_GDA</t>
  </si>
  <si>
    <t>Q5T123_SH3BGRL3</t>
  </si>
  <si>
    <t>Q5T6K7_NFYC</t>
  </si>
  <si>
    <t>Q5T7A4_ADCK3</t>
  </si>
  <si>
    <t>Q5T985_ITIH2</t>
  </si>
  <si>
    <t>Q5TA04_WDR96</t>
  </si>
  <si>
    <t>Q5TA58_AGO1</t>
  </si>
  <si>
    <t>Q5TAQ0_MNF1</t>
  </si>
  <si>
    <t>Q5TBP5_TAF4</t>
  </si>
  <si>
    <t>Q5TBP9_LSM14B</t>
  </si>
  <si>
    <t>Q5TCW7_RNGTT</t>
  </si>
  <si>
    <t>Q5TH58_C6orf106</t>
  </si>
  <si>
    <t>Q5VTI5_PLEKHA6</t>
  </si>
  <si>
    <t>Q5VTU3_DYNLT1</t>
  </si>
  <si>
    <t>Q5VZM0_RRAGB</t>
  </si>
  <si>
    <t>Q64EX5_PFKFB4</t>
  </si>
  <si>
    <t>Q68DL3_DKFZp781P1719</t>
  </si>
  <si>
    <t>Q6ICJ4_Em:AP000351.3</t>
  </si>
  <si>
    <t>Q6PIR0_CENPC1</t>
  </si>
  <si>
    <t>Q6PJZ0_RAB17</t>
  </si>
  <si>
    <t>Q71TU5_CSNK1A1</t>
  </si>
  <si>
    <t>Q7Z721_RPS6KB1</t>
  </si>
  <si>
    <t>Q86UY0_TXNDC5</t>
  </si>
  <si>
    <t>Q86VQ2_WASF3</t>
  </si>
  <si>
    <t>Q8IUW1_ANKRD10</t>
  </si>
  <si>
    <t>Q8IYN9_PTK2</t>
  </si>
  <si>
    <t>Q8N749_TOM1L1</t>
  </si>
  <si>
    <t>Q8NBY1_MST4</t>
  </si>
  <si>
    <t>Q8WVC2_RPS21</t>
  </si>
  <si>
    <t>Q8WYQ7_LGALS9</t>
  </si>
  <si>
    <t>Q96G53_SLC27A4</t>
  </si>
  <si>
    <t>Q9H6Y6_MYO5B</t>
  </si>
  <si>
    <t>Q9UII8_CDH1</t>
  </si>
  <si>
    <t>Q9UQL0_UBE2D4</t>
  </si>
  <si>
    <t>R4GMR5_PSMD8</t>
  </si>
  <si>
    <t>R4GMU8_LAMTOR5</t>
  </si>
  <si>
    <t>R4GMX3_BMI1</t>
  </si>
  <si>
    <t>R4GN55_YTHDF3</t>
  </si>
  <si>
    <t>R4GN98_S100A6</t>
  </si>
  <si>
    <t>R4GNB2_DENND4C</t>
  </si>
  <si>
    <t>R4GNH3_PSMC3</t>
  </si>
  <si>
    <t>Melting_Curves/meltCurve_sp_A0AVT1_UBA6_HUMAN_.pdf</t>
  </si>
  <si>
    <t>Melting_Curves/meltCurve_sp_A0JNW5_UH1BL_HUMAN_.pdf</t>
  </si>
  <si>
    <t>Melting_Curves/meltCurve_sp_A0MZ66_SHOT1_HUMAN_.pdf</t>
  </si>
  <si>
    <t>Melting_Curves/meltCurve_sp_A1L170_CA226_HUMAN_.pdf</t>
  </si>
  <si>
    <t>Melting_Curves/meltCurve_sp_A1L188_CQ089_HUMAN_.pdf</t>
  </si>
  <si>
    <t>Melting_Curves/meltCurve_sp_A1X283_SPD2B_HUMAN_.pdf</t>
  </si>
  <si>
    <t>Melting_Curves/meltCurve_sp_A2RUC4_TYW5_HUMAN_.pdf</t>
  </si>
  <si>
    <t>Melting_Curves/meltCurve_sp_A2VDF0_2_FUCM_HUMAN_.pdf</t>
  </si>
  <si>
    <t>Melting_Curves/meltCurve_sp_A3KMH1_3_VWA8_HUMAN_.pdf</t>
  </si>
  <si>
    <t>Melting_Curves/meltCurve_sp_A3KN83_3_SBNO1_HUMAN_.pdf</t>
  </si>
  <si>
    <t>Melting_Curves/meltCurve_sp_A4D126_2_ISPD_HUMAN_.pdf</t>
  </si>
  <si>
    <t>Melting_Curves/meltCurve_sp_A4D1P6_2_WDR91_HUMAN_.pdf</t>
  </si>
  <si>
    <t>Melting_Curves/meltCurve_sp_A5PLN9_2_TPC13_HUMAN_.pdf</t>
  </si>
  <si>
    <t>Melting_Curves/meltCurve_sp_A5YKK6_2_CNOT1_HUMAN_.pdf</t>
  </si>
  <si>
    <t>Melting_Curves/meltCurve_sp_A6ND36_2_FA83G_HUMAN_.pdf</t>
  </si>
  <si>
    <t>Melting_Curves/meltCurve_sp_A6ND91_ASPD_HUMAN_.pdf</t>
  </si>
  <si>
    <t>Melting_Curves/meltCurve_sp_A6NDB9_PALM3_HUMAN_.pdf</t>
  </si>
  <si>
    <t>Melting_Curves/meltCurve_sp_A6NDG6_PGP_HUMAN_.pdf</t>
  </si>
  <si>
    <t>Melting_Curves/meltCurve_sp_A6NED2_RCCD1_HUMAN_.pdf</t>
  </si>
  <si>
    <t>Melting_Curves/meltCurve_sp_A6NEL2_SWAHB_HUMAN_.pdf</t>
  </si>
  <si>
    <t>Melting_Curves/meltCurve_sp_A6NFY7_SDHF1_HUMAN_.pdf</t>
  </si>
  <si>
    <t>Melting_Curves/meltCurve_sp_A6NIH7_U119B_HUMAN_.pdf</t>
  </si>
  <si>
    <t>Melting_Curves/meltCurve_sp_A6NK44_GLOD5_HUMAN_.pdf</t>
  </si>
  <si>
    <t>Melting_Curves/meltCurve_sp_A6NK58_LIPT2_HUMAN_.pdf</t>
  </si>
  <si>
    <t>Melting_Curves/meltCurve_sp_A6NKD9_CC85C_HUMAN_.pdf</t>
  </si>
  <si>
    <t>Melting_Curves/meltCurve_sp_A6NKN8_PC4L1_HUMAN_.pdf</t>
  </si>
  <si>
    <t>Melting_Curves/meltCurve_sp_A6NLP5_TTC36_HUMAN_.pdf</t>
  </si>
  <si>
    <t>Melting_Curves/meltCurve_sp_A8MSI8_LYRM9_HUMAN_.pdf</t>
  </si>
  <si>
    <t>Melting_Curves/meltCurve_sp_A8MXV4_NUD19_HUMAN_.pdf</t>
  </si>
  <si>
    <t>Melting_Curves/meltCurve_sp_B1AJZ9_4_FHAD1_HUMAN_.pdf</t>
  </si>
  <si>
    <t>Melting_Curves/meltCurve_sp_B1AK53_ESPN_HUMAN_.pdf</t>
  </si>
  <si>
    <t>Melting_Curves/meltCurve_sp_B7ZBB8_PP13G_HUMAN_.pdf</t>
  </si>
  <si>
    <t>Melting_Curves/meltCurve_sp_B9A064_IGLL5_HUMAN_.pdf</t>
  </si>
  <si>
    <t>Melting_Curves/meltCurve_sp_C4AMC7_WASH3_HUMAN_.pdf</t>
  </si>
  <si>
    <t>Melting_Curves/meltCurve_sp_F8WCM5_INSR2_HUMAN_.pdf</t>
  </si>
  <si>
    <t>Melting_Curves/meltCurve_sp_O00116_ADAS_HUMAN_.pdf</t>
  </si>
  <si>
    <t>Melting_Curves/meltCurve_sp_O00124_3_UBXN8_HUMAN_.pdf</t>
  </si>
  <si>
    <t>Melting_Curves/meltCurve_sp_O00139_2_KIF2A_HUMAN_.pdf</t>
  </si>
  <si>
    <t>Melting_Curves/meltCurve_sp_O00142_KITM_HUMAN_.pdf</t>
  </si>
  <si>
    <t>Melting_Curves/meltCurve_sp_O00151_PDLI1_HUMAN_.pdf</t>
  </si>
  <si>
    <t>Melting_Curves/meltCurve_sp_O00154_6_BACH_HUMAN_.pdf</t>
  </si>
  <si>
    <t>Melting_Curves/meltCurve_sp_O00161_SNP23_HUMAN_.pdf</t>
  </si>
  <si>
    <t>Melting_Curves/meltCurve_sp_O00170_AIP_HUMAN_.pdf</t>
  </si>
  <si>
    <t>Melting_Curves/meltCurve_sp_O00178_GTPB1_HUMAN_.pdf</t>
  </si>
  <si>
    <t>Melting_Curves/meltCurve_sp_O00214_LEG8_HUMAN_.pdf</t>
  </si>
  <si>
    <t>Melting_Curves/meltCurve_sp_O00231_PSD11_HUMAN_.pdf</t>
  </si>
  <si>
    <t>Melting_Curves/meltCurve_sp_O00232_PSD12_HUMAN_.pdf</t>
  </si>
  <si>
    <t>Melting_Curves/meltCurve_sp_O00244_ATOX1_HUMAN_.pdf</t>
  </si>
  <si>
    <t>Melting_Curves/meltCurve_sp_O00264_PGRC1_HUMAN_.pdf</t>
  </si>
  <si>
    <t>Melting_Curves/meltCurve_sp_O00267_2_SPT5H_HUMAN_.pdf</t>
  </si>
  <si>
    <t>Melting_Curves/meltCurve_sp_O00273_DFFA_HUMAN_.pdf</t>
  </si>
  <si>
    <t>Melting_Curves/meltCurve_sp_O00291_HIP1_HUMAN_.pdf</t>
  </si>
  <si>
    <t>Melting_Curves/meltCurve_sp_O00299_CLIC1_HUMAN_.pdf</t>
  </si>
  <si>
    <t>Melting_Curves/meltCurve_sp_O00399_DCTN6_HUMAN_.pdf</t>
  </si>
  <si>
    <t>Melting_Curves/meltCurve_sp_O00401_WASL_HUMAN_.pdf</t>
  </si>
  <si>
    <t>Melting_Curves/meltCurve_sp_O00410_IPO5_HUMAN_.pdf</t>
  </si>
  <si>
    <t>Melting_Curves/meltCurve_sp_O00429_4_DNM1L_HUMAN_.pdf</t>
  </si>
  <si>
    <t>Melting_Curves/meltCurve_sp_O00459_P85B_HUMAN_.pdf</t>
  </si>
  <si>
    <t>Melting_Curves/meltCurve_sp_O00462_MANBA_HUMAN_.pdf</t>
  </si>
  <si>
    <t>Melting_Curves/meltCurve_sp_O00468_2_AGRIN_HUMAN_.pdf</t>
  </si>
  <si>
    <t>Melting_Curves/meltCurve_sp_O00471_EXOC5_HUMAN_.pdf</t>
  </si>
  <si>
    <t>Melting_Curves/meltCurve_sp_O00479_HMGN4_HUMAN_.pdf</t>
  </si>
  <si>
    <t>Melting_Curves/meltCurve_sp_O00483_NDUA4_HUMAN_.pdf</t>
  </si>
  <si>
    <t>Melting_Curves/meltCurve_sp_O00487_PSDE_HUMAN_.pdf</t>
  </si>
  <si>
    <t>Melting_Curves/meltCurve_sp_O00499_6_BIN1_HUMAN_.pdf</t>
  </si>
  <si>
    <t>Melting_Curves/meltCurve_sp_O00505_IMA3_HUMAN_.pdf</t>
  </si>
  <si>
    <t>Melting_Curves/meltCurve_sp_O00506_STK25_HUMAN_.pdf</t>
  </si>
  <si>
    <t>Melting_Curves/meltCurve_sp_O00515_LAD1_HUMAN_.pdf</t>
  </si>
  <si>
    <t>Melting_Curves/meltCurve_sp_O00534_VMA5A_HUMAN_.pdf</t>
  </si>
  <si>
    <t>Melting_Curves/meltCurve_sp_O00567_NOP56_HUMAN_.pdf</t>
  </si>
  <si>
    <t>Melting_Curves/meltCurve_sp_O00571_DDX3X_HUMAN_.pdf</t>
  </si>
  <si>
    <t>Melting_Curves/meltCurve_sp_O00625_PIR_HUMAN_.pdf</t>
  </si>
  <si>
    <t>Melting_Curves/meltCurve_sp_O00629_IMA4_HUMAN_.pdf</t>
  </si>
  <si>
    <t>Melting_Curves/meltCurve_sp_O00635_TRI38_HUMAN_.pdf</t>
  </si>
  <si>
    <t>Melting_Curves/meltCurve_sp_O00743_PPP6_HUMAN_.pdf</t>
  </si>
  <si>
    <t>Melting_Curves/meltCurve_sp_O00748_EST2_HUMAN_.pdf</t>
  </si>
  <si>
    <t>Melting_Curves/meltCurve_sp_O00754_MA2B1_HUMAN_.pdf</t>
  </si>
  <si>
    <t>Melting_Curves/meltCurve_sp_O00757_F16P2_HUMAN_.pdf</t>
  </si>
  <si>
    <t>Melting_Curves/meltCurve_sp_O00763_ACACB_HUMAN_.pdf</t>
  </si>
  <si>
    <t>Melting_Curves/meltCurve_sp_O00764_PDXK_HUMAN_.pdf</t>
  </si>
  <si>
    <t>Melting_Curves/meltCurve_sp_O14497_ARI1A_HUMAN_.pdf</t>
  </si>
  <si>
    <t>Melting_Curves/meltCurve_sp_O14519_2_CDKA1_HUMAN_.pdf</t>
  </si>
  <si>
    <t>Melting_Curves/meltCurve_sp_O14545_TRAD1_HUMAN_.pdf</t>
  </si>
  <si>
    <t>Melting_Curves/meltCurve_sp_O14561_ACPM_HUMAN_.pdf</t>
  </si>
  <si>
    <t>Melting_Curves/meltCurve_sp_O14579_2_COPE_HUMAN_.pdf</t>
  </si>
  <si>
    <t>Melting_Curves/meltCurve_sp_O14579_COPE_HUMAN_.pdf</t>
  </si>
  <si>
    <t>Melting_Curves/meltCurve_sp_O14617_4_AP3D1_HUMAN_.pdf</t>
  </si>
  <si>
    <t>Melting_Curves/meltCurve_sp_O14686_MLL2_HUMAN_.pdf</t>
  </si>
  <si>
    <t>Melting_Curves/meltCurve_sp_O14732_2_IMPA2_HUMAN_.pdf</t>
  </si>
  <si>
    <t>Melting_Curves/meltCurve_sp_O14734_ACOT8_HUMAN_.pdf</t>
  </si>
  <si>
    <t>Melting_Curves/meltCurve_sp_O14737_PDCD5_HUMAN_.pdf</t>
  </si>
  <si>
    <t>Melting_Curves/meltCurve_sp_O14744_ANM5_HUMAN_.pdf</t>
  </si>
  <si>
    <t>Melting_Curves/meltCurve_sp_O14745_NHRF1_HUMAN_.pdf</t>
  </si>
  <si>
    <t>Melting_Curves/meltCurve_sp_O14756_H17B6_HUMAN_.pdf</t>
  </si>
  <si>
    <t>Melting_Curves/meltCurve_sp_O14772_FPGT_HUMAN_.pdf</t>
  </si>
  <si>
    <t>Melting_Curves/meltCurve_sp_O14773_2_TPP1_HUMAN_.pdf</t>
  </si>
  <si>
    <t>Melting_Curves/meltCurve_sp_O14776_2_TCRG1_HUMAN_.pdf</t>
  </si>
  <si>
    <t>Melting_Curves/meltCurve_sp_O14787_2_TNPO2_HUMAN_.pdf</t>
  </si>
  <si>
    <t>Melting_Curves/meltCurve_sp_O14818_PSA7_HUMAN_.pdf</t>
  </si>
  <si>
    <t>Melting_Curves/meltCurve_sp_O14832_PAHX_HUMAN_.pdf</t>
  </si>
  <si>
    <t>Melting_Curves/meltCurve_sp_O14841_OPLA_HUMAN_.pdf</t>
  </si>
  <si>
    <t>Melting_Curves/meltCurve_sp_O14867_BACH1_HUMAN_.pdf</t>
  </si>
  <si>
    <t>Melting_Curves/meltCurve_sp_O14879_IFIT3_HUMAN_.pdf</t>
  </si>
  <si>
    <t>Melting_Curves/meltCurve_sp_O14896_IRF6_HUMAN_.pdf</t>
  </si>
  <si>
    <t>Melting_Curves/meltCurve_sp_O14907_TX1B3_HUMAN_.pdf</t>
  </si>
  <si>
    <t>Melting_Curves/meltCurve_sp_O14929_HAT1_HUMAN_.pdf</t>
  </si>
  <si>
    <t>Melting_Curves/meltCurve_sp_O14933_UB2L6_HUMAN_.pdf</t>
  </si>
  <si>
    <t>Melting_Curves/meltCurve_sp_O14936_3_CSKP_HUMAN_.pdf</t>
  </si>
  <si>
    <t>Melting_Curves/meltCurve_sp_O14964_HGS_HUMAN_.pdf</t>
  </si>
  <si>
    <t>Melting_Curves/meltCurve_sp_O14974_MYPT1_HUMAN_.pdf</t>
  </si>
  <si>
    <t>Melting_Curves/meltCurve_sp_O14975_2_S27A2_HUMAN_.pdf</t>
  </si>
  <si>
    <t>Melting_Curves/meltCurve_sp_O14976_GAK_HUMAN_.pdf</t>
  </si>
  <si>
    <t>Melting_Curves/meltCurve_sp_O14979_3_HNRDL_HUMAN_.pdf</t>
  </si>
  <si>
    <t>Melting_Curves/meltCurve_sp_O14980_XPO1_HUMAN_.pdf</t>
  </si>
  <si>
    <t>Melting_Curves/meltCurve_sp_O14981_BTAF1_HUMAN_.pdf</t>
  </si>
  <si>
    <t>Melting_Curves/meltCurve_sp_O15014_ZN609_HUMAN_.pdf</t>
  </si>
  <si>
    <t>Melting_Curves/meltCurve_sp_O15020_SPTN2_HUMAN_.pdf</t>
  </si>
  <si>
    <t>Melting_Curves/meltCurve_sp_O15021_2_MAST4_HUMAN_.pdf</t>
  </si>
  <si>
    <t>Melting_Curves/meltCurve_sp_O15031_PLXB2_HUMAN_.pdf</t>
  </si>
  <si>
    <t>Melting_Curves/meltCurve_sp_O15056_3_SYNJ2_HUMAN_.pdf</t>
  </si>
  <si>
    <t>Melting_Curves/meltCurve_sp_O15067_PUR4_HUMAN_.pdf</t>
  </si>
  <si>
    <t>Melting_Curves/meltCurve_sp_O15084_ANR28_HUMAN_.pdf</t>
  </si>
  <si>
    <t>Melting_Curves/meltCurve_sp_O15085_ARHGB_HUMAN_.pdf</t>
  </si>
  <si>
    <t>Melting_Curves/meltCurve_sp_O15116_LSM1_HUMAN_.pdf</t>
  </si>
  <si>
    <t>Melting_Curves/meltCurve_sp_O15143_ARC1B_HUMAN_.pdf</t>
  </si>
  <si>
    <t>Melting_Curves/meltCurve_sp_O15144_ARPC2_HUMAN_.pdf</t>
  </si>
  <si>
    <t>Melting_Curves/meltCurve_sp_O15145_ARPC3_HUMAN_.pdf</t>
  </si>
  <si>
    <t>Melting_Curves/meltCurve_sp_O15156_ZBT7B_HUMAN_.pdf</t>
  </si>
  <si>
    <t>Melting_Curves/meltCurve_sp_O15173_PGRC2_HUMAN_.pdf</t>
  </si>
  <si>
    <t>Melting_Curves/meltCurve_sp_O15212_PFD6_HUMAN_.pdf</t>
  </si>
  <si>
    <t>Melting_Curves/meltCurve_sp_O15230_LAMA5_HUMAN_.pdf</t>
  </si>
  <si>
    <t>Melting_Curves/meltCurve_sp_O15234_CASC3_HUMAN_.pdf</t>
  </si>
  <si>
    <t>Melting_Curves/meltCurve_sp_O15254_ACOX3_HUMAN_.pdf</t>
  </si>
  <si>
    <t>Melting_Curves/meltCurve_sp_O15294_3_OGT1_HUMAN_.pdf</t>
  </si>
  <si>
    <t>Melting_Curves/meltCurve_sp_O15305_PMM2_HUMAN_.pdf</t>
  </si>
  <si>
    <t>Melting_Curves/meltCurve_sp_O15355_PPM1G_HUMAN_.pdf</t>
  </si>
  <si>
    <t>Melting_Curves/meltCurve_sp_O15372_EIF3H_HUMAN_.pdf</t>
  </si>
  <si>
    <t>Melting_Curves/meltCurve_sp_O15379_HDAC3_HUMAN_.pdf</t>
  </si>
  <si>
    <t>Melting_Curves/meltCurve_sp_O15382_BCAT2_HUMAN_.pdf</t>
  </si>
  <si>
    <t>Melting_Curves/meltCurve_sp_O15397_IPO8_HUMAN_.pdf</t>
  </si>
  <si>
    <t>Melting_Curves/meltCurve_sp_O15400_2_STX7_HUMAN_.pdf</t>
  </si>
  <si>
    <t>Melting_Curves/meltCurve_sp_O15467_CCL16_HUMAN_.pdf</t>
  </si>
  <si>
    <t>Melting_Curves/meltCurve_sp_O15488_4_GLYG2_HUMAN_.pdf</t>
  </si>
  <si>
    <t>Melting_Curves/meltCurve_sp_O15498_YKT6_HUMAN_.pdf</t>
  </si>
  <si>
    <t>Melting_Curves/meltCurve_sp_O15511_ARPC5_HUMAN_.pdf</t>
  </si>
  <si>
    <t>Melting_Curves/meltCurve_sp_O15514_RPB4_HUMAN_.pdf</t>
  </si>
  <si>
    <t>Melting_Curves/meltCurve_sp_O15541_R113A_HUMAN_.pdf</t>
  </si>
  <si>
    <t>Melting_Curves/meltCurve_sp_O43143_DHX15_HUMAN_.pdf</t>
  </si>
  <si>
    <t>Melting_Curves/meltCurve_sp_O43148_MCES_HUMAN_.pdf</t>
  </si>
  <si>
    <t>Melting_Curves/meltCurve_sp_O43172_2_PRP4_HUMAN_.pdf</t>
  </si>
  <si>
    <t>Melting_Curves/meltCurve_sp_O43175_SERA_HUMAN_.pdf</t>
  </si>
  <si>
    <t>Melting_Curves/meltCurve_sp_O43236_5_SEPT4_HUMAN_.pdf</t>
  </si>
  <si>
    <t>Melting_Curves/meltCurve_sp_O43237_DC1L2_HUMAN_.pdf</t>
  </si>
  <si>
    <t>Melting_Curves/meltCurve_sp_O43242_PSMD3_HUMAN_.pdf</t>
  </si>
  <si>
    <t>Melting_Curves/meltCurve_sp_O43252_PAPS1_HUMAN_.pdf</t>
  </si>
  <si>
    <t>Melting_Curves/meltCurve_sp_O43264_ZW10_HUMAN_.pdf</t>
  </si>
  <si>
    <t>Melting_Curves/meltCurve_sp_O43290_SNUT1_HUMAN_.pdf</t>
  </si>
  <si>
    <t>Melting_Curves/meltCurve_sp_O43312_4_MTSS1_HUMAN_.pdf</t>
  </si>
  <si>
    <t>Melting_Curves/meltCurve_sp_O43314_2_VIP2_HUMAN_.pdf</t>
  </si>
  <si>
    <t>Melting_Curves/meltCurve_sp_O43318_2_M3K7_HUMAN_.pdf</t>
  </si>
  <si>
    <t>Melting_Curves/meltCurve_sp_O43325_LYRM1_HUMAN_.pdf</t>
  </si>
  <si>
    <t>Melting_Curves/meltCurve_sp_O43353_2_RIPK2_HUMAN_.pdf</t>
  </si>
  <si>
    <t>Melting_Curves/meltCurve_sp_O43390_HNRPR_HUMAN_.pdf</t>
  </si>
  <si>
    <t>Melting_Curves/meltCurve_sp_O43396_TXNL1_HUMAN_.pdf</t>
  </si>
  <si>
    <t>Melting_Curves/meltCurve_sp_O43399_TPD54_HUMAN_.pdf</t>
  </si>
  <si>
    <t>Melting_Curves/meltCurve_sp_O43414_3_ERI3_HUMAN_.pdf</t>
  </si>
  <si>
    <t>Melting_Curves/meltCurve_sp_O43426_4_SYNJ1_HUMAN_.pdf</t>
  </si>
  <si>
    <t>Melting_Curves/meltCurve_sp_O43432_IF4G3_HUMAN_.pdf</t>
  </si>
  <si>
    <t>Melting_Curves/meltCurve_sp_O43464_3_HTRA2_HUMAN_.pdf</t>
  </si>
  <si>
    <t>Melting_Curves/meltCurve_sp_O43491_4_E41L2_HUMAN_.pdf</t>
  </si>
  <si>
    <t>Melting_Curves/meltCurve_sp_O43493_2_TGON2_HUMAN_.pdf</t>
  </si>
  <si>
    <t>Melting_Curves/meltCurve_sp_O43566_5_RGS14_HUMAN_.pdf</t>
  </si>
  <si>
    <t>Melting_Curves/meltCurve_sp_O43583_DENR_HUMAN_.pdf</t>
  </si>
  <si>
    <t>Melting_Curves/meltCurve_sp_O43592_XPOT_HUMAN_.pdf</t>
  </si>
  <si>
    <t>Melting_Curves/meltCurve_sp_O43598_DNPH1_HUMAN_.pdf</t>
  </si>
  <si>
    <t>Melting_Curves/meltCurve_sp_O43615_TIM44_HUMAN_.pdf</t>
  </si>
  <si>
    <t>Melting_Curves/meltCurve_sp_O43617_TPPC3_HUMAN_.pdf</t>
  </si>
  <si>
    <t>Melting_Curves/meltCurve_sp_O43633_CHM2A_HUMAN_.pdf</t>
  </si>
  <si>
    <t>Melting_Curves/meltCurve_sp_O43660_2_PLRG1_HUMAN_.pdf</t>
  </si>
  <si>
    <t>Melting_Curves/meltCurve_sp_O43663_3_PRC1_HUMAN_.pdf</t>
  </si>
  <si>
    <t>Melting_Curves/meltCurve_sp_O43670_2_ZN207_HUMAN_.pdf</t>
  </si>
  <si>
    <t>Melting_Curves/meltCurve_sp_O43678_NDUA2_HUMAN_.pdf</t>
  </si>
  <si>
    <t>Melting_Curves/meltCurve_sp_O43681_ASNA_HUMAN_.pdf</t>
  </si>
  <si>
    <t>Melting_Curves/meltCurve_sp_O43684_2_BUB3_HUMAN_.pdf</t>
  </si>
  <si>
    <t>Melting_Curves/meltCurve_sp_O43704_ST1B1_HUMAN_.pdf</t>
  </si>
  <si>
    <t>Melting_Curves/meltCurve_sp_O43707_ACTN4_HUMAN_.pdf</t>
  </si>
  <si>
    <t>Melting_Curves/meltCurve_sp_O43715_TRIA1_HUMAN_.pdf</t>
  </si>
  <si>
    <t>Melting_Curves/meltCurve_sp_O43716_GATC_HUMAN_.pdf</t>
  </si>
  <si>
    <t>Melting_Curves/meltCurve_sp_O43719_HTSF1_HUMAN_.pdf</t>
  </si>
  <si>
    <t>Melting_Curves/meltCurve_sp_O43747_AP1G1_HUMAN_.pdf</t>
  </si>
  <si>
    <t>Melting_Curves/meltCurve_sp_O43765_SGTA_HUMAN_.pdf</t>
  </si>
  <si>
    <t>Melting_Curves/meltCurve_sp_O43766_LIAS_HUMAN_.pdf</t>
  </si>
  <si>
    <t>Melting_Curves/meltCurve_sp_O43768_2_ENSA_HUMAN_.pdf</t>
  </si>
  <si>
    <t>Melting_Curves/meltCurve_sp_O43776_SYNC_HUMAN_.pdf</t>
  </si>
  <si>
    <t>Melting_Curves/meltCurve_sp_O43809_CPSF5_HUMAN_.pdf</t>
  </si>
  <si>
    <t>Melting_Curves/meltCurve_sp_O43813_LANC1_HUMAN_.pdf</t>
  </si>
  <si>
    <t>Melting_Curves/meltCurve_sp_O43815_2_STRN_HUMAN_.pdf</t>
  </si>
  <si>
    <t>Melting_Curves/meltCurve_sp_O43819_SCO2_HUMAN_.pdf</t>
  </si>
  <si>
    <t>Melting_Curves/meltCurve_sp_O43820_4_HYAL3_HUMAN_.pdf</t>
  </si>
  <si>
    <t>Melting_Curves/meltCurve_sp_O43837_IDH3B_HUMAN_.pdf</t>
  </si>
  <si>
    <t>Melting_Curves/meltCurve_sp_O43847_2_NRDC_HUMAN_.pdf</t>
  </si>
  <si>
    <t>Melting_Curves/meltCurve_sp_O43852_CALU_HUMAN_.pdf</t>
  </si>
  <si>
    <t>Melting_Curves/meltCurve_sp_O43865_SAHH2_HUMAN_.pdf</t>
  </si>
  <si>
    <t>Melting_Curves/meltCurve_sp_O43896_KIF1C_HUMAN_.pdf</t>
  </si>
  <si>
    <t>Melting_Curves/meltCurve_sp_O60216_RAD21_HUMAN_.pdf</t>
  </si>
  <si>
    <t>Melting_Curves/meltCurve_sp_O60218_AK1BA_HUMAN_.pdf</t>
  </si>
  <si>
    <t>Melting_Curves/meltCurve_sp_O60220_TIM8A_HUMAN_.pdf</t>
  </si>
  <si>
    <t>Melting_Curves/meltCurve_sp_O60231_DHX16_HUMAN_.pdf</t>
  </si>
  <si>
    <t>Melting_Curves/meltCurve_sp_O60234_GMFG_HUMAN_.pdf</t>
  </si>
  <si>
    <t>Melting_Curves/meltCurve_sp_O60240_PLIN1_HUMAN_.pdf</t>
  </si>
  <si>
    <t>Melting_Curves/meltCurve_sp_O60256_KPRB_HUMAN_.pdf</t>
  </si>
  <si>
    <t>Melting_Curves/meltCurve_sp_O60260_5_PRKN2_HUMAN_.pdf</t>
  </si>
  <si>
    <t>Melting_Curves/meltCurve_sp_O60271_4_JIP4_HUMAN_.pdf</t>
  </si>
  <si>
    <t>Melting_Curves/meltCurve_sp_O60341_KDM1A_HUMAN_.pdf</t>
  </si>
  <si>
    <t>Melting_Curves/meltCurve_sp_O60343_2_TBCD4_HUMAN_.pdf</t>
  </si>
  <si>
    <t>Melting_Curves/meltCurve_sp_O60437_PEPL_HUMAN_.pdf</t>
  </si>
  <si>
    <t>Melting_Curves/meltCurve_sp_O60443_DFNA5_HUMAN_.pdf</t>
  </si>
  <si>
    <t>Melting_Curves/meltCurve_sp_O60447_EVI5_HUMAN_.pdf</t>
  </si>
  <si>
    <t>Melting_Curves/meltCurve_sp_O60493_SNX3_HUMAN_.pdf</t>
  </si>
  <si>
    <t>Melting_Curves/meltCurve_sp_O60504_VINEX_HUMAN_.pdf</t>
  </si>
  <si>
    <t>Melting_Curves/meltCurve_sp_O60506_3_HNRPQ_HUMAN_.pdf</t>
  </si>
  <si>
    <t>Melting_Curves/meltCurve_sp_O60518_RNBP6_HUMAN_.pdf</t>
  </si>
  <si>
    <t>Melting_Curves/meltCurve_sp_O60547_2_GMDS_HUMAN_.pdf</t>
  </si>
  <si>
    <t>Melting_Curves/meltCurve_sp_O60551_NMT2_HUMAN_.pdf</t>
  </si>
  <si>
    <t>Melting_Curves/meltCurve_sp_O60568_PLOD3_HUMAN_.pdf</t>
  </si>
  <si>
    <t>Melting_Curves/meltCurve_sp_O60613_SEP15_HUMAN_.pdf</t>
  </si>
  <si>
    <t>Melting_Curves/meltCurve_sp_O60645_3_EXOC3_HUMAN_.pdf</t>
  </si>
  <si>
    <t>Melting_Curves/meltCurve_sp_O60664_4_PLIN3_HUMAN_.pdf</t>
  </si>
  <si>
    <t>Melting_Curves/meltCurve_sp_O60701_UGDH_HUMAN_.pdf</t>
  </si>
  <si>
    <t>Melting_Curves/meltCurve_sp_O60716_5_CTND1_HUMAN_.pdf</t>
  </si>
  <si>
    <t>Melting_Curves/meltCurve_sp_O60749_SNX2_HUMAN_.pdf</t>
  </si>
  <si>
    <t>Melting_Curves/meltCurve_sp_O60763_USO1_HUMAN_.pdf</t>
  </si>
  <si>
    <t>Melting_Curves/meltCurve_sp_O60826_CCD22_HUMAN_.pdf</t>
  </si>
  <si>
    <t>Melting_Curves/meltCurve_sp_O60828_2_PQBP1_HUMAN_.pdf</t>
  </si>
  <si>
    <t>Melting_Curves/meltCurve_sp_O60832_DKC1_HUMAN_.pdf</t>
  </si>
  <si>
    <t>Melting_Curves/meltCurve_sp_O60841_IF2P_HUMAN_.pdf</t>
  </si>
  <si>
    <t>Melting_Curves/meltCurve_sp_O60869_EDF1_HUMAN_.pdf</t>
  </si>
  <si>
    <t>Melting_Curves/meltCurve_sp_O60884_DNJA2_HUMAN_.pdf</t>
  </si>
  <si>
    <t>Melting_Curves/meltCurve_sp_O60885_BRD4_HUMAN_.pdf</t>
  </si>
  <si>
    <t>Melting_Curves/meltCurve_sp_O60888_3_CUTA_HUMAN_.pdf</t>
  </si>
  <si>
    <t>Melting_Curves/meltCurve_sp_O60907_TBL1X_HUMAN_.pdf</t>
  </si>
  <si>
    <t>Melting_Curves/meltCurve_sp_O60925_PFD1_HUMAN_.pdf</t>
  </si>
  <si>
    <t>Melting_Curves/meltCurve_sp_O60927_PP1RB_HUMAN_.pdf</t>
  </si>
  <si>
    <t>Melting_Curves/meltCurve_sp_O60934_NBN_HUMAN_.pdf</t>
  </si>
  <si>
    <t>Melting_Curves/meltCurve_sp_O75052_3_CAPON_HUMAN_.pdf</t>
  </si>
  <si>
    <t>Melting_Curves/meltCurve_sp_O75081_2_MTG16_HUMAN_.pdf</t>
  </si>
  <si>
    <t>Melting_Curves/meltCurve_sp_O75083_WDR1_HUMAN_.pdf</t>
  </si>
  <si>
    <t>Melting_Curves/meltCurve_sp_O75116_ROCK2_HUMAN_.pdf</t>
  </si>
  <si>
    <t>Melting_Curves/meltCurve_sp_O75128_COBL_HUMAN_.pdf</t>
  </si>
  <si>
    <t>Melting_Curves/meltCurve_sp_O75131_CPNE3_HUMAN_.pdf</t>
  </si>
  <si>
    <t>Melting_Curves/meltCurve_sp_O75146_HIP1R_HUMAN_.pdf</t>
  </si>
  <si>
    <t>Melting_Curves/meltCurve_sp_O75150_BRE1B_HUMAN_.pdf</t>
  </si>
  <si>
    <t>Melting_Curves/meltCurve_sp_O75152_ZC11A_HUMAN_.pdf</t>
  </si>
  <si>
    <t>Melting_Curves/meltCurve_sp_O75154_2_RFIP3_HUMAN_.pdf</t>
  </si>
  <si>
    <t>Melting_Curves/meltCurve_sp_O75157_2_T22D2_HUMAN_.pdf</t>
  </si>
  <si>
    <t>Melting_Curves/meltCurve_sp_O75165_DJC13_HUMAN_.pdf</t>
  </si>
  <si>
    <t>Melting_Curves/meltCurve_sp_O75170_4_PP6R2_HUMAN_.pdf</t>
  </si>
  <si>
    <t>Melting_Curves/meltCurve_sp_O75175_CNOT3_HUMAN_.pdf</t>
  </si>
  <si>
    <t>Melting_Curves/meltCurve_sp_O75191_XYLB_HUMAN_.pdf</t>
  </si>
  <si>
    <t>Melting_Curves/meltCurve_sp_O75208_COQ9_HUMAN_.pdf</t>
  </si>
  <si>
    <t>Melting_Curves/meltCurve_sp_O75223_GGCT_HUMAN_.pdf</t>
  </si>
  <si>
    <t>Melting_Curves/meltCurve_sp_O75323_NIPS2_HUMAN_.pdf</t>
  </si>
  <si>
    <t>Melting_Curves/meltCurve_sp_O75340_PDCD6_HUMAN_.pdf</t>
  </si>
  <si>
    <t>Melting_Curves/meltCurve_sp_O75347_TBCA_HUMAN_.pdf</t>
  </si>
  <si>
    <t>Melting_Curves/meltCurve_sp_O75348_VATG1_HUMAN_.pdf</t>
  </si>
  <si>
    <t>Melting_Curves/meltCurve_sp_O75351_VPS4B_HUMAN_.pdf</t>
  </si>
  <si>
    <t>Melting_Curves/meltCurve_sp_O75356_ENTP5_HUMAN_.pdf</t>
  </si>
  <si>
    <t>Melting_Curves/meltCurve_sp_O75367_2_H2AY_HUMAN_.pdf</t>
  </si>
  <si>
    <t>Melting_Curves/meltCurve_sp_O75368_SH3L1_HUMAN_.pdf</t>
  </si>
  <si>
    <t>Melting_Curves/meltCurve_sp_O75369_2_FLNB_HUMAN_.pdf</t>
  </si>
  <si>
    <t>Melting_Curves/meltCurve_sp_O75369_8_FLNB_HUMAN_.pdf</t>
  </si>
  <si>
    <t>Melting_Curves/meltCurve_sp_O75376_NCOR1_HUMAN_.pdf</t>
  </si>
  <si>
    <t>Melting_Curves/meltCurve_sp_O75380_NDUS6_HUMAN_.pdf</t>
  </si>
  <si>
    <t>Melting_Curves/meltCurve_sp_O75382_2_TRIM3_HUMAN_.pdf</t>
  </si>
  <si>
    <t>Melting_Curves/meltCurve_sp_O75396_SC22B_HUMAN_.pdf</t>
  </si>
  <si>
    <t>Melting_Curves/meltCurve_sp_O75410_7_TACC1_HUMAN_.pdf</t>
  </si>
  <si>
    <t>Melting_Curves/meltCurve_sp_O75436_VP26A_HUMAN_.pdf</t>
  </si>
  <si>
    <t>Melting_Curves/meltCurve_sp_O75439_MPPB_HUMAN_.pdf</t>
  </si>
  <si>
    <t>Melting_Curves/meltCurve_sp_O75449_KTNA1_HUMAN_.pdf</t>
  </si>
  <si>
    <t>Melting_Curves/meltCurve_sp_O75452_RDH16_HUMAN_.pdf</t>
  </si>
  <si>
    <t>Melting_Curves/meltCurve_sp_O75475_PSIP1_HUMAN_.pdf</t>
  </si>
  <si>
    <t>Melting_Curves/meltCurve_sp_O75489_NDUS3_HUMAN_.pdf</t>
  </si>
  <si>
    <t>Melting_Curves/meltCurve_sp_O75503_CLN5_HUMAN_.pdf</t>
  </si>
  <si>
    <t>Melting_Curves/meltCurve_sp_O75521_2_ECI2_HUMAN_.pdf</t>
  </si>
  <si>
    <t>Melting_Curves/meltCurve_sp_O75525_2_KHDR3_HUMAN_.pdf</t>
  </si>
  <si>
    <t>Melting_Curves/meltCurve_sp_O75531_BAF_HUMAN_.pdf</t>
  </si>
  <si>
    <t>Melting_Curves/meltCurve_sp_O75533_SF3B1_HUMAN_.pdf</t>
  </si>
  <si>
    <t>Melting_Curves/meltCurve_sp_O75534_CSDE1_HUMAN_.pdf</t>
  </si>
  <si>
    <t>Melting_Curves/meltCurve_sp_O75600_KBL_HUMAN_.pdf</t>
  </si>
  <si>
    <t>Melting_Curves/meltCurve_sp_O75608_2_LYPA1_HUMAN_.pdf</t>
  </si>
  <si>
    <t>Melting_Curves/meltCurve_sp_O75629_CREG1_HUMAN_.pdf</t>
  </si>
  <si>
    <t>Melting_Curves/meltCurve_sp_O75643_U520_HUMAN_.pdf</t>
  </si>
  <si>
    <t>Melting_Curves/meltCurve_sp_O75648_MTU1_HUMAN_.pdf</t>
  </si>
  <si>
    <t>Melting_Curves/meltCurve_sp_O75663_TIPRL_HUMAN_.pdf</t>
  </si>
  <si>
    <t>Melting_Curves/meltCurve_sp_O75688_PPM1B_HUMAN_.pdf</t>
  </si>
  <si>
    <t>Melting_Curves/meltCurve_sp_O75695_XRP2_HUMAN_.pdf</t>
  </si>
  <si>
    <t>Melting_Curves/meltCurve_sp_O75764_TCEA3_HUMAN_.pdf</t>
  </si>
  <si>
    <t>Melting_Curves/meltCurve_sp_O75821_EIF3G_HUMAN_.pdf</t>
  </si>
  <si>
    <t>Melting_Curves/meltCurve_sp_O75822_EIF3J_HUMAN_.pdf</t>
  </si>
  <si>
    <t>Melting_Curves/meltCurve_sp_O75828_CBR3_HUMAN_.pdf</t>
  </si>
  <si>
    <t>Melting_Curves/meltCurve_sp_O75843_AP1G2_HUMAN_.pdf</t>
  </si>
  <si>
    <t>Melting_Curves/meltCurve_sp_O75874_IDHC_HUMAN_.pdf</t>
  </si>
  <si>
    <t>Melting_Curves/meltCurve_sp_O75882_2_ATRN_HUMAN_.pdf</t>
  </si>
  <si>
    <t>Melting_Curves/meltCurve_sp_O75884_RBBP9_HUMAN_.pdf</t>
  </si>
  <si>
    <t>Melting_Curves/meltCurve_sp_O75886_STAM2_HUMAN_.pdf</t>
  </si>
  <si>
    <t>Melting_Curves/meltCurve_sp_O75891_AL1L1_HUMAN_.pdf</t>
  </si>
  <si>
    <t>Melting_Curves/meltCurve_sp_O75915_PRAF3_HUMAN_.pdf</t>
  </si>
  <si>
    <t>Melting_Curves/meltCurve_sp_O75934_SPF27_HUMAN_.pdf</t>
  </si>
  <si>
    <t>Melting_Curves/meltCurve_sp_O75935_DCTN3_HUMAN_.pdf</t>
  </si>
  <si>
    <t>Melting_Curves/meltCurve_sp_O75936_BODG_HUMAN_.pdf</t>
  </si>
  <si>
    <t>Melting_Curves/meltCurve_sp_O75937_DNJC8_HUMAN_.pdf</t>
  </si>
  <si>
    <t>Melting_Curves/meltCurve_sp_O75940_SPF30_HUMAN_.pdf</t>
  </si>
  <si>
    <t>Melting_Curves/meltCurve_sp_O75970_3_MPDZ_HUMAN_.pdf</t>
  </si>
  <si>
    <t>Melting_Curves/meltCurve_sp_O75976_CBPD_HUMAN_.pdf</t>
  </si>
  <si>
    <t>Melting_Curves/meltCurve_sp_O76003_GLRX3_HUMAN_.pdf</t>
  </si>
  <si>
    <t>Melting_Curves/meltCurve_sp_O76024_WFS1_HUMAN_.pdf</t>
  </si>
  <si>
    <t>Melting_Curves/meltCurve_sp_O76027_ANXA9_HUMAN_.pdf</t>
  </si>
  <si>
    <t>Melting_Curves/meltCurve_sp_O76031_CLPX_HUMAN_.pdf</t>
  </si>
  <si>
    <t>Melting_Curves/meltCurve_sp_O76054_S14L2_HUMAN_.pdf</t>
  </si>
  <si>
    <t>Melting_Curves/meltCurve_sp_O76071_CIAO1_HUMAN_.pdf</t>
  </si>
  <si>
    <t>Melting_Curves/meltCurve_sp_O76094_SRP72_HUMAN_.pdf</t>
  </si>
  <si>
    <t>Melting_Curves/meltCurve_sp_O94760_DDAH1_HUMAN_.pdf</t>
  </si>
  <si>
    <t>Melting_Curves/meltCurve_sp_O94776_MTA2_HUMAN_.pdf</t>
  </si>
  <si>
    <t>Melting_Curves/meltCurve_sp_O94788_4_AL1A2_HUMAN_.pdf</t>
  </si>
  <si>
    <t>Melting_Curves/meltCurve_sp_O94811_TPPP_HUMAN_.pdf</t>
  </si>
  <si>
    <t>Melting_Curves/meltCurve_sp_O94817_ATG12_HUMAN_.pdf</t>
  </si>
  <si>
    <t>Melting_Curves/meltCurve_sp_O94819_KBTBB_HUMAN_.pdf</t>
  </si>
  <si>
    <t>Melting_Curves/meltCurve_sp_O94822_LTN1_HUMAN_.pdf</t>
  </si>
  <si>
    <t>Melting_Curves/meltCurve_sp_O94826_TOM70_HUMAN_.pdf</t>
  </si>
  <si>
    <t>Melting_Curves/meltCurve_sp_O94829_IPO13_HUMAN_.pdf</t>
  </si>
  <si>
    <t>Melting_Curves/meltCurve_sp_O94851_5_MICA2_HUMAN_.pdf</t>
  </si>
  <si>
    <t>Melting_Curves/meltCurve_sp_O94855_SC24D_HUMAN_.pdf</t>
  </si>
  <si>
    <t>Melting_Curves/meltCurve_sp_O94874_UFL1_HUMAN_.pdf</t>
  </si>
  <si>
    <t>Melting_Curves/meltCurve_sp_O94875_12_SRBS2_HUMAN_.pdf</t>
  </si>
  <si>
    <t>Melting_Curves/meltCurve_sp_O94880_PHF14_HUMAN_.pdf</t>
  </si>
  <si>
    <t>Melting_Curves/meltCurve_sp_O94887_FARP2_HUMAN_.pdf</t>
  </si>
  <si>
    <t>Melting_Curves/meltCurve_sp_O94888_UBXN7_HUMAN_.pdf</t>
  </si>
  <si>
    <t>Melting_Curves/meltCurve_sp_O94903_PROSC_HUMAN_.pdf</t>
  </si>
  <si>
    <t>Melting_Curves/meltCurve_sp_O94913_PCF11_HUMAN_.pdf</t>
  </si>
  <si>
    <t>Melting_Curves/meltCurve_sp_O94925_GLSK_HUMAN_.pdf</t>
  </si>
  <si>
    <t>Melting_Curves/meltCurve_sp_O94929_2_ABLM3_HUMAN_.pdf</t>
  </si>
  <si>
    <t>Melting_Curves/meltCurve_sp_O94966_7_UBP19_HUMAN_.pdf</t>
  </si>
  <si>
    <t>Melting_Curves/meltCurve_sp_O94973_AP2A2_HUMAN_.pdf</t>
  </si>
  <si>
    <t>Melting_Curves/meltCurve_sp_O94979_6_SC31A_HUMAN_.pdf</t>
  </si>
  <si>
    <t>Melting_Curves/meltCurve_sp_O94992_HEXI1_HUMAN_.pdf</t>
  </si>
  <si>
    <t>Melting_Curves/meltCurve_sp_O95081_AGFG2_HUMAN_.pdf</t>
  </si>
  <si>
    <t>Melting_Curves/meltCurve_sp_O95104_3_SFR15_HUMAN_.pdf</t>
  </si>
  <si>
    <t>Melting_Curves/meltCurve_sp_O95154_ARK73_HUMAN_.pdf</t>
  </si>
  <si>
    <t>Melting_Curves/meltCurve_sp_O95155_2_UBE4B_HUMAN_.pdf</t>
  </si>
  <si>
    <t>Melting_Curves/meltCurve_sp_O95163_ELP1_HUMAN_.pdf</t>
  </si>
  <si>
    <t>Melting_Curves/meltCurve_sp_O95202_LETM1_HUMAN_.pdf</t>
  </si>
  <si>
    <t>Melting_Curves/meltCurve_sp_O95210_STBD1_HUMAN_.pdf</t>
  </si>
  <si>
    <t>Melting_Curves/meltCurve_sp_O95218_2_ZRAB2_HUMAN_.pdf</t>
  </si>
  <si>
    <t>Melting_Curves/meltCurve_sp_O95219_SNX4_HUMAN_.pdf</t>
  </si>
  <si>
    <t>Melting_Curves/meltCurve_sp_O95232_LC7L3_HUMAN_.pdf</t>
  </si>
  <si>
    <t>Melting_Curves/meltCurve_sp_O95243_3_MBD4_HUMAN_.pdf</t>
  </si>
  <si>
    <t>Melting_Curves/meltCurve_sp_O95251_2_KAT7_HUMAN_.pdf</t>
  </si>
  <si>
    <t>Melting_Curves/meltCurve_sp_O95278_6_EPM2A_HUMAN_.pdf</t>
  </si>
  <si>
    <t>Melting_Curves/meltCurve_sp_O95292_VAPB_HUMAN_.pdf</t>
  </si>
  <si>
    <t>Melting_Curves/meltCurve_sp_O95295_SNAPN_HUMAN_.pdf</t>
  </si>
  <si>
    <t>Melting_Curves/meltCurve_sp_O95302_FKBP9_HUMAN_.pdf</t>
  </si>
  <si>
    <t>Melting_Curves/meltCurve_sp_O95336_6PGL_HUMAN_.pdf</t>
  </si>
  <si>
    <t>Melting_Curves/meltCurve_sp_O95340_PAPS2_HUMAN_.pdf</t>
  </si>
  <si>
    <t>Melting_Curves/meltCurve_sp_O95352_ATG7_HUMAN_.pdf</t>
  </si>
  <si>
    <t>Melting_Curves/meltCurve_sp_O95363_SYFM_HUMAN_.pdf</t>
  </si>
  <si>
    <t>Melting_Curves/meltCurve_sp_O95372_LYPA2_HUMAN_.pdf</t>
  </si>
  <si>
    <t>Melting_Curves/meltCurve_sp_O95373_IPO7_HUMAN_.pdf</t>
  </si>
  <si>
    <t>Melting_Curves/meltCurve_sp_O95376_ARI2_HUMAN_.pdf</t>
  </si>
  <si>
    <t>Melting_Curves/meltCurve_sp_O95391_SLU7_HUMAN_.pdf</t>
  </si>
  <si>
    <t>Melting_Curves/meltCurve_sp_O95394_AGM1_HUMAN_.pdf</t>
  </si>
  <si>
    <t>Melting_Curves/meltCurve_sp_O95396_MOCS3_HUMAN_.pdf</t>
  </si>
  <si>
    <t>Melting_Curves/meltCurve_sp_O95399_UTS2_HUMAN_.pdf</t>
  </si>
  <si>
    <t>Melting_Curves/meltCurve_sp_O95400_CD2B2_HUMAN_.pdf</t>
  </si>
  <si>
    <t>Melting_Curves/meltCurve_sp_O95425_2_SVIL_HUMAN_.pdf</t>
  </si>
  <si>
    <t>Melting_Curves/meltCurve_sp_O95429_2_BAG4_HUMAN_.pdf</t>
  </si>
  <si>
    <t>Melting_Curves/meltCurve_sp_O95433_AHSA1_HUMAN_.pdf</t>
  </si>
  <si>
    <t>Melting_Curves/meltCurve_sp_O95453_2_PARN_HUMAN_.pdf</t>
  </si>
  <si>
    <t>Melting_Curves/meltCurve_sp_O95456_PSMG1_HUMAN_.pdf</t>
  </si>
  <si>
    <t>Melting_Curves/meltCurve_sp_O95479_G6PE_HUMAN_.pdf</t>
  </si>
  <si>
    <t>Melting_Curves/meltCurve_sp_O95486_SC24A_HUMAN_.pdf</t>
  </si>
  <si>
    <t>Melting_Curves/meltCurve_sp_O95487_2_SC24B_HUMAN_.pdf</t>
  </si>
  <si>
    <t>Melting_Curves/meltCurve_sp_O95497_VNN1_HUMAN_.pdf</t>
  </si>
  <si>
    <t>Melting_Curves/meltCurve_sp_O95544_NADK_HUMAN_.pdf</t>
  </si>
  <si>
    <t>Melting_Curves/meltCurve_sp_O95551_TYDP2_HUMAN_.pdf</t>
  </si>
  <si>
    <t>Melting_Curves/meltCurve_sp_O95571_ETHE1_HUMAN_.pdf</t>
  </si>
  <si>
    <t>Melting_Curves/meltCurve_sp_O95573_ACSL3_HUMAN_.pdf</t>
  </si>
  <si>
    <t>Melting_Curves/meltCurve_sp_O95628_5_CNOT4_HUMAN_.pdf</t>
  </si>
  <si>
    <t>Melting_Curves/meltCurve_sp_O95630_STABP_HUMAN_.pdf</t>
  </si>
  <si>
    <t>Melting_Curves/meltCurve_sp_O95671_2_ASML_HUMAN_.pdf</t>
  </si>
  <si>
    <t>Melting_Curves/meltCurve_sp_O95684_FR1OP_HUMAN_.pdf</t>
  </si>
  <si>
    <t>Melting_Curves/meltCurve_sp_O95721_SNP29_HUMAN_.pdf</t>
  </si>
  <si>
    <t>Melting_Curves/meltCurve_sp_O95747_OXSR1_HUMAN_.pdf</t>
  </si>
  <si>
    <t>Melting_Curves/meltCurve_sp_O95757_HS74L_HUMAN_.pdf</t>
  </si>
  <si>
    <t>Melting_Curves/meltCurve_sp_O95777_NAA38_HUMAN_.pdf</t>
  </si>
  <si>
    <t>Melting_Curves/meltCurve_sp_O95782_2_AP2A1_HUMAN_.pdf</t>
  </si>
  <si>
    <t>Melting_Curves/meltCurve_sp_O95786_2_DDX58_HUMAN_.pdf</t>
  </si>
  <si>
    <t>Melting_Curves/meltCurve_sp_O95801_TTC4_HUMAN_.pdf</t>
  </si>
  <si>
    <t>Melting_Curves/meltCurve_sp_O95816_BAG2_HUMAN_.pdf</t>
  </si>
  <si>
    <t>Melting_Curves/meltCurve_sp_O95817_BAG3_HUMAN_.pdf</t>
  </si>
  <si>
    <t>Melting_Curves/meltCurve_sp_O95822_DCMC_HUMAN_.pdf</t>
  </si>
  <si>
    <t>Melting_Curves/meltCurve_sp_O95825_QORL1_HUMAN_.pdf</t>
  </si>
  <si>
    <t>Melting_Curves/meltCurve_sp_O95831_3_AIFM1_HUMAN_.pdf</t>
  </si>
  <si>
    <t>Melting_Curves/meltCurve_sp_O95834_EMAL2_HUMAN_.pdf</t>
  </si>
  <si>
    <t>Melting_Curves/meltCurve_sp_O95865_DDAH2_HUMAN_.pdf</t>
  </si>
  <si>
    <t>Melting_Curves/meltCurve_sp_O95881_TXD12_HUMAN_.pdf</t>
  </si>
  <si>
    <t>Melting_Curves/meltCurve_sp_O95954_FTCD_HUMAN_.pdf</t>
  </si>
  <si>
    <t>Melting_Curves/meltCurve_sp_O95989_NUDT3_HUMAN_.pdf</t>
  </si>
  <si>
    <t>Melting_Curves/meltCurve_sp_O95999_BCL10_HUMAN_.pdf</t>
  </si>
  <si>
    <t>Melting_Curves/meltCurve_sp_O96007_MOC2B_HUMAN_.pdf</t>
  </si>
  <si>
    <t>Melting_Curves/meltCurve_sp_O96013_4_PAK4_HUMAN_.pdf</t>
  </si>
  <si>
    <t>Melting_Curves/meltCurve_sp_O96019_ACL6A_HUMAN_.pdf</t>
  </si>
  <si>
    <t>Melting_Curves/meltCurve_sp_O96033_MOC2A_HUMAN_.pdf</t>
  </si>
  <si>
    <t>Melting_Curves/meltCurve_sp_P00325_ADH1B_HUMAN_.pdf</t>
  </si>
  <si>
    <t>Melting_Curves/meltCurve_sp_P00326_ADH1G_HUMAN_.pdf</t>
  </si>
  <si>
    <t>Melting_Curves/meltCurve_sp_P00338_LDHA_HUMAN_.pdf</t>
  </si>
  <si>
    <t>Melting_Curves/meltCurve_sp_P00352_AL1A1_HUMAN_.pdf</t>
  </si>
  <si>
    <t>Melting_Curves/meltCurve_sp_P00374_DYR_HUMAN_.pdf</t>
  </si>
  <si>
    <t>Melting_Curves/meltCurve_sp_P00387_2_NB5R3_HUMAN_.pdf</t>
  </si>
  <si>
    <t>Melting_Curves/meltCurve_sp_P00390_2_GSHR_HUMAN_.pdf</t>
  </si>
  <si>
    <t>Melting_Curves/meltCurve_sp_P00439_PH4H_HUMAN_.pdf</t>
  </si>
  <si>
    <t>Melting_Curves/meltCurve_sp_P00450_CERU_HUMAN_.pdf</t>
  </si>
  <si>
    <t>Melting_Curves/meltCurve_sp_P00480_OTC_HUMAN_.pdf</t>
  </si>
  <si>
    <t>Melting_Curves/meltCurve_sp_P00491_PNPH_HUMAN_.pdf</t>
  </si>
  <si>
    <t>Melting_Curves/meltCurve_sp_P00492_HPRT_HUMAN_.pdf</t>
  </si>
  <si>
    <t>Melting_Curves/meltCurve_sp_P00505_AATM_HUMAN_.pdf</t>
  </si>
  <si>
    <t>Melting_Curves/meltCurve_sp_P00558_PGK1_HUMAN_.pdf</t>
  </si>
  <si>
    <t>Melting_Curves/meltCurve_sp_P00568_KAD1_HUMAN_.pdf</t>
  </si>
  <si>
    <t>Melting_Curves/meltCurve_sp_P00734_THRB_HUMAN_.pdf</t>
  </si>
  <si>
    <t>Melting_Curves/meltCurve_sp_P00736_C1R_HUMAN_.pdf</t>
  </si>
  <si>
    <t>Melting_Curves/meltCurve_sp_P00738_HPT_HUMAN_.pdf</t>
  </si>
  <si>
    <t>Melting_Curves/meltCurve_sp_P00739_HPTR_HUMAN_.pdf</t>
  </si>
  <si>
    <t>Melting_Curves/meltCurve_sp_P00740_FA9_HUMAN_.pdf</t>
  </si>
  <si>
    <t>Melting_Curves/meltCurve_sp_P00742_FA10_HUMAN_.pdf</t>
  </si>
  <si>
    <t>Melting_Curves/meltCurve_sp_P00747_PLMN_HUMAN_.pdf</t>
  </si>
  <si>
    <t>Melting_Curves/meltCurve_sp_P00748_FA12_HUMAN_.pdf</t>
  </si>
  <si>
    <t>Melting_Curves/meltCurve_sp_P00966_ASSY_HUMAN_.pdf</t>
  </si>
  <si>
    <t>Melting_Curves/meltCurve_sp_P01009_A1AT_HUMAN_.pdf</t>
  </si>
  <si>
    <t>Melting_Curves/meltCurve_sp_P01011_AACT_HUMAN_.pdf</t>
  </si>
  <si>
    <t>Melting_Curves/meltCurve_sp_P01019_ANGT_HUMAN_.pdf</t>
  </si>
  <si>
    <t>Melting_Curves/meltCurve_sp_P01023_A2MG_HUMAN_.pdf</t>
  </si>
  <si>
    <t>Melting_Curves/meltCurve_sp_P01024_CO3_HUMAN_.pdf</t>
  </si>
  <si>
    <t>Melting_Curves/meltCurve_sp_P01034_CYTC_HUMAN_.pdf</t>
  </si>
  <si>
    <t>Melting_Curves/meltCurve_sp_P01040_CYTA_HUMAN_.pdf</t>
  </si>
  <si>
    <t>Melting_Curves/meltCurve_sp_P01042_2_KNG1_HUMAN_.pdf</t>
  </si>
  <si>
    <t>Melting_Curves/meltCurve_sp_P01111_RASN_HUMAN_.pdf</t>
  </si>
  <si>
    <t>Melting_Curves/meltCurve_sp_P01116_2_RASK_HUMAN_.pdf</t>
  </si>
  <si>
    <t>Melting_Curves/meltCurve_sp_P01116_RASK_HUMAN_.pdf</t>
  </si>
  <si>
    <t>Melting_Curves/meltCurve_sp_P01608_KV116_HUMAN_.pdf</t>
  </si>
  <si>
    <t>Melting_Curves/meltCurve_sp_P01743_HV102_HUMAN_.pdf</t>
  </si>
  <si>
    <t>Melting_Curves/meltCurve_sp_P01764_HV303_HUMAN_.pdf</t>
  </si>
  <si>
    <t>Melting_Curves/meltCurve_sp_P01766_HV305_HUMAN_.pdf</t>
  </si>
  <si>
    <t>Melting_Curves/meltCurve_sp_P01834_IGKC_HUMAN_.pdf</t>
  </si>
  <si>
    <t>Melting_Curves/meltCurve_sp_P01857_IGHG1_HUMAN_.pdf</t>
  </si>
  <si>
    <t>Melting_Curves/meltCurve_sp_P01859_IGHG2_HUMAN_.pdf</t>
  </si>
  <si>
    <t>Melting_Curves/meltCurve_sp_P01860_IGHG3_HUMAN_.pdf</t>
  </si>
  <si>
    <t>Melting_Curves/meltCurve_sp_P01871_IGHM_HUMAN_.pdf</t>
  </si>
  <si>
    <t>Melting_Curves/meltCurve_sp_P01876_IGHA1_HUMAN_.pdf</t>
  </si>
  <si>
    <t>Melting_Curves/meltCurve_sp_P01877_IGHA2_HUMAN_.pdf</t>
  </si>
  <si>
    <t>Melting_Curves/meltCurve_sp_P02008_HBAZ_HUMAN_.pdf</t>
  </si>
  <si>
    <t>Melting_Curves/meltCurve_sp_P02452_CO1A1_HUMAN_.pdf</t>
  </si>
  <si>
    <t>Melting_Curves/meltCurve_sp_P02462_CO4A1_HUMAN_.pdf</t>
  </si>
  <si>
    <t>Melting_Curves/meltCurve_sp_P02538_K2C6A_HUMAN_.pdf</t>
  </si>
  <si>
    <t>Melting_Curves/meltCurve_sp_P02545_LMNA_HUMAN_.pdf</t>
  </si>
  <si>
    <t>Melting_Curves/meltCurve_sp_P02647_APOA1_HUMAN_.pdf</t>
  </si>
  <si>
    <t>Melting_Curves/meltCurve_sp_P02649_APOE_HUMAN_.pdf</t>
  </si>
  <si>
    <t>Melting_Curves/meltCurve_sp_P02652_APOA2_HUMAN_.pdf</t>
  </si>
  <si>
    <t>Melting_Curves/meltCurve_sp_P02656_APOC3_HUMAN_.pdf</t>
  </si>
  <si>
    <t>Melting_Curves/meltCurve_sp_P02671_2_FIBA_HUMAN_.pdf</t>
  </si>
  <si>
    <t>Melting_Curves/meltCurve_sp_P02675_FIBB_HUMAN_.pdf</t>
  </si>
  <si>
    <t>Melting_Curves/meltCurve_sp_P02679_2_FIBG_HUMAN_.pdf</t>
  </si>
  <si>
    <t>Melting_Curves/meltCurve_sp_P02743_SAMP_HUMAN_.pdf</t>
  </si>
  <si>
    <t>Melting_Curves/meltCurve_sp_P02748_CO9_HUMAN_.pdf</t>
  </si>
  <si>
    <t>Melting_Curves/meltCurve_sp_P02749_APOH_HUMAN_.pdf</t>
  </si>
  <si>
    <t>Melting_Curves/meltCurve_sp_P02750_A2GL_HUMAN_.pdf</t>
  </si>
  <si>
    <t>Melting_Curves/meltCurve_sp_P02751_10_FINC_HUMAN_.pdf</t>
  </si>
  <si>
    <t>Melting_Curves/meltCurve_sp_P02760_AMBP_HUMAN_.pdf</t>
  </si>
  <si>
    <t>Melting_Curves/meltCurve_sp_P02763_A1AG1_HUMAN_.pdf</t>
  </si>
  <si>
    <t>Melting_Curves/meltCurve_sp_P02765_FETUA_HUMAN_.pdf</t>
  </si>
  <si>
    <t>Melting_Curves/meltCurve_sp_P02766_TTHY_HUMAN_.pdf</t>
  </si>
  <si>
    <t>Melting_Curves/meltCurve_sp_P02771_FETA_HUMAN_.pdf</t>
  </si>
  <si>
    <t>Melting_Curves/meltCurve_sp_P02774_VTDB_HUMAN_.pdf</t>
  </si>
  <si>
    <t>Melting_Curves/meltCurve_sp_P02790_HEMO_HUMAN_.pdf</t>
  </si>
  <si>
    <t>Melting_Curves/meltCurve_sp_P02792_FRIL_HUMAN_.pdf</t>
  </si>
  <si>
    <t>Melting_Curves/meltCurve_sp_P02794_FRIH_HUMAN_.pdf</t>
  </si>
  <si>
    <t>Melting_Curves/meltCurve_sp_P02795_MT2_HUMAN_.pdf</t>
  </si>
  <si>
    <t>Melting_Curves/meltCurve_sp_P03950_ANGI_HUMAN_.pdf</t>
  </si>
  <si>
    <t>Melting_Curves/meltCurve_sp_P03952_KLKB1_HUMAN_.pdf</t>
  </si>
  <si>
    <t>Melting_Curves/meltCurve_sp_P04003_C4BPA_HUMAN_.pdf</t>
  </si>
  <si>
    <t>Melting_Curves/meltCurve_sp_P04004_VTNC_HUMAN_.pdf</t>
  </si>
  <si>
    <t>Melting_Curves/meltCurve_sp_P04066_FUCO_HUMAN_.pdf</t>
  </si>
  <si>
    <t>Melting_Curves/meltCurve_sp_P04080_CYTB_HUMAN_.pdf</t>
  </si>
  <si>
    <t>Melting_Curves/meltCurve_sp_P04114_APOB_HUMAN_.pdf</t>
  </si>
  <si>
    <t>Melting_Curves/meltCurve_sp_P04150_7_GCR_HUMAN_.pdf</t>
  </si>
  <si>
    <t>Melting_Curves/meltCurve_sp_P04179_SODM_HUMAN_.pdf</t>
  </si>
  <si>
    <t>Melting_Curves/meltCurve_sp_P04181_OAT_HUMAN_.pdf</t>
  </si>
  <si>
    <t>Melting_Curves/meltCurve_sp_P04196_HRG_HUMAN_.pdf</t>
  </si>
  <si>
    <t>Melting_Curves/meltCurve_sp_P04206_KV307_HUMAN_.pdf</t>
  </si>
  <si>
    <t>Melting_Curves/meltCurve_sp_P04217_A1BG_HUMAN_.pdf</t>
  </si>
  <si>
    <t>Melting_Curves/meltCurve_sp_P04264_K2C1_HUMAN_.pdf</t>
  </si>
  <si>
    <t>Melting_Curves/meltCurve_sp_P04406_G3P_HUMAN_.pdf</t>
  </si>
  <si>
    <t>Melting_Curves/meltCurve_sp_P04424_ARLY_HUMAN_.pdf</t>
  </si>
  <si>
    <t>Melting_Curves/meltCurve_sp_P04632_CPNS1_HUMAN_.pdf</t>
  </si>
  <si>
    <t>Melting_Curves/meltCurve_sp_P04731_MT1A_HUMAN_.pdf</t>
  </si>
  <si>
    <t>Melting_Curves/meltCurve_sp_P04732_MT1E_HUMAN_.pdf</t>
  </si>
  <si>
    <t>Melting_Curves/meltCurve_sp_P04733_MT1F_HUMAN_.pdf</t>
  </si>
  <si>
    <t>Melting_Curves/meltCurve_sp_P04792_HSPB1_HUMAN_.pdf</t>
  </si>
  <si>
    <t>Melting_Curves/meltCurve_sp_P04899_GNAI2_HUMAN_.pdf</t>
  </si>
  <si>
    <t>Melting_Curves/meltCurve_sp_P05023_3_AT1A1_HUMAN_.pdf</t>
  </si>
  <si>
    <t>Melting_Curves/meltCurve_sp_P05062_ALDOB_HUMAN_.pdf</t>
  </si>
  <si>
    <t>Melting_Curves/meltCurve_sp_P05089_ARGI1_HUMAN_.pdf</t>
  </si>
  <si>
    <t>Melting_Curves/meltCurve_sp_P05090_APOD_HUMAN_.pdf</t>
  </si>
  <si>
    <t>Melting_Curves/meltCurve_sp_P05091_ALDH2_HUMAN_.pdf</t>
  </si>
  <si>
    <t>Melting_Curves/meltCurve_sp_P05109_S10A8_HUMAN_.pdf</t>
  </si>
  <si>
    <t>Melting_Curves/meltCurve_sp_P05114_HMGN1_HUMAN_.pdf</t>
  </si>
  <si>
    <t>Melting_Curves/meltCurve_sp_P05141_ADT2_HUMAN_.pdf</t>
  </si>
  <si>
    <t>Melting_Curves/meltCurve_sp_P05154_IPSP_HUMAN_.pdf</t>
  </si>
  <si>
    <t>Melting_Curves/meltCurve_sp_P05155_IC1_HUMAN_.pdf</t>
  </si>
  <si>
    <t>Melting_Curves/meltCurve_sp_P05161_ISG15_HUMAN_.pdf</t>
  </si>
  <si>
    <t>Melting_Curves/meltCurve_sp_P05164_2_PERM_HUMAN_.pdf</t>
  </si>
  <si>
    <t>Melting_Curves/meltCurve_sp_P05165_PCCA_HUMAN_.pdf</t>
  </si>
  <si>
    <t>Melting_Curves/meltCurve_sp_P05166_PCCB_HUMAN_.pdf</t>
  </si>
  <si>
    <t>Melting_Curves/meltCurve_sp_P05177_CP1A2_HUMAN_.pdf</t>
  </si>
  <si>
    <t>Melting_Curves/meltCurve_sp_P05181_CP2E1_HUMAN_.pdf</t>
  </si>
  <si>
    <t>Melting_Curves/meltCurve_sp_P05186_PPBT_HUMAN_.pdf</t>
  </si>
  <si>
    <t>Melting_Curves/meltCurve_sp_P05198_IF2A_HUMAN_.pdf</t>
  </si>
  <si>
    <t>Melting_Curves/meltCurve_sp_P05204_HMGN2_HUMAN_.pdf</t>
  </si>
  <si>
    <t>Melting_Curves/meltCurve_sp_P05387_RLA2_HUMAN_.pdf</t>
  </si>
  <si>
    <t>Melting_Curves/meltCurve_sp_P05455_LA_HUMAN_.pdf</t>
  </si>
  <si>
    <t>Melting_Curves/meltCurve_sp_P05543_THBG_HUMAN_.pdf</t>
  </si>
  <si>
    <t>Melting_Curves/meltCurve_sp_P05546_HEP2_HUMAN_.pdf</t>
  </si>
  <si>
    <t>Melting_Curves/meltCurve_sp_P05556_ITB1_HUMAN_.pdf</t>
  </si>
  <si>
    <t>Melting_Curves/meltCurve_sp_P05783_K1C18_HUMAN_.pdf</t>
  </si>
  <si>
    <t>Melting_Curves/meltCurve_sp_P05787_K2C8_HUMAN_.pdf</t>
  </si>
  <si>
    <t>Melting_Curves/meltCurve_sp_P05976_2_MYL1_HUMAN_.pdf</t>
  </si>
  <si>
    <t>Melting_Curves/meltCurve_sp_P06132_DCUP_HUMAN_.pdf</t>
  </si>
  <si>
    <t>Melting_Curves/meltCurve_sp_P06133_UD2B4_HUMAN_.pdf</t>
  </si>
  <si>
    <t>Melting_Curves/meltCurve_sp_P06280_AGAL_HUMAN_.pdf</t>
  </si>
  <si>
    <t>Melting_Curves/meltCurve_sp_P06576_ATPB_HUMAN_.pdf</t>
  </si>
  <si>
    <t>Melting_Curves/meltCurve_sp_P06681_CO2_HUMAN_.pdf</t>
  </si>
  <si>
    <t>Melting_Curves/meltCurve_sp_P06702_S10A9_HUMAN_.pdf</t>
  </si>
  <si>
    <t>Melting_Curves/meltCurve_sp_P06727_APOA4_HUMAN_.pdf</t>
  </si>
  <si>
    <t>Melting_Curves/meltCurve_sp_P06730_IF4E_HUMAN_.pdf</t>
  </si>
  <si>
    <t>Melting_Curves/meltCurve_sp_P06733_ENOA_HUMAN_.pdf</t>
  </si>
  <si>
    <t>Melting_Curves/meltCurve_sp_P06737_PYGL_HUMAN_.pdf</t>
  </si>
  <si>
    <t>Melting_Curves/meltCurve_sp_P06744_G6PI_HUMAN_.pdf</t>
  </si>
  <si>
    <t>Melting_Curves/meltCurve_sp_P06748_NPM_HUMAN_.pdf</t>
  </si>
  <si>
    <t>Melting_Curves/meltCurve_sp_P06753_2_TPM3_HUMAN_.pdf</t>
  </si>
  <si>
    <t>Melting_Curves/meltCurve_sp_P06865_HEXA_HUMAN_.pdf</t>
  </si>
  <si>
    <t>Melting_Curves/meltCurve_sp_P07099_HYEP_HUMAN_.pdf</t>
  </si>
  <si>
    <t>Melting_Curves/meltCurve_sp_P07108_ACBP_HUMAN_.pdf</t>
  </si>
  <si>
    <t>Melting_Curves/meltCurve_sp_P07148_FABPL_HUMAN_.pdf</t>
  </si>
  <si>
    <t>Melting_Curves/meltCurve_sp_P07195_LDHB_HUMAN_.pdf</t>
  </si>
  <si>
    <t>Melting_Curves/meltCurve_sp_P07203_GPX1_HUMAN_.pdf</t>
  </si>
  <si>
    <t>Melting_Curves/meltCurve_sp_P07205_PGK2_HUMAN_.pdf</t>
  </si>
  <si>
    <t>Melting_Curves/meltCurve_sp_P07237_PDIA1_HUMAN_.pdf</t>
  </si>
  <si>
    <t>Melting_Curves/meltCurve_sp_P07305_H10_HUMAN_.pdf</t>
  </si>
  <si>
    <t>Melting_Curves/meltCurve_sp_P07307_3_ASGR2_HUMAN_.pdf</t>
  </si>
  <si>
    <t>Melting_Curves/meltCurve_sp_P07327_ADH1A_HUMAN_.pdf</t>
  </si>
  <si>
    <t>Melting_Curves/meltCurve_sp_P07355_ANXA2_HUMAN_.pdf</t>
  </si>
  <si>
    <t>Melting_Curves/meltCurve_sp_P07357_CO8A_HUMAN_.pdf</t>
  </si>
  <si>
    <t>Melting_Curves/meltCurve_sp_P07360_CO8G_HUMAN_.pdf</t>
  </si>
  <si>
    <t>Melting_Curves/meltCurve_sp_P07384_CAN1_HUMAN_.pdf</t>
  </si>
  <si>
    <t>Melting_Curves/meltCurve_sp_P07438_MT1B_HUMAN_.pdf</t>
  </si>
  <si>
    <t>Melting_Curves/meltCurve_sp_P07602_SAP_HUMAN_.pdf</t>
  </si>
  <si>
    <t>Melting_Curves/meltCurve_sp_P07686_HEXB_HUMAN_.pdf</t>
  </si>
  <si>
    <t>Melting_Curves/meltCurve_sp_P07711_CATL1_HUMAN_.pdf</t>
  </si>
  <si>
    <t>Melting_Curves/meltCurve_sp_P07737_PROF1_HUMAN_.pdf</t>
  </si>
  <si>
    <t>Melting_Curves/meltCurve_sp_P07738_PMGE_HUMAN_.pdf</t>
  </si>
  <si>
    <t>Melting_Curves/meltCurve_sp_P07741_APT_HUMAN_.pdf</t>
  </si>
  <si>
    <t>Melting_Curves/meltCurve_sp_P07814_SYEP_HUMAN_.pdf</t>
  </si>
  <si>
    <t>Melting_Curves/meltCurve_sp_P07858_CATB_HUMAN_.pdf</t>
  </si>
  <si>
    <t>Melting_Curves/meltCurve_sp_P07900_HS90A_HUMAN_.pdf</t>
  </si>
  <si>
    <t>Melting_Curves/meltCurve_sp_P07902_GALT_HUMAN_.pdf</t>
  </si>
  <si>
    <t>Melting_Curves/meltCurve_sp_P07947_YES_HUMAN_.pdf</t>
  </si>
  <si>
    <t>Melting_Curves/meltCurve_sp_P07954_2_FUMH_HUMAN_.pdf</t>
  </si>
  <si>
    <t>Melting_Curves/meltCurve_sp_P07996_TSP1_HUMAN_.pdf</t>
  </si>
  <si>
    <t>Melting_Curves/meltCurve_sp_P08107_HSP71_HUMAN_.pdf</t>
  </si>
  <si>
    <t>Melting_Curves/meltCurve_sp_P08123_CO1A2_HUMAN_.pdf</t>
  </si>
  <si>
    <t>Melting_Curves/meltCurve_sp_P08133_ANXA6_HUMAN_.pdf</t>
  </si>
  <si>
    <t>Melting_Curves/meltCurve_sp_P08185_CBG_HUMAN_.pdf</t>
  </si>
  <si>
    <t>Melting_Curves/meltCurve_sp_P08236_2_BGLR_HUMAN_.pdf</t>
  </si>
  <si>
    <t>Melting_Curves/meltCurve_sp_P08238_HS90B_HUMAN_.pdf</t>
  </si>
  <si>
    <t>Melting_Curves/meltCurve_sp_P08240_2_SRPR_HUMAN_.pdf</t>
  </si>
  <si>
    <t>Melting_Curves/meltCurve_sp_P08294_SODE_HUMAN_.pdf</t>
  </si>
  <si>
    <t>Melting_Curves/meltCurve_sp_P08319_ADH4_HUMAN_.pdf</t>
  </si>
  <si>
    <t>Melting_Curves/meltCurve_sp_P08397_2_HEM3_HUMAN_.pdf</t>
  </si>
  <si>
    <t>Melting_Curves/meltCurve_sp_P08519_APOA_HUMAN_.pdf</t>
  </si>
  <si>
    <t>Melting_Curves/meltCurve_sp_P08559_3_ODPA_HUMAN_.pdf</t>
  </si>
  <si>
    <t>Melting_Curves/meltCurve_sp_P08571_CD14_HUMAN_.pdf</t>
  </si>
  <si>
    <t>Melting_Curves/meltCurve_sp_P08579_RU2B_HUMAN_.pdf</t>
  </si>
  <si>
    <t>Melting_Curves/meltCurve_sp_P08581_MET_HUMAN_.pdf</t>
  </si>
  <si>
    <t>Melting_Curves/meltCurve_sp_P08603_CFAH_HUMAN_.pdf</t>
  </si>
  <si>
    <t>Melting_Curves/meltCurve_sp_P08621_2_RU17_HUMAN_.pdf</t>
  </si>
  <si>
    <t>Melting_Curves/meltCurve_sp_P08651_2_NFIC_HUMAN_.pdf</t>
  </si>
  <si>
    <t>Melting_Curves/meltCurve_sp_P08670_VIME_HUMAN_.pdf</t>
  </si>
  <si>
    <t>Melting_Curves/meltCurve_sp_P08684_CP3A4_HUMAN_.pdf</t>
  </si>
  <si>
    <t>Melting_Curves/meltCurve_sp_P08697_A2AP_HUMAN_.pdf</t>
  </si>
  <si>
    <t>Melting_Curves/meltCurve_sp_P08727_K1C19_HUMAN_.pdf</t>
  </si>
  <si>
    <t>Melting_Curves/meltCurve_sp_P08729_K2C7_HUMAN_.pdf</t>
  </si>
  <si>
    <t>Melting_Curves/meltCurve_sp_P08754_GNAI3_HUMAN_.pdf</t>
  </si>
  <si>
    <t>Melting_Curves/meltCurve_sp_P08779_K1C16_HUMAN_.pdf</t>
  </si>
  <si>
    <t>Melting_Curves/meltCurve_sp_P09012_SNRPA_HUMAN_.pdf</t>
  </si>
  <si>
    <t>Melting_Curves/meltCurve_sp_P09110_THIK_HUMAN_.pdf</t>
  </si>
  <si>
    <t>Melting_Curves/meltCurve_sp_P09132_SRP19_HUMAN_.pdf</t>
  </si>
  <si>
    <t>Melting_Curves/meltCurve_sp_P09210_GSTA2_HUMAN_.pdf</t>
  </si>
  <si>
    <t>Melting_Curves/meltCurve_sp_P09234_RU1C_HUMAN_.pdf</t>
  </si>
  <si>
    <t>Melting_Curves/meltCurve_sp_P09327_VILI_HUMAN_.pdf</t>
  </si>
  <si>
    <t>Melting_Curves/meltCurve_sp_P09382_LEG1_HUMAN_.pdf</t>
  </si>
  <si>
    <t>Melting_Curves/meltCurve_sp_P09417_DHPR_HUMAN_.pdf</t>
  </si>
  <si>
    <t>Melting_Curves/meltCurve_sp_P09429_HMGB1_HUMAN_.pdf</t>
  </si>
  <si>
    <t>Melting_Curves/meltCurve_sp_P09467_F16P1_HUMAN_.pdf</t>
  </si>
  <si>
    <t>Melting_Curves/meltCurve_sp_P09493_3_TPM1_HUMAN_.pdf</t>
  </si>
  <si>
    <t>Melting_Curves/meltCurve_sp_P09496_2_CLCA_HUMAN_.pdf</t>
  </si>
  <si>
    <t>Melting_Curves/meltCurve_sp_P09497_2_CLCB_HUMAN_.pdf</t>
  </si>
  <si>
    <t>Melting_Curves/meltCurve_sp_P09525_ANXA4_HUMAN_.pdf</t>
  </si>
  <si>
    <t>Melting_Curves/meltCurve_sp_P09543_2_CN37_HUMAN_.pdf</t>
  </si>
  <si>
    <t>Melting_Curves/meltCurve_sp_P09601_HMOX1_HUMAN_.pdf</t>
  </si>
  <si>
    <t>Melting_Curves/meltCurve_sp_P09622_DLDH_HUMAN_.pdf</t>
  </si>
  <si>
    <t>Melting_Curves/meltCurve_sp_P09651_3_ROA1_HUMAN_.pdf</t>
  </si>
  <si>
    <t>Melting_Curves/meltCurve_sp_P09661_RU2A_HUMAN_.pdf</t>
  </si>
  <si>
    <t>Melting_Curves/meltCurve_sp_P09668_CATH_HUMAN_.pdf</t>
  </si>
  <si>
    <t>Melting_Curves/meltCurve_sp_P09871_C1S_HUMAN_.pdf</t>
  </si>
  <si>
    <t>Melting_Curves/meltCurve_sp_P09874_PARP1_HUMAN_.pdf</t>
  </si>
  <si>
    <t>Melting_Curves/meltCurve_sp_P09913_IFIT2_HUMAN_.pdf</t>
  </si>
  <si>
    <t>Melting_Curves/meltCurve_sp_P09960_LKHA4_HUMAN_.pdf</t>
  </si>
  <si>
    <t>Melting_Curves/meltCurve_sp_P09972_ALDOC_HUMAN_.pdf</t>
  </si>
  <si>
    <t>Melting_Curves/meltCurve_sp_P0C0L4_CO4A_HUMAN_.pdf</t>
  </si>
  <si>
    <t>Melting_Curves/meltCurve_sp_P0C0L5_CO4B_HUMAN_.pdf</t>
  </si>
  <si>
    <t>Melting_Curves/meltCurve_sp_P0C7P0_CISD3_HUMAN_.pdf</t>
  </si>
  <si>
    <t>Melting_Curves/meltCurve_sp_P0C7U0_ELFN1_HUMAN_.pdf</t>
  </si>
  <si>
    <t>Melting_Curves/meltCurve_sp_P0CAP1_11_MYZAP_HUMAN_.pdf</t>
  </si>
  <si>
    <t>Melting_Curves/meltCurve_sp_P0CG05_LAC2_HUMAN_.pdf</t>
  </si>
  <si>
    <t>Melting_Curves/meltCurve_sp_P0DI82_TPC2B_HUMAN_.pdf</t>
  </si>
  <si>
    <t>Melting_Curves/meltCurve_sp_P0DJI8_SAA1_HUMAN_.pdf</t>
  </si>
  <si>
    <t>Melting_Curves/meltCurve_sp_P10109_ADX_HUMAN_.pdf</t>
  </si>
  <si>
    <t>Melting_Curves/meltCurve_sp_P10153_RNAS2_HUMAN_.pdf</t>
  </si>
  <si>
    <t>Melting_Curves/meltCurve_sp_P10155_RO60_HUMAN_.pdf</t>
  </si>
  <si>
    <t>Melting_Curves/meltCurve_sp_P10253_LYAG_HUMAN_.pdf</t>
  </si>
  <si>
    <t>Melting_Curves/meltCurve_sp_P10398_ARAF_HUMAN_.pdf</t>
  </si>
  <si>
    <t>Melting_Curves/meltCurve_sp_P10412_H14_HUMAN_.pdf</t>
  </si>
  <si>
    <t>Melting_Curves/meltCurve_sp_P10515_ODP2_HUMAN_.pdf</t>
  </si>
  <si>
    <t>Melting_Curves/meltCurve_sp_P10586_2_PTPRF_HUMAN_.pdf</t>
  </si>
  <si>
    <t>Melting_Curves/meltCurve_sp_P10606_COX5B_HUMAN_.pdf</t>
  </si>
  <si>
    <t>Melting_Curves/meltCurve_sp_P10619_PPGB_HUMAN_.pdf</t>
  </si>
  <si>
    <t>Melting_Curves/meltCurve_sp_P10632_CP2C8_HUMAN_.pdf</t>
  </si>
  <si>
    <t>Melting_Curves/meltCurve_sp_P10635_CP2D6_HUMAN_.pdf</t>
  </si>
  <si>
    <t>Melting_Curves/meltCurve_sp_P10643_CO7_HUMAN_.pdf</t>
  </si>
  <si>
    <t>Melting_Curves/meltCurve_sp_P10644_KAP0_HUMAN_.pdf</t>
  </si>
  <si>
    <t>Melting_Curves/meltCurve_sp_P10746_HEM4_HUMAN_.pdf</t>
  </si>
  <si>
    <t>Melting_Curves/meltCurve_sp_P10768_ESTD_HUMAN_.pdf</t>
  </si>
  <si>
    <t>Melting_Curves/meltCurve_sp_P10809_CH60_HUMAN_.pdf</t>
  </si>
  <si>
    <t>Melting_Curves/meltCurve_sp_P10909_4_CLUS_HUMAN_.pdf</t>
  </si>
  <si>
    <t>Melting_Curves/meltCurve_sp_P11021_GRP78_HUMAN_.pdf</t>
  </si>
  <si>
    <t>Melting_Curves/meltCurve_sp_P11047_LAMC1_HUMAN_.pdf</t>
  </si>
  <si>
    <t>Melting_Curves/meltCurve_sp_P11142_HSP7C_HUMAN_.pdf</t>
  </si>
  <si>
    <t>Melting_Curves/meltCurve_sp_P11168_GTR2_HUMAN_.pdf</t>
  </si>
  <si>
    <t>Melting_Curves/meltCurve_sp_P11171_4_41_HUMAN_.pdf</t>
  </si>
  <si>
    <t>Melting_Curves/meltCurve_sp_P11172_UMPS_HUMAN_.pdf</t>
  </si>
  <si>
    <t>Melting_Curves/meltCurve_sp_P11177_2_ODPB_HUMAN_.pdf</t>
  </si>
  <si>
    <t>Melting_Curves/meltCurve_sp_P11182_ODB2_HUMAN_.pdf</t>
  </si>
  <si>
    <t>Melting_Curves/meltCurve_sp_P11216_PYGB_HUMAN_.pdf</t>
  </si>
  <si>
    <t>Melting_Curves/meltCurve_sp_P11226_MBL2_HUMAN_.pdf</t>
  </si>
  <si>
    <t>Melting_Curves/meltCurve_sp_P11245_ARY2_HUMAN_.pdf</t>
  </si>
  <si>
    <t>Melting_Curves/meltCurve_sp_P11274_2_BCR_HUMAN_.pdf</t>
  </si>
  <si>
    <t>Melting_Curves/meltCurve_sp_P11279_LAMP1_HUMAN_.pdf</t>
  </si>
  <si>
    <t>Melting_Curves/meltCurve_sp_P11310_ACADM_HUMAN_.pdf</t>
  </si>
  <si>
    <t>Melting_Curves/meltCurve_sp_P11413_G6PD_HUMAN_.pdf</t>
  </si>
  <si>
    <t>Melting_Curves/meltCurve_sp_P11441_UBL4A_HUMAN_.pdf</t>
  </si>
  <si>
    <t>Melting_Curves/meltCurve_sp_P11498_PYC_HUMAN_.pdf</t>
  </si>
  <si>
    <t>Melting_Curves/meltCurve_sp_P11509_CP2A6_HUMAN_.pdf</t>
  </si>
  <si>
    <t>Melting_Curves/meltCurve_sp_P11532_3_DMD_HUMAN_.pdf</t>
  </si>
  <si>
    <t>Melting_Curves/meltCurve_sp_P11586_C1TC_HUMAN_.pdf</t>
  </si>
  <si>
    <t>Melting_Curves/meltCurve_sp_P11712_CP2C9_HUMAN_.pdf</t>
  </si>
  <si>
    <t>Melting_Curves/meltCurve_sp_P11717_MPRI_HUMAN_.pdf</t>
  </si>
  <si>
    <t>Melting_Curves/meltCurve_sp_P11766_ADHX_HUMAN_.pdf</t>
  </si>
  <si>
    <t>Melting_Curves/meltCurve_sp_P11802_CDK4_HUMAN_.pdf</t>
  </si>
  <si>
    <t>Melting_Curves/meltCurve_sp_P11908_PRPS2_HUMAN_.pdf</t>
  </si>
  <si>
    <t>Melting_Curves/meltCurve_sp_P11940_PABP1_HUMAN_.pdf</t>
  </si>
  <si>
    <t>Melting_Curves/meltCurve_sp_P12004_PCNA_HUMAN_.pdf</t>
  </si>
  <si>
    <t>Melting_Curves/meltCurve_sp_P12270_TPR_HUMAN_.pdf</t>
  </si>
  <si>
    <t>Melting_Curves/meltCurve_sp_P12694_ODBA_HUMAN_.pdf</t>
  </si>
  <si>
    <t>Melting_Curves/meltCurve_sp_P12724_ECP_HUMAN_.pdf</t>
  </si>
  <si>
    <t>Melting_Curves/meltCurve_sp_P12814_ACTN1_HUMAN_.pdf</t>
  </si>
  <si>
    <t>Melting_Curves/meltCurve_sp_P12955_PEPD_HUMAN_.pdf</t>
  </si>
  <si>
    <t>Melting_Curves/meltCurve_sp_P12956_XRCC6_HUMAN_.pdf</t>
  </si>
  <si>
    <t>Melting_Curves/meltCurve_sp_P13010_XRCC5_HUMAN_.pdf</t>
  </si>
  <si>
    <t>Melting_Curves/meltCurve_sp_P13073_COX41_HUMAN_.pdf</t>
  </si>
  <si>
    <t>Melting_Curves/meltCurve_sp_P13196_HEM1_HUMAN_.pdf</t>
  </si>
  <si>
    <t>Melting_Curves/meltCurve_sp_P13284_GILT_HUMAN_.pdf</t>
  </si>
  <si>
    <t>Melting_Curves/meltCurve_sp_P13473_LAMP2_HUMAN_.pdf</t>
  </si>
  <si>
    <t>Melting_Curves/meltCurve_sp_P13489_RINI_HUMAN_.pdf</t>
  </si>
  <si>
    <t>Melting_Curves/meltCurve_sp_P13639_EF2_HUMAN_.pdf</t>
  </si>
  <si>
    <t>Melting_Curves/meltCurve_sp_P13640_2_MT1G_HUMAN_.pdf</t>
  </si>
  <si>
    <t>Melting_Curves/meltCurve_sp_P13640_MT1G_HUMAN_.pdf</t>
  </si>
  <si>
    <t>Melting_Curves/meltCurve_sp_P13647_K2C5_HUMAN_.pdf</t>
  </si>
  <si>
    <t>Melting_Curves/meltCurve_sp_P13667_PDIA4_HUMAN_.pdf</t>
  </si>
  <si>
    <t>Melting_Curves/meltCurve_sp_P13671_CO6_HUMAN_.pdf</t>
  </si>
  <si>
    <t>Melting_Curves/meltCurve_sp_P13674_2_P4HA1_HUMAN_.pdf</t>
  </si>
  <si>
    <t>Melting_Curves/meltCurve_sp_P13693_TCTP_HUMAN_.pdf</t>
  </si>
  <si>
    <t>Melting_Curves/meltCurve_sp_P13796_PLSL_HUMAN_.pdf</t>
  </si>
  <si>
    <t>Melting_Curves/meltCurve_sp_P13797_PLST_HUMAN_.pdf</t>
  </si>
  <si>
    <t>Melting_Curves/meltCurve_sp_P13798_ACPH_HUMAN_.pdf</t>
  </si>
  <si>
    <t>Melting_Curves/meltCurve_sp_P13804_ETFA_HUMAN_.pdf</t>
  </si>
  <si>
    <t>Melting_Curves/meltCurve_sp_P13861_KAP2_HUMAN_.pdf</t>
  </si>
  <si>
    <t>Melting_Curves/meltCurve_sp_P13929_ENOB_HUMAN_.pdf</t>
  </si>
  <si>
    <t>Melting_Curves/meltCurve_sp_P13984_T2FB_HUMAN_.pdf</t>
  </si>
  <si>
    <t>Melting_Curves/meltCurve_sp_P14174_MIF_HUMAN_.pdf</t>
  </si>
  <si>
    <t>Melting_Curves/meltCurve_sp_P14210_3_HGF_HUMAN_.pdf</t>
  </si>
  <si>
    <t>Melting_Curves/meltCurve_sp_P14317_HCLS1_HUMAN_.pdf</t>
  </si>
  <si>
    <t>Melting_Curves/meltCurve_sp_P14324_2_FPPS_HUMAN_.pdf</t>
  </si>
  <si>
    <t>Melting_Curves/meltCurve_sp_P14543_NID1_HUMAN_.pdf</t>
  </si>
  <si>
    <t>Melting_Curves/meltCurve_sp_P14550_AK1A1_HUMAN_.pdf</t>
  </si>
  <si>
    <t>Melting_Curves/meltCurve_sp_P14618_KPYM_HUMAN_.pdf</t>
  </si>
  <si>
    <t>Melting_Curves/meltCurve_sp_P14621_ACYP2_HUMAN_.pdf</t>
  </si>
  <si>
    <t>Melting_Curves/meltCurve_sp_P14625_ENPL_HUMAN_.pdf</t>
  </si>
  <si>
    <t>Melting_Curves/meltCurve_sp_P14649_MYL6B_HUMAN_.pdf</t>
  </si>
  <si>
    <t>Melting_Curves/meltCurve_sp_P14735_IDE_HUMAN_.pdf</t>
  </si>
  <si>
    <t>Melting_Curves/meltCurve_sp_P14854_CX6B1_HUMAN_.pdf</t>
  </si>
  <si>
    <t>Melting_Curves/meltCurve_sp_P14866_HNRPL_HUMAN_.pdf</t>
  </si>
  <si>
    <t>Melting_Curves/meltCurve_sp_P14868_SYDC_HUMAN_.pdf</t>
  </si>
  <si>
    <t>Melting_Curves/meltCurve_sp_P14920_OXDA_HUMAN_.pdf</t>
  </si>
  <si>
    <t>Melting_Curves/meltCurve_sp_P14923_PLAK_HUMAN_.pdf</t>
  </si>
  <si>
    <t>Melting_Curves/meltCurve_sp_P15104_GLNA_HUMAN_.pdf</t>
  </si>
  <si>
    <t>Melting_Curves/meltCurve_sp_P15121_ALDR_HUMAN_.pdf</t>
  </si>
  <si>
    <t>Melting_Curves/meltCurve_sp_P15144_AMPN_HUMAN_.pdf</t>
  </si>
  <si>
    <t>Melting_Curves/meltCurve_sp_P15170_2_ERF3A_HUMAN_.pdf</t>
  </si>
  <si>
    <t>Melting_Curves/meltCurve_sp_P15289_2_ARSA_HUMAN_.pdf</t>
  </si>
  <si>
    <t>Melting_Curves/meltCurve_sp_P15289_ARSA_HUMAN_.pdf</t>
  </si>
  <si>
    <t>Melting_Curves/meltCurve_sp_P15311_EZRI_HUMAN_.pdf</t>
  </si>
  <si>
    <t>Melting_Curves/meltCurve_sp_P15336_3_ATF2_HUMAN_.pdf</t>
  </si>
  <si>
    <t>Melting_Curves/meltCurve_sp_P15374_UCHL3_HUMAN_.pdf</t>
  </si>
  <si>
    <t>Melting_Curves/meltCurve_sp_P15428_PGDH_HUMAN_.pdf</t>
  </si>
  <si>
    <t>Melting_Curves/meltCurve_sp_P15529_16_MCP_HUMAN_.pdf</t>
  </si>
  <si>
    <t>Melting_Curves/meltCurve_sp_P15531_NDKA_HUMAN_.pdf</t>
  </si>
  <si>
    <t>Melting_Curves/meltCurve_sp_P15735_2_PHKG2_HUMAN_.pdf</t>
  </si>
  <si>
    <t>Melting_Curves/meltCurve_sp_P15848_ARSB_HUMAN_.pdf</t>
  </si>
  <si>
    <t>Melting_Curves/meltCurve_sp_P15907_SIAT1_HUMAN_.pdf</t>
  </si>
  <si>
    <t>Melting_Curves/meltCurve_sp_P15924_DESP_HUMAN_.pdf</t>
  </si>
  <si>
    <t>Melting_Curves/meltCurve_sp_P15927_RFA2_HUMAN_.pdf</t>
  </si>
  <si>
    <t>Melting_Curves/meltCurve_sp_P16118_F261_HUMAN_.pdf</t>
  </si>
  <si>
    <t>Melting_Curves/meltCurve_sp_P16152_CBR1_HUMAN_.pdf</t>
  </si>
  <si>
    <t>Melting_Curves/meltCurve_sp_P16219_ACADS_HUMAN_.pdf</t>
  </si>
  <si>
    <t>Melting_Curves/meltCurve_sp_P16278_3_BGAL_HUMAN_.pdf</t>
  </si>
  <si>
    <t>Melting_Curves/meltCurve_sp_P16298_3_PP2BB_HUMAN_.pdf</t>
  </si>
  <si>
    <t>Melting_Curves/meltCurve_sp_P16333_NCK1_HUMAN_.pdf</t>
  </si>
  <si>
    <t>Melting_Curves/meltCurve_sp_P16383_2_GCFC2_HUMAN_.pdf</t>
  </si>
  <si>
    <t>Melting_Curves/meltCurve_sp_P16401_H15_HUMAN_.pdf</t>
  </si>
  <si>
    <t>Melting_Curves/meltCurve_sp_P16435_NCPR_HUMAN_.pdf</t>
  </si>
  <si>
    <t>Melting_Curves/meltCurve_sp_P16455_MGMT_HUMAN_.pdf</t>
  </si>
  <si>
    <t>Melting_Curves/meltCurve_sp_P16662_UD2B7_HUMAN_.pdf</t>
  </si>
  <si>
    <t>Melting_Curves/meltCurve_sp_P16885_PLCG2_HUMAN_.pdf</t>
  </si>
  <si>
    <t>Melting_Curves/meltCurve_sp_P16930_FAAA_HUMAN_.pdf</t>
  </si>
  <si>
    <t>Melting_Curves/meltCurve_sp_P16949_STMN1_HUMAN_.pdf</t>
  </si>
  <si>
    <t>Melting_Curves/meltCurve_sp_P17029_ZKSC1_HUMAN_.pdf</t>
  </si>
  <si>
    <t>Melting_Curves/meltCurve_sp_P17050_NAGAB_HUMAN_.pdf</t>
  </si>
  <si>
    <t>Melting_Curves/meltCurve_sp_P17066_HSP76_HUMAN_.pdf</t>
  </si>
  <si>
    <t>Melting_Curves/meltCurve_sp_P17174_AATC_HUMAN_.pdf</t>
  </si>
  <si>
    <t>Melting_Curves/meltCurve_sp_P17480_2_UBF1_HUMAN_.pdf</t>
  </si>
  <si>
    <t>Melting_Curves/meltCurve_sp_P17516_AK1C4_HUMAN_.pdf</t>
  </si>
  <si>
    <t>Melting_Curves/meltCurve_sp_P17544_5_ATF7_HUMAN_.pdf</t>
  </si>
  <si>
    <t>Melting_Curves/meltCurve_sp_P17612_KAPCA_HUMAN_.pdf</t>
  </si>
  <si>
    <t>Melting_Curves/meltCurve_sp_P17655_CAN2_HUMAN_.pdf</t>
  </si>
  <si>
    <t>Melting_Curves/meltCurve_sp_P17676_CEBPB_HUMAN_.pdf</t>
  </si>
  <si>
    <t>Melting_Curves/meltCurve_sp_P17735_ATTY_HUMAN_.pdf</t>
  </si>
  <si>
    <t>Melting_Curves/meltCurve_sp_P17812_PYRG1_HUMAN_.pdf</t>
  </si>
  <si>
    <t>Melting_Curves/meltCurve_sp_P17858_K6PL_HUMAN_.pdf</t>
  </si>
  <si>
    <t>Melting_Curves/meltCurve_sp_P17900_SAP3_HUMAN_.pdf</t>
  </si>
  <si>
    <t>Melting_Curves/meltCurve_sp_P17931_LEG3_HUMAN_.pdf</t>
  </si>
  <si>
    <t>Melting_Curves/meltCurve_sp_P17987_TCPA_HUMAN_.pdf</t>
  </si>
  <si>
    <t>Melting_Curves/meltCurve_sp_P18031_PTN1_HUMAN_.pdf</t>
  </si>
  <si>
    <t>Melting_Curves/meltCurve_sp_P18054_LOX12_HUMAN_.pdf</t>
  </si>
  <si>
    <t>Melting_Curves/meltCurve_sp_P18065_IBP2_HUMAN_.pdf</t>
  </si>
  <si>
    <t>Melting_Curves/meltCurve_sp_P18085_ARF4_HUMAN_.pdf</t>
  </si>
  <si>
    <t>Melting_Curves/meltCurve_sp_P18206_2_VINC_HUMAN_.pdf</t>
  </si>
  <si>
    <t>Melting_Curves/meltCurve_sp_P18283_GPX2_HUMAN_.pdf</t>
  </si>
  <si>
    <t>Melting_Curves/meltCurve_sp_P18510_4_IL1RA_HUMAN_.pdf</t>
  </si>
  <si>
    <t>Melting_Curves/meltCurve_sp_P18583_6_SON_HUMAN_.pdf</t>
  </si>
  <si>
    <t>Melting_Curves/meltCurve_sp_P18615_NELFE_HUMAN_.pdf</t>
  </si>
  <si>
    <t>Melting_Curves/meltCurve_sp_P18669_PGAM1_HUMAN_.pdf</t>
  </si>
  <si>
    <t>Melting_Curves/meltCurve_sp_P18827_SDC1_HUMAN_.pdf</t>
  </si>
  <si>
    <t>Melting_Curves/meltCurve_sp_P18859_ATP5J_HUMAN_.pdf</t>
  </si>
  <si>
    <t>Melting_Curves/meltCurve_sp_P19105_ML12A_HUMAN_.pdf</t>
  </si>
  <si>
    <t>Melting_Curves/meltCurve_sp_P19174_PLCG1_HUMAN_.pdf</t>
  </si>
  <si>
    <t>Melting_Curves/meltCurve_sp_P19338_NUCL_HUMAN_.pdf</t>
  </si>
  <si>
    <t>Melting_Curves/meltCurve_sp_P19388_RPAB1_HUMAN_.pdf</t>
  </si>
  <si>
    <t>Melting_Curves/meltCurve_sp_P19404_NDUV2_HUMAN_.pdf</t>
  </si>
  <si>
    <t>Melting_Curves/meltCurve_sp_P19525_E2AK2_HUMAN_.pdf</t>
  </si>
  <si>
    <t>Melting_Curves/meltCurve_sp_P19623_SPEE_HUMAN_.pdf</t>
  </si>
  <si>
    <t>Melting_Curves/meltCurve_sp_P19652_A1AG2_HUMAN_.pdf</t>
  </si>
  <si>
    <t>Melting_Curves/meltCurve_sp_P19784_CSK22_HUMAN_.pdf</t>
  </si>
  <si>
    <t>Melting_Curves/meltCurve_sp_P19827_ITIH1_HUMAN_.pdf</t>
  </si>
  <si>
    <t>Melting_Curves/meltCurve_sp_P19838_NFKB1_HUMAN_.pdf</t>
  </si>
  <si>
    <t>Melting_Curves/meltCurve_sp_P19971_TYPH_HUMAN_.pdf</t>
  </si>
  <si>
    <t>Melting_Curves/meltCurve_sp_P20042_IF2B_HUMAN_.pdf</t>
  </si>
  <si>
    <t>Melting_Curves/meltCurve_sp_P20132_SDHL_HUMAN_.pdf</t>
  </si>
  <si>
    <t>Melting_Curves/meltCurve_sp_P20290_BTF3_HUMAN_.pdf</t>
  </si>
  <si>
    <t>Melting_Curves/meltCurve_sp_P20338_RAB4A_HUMAN_.pdf</t>
  </si>
  <si>
    <t>Melting_Curves/meltCurve_sp_P20340_2_RAB6A_HUMAN_.pdf</t>
  </si>
  <si>
    <t>Melting_Curves/meltCurve_sp_P20585_MSH3_HUMAN_.pdf</t>
  </si>
  <si>
    <t>Melting_Curves/meltCurve_sp_P20591_MX1_HUMAN_.pdf</t>
  </si>
  <si>
    <t>Melting_Curves/meltCurve_sp_P20618_PSB1_HUMAN_.pdf</t>
  </si>
  <si>
    <t>Melting_Curves/meltCurve_sp_P20674_COX5A_HUMAN_.pdf</t>
  </si>
  <si>
    <t>Melting_Curves/meltCurve_sp_P20700_LMNB1_HUMAN_.pdf</t>
  </si>
  <si>
    <t>Melting_Curves/meltCurve_sp_P20711_DDC_HUMAN_.pdf</t>
  </si>
  <si>
    <t>Melting_Curves/meltCurve_sp_P20742_PZP_HUMAN_.pdf</t>
  </si>
  <si>
    <t>Melting_Curves/meltCurve_sp_P20810_5_ICAL_HUMAN_.pdf</t>
  </si>
  <si>
    <t>Melting_Curves/meltCurve_sp_P20810_6_ICAL_HUMAN_.pdf</t>
  </si>
  <si>
    <t>Melting_Curves/meltCurve_sp_P20823_3_HNF1A_HUMAN_.pdf</t>
  </si>
  <si>
    <t>Melting_Curves/meltCurve_sp_P20908_CO5A1_HUMAN_.pdf</t>
  </si>
  <si>
    <t>Melting_Curves/meltCurve_sp_P20962_PTMS_HUMAN_.pdf</t>
  </si>
  <si>
    <t>Melting_Curves/meltCurve_sp_P21127_8_CD11B_HUMAN_.pdf</t>
  </si>
  <si>
    <t>Melting_Curves/meltCurve_sp_P21266_GSTM3_HUMAN_.pdf</t>
  </si>
  <si>
    <t>Melting_Curves/meltCurve_sp_P21281_VATB2_HUMAN_.pdf</t>
  </si>
  <si>
    <t>Melting_Curves/meltCurve_sp_P21283_VATC1_HUMAN_.pdf</t>
  </si>
  <si>
    <t>Melting_Curves/meltCurve_sp_P21291_CSRP1_HUMAN_.pdf</t>
  </si>
  <si>
    <t>Melting_Curves/meltCurve_sp_P21397_2_AOFA_HUMAN_.pdf</t>
  </si>
  <si>
    <t>Melting_Curves/meltCurve_sp_P21399_ACOC_HUMAN_.pdf</t>
  </si>
  <si>
    <t>Melting_Curves/meltCurve_sp_P21549_SPYA_HUMAN_.pdf</t>
  </si>
  <si>
    <t>Melting_Curves/meltCurve_sp_P21589_2_5NTD_HUMAN_.pdf</t>
  </si>
  <si>
    <t>Melting_Curves/meltCurve_sp_P21695_2_GPDA_HUMAN_.pdf</t>
  </si>
  <si>
    <t>Melting_Curves/meltCurve_sp_P21912_DHSB_HUMAN_.pdf</t>
  </si>
  <si>
    <t>Melting_Curves/meltCurve_sp_P21953_ODBB_HUMAN_.pdf</t>
  </si>
  <si>
    <t>Melting_Curves/meltCurve_sp_P21964_2_COMT_HUMAN_.pdf</t>
  </si>
  <si>
    <t>Melting_Curves/meltCurve_sp_P21980_TGM2_HUMAN_.pdf</t>
  </si>
  <si>
    <t>Melting_Curves/meltCurve_sp_P22033_MUTA_HUMAN_.pdf</t>
  </si>
  <si>
    <t>Melting_Curves/meltCurve_sp_P22059_OSBP1_HUMAN_.pdf</t>
  </si>
  <si>
    <t>Melting_Curves/meltCurve_sp_P22061_PIMT_HUMAN_.pdf</t>
  </si>
  <si>
    <t>Melting_Curves/meltCurve_sp_P22102_PUR2_HUMAN_.pdf</t>
  </si>
  <si>
    <t>Melting_Curves/meltCurve_sp_P22234_PUR6_HUMAN_.pdf</t>
  </si>
  <si>
    <t>Melting_Curves/meltCurve_sp_P22307_2_NLTP_HUMAN_.pdf</t>
  </si>
  <si>
    <t>Melting_Curves/meltCurve_sp_P22307_NLTP_HUMAN_.pdf</t>
  </si>
  <si>
    <t>Melting_Curves/meltCurve_sp_P22310_UD14_HUMAN_.pdf</t>
  </si>
  <si>
    <t>Melting_Curves/meltCurve_sp_P22314_UBA1_HUMAN_.pdf</t>
  </si>
  <si>
    <t>Melting_Curves/meltCurve_sp_P22392_2_NDKB_HUMAN_.pdf</t>
  </si>
  <si>
    <t>Melting_Curves/meltCurve_sp_P22570_ADRO_HUMAN_.pdf</t>
  </si>
  <si>
    <t>Melting_Curves/meltCurve_sp_P22626_ROA2_HUMAN_.pdf</t>
  </si>
  <si>
    <t>Melting_Curves/meltCurve_sp_P22694_4_KAPCB_HUMAN_.pdf</t>
  </si>
  <si>
    <t>Melting_Curves/meltCurve_sp_P22760_AAAD_HUMAN_.pdf</t>
  </si>
  <si>
    <t>Melting_Curves/meltCurve_sp_P22830_HEMH_HUMAN_.pdf</t>
  </si>
  <si>
    <t>Melting_Curves/meltCurve_sp_P23141_EST1_HUMAN_.pdf</t>
  </si>
  <si>
    <t>Melting_Curves/meltCurve_sp_P23142_3_FBLN1_HUMAN_.pdf</t>
  </si>
  <si>
    <t>Melting_Curves/meltCurve_sp_P23193_TCEA1_HUMAN_.pdf</t>
  </si>
  <si>
    <t>Melting_Curves/meltCurve_sp_P23246_SFPQ_HUMAN_.pdf</t>
  </si>
  <si>
    <t>Melting_Curves/meltCurve_sp_P23284_PPIB_HUMAN_.pdf</t>
  </si>
  <si>
    <t>Melting_Curves/meltCurve_sp_P23368_MAOM_HUMAN_.pdf</t>
  </si>
  <si>
    <t>Melting_Curves/meltCurve_sp_P23378_GCSP_HUMAN_.pdf</t>
  </si>
  <si>
    <t>Melting_Curves/meltCurve_sp_P23381_SYWC_HUMAN_.pdf</t>
  </si>
  <si>
    <t>Melting_Curves/meltCurve_sp_P23409_MYF6_HUMAN_.pdf</t>
  </si>
  <si>
    <t>Melting_Curves/meltCurve_sp_P23434_GCSH_HUMAN_.pdf</t>
  </si>
  <si>
    <t>Melting_Curves/meltCurve_sp_P23497_SP100_HUMAN_.pdf</t>
  </si>
  <si>
    <t>Melting_Curves/meltCurve_sp_P23508_2_CRCM_HUMAN_.pdf</t>
  </si>
  <si>
    <t>Melting_Curves/meltCurve_sp_P23526_SAHH_HUMAN_.pdf</t>
  </si>
  <si>
    <t>Melting_Curves/meltCurve_sp_P23528_COF1_HUMAN_.pdf</t>
  </si>
  <si>
    <t>Melting_Curves/meltCurve_sp_P23588_IF4B_HUMAN_.pdf</t>
  </si>
  <si>
    <t>Melting_Curves/meltCurve_sp_P23786_CPT2_HUMAN_.pdf</t>
  </si>
  <si>
    <t>Melting_Curves/meltCurve_sp_P23919_KTHY_HUMAN_.pdf</t>
  </si>
  <si>
    <t>Melting_Curves/meltCurve_sp_P23921_RIR1_HUMAN_.pdf</t>
  </si>
  <si>
    <t>Melting_Curves/meltCurve_sp_P24158_PRTN3_HUMAN_.pdf</t>
  </si>
  <si>
    <t>Melting_Curves/meltCurve_sp_P24298_ALAT1_HUMAN_.pdf</t>
  </si>
  <si>
    <t>Melting_Curves/meltCurve_sp_P24534_EF1B_HUMAN_.pdf</t>
  </si>
  <si>
    <t>Melting_Curves/meltCurve_sp_P24666_2_PPAC_HUMAN_.pdf</t>
  </si>
  <si>
    <t>Melting_Curves/meltCurve_sp_P24666_PPAC_HUMAN_.pdf</t>
  </si>
  <si>
    <t>Melting_Curves/meltCurve_sp_P24752_THIL_HUMAN_.pdf</t>
  </si>
  <si>
    <t>Melting_Curves/meltCurve_sp_P24928_RPB1_HUMAN_.pdf</t>
  </si>
  <si>
    <t>Melting_Curves/meltCurve_sp_P24941_CDK2_HUMAN_.pdf</t>
  </si>
  <si>
    <t>Melting_Curves/meltCurve_sp_P25054_2_APC_HUMAN_.pdf</t>
  </si>
  <si>
    <t>Melting_Curves/meltCurve_sp_P25098_ARBK1_HUMAN_.pdf</t>
  </si>
  <si>
    <t>Melting_Curves/meltCurve_sp_P25205_MCM3_HUMAN_.pdf</t>
  </si>
  <si>
    <t>Melting_Curves/meltCurve_sp_P25311_ZA2G_HUMAN_.pdf</t>
  </si>
  <si>
    <t>Melting_Curves/meltCurve_sp_P25398_RS12_HUMAN_.pdf</t>
  </si>
  <si>
    <t>Melting_Curves/meltCurve_sp_P25440_BRD2_HUMAN_.pdf</t>
  </si>
  <si>
    <t>Melting_Curves/meltCurve_sp_P25685_DNJB1_HUMAN_.pdf</t>
  </si>
  <si>
    <t>Melting_Curves/meltCurve_sp_P25686_DNJB2_HUMAN_.pdf</t>
  </si>
  <si>
    <t>Melting_Curves/meltCurve_sp_P25705_ATPA_HUMAN_.pdf</t>
  </si>
  <si>
    <t>Melting_Curves/meltCurve_sp_P25774_CATS_HUMAN_.pdf</t>
  </si>
  <si>
    <t>Melting_Curves/meltCurve_sp_P25786_PSA1_HUMAN_.pdf</t>
  </si>
  <si>
    <t>Melting_Curves/meltCurve_sp_P25787_PSA2_HUMAN_.pdf</t>
  </si>
  <si>
    <t>Melting_Curves/meltCurve_sp_P25788_2_PSA3_HUMAN_.pdf</t>
  </si>
  <si>
    <t>Melting_Curves/meltCurve_sp_P25789_PSA4_HUMAN_.pdf</t>
  </si>
  <si>
    <t>Melting_Curves/meltCurve_sp_P26038_MOES_HUMAN_.pdf</t>
  </si>
  <si>
    <t>Melting_Curves/meltCurve_sp_P26196_DDX6_HUMAN_.pdf</t>
  </si>
  <si>
    <t>Melting_Curves/meltCurve_sp_P26358_DNMT1_HUMAN_.pdf</t>
  </si>
  <si>
    <t>Melting_Curves/meltCurve_sp_P26368_2_U2AF2_HUMAN_.pdf</t>
  </si>
  <si>
    <t>Melting_Curves/meltCurve_sp_P26373_RL13_HUMAN_.pdf</t>
  </si>
  <si>
    <t>Melting_Curves/meltCurve_sp_P26440_IVD_HUMAN_.pdf</t>
  </si>
  <si>
    <t>Melting_Curves/meltCurve_sp_P26447_S10A4_HUMAN_.pdf</t>
  </si>
  <si>
    <t>Melting_Curves/meltCurve_sp_P26583_HMGB2_HUMAN_.pdf</t>
  </si>
  <si>
    <t>Melting_Curves/meltCurve_sp_P26599_PTBP1_HUMAN_.pdf</t>
  </si>
  <si>
    <t>Melting_Curves/meltCurve_sp_P26639_SYTC_HUMAN_.pdf</t>
  </si>
  <si>
    <t>Melting_Curves/meltCurve_sp_P26640_SYVC_HUMAN_.pdf</t>
  </si>
  <si>
    <t>Melting_Curves/meltCurve_sp_P26641_EF1G_HUMAN_.pdf</t>
  </si>
  <si>
    <t>Melting_Curves/meltCurve_sp_P26885_FKBP2_HUMAN_.pdf</t>
  </si>
  <si>
    <t>Melting_Curves/meltCurve_sp_P26927_HGFL_HUMAN_.pdf</t>
  </si>
  <si>
    <t>Melting_Curves/meltCurve_sp_P27144_KAD4_HUMAN_.pdf</t>
  </si>
  <si>
    <t>Melting_Curves/meltCurve_sp_P27169_PON1_HUMAN_.pdf</t>
  </si>
  <si>
    <t>Melting_Curves/meltCurve_sp_P27348_1433T_HUMAN_.pdf</t>
  </si>
  <si>
    <t>Melting_Curves/meltCurve_sp_P27540_2_ARNT_HUMAN_.pdf</t>
  </si>
  <si>
    <t>Melting_Curves/meltCurve_sp_P27694_RFA1_HUMAN_.pdf</t>
  </si>
  <si>
    <t>Melting_Curves/meltCurve_sp_P27695_APEX1_HUMAN_.pdf</t>
  </si>
  <si>
    <t>Melting_Curves/meltCurve_sp_P27797_CALR_HUMAN_.pdf</t>
  </si>
  <si>
    <t>Melting_Curves/meltCurve_sp_P27816_MAP4_HUMAN_.pdf</t>
  </si>
  <si>
    <t>Melting_Curves/meltCurve_sp_P27986_P85A_HUMAN_.pdf</t>
  </si>
  <si>
    <t>Melting_Curves/meltCurve_sp_P28062_2_PSB8_HUMAN_.pdf</t>
  </si>
  <si>
    <t>Melting_Curves/meltCurve_sp_P28066_PSA5_HUMAN_.pdf</t>
  </si>
  <si>
    <t>Melting_Curves/meltCurve_sp_P28070_PSB4_HUMAN_.pdf</t>
  </si>
  <si>
    <t>Melting_Curves/meltCurve_sp_P28072_PSB6_HUMAN_.pdf</t>
  </si>
  <si>
    <t>Melting_Curves/meltCurve_sp_P28074_PSB5_HUMAN_.pdf</t>
  </si>
  <si>
    <t>Melting_Curves/meltCurve_sp_P28288_2_ABCD3_HUMAN_.pdf</t>
  </si>
  <si>
    <t>Melting_Curves/meltCurve_sp_P28330_ACADL_HUMAN_.pdf</t>
  </si>
  <si>
    <t>Melting_Curves/meltCurve_sp_P28331_NDUS1_HUMAN_.pdf</t>
  </si>
  <si>
    <t>Melting_Curves/meltCurve_sp_P28332_ADH6_HUMAN_.pdf</t>
  </si>
  <si>
    <t>Melting_Curves/meltCurve_sp_P28340_DPOD1_HUMAN_.pdf</t>
  </si>
  <si>
    <t>Melting_Curves/meltCurve_sp_P28482_MK01_HUMAN_.pdf</t>
  </si>
  <si>
    <t>Melting_Curves/meltCurve_sp_P28715_ERCC5_HUMAN_.pdf</t>
  </si>
  <si>
    <t>Melting_Curves/meltCurve_sp_P28799_GRN_HUMAN_.pdf</t>
  </si>
  <si>
    <t>Melting_Curves/meltCurve_sp_P28838_2_AMPL_HUMAN_.pdf</t>
  </si>
  <si>
    <t>Melting_Curves/meltCurve_sp_P28845_DHI1_HUMAN_.pdf</t>
  </si>
  <si>
    <t>Melting_Curves/meltCurve_sp_P29083_T2EA_HUMAN_.pdf</t>
  </si>
  <si>
    <t>Melting_Curves/meltCurve_sp_P29084_T2EB_HUMAN_.pdf</t>
  </si>
  <si>
    <t>Melting_Curves/meltCurve_sp_P29144_TPP2_HUMAN_.pdf</t>
  </si>
  <si>
    <t>Melting_Curves/meltCurve_sp_P29218_IMPA1_HUMAN_.pdf</t>
  </si>
  <si>
    <t>Melting_Curves/meltCurve_sp_P29350_PTN6_HUMAN_.pdf</t>
  </si>
  <si>
    <t>Melting_Curves/meltCurve_sp_P29353_7_SHC1_HUMAN_.pdf</t>
  </si>
  <si>
    <t>Melting_Curves/meltCurve_sp_P29372_5_3MG_HUMAN_.pdf</t>
  </si>
  <si>
    <t>Melting_Curves/meltCurve_sp_P29374_3_ARI4A_HUMAN_.pdf</t>
  </si>
  <si>
    <t>Melting_Curves/meltCurve_sp_P29401_TKT_HUMAN_.pdf</t>
  </si>
  <si>
    <t>Melting_Curves/meltCurve_sp_P29590_PML_HUMAN_.pdf</t>
  </si>
  <si>
    <t>Melting_Curves/meltCurve_sp_P29966_MARCS_HUMAN_.pdf</t>
  </si>
  <si>
    <t>Melting_Curves/meltCurve_sp_P30038_AL4A1_HUMAN_.pdf</t>
  </si>
  <si>
    <t>Melting_Curves/meltCurve_sp_P30039_PBLD_HUMAN_.pdf</t>
  </si>
  <si>
    <t>Melting_Curves/meltCurve_sp_P30040_ERP29_HUMAN_.pdf</t>
  </si>
  <si>
    <t>Melting_Curves/meltCurve_sp_P30041_PRDX6_HUMAN_.pdf</t>
  </si>
  <si>
    <t>Melting_Curves/meltCurve_sp_P30042_ES1_HUMAN_.pdf</t>
  </si>
  <si>
    <t>Melting_Curves/meltCurve_sp_P30043_BLVRB_HUMAN_.pdf</t>
  </si>
  <si>
    <t>Melting_Curves/meltCurve_sp_P30044_2_PRDX5_HUMAN_.pdf</t>
  </si>
  <si>
    <t>Melting_Curves/meltCurve_sp_P30046_DOPD_HUMAN_.pdf</t>
  </si>
  <si>
    <t>Melting_Curves/meltCurve_sp_P30047_GFRP_HUMAN_.pdf</t>
  </si>
  <si>
    <t>Melting_Curves/meltCurve_sp_P30049_ATPD_HUMAN_.pdf</t>
  </si>
  <si>
    <t>Melting_Curves/meltCurve_sp_P30050_RL12_HUMAN_.pdf</t>
  </si>
  <si>
    <t>Melting_Curves/meltCurve_sp_P30084_ECHM_HUMAN_.pdf</t>
  </si>
  <si>
    <t>Melting_Curves/meltCurve_sp_P30085_KCY_HUMAN_.pdf</t>
  </si>
  <si>
    <t>Melting_Curves/meltCurve_sp_P30086_PEBP1_HUMAN_.pdf</t>
  </si>
  <si>
    <t>Melting_Curves/meltCurve_sp_P30153_2AAA_HUMAN_.pdf</t>
  </si>
  <si>
    <t>Melting_Curves/meltCurve_sp_P30154_2AAB_HUMAN_.pdf</t>
  </si>
  <si>
    <t>Melting_Curves/meltCurve_sp_P30405_PPIF_HUMAN_.pdf</t>
  </si>
  <si>
    <t>Melting_Curves/meltCurve_sp_P30419_NMT1_HUMAN_.pdf</t>
  </si>
  <si>
    <t>Melting_Curves/meltCurve_sp_P30519_HMOX2_HUMAN_.pdf</t>
  </si>
  <si>
    <t>Melting_Curves/meltCurve_sp_P30520_PURA2_HUMAN_.pdf</t>
  </si>
  <si>
    <t>Melting_Curves/meltCurve_sp_P30533_AMRP_HUMAN_.pdf</t>
  </si>
  <si>
    <t>Melting_Curves/meltCurve_sp_P30566_PUR8_HUMAN_.pdf</t>
  </si>
  <si>
    <t>Melting_Curves/meltCurve_sp_P30613_2_KPYR_HUMAN_.pdf</t>
  </si>
  <si>
    <t>Melting_Curves/meltCurve_sp_P30622_2_CLIP1_HUMAN_.pdf</t>
  </si>
  <si>
    <t>Melting_Curves/meltCurve_sp_P30711_GSTT1_HUMAN_.pdf</t>
  </si>
  <si>
    <t>Melting_Curves/meltCurve_sp_P30740_ILEU_HUMAN_.pdf</t>
  </si>
  <si>
    <t>Melting_Curves/meltCurve_sp_P30793_GCH1_HUMAN_.pdf</t>
  </si>
  <si>
    <t>Melting_Curves/meltCurve_sp_P30837_AL1B1_HUMAN_.pdf</t>
  </si>
  <si>
    <t>Melting_Curves/meltCurve_sp_P31040_DHSA_HUMAN_.pdf</t>
  </si>
  <si>
    <t>Melting_Curves/meltCurve_sp_P31146_COR1A_HUMAN_.pdf</t>
  </si>
  <si>
    <t>Melting_Curves/meltCurve_sp_P31150_GDIA_HUMAN_.pdf</t>
  </si>
  <si>
    <t>Melting_Curves/meltCurve_sp_P31153_METK2_HUMAN_.pdf</t>
  </si>
  <si>
    <t>Melting_Curves/meltCurve_sp_P31327_CPSM_HUMAN_.pdf</t>
  </si>
  <si>
    <t>Melting_Curves/meltCurve_sp_P31350_RIR2_HUMAN_.pdf</t>
  </si>
  <si>
    <t>Melting_Curves/meltCurve_sp_P31513_FMO3_HUMAN_.pdf</t>
  </si>
  <si>
    <t>Melting_Curves/meltCurve_sp_P31689_DNJA1_HUMAN_.pdf</t>
  </si>
  <si>
    <t>Melting_Curves/meltCurve_sp_P31749_AKT1_HUMAN_.pdf</t>
  </si>
  <si>
    <t>Melting_Curves/meltCurve_sp_P31751_AKT2_HUMAN_.pdf</t>
  </si>
  <si>
    <t>Melting_Curves/meltCurve_sp_P31930_QCR1_HUMAN_.pdf</t>
  </si>
  <si>
    <t>Melting_Curves/meltCurve_sp_P31937_3HIDH_HUMAN_.pdf</t>
  </si>
  <si>
    <t>Melting_Curves/meltCurve_sp_P31939_PUR9_HUMAN_.pdf</t>
  </si>
  <si>
    <t>Melting_Curves/meltCurve_sp_P31942_2_HNRH3_HUMAN_.pdf</t>
  </si>
  <si>
    <t>Melting_Curves/meltCurve_sp_P31946_2_1433B_HUMAN_.pdf</t>
  </si>
  <si>
    <t>Melting_Curves/meltCurve_sp_P31947_2_1433S_HUMAN_.pdf</t>
  </si>
  <si>
    <t>Melting_Curves/meltCurve_sp_P31948_STIP1_HUMAN_.pdf</t>
  </si>
  <si>
    <t>Melting_Curves/meltCurve_sp_P31949_S10AB_HUMAN_.pdf</t>
  </si>
  <si>
    <t>Melting_Curves/meltCurve_sp_P32119_PRDX2_HUMAN_.pdf</t>
  </si>
  <si>
    <t>Melting_Curves/meltCurve_sp_P32189_1_GLPK_HUMAN_.pdf</t>
  </si>
  <si>
    <t>Melting_Curves/meltCurve_sp_P32320_CDD_HUMAN_.pdf</t>
  </si>
  <si>
    <t>Melting_Curves/meltCurve_sp_P32321_DCTD_HUMAN_.pdf</t>
  </si>
  <si>
    <t>Melting_Curves/meltCurve_sp_P32455_GBP1_HUMAN_.pdf</t>
  </si>
  <si>
    <t>Melting_Curves/meltCurve_sp_P32456_GBP2_HUMAN_.pdf</t>
  </si>
  <si>
    <t>Melting_Curves/meltCurve_sp_P32519_2_ELF1_HUMAN_.pdf</t>
  </si>
  <si>
    <t>Melting_Curves/meltCurve_sp_P32754_2_HPPD_HUMAN_.pdf</t>
  </si>
  <si>
    <t>Melting_Curves/meltCurve_sp_P32754_HPPD_HUMAN_.pdf</t>
  </si>
  <si>
    <t>Melting_Curves/meltCurve_sp_P32929_CGL_HUMAN_.pdf</t>
  </si>
  <si>
    <t>Melting_Curves/meltCurve_sp_P33121_ACSL1_HUMAN_.pdf</t>
  </si>
  <si>
    <t>Melting_Curves/meltCurve_sp_P33176_KINH_HUMAN_.pdf</t>
  </si>
  <si>
    <t>Melting_Curves/meltCurve_sp_P33240_2_CSTF2_HUMAN_.pdf</t>
  </si>
  <si>
    <t>Melting_Curves/meltCurve_sp_P33241_LSP1_HUMAN_.pdf</t>
  </si>
  <si>
    <t>Melting_Curves/meltCurve_sp_P33261_CP2CJ_HUMAN_.pdf</t>
  </si>
  <si>
    <t>Melting_Curves/meltCurve_sp_P33316_DUT_HUMAN_.pdf</t>
  </si>
  <si>
    <t>Melting_Curves/meltCurve_sp_P33908_MA1A1_HUMAN_.pdf</t>
  </si>
  <si>
    <t>Melting_Curves/meltCurve_sp_P33991_MCM4_HUMAN_.pdf</t>
  </si>
  <si>
    <t>Melting_Curves/meltCurve_sp_P33992_MCM5_HUMAN_.pdf</t>
  </si>
  <si>
    <t>Melting_Curves/meltCurve_sp_P33993_MCM7_HUMAN_.pdf</t>
  </si>
  <si>
    <t>Melting_Curves/meltCurve_sp_P34059_GALNS_HUMAN_.pdf</t>
  </si>
  <si>
    <t>Melting_Curves/meltCurve_sp_P34096_RNAS4_HUMAN_.pdf</t>
  </si>
  <si>
    <t>Melting_Curves/meltCurve_sp_P34896_GLYC_HUMAN_.pdf</t>
  </si>
  <si>
    <t>Melting_Curves/meltCurve_sp_P34897_3_GLYM_HUMAN_.pdf</t>
  </si>
  <si>
    <t>Melting_Curves/meltCurve_sp_P34913_HYES_HUMAN_.pdf</t>
  </si>
  <si>
    <t>Melting_Curves/meltCurve_sp_P34932_HSP74_HUMAN_.pdf</t>
  </si>
  <si>
    <t>Melting_Curves/meltCurve_sp_P35030_2_TRY3_HUMAN_.pdf</t>
  </si>
  <si>
    <t>Melting_Curves/meltCurve_sp_P35218_CAH5A_HUMAN_.pdf</t>
  </si>
  <si>
    <t>Melting_Curves/meltCurve_sp_P35221_CTNA1_HUMAN_.pdf</t>
  </si>
  <si>
    <t>Melting_Curves/meltCurve_sp_P35232_PHB_HUMAN_.pdf</t>
  </si>
  <si>
    <t>Melting_Curves/meltCurve_sp_P35237_SPB6_HUMAN_.pdf</t>
  </si>
  <si>
    <t>Melting_Curves/meltCurve_sp_P35241_RADI_HUMAN_.pdf</t>
  </si>
  <si>
    <t>Melting_Curves/meltCurve_sp_P35268_RL22_HUMAN_.pdf</t>
  </si>
  <si>
    <t>Melting_Curves/meltCurve_sp_P35269_T2FA_HUMAN_.pdf</t>
  </si>
  <si>
    <t>Melting_Curves/meltCurve_sp_P35270_SPRE_HUMAN_.pdf</t>
  </si>
  <si>
    <t>Melting_Curves/meltCurve_sp_P35520_CBS_HUMAN_.pdf</t>
  </si>
  <si>
    <t>Melting_Curves/meltCurve_sp_P35555_FBN1_HUMAN_.pdf</t>
  </si>
  <si>
    <t>Melting_Curves/meltCurve_sp_P35558_PCKGC_HUMAN_.pdf</t>
  </si>
  <si>
    <t>Melting_Curves/meltCurve_sp_P35568_IRS1_HUMAN_.pdf</t>
  </si>
  <si>
    <t>Melting_Curves/meltCurve_sp_P35573_GDE_HUMAN_.pdf</t>
  </si>
  <si>
    <t>Melting_Curves/meltCurve_sp_P35579_MYH9_HUMAN_.pdf</t>
  </si>
  <si>
    <t>Melting_Curves/meltCurve_sp_P35580_MYH10_HUMAN_.pdf</t>
  </si>
  <si>
    <t>Melting_Curves/meltCurve_sp_P35606_COPB2_HUMAN_.pdf</t>
  </si>
  <si>
    <t>Melting_Curves/meltCurve_sp_P35611_2_ADDA_HUMAN_.pdf</t>
  </si>
  <si>
    <t>Melting_Curves/meltCurve_sp_P35637_2_FUS_HUMAN_.pdf</t>
  </si>
  <si>
    <t>Melting_Curves/meltCurve_sp_P35658_2_NU214_HUMAN_.pdf</t>
  </si>
  <si>
    <t>Melting_Curves/meltCurve_sp_P35659_DEK_HUMAN_.pdf</t>
  </si>
  <si>
    <t>Melting_Curves/meltCurve_sp_P35754_GLRX1_HUMAN_.pdf</t>
  </si>
  <si>
    <t>Melting_Curves/meltCurve_sp_P35813_PPM1A_HUMAN_.pdf</t>
  </si>
  <si>
    <t>Melting_Curves/meltCurve_sp_P35858_ALS_HUMAN_.pdf</t>
  </si>
  <si>
    <t>Melting_Curves/meltCurve_sp_P35914_HMGCL_HUMAN_.pdf</t>
  </si>
  <si>
    <t>Melting_Curves/meltCurve_sp_P35998_PRS7_HUMAN_.pdf</t>
  </si>
  <si>
    <t>Melting_Curves/meltCurve_sp_P36405_ARL3_HUMAN_.pdf</t>
  </si>
  <si>
    <t>Melting_Curves/meltCurve_sp_P36507_MP2K2_HUMAN_.pdf</t>
  </si>
  <si>
    <t>Melting_Curves/meltCurve_sp_P36543_VATE1_HUMAN_.pdf</t>
  </si>
  <si>
    <t>Melting_Curves/meltCurve_sp_P36551_HEM6_HUMAN_.pdf</t>
  </si>
  <si>
    <t>Melting_Curves/meltCurve_sp_P36578_RL4_HUMAN_.pdf</t>
  </si>
  <si>
    <t>Melting_Curves/meltCurve_sp_P36639_4_8ODP_HUMAN_.pdf</t>
  </si>
  <si>
    <t>Melting_Curves/meltCurve_sp_P36871_PGM1_HUMAN_.pdf</t>
  </si>
  <si>
    <t>Melting_Curves/meltCurve_sp_P36915_GNL1_HUMAN_.pdf</t>
  </si>
  <si>
    <t>Melting_Curves/meltCurve_sp_P36954_RPB9_HUMAN_.pdf</t>
  </si>
  <si>
    <t>Melting_Curves/meltCurve_sp_P36955_PEDF_HUMAN_.pdf</t>
  </si>
  <si>
    <t>Melting_Curves/meltCurve_sp_P36957_ODO2_HUMAN_.pdf</t>
  </si>
  <si>
    <t>Melting_Curves/meltCurve_sp_P36959_GMPR1_HUMAN_.pdf</t>
  </si>
  <si>
    <t>Melting_Curves/meltCurve_sp_P36969_2_GPX4_HUMAN_.pdf</t>
  </si>
  <si>
    <t>Melting_Curves/meltCurve_sp_P36980_2_FHR2_HUMAN_.pdf</t>
  </si>
  <si>
    <t>Melting_Curves/meltCurve_sp_P37059_DHB2_HUMAN_.pdf</t>
  </si>
  <si>
    <t>Melting_Curves/meltCurve_sp_P37108_SRP14_HUMAN_.pdf</t>
  </si>
  <si>
    <t>Melting_Curves/meltCurve_sp_P37198_NUP62_HUMAN_.pdf</t>
  </si>
  <si>
    <t>Melting_Curves/meltCurve_sp_P37235_HPCL1_HUMAN_.pdf</t>
  </si>
  <si>
    <t>Melting_Curves/meltCurve_sp_P37802_TAGL2_HUMAN_.pdf</t>
  </si>
  <si>
    <t>Melting_Curves/meltCurve_sp_P37837_TALDO_HUMAN_.pdf</t>
  </si>
  <si>
    <t>Melting_Curves/meltCurve_sp_P38117_ETFB_HUMAN_.pdf</t>
  </si>
  <si>
    <t>Melting_Curves/meltCurve_sp_P38159_RBMX_HUMAN_.pdf</t>
  </si>
  <si>
    <t>Melting_Curves/meltCurve_sp_P38432_COIL_HUMAN_.pdf</t>
  </si>
  <si>
    <t>Melting_Curves/meltCurve_sp_P38606_VATA_HUMAN_.pdf</t>
  </si>
  <si>
    <t>Melting_Curves/meltCurve_sp_P38646_GRP75_HUMAN_.pdf</t>
  </si>
  <si>
    <t>Melting_Curves/meltCurve_sp_P38919_IF4A3_HUMAN_.pdf</t>
  </si>
  <si>
    <t>Melting_Curves/meltCurve_sp_P39687_AN32A_HUMAN_.pdf</t>
  </si>
  <si>
    <t>Melting_Curves/meltCurve_sp_P39748_FEN1_HUMAN_.pdf</t>
  </si>
  <si>
    <t>Melting_Curves/meltCurve_sp_P40123_CAP2_HUMAN_.pdf</t>
  </si>
  <si>
    <t>Melting_Curves/meltCurve_sp_P40222_TXLNA_HUMAN_.pdf</t>
  </si>
  <si>
    <t>Melting_Curves/meltCurve_sp_P40227_TCPZ_HUMAN_.pdf</t>
  </si>
  <si>
    <t>Melting_Curves/meltCurve_sp_P40261_NNMT_HUMAN_.pdf</t>
  </si>
  <si>
    <t>Melting_Curves/meltCurve_sp_P40306_PSB10_HUMAN_.pdf</t>
  </si>
  <si>
    <t>Melting_Curves/meltCurve_sp_P40394_ADH7_HUMAN_.pdf</t>
  </si>
  <si>
    <t>Melting_Curves/meltCurve_sp_P40763_2_STAT3_HUMAN_.pdf</t>
  </si>
  <si>
    <t>Melting_Curves/meltCurve_sp_P40763_STAT3_HUMAN_.pdf</t>
  </si>
  <si>
    <t>Melting_Curves/meltCurve_sp_P40818_UBP8_HUMAN_.pdf</t>
  </si>
  <si>
    <t>Melting_Curves/meltCurve_sp_P40925_MDHC_HUMAN_.pdf</t>
  </si>
  <si>
    <t>Melting_Curves/meltCurve_sp_P40926_MDHM_HUMAN_.pdf</t>
  </si>
  <si>
    <t>Melting_Curves/meltCurve_sp_P40939_ECHA_HUMAN_.pdf</t>
  </si>
  <si>
    <t>Melting_Curves/meltCurve_sp_P41091_IF2G_HUMAN_.pdf</t>
  </si>
  <si>
    <t>Melting_Curves/meltCurve_sp_P41208_CETN2_HUMAN_.pdf</t>
  </si>
  <si>
    <t>Melting_Curves/meltCurve_sp_P41223_BUD31_HUMAN_.pdf</t>
  </si>
  <si>
    <t>Melting_Curves/meltCurve_sp_P41226_UBA7_HUMAN_.pdf</t>
  </si>
  <si>
    <t>Melting_Curves/meltCurve_sp_P41227_2_NAA10_HUMAN_.pdf</t>
  </si>
  <si>
    <t>Melting_Curves/meltCurve_sp_P41236_IPP2_HUMAN_.pdf</t>
  </si>
  <si>
    <t>Melting_Curves/meltCurve_sp_P41240_CSK_HUMAN_.pdf</t>
  </si>
  <si>
    <t>Melting_Curves/meltCurve_sp_P41250_SYG_HUMAN_.pdf</t>
  </si>
  <si>
    <t>Melting_Curves/meltCurve_sp_P41252_SYIC_HUMAN_.pdf</t>
  </si>
  <si>
    <t>Melting_Curves/meltCurve_sp_P41567_EIF1_HUMAN_.pdf</t>
  </si>
  <si>
    <t>Melting_Curves/meltCurve_sp_P41743_KPCI_HUMAN_.pdf</t>
  </si>
  <si>
    <t>Melting_Curves/meltCurve_sp_P42025_ACTY_HUMAN_.pdf</t>
  </si>
  <si>
    <t>Melting_Curves/meltCurve_sp_P42126_2_ECI1_HUMAN_.pdf</t>
  </si>
  <si>
    <t>Melting_Curves/meltCurve_sp_P42166_LAP2A_HUMAN_.pdf</t>
  </si>
  <si>
    <t>Melting_Curves/meltCurve_sp_P42224_STAT1_HUMAN_.pdf</t>
  </si>
  <si>
    <t>Melting_Curves/meltCurve_sp_P42226_STAT6_HUMAN_.pdf</t>
  </si>
  <si>
    <t>Melting_Curves/meltCurve_sp_P42285_SK2L2_HUMAN_.pdf</t>
  </si>
  <si>
    <t>Melting_Curves/meltCurve_sp_P42330_AK1C3_HUMAN_.pdf</t>
  </si>
  <si>
    <t>Melting_Curves/meltCurve_sp_P42336_PK3CA_HUMAN_.pdf</t>
  </si>
  <si>
    <t>Melting_Curves/meltCurve_sp_P42338_PK3CB_HUMAN_.pdf</t>
  </si>
  <si>
    <t>Melting_Curves/meltCurve_sp_P42357_HUTH_HUMAN_.pdf</t>
  </si>
  <si>
    <t>Melting_Curves/meltCurve_sp_P42566_EPS15_HUMAN_.pdf</t>
  </si>
  <si>
    <t>Melting_Curves/meltCurve_sp_P42574_CASP3_HUMAN_.pdf</t>
  </si>
  <si>
    <t>Melting_Curves/meltCurve_sp_P42704_LPPRC_HUMAN_.pdf</t>
  </si>
  <si>
    <t>Melting_Curves/meltCurve_sp_P42765_THIM_HUMAN_.pdf</t>
  </si>
  <si>
    <t>Melting_Curves/meltCurve_sp_P42768_WASP_HUMAN_.pdf</t>
  </si>
  <si>
    <t>Melting_Curves/meltCurve_sp_P42773_CDN2C_HUMAN_.pdf</t>
  </si>
  <si>
    <t>Melting_Curves/meltCurve_sp_P42785_PCP_HUMAN_.pdf</t>
  </si>
  <si>
    <t>Melting_Curves/meltCurve_sp_P42858_HD_HUMAN_.pdf</t>
  </si>
  <si>
    <t>Melting_Curves/meltCurve_sp_P43034_LIS1_HUMAN_.pdf</t>
  </si>
  <si>
    <t>Melting_Curves/meltCurve_sp_P43155_2_CACP_HUMAN_.pdf</t>
  </si>
  <si>
    <t>Melting_Curves/meltCurve_sp_P43246_MSH2_HUMAN_.pdf</t>
  </si>
  <si>
    <t>Melting_Curves/meltCurve_sp_P43487_RANG_HUMAN_.pdf</t>
  </si>
  <si>
    <t>Melting_Curves/meltCurve_sp_P43490_NAMPT_HUMAN_.pdf</t>
  </si>
  <si>
    <t>Melting_Curves/meltCurve_sp_P43652_AFAM_HUMAN_.pdf</t>
  </si>
  <si>
    <t>Melting_Curves/meltCurve_sp_P43686_PRS6B_HUMAN_.pdf</t>
  </si>
  <si>
    <t>Melting_Curves/meltCurve_sp_P43694_GATA4_HUMAN_.pdf</t>
  </si>
  <si>
    <t>Melting_Curves/meltCurve_sp_P43897_EFTS_HUMAN_.pdf</t>
  </si>
  <si>
    <t>Melting_Curves/meltCurve_sp_P45381_ACY2_HUMAN_.pdf</t>
  </si>
  <si>
    <t>Melting_Curves/meltCurve_sp_P45954_ACDSB_HUMAN_.pdf</t>
  </si>
  <si>
    <t>Melting_Curves/meltCurve_sp_P45973_CBX5_HUMAN_.pdf</t>
  </si>
  <si>
    <t>Melting_Curves/meltCurve_sp_P45974_2_UBP5_HUMAN_.pdf</t>
  </si>
  <si>
    <t>Melting_Curves/meltCurve_sp_P45983_3_MK08_HUMAN_.pdf</t>
  </si>
  <si>
    <t>Melting_Curves/meltCurve_sp_P45984_2_MK09_HUMAN_.pdf</t>
  </si>
  <si>
    <t>Melting_Curves/meltCurve_sp_P45985_MP2K4_HUMAN_.pdf</t>
  </si>
  <si>
    <t>Melting_Curves/meltCurve_sp_P46013_2_KI67_HUMAN_.pdf</t>
  </si>
  <si>
    <t>Melting_Curves/meltCurve_sp_P46019_KPB2_HUMAN_.pdf</t>
  </si>
  <si>
    <t>Melting_Curves/meltCurve_sp_P46060_RAGP1_HUMAN_.pdf</t>
  </si>
  <si>
    <t>Melting_Curves/meltCurve_sp_P46063_RECQ1_HUMAN_.pdf</t>
  </si>
  <si>
    <t>Melting_Curves/meltCurve_sp_P46087_2_NOP2_HUMAN_.pdf</t>
  </si>
  <si>
    <t>Melting_Curves/meltCurve_sp_P46100_2_ATRX_HUMAN_.pdf</t>
  </si>
  <si>
    <t>Melting_Curves/meltCurve_sp_P46108_CRK_HUMAN_.pdf</t>
  </si>
  <si>
    <t>Melting_Curves/meltCurve_sp_P46109_CRKL_HUMAN_.pdf</t>
  </si>
  <si>
    <t>Melting_Curves/meltCurve_sp_P46199_IF2M_HUMAN_.pdf</t>
  </si>
  <si>
    <t>Melting_Curves/meltCurve_sp_P46527_CDN1B_HUMAN_.pdf</t>
  </si>
  <si>
    <t>Melting_Curves/meltCurve_sp_P46734_2_MP2K3_HUMAN_.pdf</t>
  </si>
  <si>
    <t>Melting_Curves/meltCurve_sp_P46736_2_BRCC3_HUMAN_.pdf</t>
  </si>
  <si>
    <t>Melting_Curves/meltCurve_sp_P46777_RL5_HUMAN_.pdf</t>
  </si>
  <si>
    <t>Melting_Curves/meltCurve_sp_P46779_4_RL28_HUMAN_.pdf</t>
  </si>
  <si>
    <t>Melting_Curves/meltCurve_sp_P46781_RS9_HUMAN_.pdf</t>
  </si>
  <si>
    <t>Melting_Curves/meltCurve_sp_P46783_RS10_HUMAN_.pdf</t>
  </si>
  <si>
    <t>Melting_Curves/meltCurve_sp_P46926_GNPI1_HUMAN_.pdf</t>
  </si>
  <si>
    <t>Melting_Curves/meltCurve_sp_P46934_4_NEDD4_HUMAN_.pdf</t>
  </si>
  <si>
    <t>Melting_Curves/meltCurve_sp_P46937_YAP1_HUMAN_.pdf</t>
  </si>
  <si>
    <t>Melting_Curves/meltCurve_sp_P46939_UTRO_HUMAN_.pdf</t>
  </si>
  <si>
    <t>Melting_Curves/meltCurve_sp_P46940_IQGA1_HUMAN_.pdf</t>
  </si>
  <si>
    <t>Melting_Curves/meltCurve_sp_P46952_3HAO_HUMAN_.pdf</t>
  </si>
  <si>
    <t>Melting_Curves/meltCurve_sp_P46976_2_GLYG_HUMAN_.pdf</t>
  </si>
  <si>
    <t>Melting_Curves/meltCurve_sp_P47224_MSS4_HUMAN_.pdf</t>
  </si>
  <si>
    <t>Melting_Curves/meltCurve_sp_P47755_CAZA2_HUMAN_.pdf</t>
  </si>
  <si>
    <t>Melting_Curves/meltCurve_sp_P47813_IF1AX_HUMAN_.pdf</t>
  </si>
  <si>
    <t>Melting_Curves/meltCurve_sp_P47897_SYQ_HUMAN_.pdf</t>
  </si>
  <si>
    <t>Melting_Curves/meltCurve_sp_P47914_RL29_HUMAN_.pdf</t>
  </si>
  <si>
    <t>Melting_Curves/meltCurve_sp_P47985_UCRI_HUMAN_.pdf</t>
  </si>
  <si>
    <t>Melting_Curves/meltCurve_sp_P47989_XDH_HUMAN_.pdf</t>
  </si>
  <si>
    <t>Melting_Curves/meltCurve_sp_P48059_LIMS1_HUMAN_.pdf</t>
  </si>
  <si>
    <t>Melting_Curves/meltCurve_sp_P48147_PPCE_HUMAN_.pdf</t>
  </si>
  <si>
    <t>Melting_Curves/meltCurve_sp_P48163_MAOX_HUMAN_.pdf</t>
  </si>
  <si>
    <t>Melting_Curves/meltCurve_sp_P48200_IREB2_HUMAN_.pdf</t>
  </si>
  <si>
    <t>Melting_Curves/meltCurve_sp_P48444_COPD_HUMAN_.pdf</t>
  </si>
  <si>
    <t>Melting_Curves/meltCurve_sp_P48449_3_ERG7_HUMAN_.pdf</t>
  </si>
  <si>
    <t>Melting_Curves/meltCurve_sp_P48506_GSH1_HUMAN_.pdf</t>
  </si>
  <si>
    <t>Melting_Curves/meltCurve_sp_P48507_GSH0_HUMAN_.pdf</t>
  </si>
  <si>
    <t>Melting_Curves/meltCurve_sp_P48553_TPC10_HUMAN_.pdf</t>
  </si>
  <si>
    <t>Melting_Curves/meltCurve_sp_P48634_PRC2A_HUMAN_.pdf</t>
  </si>
  <si>
    <t>Melting_Curves/meltCurve_sp_P48637_GSHB_HUMAN_.pdf</t>
  </si>
  <si>
    <t>Melting_Curves/meltCurve_sp_P48643_TCPE_HUMAN_.pdf</t>
  </si>
  <si>
    <t>Melting_Curves/meltCurve_sp_P48728_GCST_HUMAN_.pdf</t>
  </si>
  <si>
    <t>Melting_Curves/meltCurve_sp_P48735_IDHP_HUMAN_.pdf</t>
  </si>
  <si>
    <t>Melting_Curves/meltCurve_sp_P48739_PIPNB_HUMAN_.pdf</t>
  </si>
  <si>
    <t>Melting_Curves/meltCurve_sp_P48775_T23O_HUMAN_.pdf</t>
  </si>
  <si>
    <t>Melting_Curves/meltCurve_sp_P49005_DPOD2_HUMAN_.pdf</t>
  </si>
  <si>
    <t>Melting_Curves/meltCurve_sp_P49006_MRP_HUMAN_.pdf</t>
  </si>
  <si>
    <t>Melting_Curves/meltCurve_sp_P49023_2_PAXI_HUMAN_.pdf</t>
  </si>
  <si>
    <t>Melting_Curves/meltCurve_sp_P49189_AL9A1_HUMAN_.pdf</t>
  </si>
  <si>
    <t>Melting_Curves/meltCurve_sp_P49247_RPIA_HUMAN_.pdf</t>
  </si>
  <si>
    <t>Melting_Curves/meltCurve_sp_P49321_NASP_HUMAN_.pdf</t>
  </si>
  <si>
    <t>Melting_Curves/meltCurve_sp_P49326_FMO5_HUMAN_.pdf</t>
  </si>
  <si>
    <t>Melting_Curves/meltCurve_sp_P49327_FAS_HUMAN_.pdf</t>
  </si>
  <si>
    <t>Melting_Curves/meltCurve_sp_P49354_FNTA_HUMAN_.pdf</t>
  </si>
  <si>
    <t>Melting_Curves/meltCurve_sp_P49366_DHYS_HUMAN_.pdf</t>
  </si>
  <si>
    <t>Melting_Curves/meltCurve_sp_P49368_TCPG_HUMAN_.pdf</t>
  </si>
  <si>
    <t>Melting_Curves/meltCurve_sp_P49407_2_ARRB1_HUMAN_.pdf</t>
  </si>
  <si>
    <t>Melting_Curves/meltCurve_sp_P49411_EFTU_HUMAN_.pdf</t>
  </si>
  <si>
    <t>Melting_Curves/meltCurve_sp_P49419_2_AL7A1_HUMAN_.pdf</t>
  </si>
  <si>
    <t>Melting_Curves/meltCurve_sp_P49427_UB2R1_HUMAN_.pdf</t>
  </si>
  <si>
    <t>Melting_Curves/meltCurve_sp_P49441_INPP_HUMAN_.pdf</t>
  </si>
  <si>
    <t>Melting_Curves/meltCurve_sp_P49448_DHE4_HUMAN_.pdf</t>
  </si>
  <si>
    <t>Melting_Curves/meltCurve_sp_P49458_SRP09_HUMAN_.pdf</t>
  </si>
  <si>
    <t>Melting_Curves/meltCurve_sp_P49459_UBE2A_HUMAN_.pdf</t>
  </si>
  <si>
    <t>Melting_Curves/meltCurve_sp_P49585_PCY1A_HUMAN_.pdf</t>
  </si>
  <si>
    <t>Melting_Curves/meltCurve_sp_P49588_SYAC_HUMAN_.pdf</t>
  </si>
  <si>
    <t>Melting_Curves/meltCurve_sp_P49589_3_SYCC_HUMAN_.pdf</t>
  </si>
  <si>
    <t>Melting_Curves/meltCurve_sp_P49590_SYHM_HUMAN_.pdf</t>
  </si>
  <si>
    <t>Melting_Curves/meltCurve_sp_P49591_SYSC_HUMAN_.pdf</t>
  </si>
  <si>
    <t>Melting_Curves/meltCurve_sp_P49638_TTPA_HUMAN_.pdf</t>
  </si>
  <si>
    <t>Melting_Curves/meltCurve_sp_P49662_2_CASP4_HUMAN_.pdf</t>
  </si>
  <si>
    <t>Melting_Curves/meltCurve_sp_P49711_CTCF_HUMAN_.pdf</t>
  </si>
  <si>
    <t>Melting_Curves/meltCurve_sp_P49720_PSB3_HUMAN_.pdf</t>
  </si>
  <si>
    <t>Melting_Curves/meltCurve_sp_P49721_PSB2_HUMAN_.pdf</t>
  </si>
  <si>
    <t>Melting_Curves/meltCurve_sp_P49736_MCM2_HUMAN_.pdf</t>
  </si>
  <si>
    <t>Melting_Curves/meltCurve_sp_P49748_ACADV_HUMAN_.pdf</t>
  </si>
  <si>
    <t>Melting_Curves/meltCurve_sp_P49750_4_YLPM1_HUMAN_.pdf</t>
  </si>
  <si>
    <t>Melting_Curves/meltCurve_sp_P49753_ACOT2_HUMAN_.pdf</t>
  </si>
  <si>
    <t>Melting_Curves/meltCurve_sp_P49755_TMEDA_HUMAN_.pdf</t>
  </si>
  <si>
    <t>Melting_Curves/meltCurve_sp_P49756_RBM25_HUMAN_.pdf</t>
  </si>
  <si>
    <t>Melting_Curves/meltCurve_sp_P49757_3_NUMB_HUMAN_.pdf</t>
  </si>
  <si>
    <t>Melting_Curves/meltCurve_sp_P49770_EI2BB_HUMAN_.pdf</t>
  </si>
  <si>
    <t>Melting_Curves/meltCurve_sp_P49773_HINT1_HUMAN_.pdf</t>
  </si>
  <si>
    <t>Melting_Curves/meltCurve_sp_P49789_FHIT_HUMAN_.pdf</t>
  </si>
  <si>
    <t>Melting_Curves/meltCurve_sp_P49790_NU153_HUMAN_.pdf</t>
  </si>
  <si>
    <t>Melting_Curves/meltCurve_sp_P49792_RBP2_HUMAN_.pdf</t>
  </si>
  <si>
    <t>Melting_Curves/meltCurve_sp_P49821_2_NDUV1_HUMAN_.pdf</t>
  </si>
  <si>
    <t>Melting_Curves/meltCurve_sp_P49840_GSK3A_HUMAN_.pdf</t>
  </si>
  <si>
    <t>Melting_Curves/meltCurve_sp_P49841_GSK3B_HUMAN_.pdf</t>
  </si>
  <si>
    <t>Melting_Curves/meltCurve_sp_P49888_ST1E1_HUMAN_.pdf</t>
  </si>
  <si>
    <t>Melting_Curves/meltCurve_sp_P49902_5NTC_HUMAN_.pdf</t>
  </si>
  <si>
    <t>Melting_Curves/meltCurve_sp_P49903_SPS1_HUMAN_.pdf</t>
  </si>
  <si>
    <t>Melting_Curves/meltCurve_sp_P49914_MTHFS_HUMAN_.pdf</t>
  </si>
  <si>
    <t>Melting_Curves/meltCurve_sp_P49959_MRE11_HUMAN_.pdf</t>
  </si>
  <si>
    <t>Melting_Curves/meltCurve_sp_P50053_2_KHK_HUMAN_.pdf</t>
  </si>
  <si>
    <t>Melting_Curves/meltCurve_sp_P50053_KHK_HUMAN_.pdf</t>
  </si>
  <si>
    <t>Melting_Curves/meltCurve_sp_P50135_HNMT_HUMAN_.pdf</t>
  </si>
  <si>
    <t>Melting_Curves/meltCurve_sp_P50213_IDH3A_HUMAN_.pdf</t>
  </si>
  <si>
    <t>Melting_Curves/meltCurve_sp_P50224_ST1A3_HUMAN_.pdf</t>
  </si>
  <si>
    <t>Melting_Curves/meltCurve_sp_P50225_ST1A1_HUMAN_.pdf</t>
  </si>
  <si>
    <t>Melting_Curves/meltCurve_sp_P50226_ST1A2_HUMAN_.pdf</t>
  </si>
  <si>
    <t>Melting_Curves/meltCurve_sp_P50336_PPOX_HUMAN_.pdf</t>
  </si>
  <si>
    <t>Melting_Curves/meltCurve_sp_P50395_GDIB_HUMAN_.pdf</t>
  </si>
  <si>
    <t>Melting_Curves/meltCurve_sp_P50402_EMD_HUMAN_.pdf</t>
  </si>
  <si>
    <t>Melting_Curves/meltCurve_sp_P50416_CPT1A_HUMAN_.pdf</t>
  </si>
  <si>
    <t>Melting_Curves/meltCurve_sp_P50440_2_GATM_HUMAN_.pdf</t>
  </si>
  <si>
    <t>Melting_Curves/meltCurve_sp_P50440_GATM_HUMAN_.pdf</t>
  </si>
  <si>
    <t>Melting_Curves/meltCurve_sp_P50452_SPB8_HUMAN_.pdf</t>
  </si>
  <si>
    <t>Melting_Curves/meltCurve_sp_P50453_SPB9_HUMAN_.pdf</t>
  </si>
  <si>
    <t>Melting_Curves/meltCurve_sp_P50454_SERPH_HUMAN_.pdf</t>
  </si>
  <si>
    <t>Melting_Curves/meltCurve_sp_P50502_F10A1_HUMAN_.pdf</t>
  </si>
  <si>
    <t>Melting_Curves/meltCurve_sp_P50542_2_PEX5_HUMAN_.pdf</t>
  </si>
  <si>
    <t>Melting_Curves/meltCurve_sp_P50552_VASP_HUMAN_.pdf</t>
  </si>
  <si>
    <t>Melting_Curves/meltCurve_sp_P50570_DYN2_HUMAN_.pdf</t>
  </si>
  <si>
    <t>Melting_Curves/meltCurve_sp_P50579_AMPM2_HUMAN_.pdf</t>
  </si>
  <si>
    <t>Melting_Curves/meltCurve_sp_P50583_AP4A_HUMAN_.pdf</t>
  </si>
  <si>
    <t>Melting_Curves/meltCurve_sp_P50747_BPL1_HUMAN_.pdf</t>
  </si>
  <si>
    <t>Melting_Curves/meltCurve_sp_P50748_KNTC1_HUMAN_.pdf</t>
  </si>
  <si>
    <t>Melting_Curves/meltCurve_sp_P50897_PPT1_HUMAN_.pdf</t>
  </si>
  <si>
    <t>Melting_Curves/meltCurve_sp_P50991_TCPD_HUMAN_.pdf</t>
  </si>
  <si>
    <t>Melting_Curves/meltCurve_sp_P51003_PAPOA_HUMAN_.pdf</t>
  </si>
  <si>
    <t>Melting_Curves/meltCurve_sp_P51116_FXR2_HUMAN_.pdf</t>
  </si>
  <si>
    <t>Melting_Curves/meltCurve_sp_P51148_RAB5C_HUMAN_.pdf</t>
  </si>
  <si>
    <t>Melting_Curves/meltCurve_sp_P51149_RAB7A_HUMAN_.pdf</t>
  </si>
  <si>
    <t>Melting_Curves/meltCurve_sp_P51151_RAB9A_HUMAN_.pdf</t>
  </si>
  <si>
    <t>Melting_Curves/meltCurve_sp_P51153_RAB13_HUMAN_.pdf</t>
  </si>
  <si>
    <t>Melting_Curves/meltCurve_sp_P51178_2_PLCD1_HUMAN_.pdf</t>
  </si>
  <si>
    <t>Melting_Curves/meltCurve_sp_P51398_2_RT29_HUMAN_.pdf</t>
  </si>
  <si>
    <t>Melting_Curves/meltCurve_sp_P51452_DUS3_HUMAN_.pdf</t>
  </si>
  <si>
    <t>Melting_Curves/meltCurve_sp_P51531_2_SMCA2_HUMAN_.pdf</t>
  </si>
  <si>
    <t>Melting_Curves/meltCurve_sp_P51532_5_SMCA4_HUMAN_.pdf</t>
  </si>
  <si>
    <t>Melting_Curves/meltCurve_sp_P51553_IDH3G_HUMAN_.pdf</t>
  </si>
  <si>
    <t>Melting_Curves/meltCurve_sp_P51570_GALK1_HUMAN_.pdf</t>
  </si>
  <si>
    <t>Melting_Curves/meltCurve_sp_P51572_BAP31_HUMAN_.pdf</t>
  </si>
  <si>
    <t>Melting_Curves/meltCurve_sp_P51580_TPMT_HUMAN_.pdf</t>
  </si>
  <si>
    <t>Melting_Curves/meltCurve_sp_P51608_MECP2_HUMAN_.pdf</t>
  </si>
  <si>
    <t>Melting_Curves/meltCurve_sp_P51610_4_HCFC1_HUMAN_.pdf</t>
  </si>
  <si>
    <t>Melting_Curves/meltCurve_sp_P51649_SSDH_HUMAN_.pdf</t>
  </si>
  <si>
    <t>Melting_Curves/meltCurve_sp_P51659_DHB4_HUMAN_.pdf</t>
  </si>
  <si>
    <t>Melting_Curves/meltCurve_sp_P51665_PSD7_HUMAN_.pdf</t>
  </si>
  <si>
    <t>Melting_Curves/meltCurve_sp_P51687_SUOX_HUMAN_.pdf</t>
  </si>
  <si>
    <t>Melting_Curves/meltCurve_sp_P51688_SPHM_HUMAN_.pdf</t>
  </si>
  <si>
    <t>Melting_Curves/meltCurve_sp_P51692_STA5B_HUMAN_.pdf</t>
  </si>
  <si>
    <t>Melting_Curves/meltCurve_sp_P51808_DYLT3_HUMAN_.pdf</t>
  </si>
  <si>
    <t>Melting_Curves/meltCurve_sp_P51857_AK1D1_HUMAN_.pdf</t>
  </si>
  <si>
    <t>Melting_Curves/meltCurve_sp_P51858_HDGF_HUMAN_.pdf</t>
  </si>
  <si>
    <t>Melting_Curves/meltCurve_sp_P51948_2_MAT1_HUMAN_.pdf</t>
  </si>
  <si>
    <t>Melting_Curves/meltCurve_sp_P51991_ROA3_HUMAN_.pdf</t>
  </si>
  <si>
    <t>Melting_Curves/meltCurve_sp_P52272_2_HNRPM_HUMAN_.pdf</t>
  </si>
  <si>
    <t>Melting_Curves/meltCurve_sp_P52294_IMA1_HUMAN_.pdf</t>
  </si>
  <si>
    <t>Melting_Curves/meltCurve_sp_P52306_GDS1_HUMAN_.pdf</t>
  </si>
  <si>
    <t>Melting_Curves/meltCurve_sp_P52565_GDIR1_HUMAN_.pdf</t>
  </si>
  <si>
    <t>Melting_Curves/meltCurve_sp_P52594_2_AGFG1_HUMAN_.pdf</t>
  </si>
  <si>
    <t>Melting_Curves/meltCurve_sp_P52597_HNRPF_HUMAN_.pdf</t>
  </si>
  <si>
    <t>Melting_Curves/meltCurve_sp_P52630_4_STAT2_HUMAN_.pdf</t>
  </si>
  <si>
    <t>Melting_Curves/meltCurve_sp_P52657_T2AG_HUMAN_.pdf</t>
  </si>
  <si>
    <t>Melting_Curves/meltCurve_sp_P52701_MSH6_HUMAN_.pdf</t>
  </si>
  <si>
    <t>Melting_Curves/meltCurve_sp_P52735_3_VAV2_HUMAN_.pdf</t>
  </si>
  <si>
    <t>Melting_Curves/meltCurve_sp_P52758_UK114_HUMAN_.pdf</t>
  </si>
  <si>
    <t>Melting_Curves/meltCurve_sp_P52788_SPSY_HUMAN_.pdf</t>
  </si>
  <si>
    <t>Melting_Curves/meltCurve_sp_P52790_HXK3_HUMAN_.pdf</t>
  </si>
  <si>
    <t>Melting_Curves/meltCurve_sp_P52888_THOP1_HUMAN_.pdf</t>
  </si>
  <si>
    <t>Melting_Curves/meltCurve_sp_P52895_AK1C2_HUMAN_.pdf</t>
  </si>
  <si>
    <t>Melting_Curves/meltCurve_sp_P52907_CAZA1_HUMAN_.pdf</t>
  </si>
  <si>
    <t>Melting_Curves/meltCurve_sp_P52943_CRIP2_HUMAN_.pdf</t>
  </si>
  <si>
    <t>Melting_Curves/meltCurve_sp_P52948_6_NUP98_HUMAN_.pdf</t>
  </si>
  <si>
    <t>Melting_Curves/meltCurve_sp_P53004_BIEA_HUMAN_.pdf</t>
  </si>
  <si>
    <t>Melting_Curves/meltCurve_sp_P53367_ARFP1_HUMAN_.pdf</t>
  </si>
  <si>
    <t>Melting_Curves/meltCurve_sp_P53370_NUDT6_HUMAN_.pdf</t>
  </si>
  <si>
    <t>Melting_Curves/meltCurve_sp_P53384_2_NUBP1_HUMAN_.pdf</t>
  </si>
  <si>
    <t>Melting_Curves/meltCurve_sp_P53396_ACLY_HUMAN_.pdf</t>
  </si>
  <si>
    <t>Melting_Curves/meltCurve_sp_P53582_AMPM1_HUMAN_.pdf</t>
  </si>
  <si>
    <t>Melting_Curves/meltCurve_sp_P53597_SUCA_HUMAN_.pdf</t>
  </si>
  <si>
    <t>Melting_Curves/meltCurve_sp_P53602_MVD1_HUMAN_.pdf</t>
  </si>
  <si>
    <t>Melting_Curves/meltCurve_sp_P53609_PGTB1_HUMAN_.pdf</t>
  </si>
  <si>
    <t>Melting_Curves/meltCurve_sp_P53611_PGTB2_HUMAN_.pdf</t>
  </si>
  <si>
    <t>Melting_Curves/meltCurve_sp_P53618_COPB_HUMAN_.pdf</t>
  </si>
  <si>
    <t>Melting_Curves/meltCurve_sp_P53621_COPA_HUMAN_.pdf</t>
  </si>
  <si>
    <t>Melting_Curves/meltCurve_sp_P53634_CATC_HUMAN_.pdf</t>
  </si>
  <si>
    <t>Melting_Curves/meltCurve_sp_P53675_2_CLH2_HUMAN_.pdf</t>
  </si>
  <si>
    <t>Melting_Curves/meltCurve_sp_P53680_AP2S1_HUMAN_.pdf</t>
  </si>
  <si>
    <t>Melting_Curves/meltCurve_sp_P53990_2_IST1_HUMAN_.pdf</t>
  </si>
  <si>
    <t>Melting_Curves/meltCurve_sp_P53992_SC24C_HUMAN_.pdf</t>
  </si>
  <si>
    <t>Melting_Curves/meltCurve_sp_P53999_TCP4_HUMAN_.pdf</t>
  </si>
  <si>
    <t>Melting_Curves/meltCurve_sp_P54098_DPOG1_HUMAN_.pdf</t>
  </si>
  <si>
    <t>Melting_Curves/meltCurve_sp_P54136_SYRC_HUMAN_.pdf</t>
  </si>
  <si>
    <t>Melting_Curves/meltCurve_sp_P54253_ATX1_HUMAN_.pdf</t>
  </si>
  <si>
    <t>Melting_Curves/meltCurve_sp_P54278_3_PMS2_HUMAN_.pdf</t>
  </si>
  <si>
    <t>Melting_Curves/meltCurve_sp_P54577_SYYC_HUMAN_.pdf</t>
  </si>
  <si>
    <t>Melting_Curves/meltCurve_sp_P54578_2_UBP14_HUMAN_.pdf</t>
  </si>
  <si>
    <t>Melting_Curves/meltCurve_sp_P54619_2_AAKG1_HUMAN_.pdf</t>
  </si>
  <si>
    <t>Melting_Curves/meltCurve_sp_P54727_RD23B_HUMAN_.pdf</t>
  </si>
  <si>
    <t>Melting_Curves/meltCurve_sp_P54802_ANAG_HUMAN_.pdf</t>
  </si>
  <si>
    <t>Melting_Curves/meltCurve_sp_P54840_GYS2_HUMAN_.pdf</t>
  </si>
  <si>
    <t>Melting_Curves/meltCurve_sp_P54855_UDB15_HUMAN_.pdf</t>
  </si>
  <si>
    <t>Melting_Curves/meltCurve_sp_P54868_HMCS2_HUMAN_.pdf</t>
  </si>
  <si>
    <t>Melting_Curves/meltCurve_sp_P54886_2_P5CS_HUMAN_.pdf</t>
  </si>
  <si>
    <t>Melting_Curves/meltCurve_sp_P54920_SNAA_HUMAN_.pdf</t>
  </si>
  <si>
    <t>Melting_Curves/meltCurve_sp_P55008_AIF1_HUMAN_.pdf</t>
  </si>
  <si>
    <t>Melting_Curves/meltCurve_sp_P55010_IF5_HUMAN_.pdf</t>
  </si>
  <si>
    <t>Melting_Curves/meltCurve_sp_P55036_PSMD4_HUMAN_.pdf</t>
  </si>
  <si>
    <t>Melting_Curves/meltCurve_sp_P55039_DRG2_HUMAN_.pdf</t>
  </si>
  <si>
    <t>Melting_Curves/meltCurve_sp_P55058_PLTP_HUMAN_.pdf</t>
  </si>
  <si>
    <t>Melting_Curves/meltCurve_sp_P55060_3_XPO2_HUMAN_.pdf</t>
  </si>
  <si>
    <t>Melting_Curves/meltCurve_sp_P55072_TERA_HUMAN_.pdf</t>
  </si>
  <si>
    <t>Melting_Curves/meltCurve_sp_P55081_MFAP1_HUMAN_.pdf</t>
  </si>
  <si>
    <t>Melting_Curves/meltCurve_sp_P55084_ECHB_HUMAN_.pdf</t>
  </si>
  <si>
    <t>Melting_Curves/meltCurve_sp_P55103_INHBC_HUMAN_.pdf</t>
  </si>
  <si>
    <t>Melting_Curves/meltCurve_sp_P55145_MANF_HUMAN_.pdf</t>
  </si>
  <si>
    <t>Melting_Curves/meltCurve_sp_P55157_MTP_HUMAN_.pdf</t>
  </si>
  <si>
    <t>Melting_Curves/meltCurve_sp_P55196_3_AFAD_HUMAN_.pdf</t>
  </si>
  <si>
    <t>Melting_Curves/meltCurve_sp_P55196_AFAD_HUMAN_.pdf</t>
  </si>
  <si>
    <t>Melting_Curves/meltCurve_sp_P55199_ELL_HUMAN_.pdf</t>
  </si>
  <si>
    <t>Melting_Curves/meltCurve_sp_P55210_CASP7_HUMAN_.pdf</t>
  </si>
  <si>
    <t>Melting_Curves/meltCurve_sp_P55212_CASP6_HUMAN_.pdf</t>
  </si>
  <si>
    <t>Melting_Curves/meltCurve_sp_P55263_ADK_HUMAN_.pdf</t>
  </si>
  <si>
    <t>Melting_Curves/meltCurve_sp_P55265_3_DSRAD_HUMAN_.pdf</t>
  </si>
  <si>
    <t>Melting_Curves/meltCurve_sp_P55268_LAMB2_HUMAN_.pdf</t>
  </si>
  <si>
    <t>Melting_Curves/meltCurve_sp_P55327_2_TPD52_HUMAN_.pdf</t>
  </si>
  <si>
    <t>Melting_Curves/meltCurve_sp_P55735_SEC13_HUMAN_.pdf</t>
  </si>
  <si>
    <t>Melting_Curves/meltCurve_sp_P55769_NH2L1_HUMAN_.pdf</t>
  </si>
  <si>
    <t>Melting_Curves/meltCurve_sp_P55789_ALR_HUMAN_.pdf</t>
  </si>
  <si>
    <t>Melting_Curves/meltCurve_sp_P55795_HNRH2_HUMAN_.pdf</t>
  </si>
  <si>
    <t>Melting_Curves/meltCurve_sp_P55854_SUMO3_HUMAN_.pdf</t>
  </si>
  <si>
    <t>Melting_Curves/meltCurve_sp_P55884_EIF3B_HUMAN_.pdf</t>
  </si>
  <si>
    <t>Melting_Curves/meltCurve_sp_P56181_2_NDUV3_HUMAN_.pdf</t>
  </si>
  <si>
    <t>Melting_Curves/meltCurve_sp_P56181_NDUV3_HUMAN_.pdf</t>
  </si>
  <si>
    <t>Melting_Curves/meltCurve_sp_P56192_SYMC_HUMAN_.pdf</t>
  </si>
  <si>
    <t>Melting_Curves/meltCurve_sp_P56199_ITA1_HUMAN_.pdf</t>
  </si>
  <si>
    <t>Melting_Curves/meltCurve_sp_P56277_CMC4_HUMAN_.pdf</t>
  </si>
  <si>
    <t>Melting_Curves/meltCurve_sp_P56470_LEG4_HUMAN_.pdf</t>
  </si>
  <si>
    <t>Melting_Curves/meltCurve_sp_P56524_HDAC4_HUMAN_.pdf</t>
  </si>
  <si>
    <t>Melting_Curves/meltCurve_sp_P56537_IF6_HUMAN_.pdf</t>
  </si>
  <si>
    <t>Melting_Curves/meltCurve_sp_P56937_2_DHB7_HUMAN_.pdf</t>
  </si>
  <si>
    <t>Melting_Curves/meltCurve_sp_P57060_RWD2B_HUMAN_.pdf</t>
  </si>
  <si>
    <t>Melting_Curves/meltCurve_sp_P57076_CU059_HUMAN_.pdf</t>
  </si>
  <si>
    <t>Melting_Curves/meltCurve_sp_P57081_2_WDR4_HUMAN_.pdf</t>
  </si>
  <si>
    <t>Melting_Curves/meltCurve_sp_P57737_3_CORO7_HUMAN_.pdf</t>
  </si>
  <si>
    <t>Melting_Curves/meltCurve_sp_P57764_GSDMD_HUMAN_.pdf</t>
  </si>
  <si>
    <t>Melting_Curves/meltCurve_sp_P57772_SELB_HUMAN_.pdf</t>
  </si>
  <si>
    <t>Melting_Curves/meltCurve_sp_P58546_MTPN_HUMAN_.pdf</t>
  </si>
  <si>
    <t>Melting_Curves/meltCurve_sp_P59666_DEF3_HUMAN_.pdf</t>
  </si>
  <si>
    <t>Melting_Curves/meltCurve_sp_P59998_ARPC4_HUMAN_.pdf</t>
  </si>
  <si>
    <t>Melting_Curves/meltCurve_sp_P60174_1_TPIS_HUMAN_.pdf</t>
  </si>
  <si>
    <t>Melting_Curves/meltCurve_sp_P60228_EIF3E_HUMAN_.pdf</t>
  </si>
  <si>
    <t>Melting_Curves/meltCurve_sp_P60468_SC61B_HUMAN_.pdf</t>
  </si>
  <si>
    <t>Melting_Curves/meltCurve_sp_P60842_IF4A1_HUMAN_.pdf</t>
  </si>
  <si>
    <t>Melting_Curves/meltCurve_sp_P60866_RS20_HUMAN_.pdf</t>
  </si>
  <si>
    <t>Melting_Curves/meltCurve_sp_P60891_PRPS1_HUMAN_.pdf</t>
  </si>
  <si>
    <t>Melting_Curves/meltCurve_sp_P60900_PSA6_HUMAN_.pdf</t>
  </si>
  <si>
    <t>Melting_Curves/meltCurve_sp_P60903_S10AA_HUMAN_.pdf</t>
  </si>
  <si>
    <t>Melting_Curves/meltCurve_sp_P60953_CDC42_HUMAN_.pdf</t>
  </si>
  <si>
    <t>Melting_Curves/meltCurve_sp_P60981_2_DEST_HUMAN_.pdf</t>
  </si>
  <si>
    <t>Melting_Curves/meltCurve_sp_P60983_GMFB_HUMAN_.pdf</t>
  </si>
  <si>
    <t>Melting_Curves/meltCurve_sp_P61006_RAB8A_HUMAN_.pdf</t>
  </si>
  <si>
    <t>Melting_Curves/meltCurve_sp_P61011_SRP54_HUMAN_.pdf</t>
  </si>
  <si>
    <t>Melting_Curves/meltCurve_sp_P61019_RAB2A_HUMAN_.pdf</t>
  </si>
  <si>
    <t>Melting_Curves/meltCurve_sp_P61020_RAB5B_HUMAN_.pdf</t>
  </si>
  <si>
    <t>Melting_Curves/meltCurve_sp_P61026_RAB10_HUMAN_.pdf</t>
  </si>
  <si>
    <t>Melting_Curves/meltCurve_sp_P61077_UB2D3_HUMAN_.pdf</t>
  </si>
  <si>
    <t>Melting_Curves/meltCurve_sp_P61081_UBC12_HUMAN_.pdf</t>
  </si>
  <si>
    <t>Melting_Curves/meltCurve_sp_P61086_UBE2K_HUMAN_.pdf</t>
  </si>
  <si>
    <t>Melting_Curves/meltCurve_sp_P61088_UBE2N_HUMAN_.pdf</t>
  </si>
  <si>
    <t>Melting_Curves/meltCurve_sp_P61106_RAB14_HUMAN_.pdf</t>
  </si>
  <si>
    <t>Melting_Curves/meltCurve_sp_P61158_ARP3_HUMAN_.pdf</t>
  </si>
  <si>
    <t>Melting_Curves/meltCurve_sp_P61160_ARP2_HUMAN_.pdf</t>
  </si>
  <si>
    <t>Melting_Curves/meltCurve_sp_P61163_ACTZ_HUMAN_.pdf</t>
  </si>
  <si>
    <t>Melting_Curves/meltCurve_sp_P61201_CSN2_HUMAN_.pdf</t>
  </si>
  <si>
    <t>Melting_Curves/meltCurve_sp_P61218_RPAB2_HUMAN_.pdf</t>
  </si>
  <si>
    <t>Melting_Curves/meltCurve_sp_P61221_ABCE1_HUMAN_.pdf</t>
  </si>
  <si>
    <t>Melting_Curves/meltCurve_sp_P61224_3_RAP1B_HUMAN_.pdf</t>
  </si>
  <si>
    <t>Melting_Curves/meltCurve_sp_P61247_RS3A_HUMAN_.pdf</t>
  </si>
  <si>
    <t>Melting_Curves/meltCurve_sp_P61289_PSME3_HUMAN_.pdf</t>
  </si>
  <si>
    <t>Melting_Curves/meltCurve_sp_P61326_MGN_HUMAN_.pdf</t>
  </si>
  <si>
    <t>Melting_Curves/meltCurve_sp_P61457_PHS_HUMAN_.pdf</t>
  </si>
  <si>
    <t>Melting_Curves/meltCurve_sp_P61586_RHOA_HUMAN_.pdf</t>
  </si>
  <si>
    <t>Melting_Curves/meltCurve_sp_P61604_CH10_HUMAN_.pdf</t>
  </si>
  <si>
    <t>Melting_Curves/meltCurve_sp_P61758_PFD3_HUMAN_.pdf</t>
  </si>
  <si>
    <t>Melting_Curves/meltCurve_sp_P61923_COPZ1_HUMAN_.pdf</t>
  </si>
  <si>
    <t>Melting_Curves/meltCurve_sp_P61956_2_SUMO2_HUMAN_.pdf</t>
  </si>
  <si>
    <t>Melting_Curves/meltCurve_sp_P61964_WDR5_HUMAN_.pdf</t>
  </si>
  <si>
    <t>Melting_Curves/meltCurve_sp_P61966_AP1S1_HUMAN_.pdf</t>
  </si>
  <si>
    <t>Melting_Curves/meltCurve_sp_P61970_NTF2_HUMAN_.pdf</t>
  </si>
  <si>
    <t>Melting_Curves/meltCurve_sp_P61978_3_HNRPK_HUMAN_.pdf</t>
  </si>
  <si>
    <t>Melting_Curves/meltCurve_sp_P61981_1433G_HUMAN_.pdf</t>
  </si>
  <si>
    <t>Melting_Curves/meltCurve_sp_P62070_RRAS2_HUMAN_.pdf</t>
  </si>
  <si>
    <t>Melting_Curves/meltCurve_sp_P62072_TIM10_HUMAN_.pdf</t>
  </si>
  <si>
    <t>Melting_Curves/meltCurve_sp_P62136_PP1A_HUMAN_.pdf</t>
  </si>
  <si>
    <t>Melting_Curves/meltCurve_sp_P62140_PP1B_HUMAN_.pdf</t>
  </si>
  <si>
    <t>Melting_Curves/meltCurve_sp_P62158_CALM_HUMAN_.pdf</t>
  </si>
  <si>
    <t>Melting_Curves/meltCurve_sp_P62191_PRS4_HUMAN_.pdf</t>
  </si>
  <si>
    <t>Melting_Curves/meltCurve_sp_P62195_2_PRS8_HUMAN_.pdf</t>
  </si>
  <si>
    <t>Melting_Curves/meltCurve_sp_P62241_RS8_HUMAN_.pdf</t>
  </si>
  <si>
    <t>Melting_Curves/meltCurve_sp_P62258_1433E_HUMAN_.pdf</t>
  </si>
  <si>
    <t>Melting_Curves/meltCurve_sp_P62277_RS13_HUMAN_.pdf</t>
  </si>
  <si>
    <t>Melting_Curves/meltCurve_sp_P62280_RS11_HUMAN_.pdf</t>
  </si>
  <si>
    <t>Melting_Curves/meltCurve_sp_P62304_RUXE_HUMAN_.pdf</t>
  </si>
  <si>
    <t>Melting_Curves/meltCurve_sp_P62308_RUXG_HUMAN_.pdf</t>
  </si>
  <si>
    <t>Melting_Curves/meltCurve_sp_P62310_LSM3_HUMAN_.pdf</t>
  </si>
  <si>
    <t>Melting_Curves/meltCurve_sp_P62312_LSM6_HUMAN_.pdf</t>
  </si>
  <si>
    <t>Melting_Curves/meltCurve_sp_P62314_SMD1_HUMAN_.pdf</t>
  </si>
  <si>
    <t>Melting_Curves/meltCurve_sp_P62316_SMD2_HUMAN_.pdf</t>
  </si>
  <si>
    <t>Melting_Curves/meltCurve_sp_P62328_TYB4_HUMAN_.pdf</t>
  </si>
  <si>
    <t>Melting_Curves/meltCurve_sp_P62330_ARF6_HUMAN_.pdf</t>
  </si>
  <si>
    <t>Melting_Curves/meltCurve_sp_P62333_PRS10_HUMAN_.pdf</t>
  </si>
  <si>
    <t>Melting_Curves/meltCurve_sp_P62424_RL7A_HUMAN_.pdf</t>
  </si>
  <si>
    <t>Melting_Curves/meltCurve_sp_P62495_ERF1_HUMAN_.pdf</t>
  </si>
  <si>
    <t>Melting_Curves/meltCurve_sp_P62633_2_CNBP_HUMAN_.pdf</t>
  </si>
  <si>
    <t>Melting_Curves/meltCurve_sp_P62701_RS4X_HUMAN_.pdf</t>
  </si>
  <si>
    <t>Melting_Curves/meltCurve_sp_P62714_PP2AB_HUMAN_.pdf</t>
  </si>
  <si>
    <t>Melting_Curves/meltCurve_sp_P62745_RHOB_HUMAN_.pdf</t>
  </si>
  <si>
    <t>Melting_Curves/meltCurve_sp_P62750_RL23A_HUMAN_.pdf</t>
  </si>
  <si>
    <t>Melting_Curves/meltCurve_sp_P62753_RS6_HUMAN_.pdf</t>
  </si>
  <si>
    <t>Melting_Curves/meltCurve_sp_P62760_VISL1_HUMAN_.pdf</t>
  </si>
  <si>
    <t>Melting_Curves/meltCurve_sp_P62805_H4_HUMAN_.pdf</t>
  </si>
  <si>
    <t>Melting_Curves/meltCurve_sp_P62807_H2B1C_HUMAN_.pdf</t>
  </si>
  <si>
    <t>Melting_Curves/meltCurve_sp_P62820_RAB1A_HUMAN_.pdf</t>
  </si>
  <si>
    <t>Melting_Curves/meltCurve_sp_P62826_RAN_HUMAN_.pdf</t>
  </si>
  <si>
    <t>Melting_Curves/meltCurve_sp_P62829_RL23_HUMAN_.pdf</t>
  </si>
  <si>
    <t>Melting_Curves/meltCurve_sp_P62834_RAP1A_HUMAN_.pdf</t>
  </si>
  <si>
    <t>Melting_Curves/meltCurve_sp_P62851_RS25_HUMAN_.pdf</t>
  </si>
  <si>
    <t>Melting_Curves/meltCurve_sp_P62854_RS26_HUMAN_.pdf</t>
  </si>
  <si>
    <t>Melting_Curves/meltCurve_sp_P62873_GBB1_HUMAN_.pdf</t>
  </si>
  <si>
    <t>Melting_Curves/meltCurve_sp_P62877_RBX1_HUMAN_.pdf</t>
  </si>
  <si>
    <t>Melting_Curves/meltCurve_sp_P62879_GBB2_HUMAN_.pdf</t>
  </si>
  <si>
    <t>Melting_Curves/meltCurve_sp_P62942_FKB1A_HUMAN_.pdf</t>
  </si>
  <si>
    <t>Melting_Curves/meltCurve_sp_P62993_GRB2_HUMAN_.pdf</t>
  </si>
  <si>
    <t>Melting_Curves/meltCurve_sp_P62995_3_TRA2B_HUMAN_.pdf</t>
  </si>
  <si>
    <t>Melting_Curves/meltCurve_sp_P63000_RAC1_HUMAN_.pdf</t>
  </si>
  <si>
    <t>Melting_Curves/meltCurve_sp_P63010_AP2B1_HUMAN_.pdf</t>
  </si>
  <si>
    <t>Melting_Curves/meltCurve_sp_P63104_1433Z_HUMAN_.pdf</t>
  </si>
  <si>
    <t>Melting_Curves/meltCurve_sp_P63151_2ABA_HUMAN_.pdf</t>
  </si>
  <si>
    <t>Melting_Curves/meltCurve_sp_P63167_DYL1_HUMAN_.pdf</t>
  </si>
  <si>
    <t>Melting_Curves/meltCurve_sp_P63244_GBLP_HUMAN_.pdf</t>
  </si>
  <si>
    <t>Melting_Curves/meltCurve_sp_P63261_ACTG_HUMAN_.pdf</t>
  </si>
  <si>
    <t>Melting_Curves/meltCurve_sp_P63313_TYB10_HUMAN_.pdf</t>
  </si>
  <si>
    <t>Melting_Curves/meltCurve_sp_P67775_PP2AA_HUMAN_.pdf</t>
  </si>
  <si>
    <t>Melting_Curves/meltCurve_sp_P67809_YBOX1_HUMAN_.pdf</t>
  </si>
  <si>
    <t>Melting_Curves/meltCurve_sp_P67870_CSK2B_HUMAN_.pdf</t>
  </si>
  <si>
    <t>Melting_Curves/meltCurve_sp_P67936_TPM4_HUMAN_.pdf</t>
  </si>
  <si>
    <t>Melting_Curves/meltCurve_sp_P68036_UB2L3_HUMAN_.pdf</t>
  </si>
  <si>
    <t>Melting_Curves/meltCurve_sp_P68133_ACTS_HUMAN_.pdf</t>
  </si>
  <si>
    <t>Melting_Curves/meltCurve_sp_P68363_TBA1B_HUMAN_.pdf</t>
  </si>
  <si>
    <t>Melting_Curves/meltCurve_sp_P68371_TBB4B_HUMAN_.pdf</t>
  </si>
  <si>
    <t>Melting_Curves/meltCurve_sp_P68402_PA1B2_HUMAN_.pdf</t>
  </si>
  <si>
    <t>Melting_Curves/meltCurve_sp_P78314_3BP2_HUMAN_.pdf</t>
  </si>
  <si>
    <t>Melting_Curves/meltCurve_sp_P78318_IGBP1_HUMAN_.pdf</t>
  </si>
  <si>
    <t>Melting_Curves/meltCurve_sp_P78329_CP4F2_HUMAN_.pdf</t>
  </si>
  <si>
    <t>Melting_Curves/meltCurve_sp_P78332_RBM6_HUMAN_.pdf</t>
  </si>
  <si>
    <t>Melting_Curves/meltCurve_sp_P78345_RPP38_HUMAN_.pdf</t>
  </si>
  <si>
    <t>Melting_Curves/meltCurve_sp_P78346_RPP30_HUMAN_.pdf</t>
  </si>
  <si>
    <t>Melting_Curves/meltCurve_sp_P78347_2_GTF2I_HUMAN_.pdf</t>
  </si>
  <si>
    <t>Melting_Curves/meltCurve_sp_P78356_PI42B_HUMAN_.pdf</t>
  </si>
  <si>
    <t>Melting_Curves/meltCurve_sp_P78362_SRPK2_HUMAN_.pdf</t>
  </si>
  <si>
    <t>Melting_Curves/meltCurve_sp_P78371_TCPB_HUMAN_.pdf</t>
  </si>
  <si>
    <t>Melting_Curves/meltCurve_sp_P78406_RAE1L_HUMAN_.pdf</t>
  </si>
  <si>
    <t>Melting_Curves/meltCurve_sp_P78417_GSTO1_HUMAN_.pdf</t>
  </si>
  <si>
    <t>Melting_Curves/meltCurve_sp_P78524_ST5_HUMAN_.pdf</t>
  </si>
  <si>
    <t>Melting_Curves/meltCurve_sp_P78560_CRADD_HUMAN_.pdf</t>
  </si>
  <si>
    <t>Melting_Curves/meltCurve_sp_P80188_2_NGAL_HUMAN_.pdf</t>
  </si>
  <si>
    <t>Melting_Curves/meltCurve_sp_P80217_IN35_HUMAN_.pdf</t>
  </si>
  <si>
    <t>Melting_Curves/meltCurve_sp_P80294_MT1H_HUMAN_.pdf</t>
  </si>
  <si>
    <t>Melting_Curves/meltCurve_sp_P80297_MT1X_HUMAN_.pdf</t>
  </si>
  <si>
    <t>Melting_Curves/meltCurve_sp_P80303_NUCB2_HUMAN_.pdf</t>
  </si>
  <si>
    <t>Melting_Curves/meltCurve_sp_P80404_GABT_HUMAN_.pdf</t>
  </si>
  <si>
    <t>Melting_Curves/meltCurve_sp_P80723_BASP1_HUMAN_.pdf</t>
  </si>
  <si>
    <t>Melting_Curves/meltCurve_sp_P81605_DCD_HUMAN_.pdf</t>
  </si>
  <si>
    <t>Melting_Curves/meltCurve_sp_P82094_TMF1_HUMAN_.pdf</t>
  </si>
  <si>
    <t>Melting_Curves/meltCurve_sp_P82664_RT10_HUMAN_.pdf</t>
  </si>
  <si>
    <t>Melting_Curves/meltCurve_sp_P82675_RT05_HUMAN_.pdf</t>
  </si>
  <si>
    <t>Melting_Curves/meltCurve_sp_P82909_RT36_HUMAN_.pdf</t>
  </si>
  <si>
    <t>Melting_Curves/meltCurve_sp_P82914_RT15_HUMAN_.pdf</t>
  </si>
  <si>
    <t>Melting_Curves/meltCurve_sp_P82930_RT34_HUMAN_.pdf</t>
  </si>
  <si>
    <t>Melting_Curves/meltCurve_sp_P82932_RT06_HUMAN_.pdf</t>
  </si>
  <si>
    <t>Melting_Curves/meltCurve_sp_P82979_SARNP_HUMAN_.pdf</t>
  </si>
  <si>
    <t>Melting_Curves/meltCurve_sp_P82980_RET5_HUMAN_.pdf</t>
  </si>
  <si>
    <t>Melting_Curves/meltCurve_sp_P83111_LACTB_HUMAN_.pdf</t>
  </si>
  <si>
    <t>Melting_Curves/meltCurve_sp_P83436_COG7_HUMAN_.pdf</t>
  </si>
  <si>
    <t>Melting_Curves/meltCurve_sp_P83876_TXN4A_HUMAN_.pdf</t>
  </si>
  <si>
    <t>Melting_Curves/meltCurve_sp_P84077_ARF1_HUMAN_.pdf</t>
  </si>
  <si>
    <t>Melting_Curves/meltCurve_sp_P84085_ARF5_HUMAN_.pdf</t>
  </si>
  <si>
    <t>Melting_Curves/meltCurve_sp_P84090_ERH_HUMAN_.pdf</t>
  </si>
  <si>
    <t>Melting_Curves/meltCurve_sp_P85037_FOXK1_HUMAN_.pdf</t>
  </si>
  <si>
    <t>Melting_Curves/meltCurve_sp_P86791_CCZ1_HUMAN_.pdf</t>
  </si>
  <si>
    <t>Melting_Curves/meltCurve_sp_P98082_2_DAB2_HUMAN_.pdf</t>
  </si>
  <si>
    <t>Melting_Curves/meltCurve_sp_P98160_PGBM_HUMAN_.pdf</t>
  </si>
  <si>
    <t>Melting_Curves/meltCurve_sp_P98170_XIAP_HUMAN_.pdf</t>
  </si>
  <si>
    <t>Melting_Curves/meltCurve_sp_P98175_2_RBM10_HUMAN_.pdf</t>
  </si>
  <si>
    <t>Melting_Curves/meltCurve_sp_P98179_RBM3_HUMAN_.pdf</t>
  </si>
  <si>
    <t>Melting_Curves/meltCurve_sp_Q00059_TFAM_HUMAN_.pdf</t>
  </si>
  <si>
    <t>Melting_Curves/meltCurve_sp_Q00169_PIPNA_HUMAN_.pdf</t>
  </si>
  <si>
    <t>Melting_Curves/meltCurve_sp_Q00266_METK1_HUMAN_.pdf</t>
  </si>
  <si>
    <t>Melting_Curves/meltCurve_sp_Q00341_VIGLN_HUMAN_.pdf</t>
  </si>
  <si>
    <t>Melting_Curves/meltCurve_sp_Q00403_TF2B_HUMAN_.pdf</t>
  </si>
  <si>
    <t>Melting_Curves/meltCurve_sp_Q00534_CDK6_HUMAN_.pdf</t>
  </si>
  <si>
    <t>Melting_Curves/meltCurve_sp_Q00535_CDK5_HUMAN_.pdf</t>
  </si>
  <si>
    <t>Melting_Curves/meltCurve_sp_Q00577_PURA_HUMAN_.pdf</t>
  </si>
  <si>
    <t>Melting_Curves/meltCurve_sp_Q00587_2_BORG5_HUMAN_.pdf</t>
  </si>
  <si>
    <t>Melting_Curves/meltCurve_sp_Q00610_2_CLH1_HUMAN_.pdf</t>
  </si>
  <si>
    <t>Melting_Curves/meltCurve_sp_Q00653_NFKB2_HUMAN_.pdf</t>
  </si>
  <si>
    <t>Melting_Curves/meltCurve_sp_Q00688_FKBP3_HUMAN_.pdf</t>
  </si>
  <si>
    <t>Melting_Curves/meltCurve_sp_Q00796_DHSO_HUMAN_.pdf</t>
  </si>
  <si>
    <t>Melting_Curves/meltCurve_sp_Q00839_HNRPU_HUMAN_.pdf</t>
  </si>
  <si>
    <t>Melting_Curves/meltCurve_sp_Q00G26_PLIN5_HUMAN_.pdf</t>
  </si>
  <si>
    <t>Melting_Curves/meltCurve_sp_Q01081_U2AF1_HUMAN_.pdf</t>
  </si>
  <si>
    <t>Melting_Curves/meltCurve_sp_Q01082_3_SPTB2_HUMAN_.pdf</t>
  </si>
  <si>
    <t>Melting_Curves/meltCurve_sp_Q01082_SPTB2_HUMAN_.pdf</t>
  </si>
  <si>
    <t>Melting_Curves/meltCurve_sp_Q01085_2_TIAR_HUMAN_.pdf</t>
  </si>
  <si>
    <t>Melting_Curves/meltCurve_sp_Q01105_SET_HUMAN_.pdf</t>
  </si>
  <si>
    <t>Melting_Curves/meltCurve_sp_Q01433_2_AMPD2_HUMAN_.pdf</t>
  </si>
  <si>
    <t>Melting_Curves/meltCurve_sp_Q01459_DIAC_HUMAN_.pdf</t>
  </si>
  <si>
    <t>Melting_Curves/meltCurve_sp_Q01469_FABP5_HUMAN_.pdf</t>
  </si>
  <si>
    <t>Melting_Curves/meltCurve_sp_Q01518_2_CAP1_HUMAN_.pdf</t>
  </si>
  <si>
    <t>Melting_Curves/meltCurve_sp_Q01581_HMCS1_HUMAN_.pdf</t>
  </si>
  <si>
    <t>Melting_Curves/meltCurve_sp_Q01658_NC2B_HUMAN_.pdf</t>
  </si>
  <si>
    <t>Melting_Curves/meltCurve_sp_Q01804_OTUD4_HUMAN_.pdf</t>
  </si>
  <si>
    <t>Melting_Curves/meltCurve_sp_Q01831_2_XPC_HUMAN_.pdf</t>
  </si>
  <si>
    <t>Melting_Curves/meltCurve_sp_Q01844_6_EWS_HUMAN_.pdf</t>
  </si>
  <si>
    <t>Melting_Curves/meltCurve_sp_Q01968_2_OCRL_HUMAN_.pdf</t>
  </si>
  <si>
    <t>Melting_Curves/meltCurve_sp_Q02083_2_NAAA_HUMAN_.pdf</t>
  </si>
  <si>
    <t>Melting_Curves/meltCurve_sp_Q02086_2_SP2_HUMAN_.pdf</t>
  </si>
  <si>
    <t>Melting_Curves/meltCurve_sp_Q02252_MMSA_HUMAN_.pdf</t>
  </si>
  <si>
    <t>Melting_Curves/meltCurve_sp_Q02318_CP27A_HUMAN_.pdf</t>
  </si>
  <si>
    <t>Melting_Curves/meltCurve_sp_Q02325_PLGB_HUMAN_.pdf</t>
  </si>
  <si>
    <t>Melting_Curves/meltCurve_sp_Q02410_APBA1_HUMAN_.pdf</t>
  </si>
  <si>
    <t>Melting_Curves/meltCurve_sp_Q02487_2_DSC2_HUMAN_.pdf</t>
  </si>
  <si>
    <t>Melting_Curves/meltCurve_sp_Q02487_DSC2_HUMAN_.pdf</t>
  </si>
  <si>
    <t>Melting_Curves/meltCurve_sp_Q02750_MP2K1_HUMAN_.pdf</t>
  </si>
  <si>
    <t>Melting_Curves/meltCurve_sp_Q02790_FKBP4_HUMAN_.pdf</t>
  </si>
  <si>
    <t>Melting_Curves/meltCurve_sp_Q02818_NUCB1_HUMAN_.pdf</t>
  </si>
  <si>
    <t>Melting_Curves/meltCurve_sp_Q02928_CP4AB_HUMAN_.pdf</t>
  </si>
  <si>
    <t>Melting_Curves/meltCurve_sp_Q02952_3_AKA12_HUMAN_.pdf</t>
  </si>
  <si>
    <t>Melting_Curves/meltCurve_sp_Q02985_2_FHR3_HUMAN_.pdf</t>
  </si>
  <si>
    <t>Melting_Curves/meltCurve_sp_Q03001_8_DYST_HUMAN_.pdf</t>
  </si>
  <si>
    <t>Melting_Curves/meltCurve_sp_Q03013_2_GSTM4_HUMAN_.pdf</t>
  </si>
  <si>
    <t>Melting_Curves/meltCurve_sp_Q03154_ACY1_HUMAN_.pdf</t>
  </si>
  <si>
    <t>Melting_Curves/meltCurve_sp_Q03252_LMNB2_HUMAN_.pdf</t>
  </si>
  <si>
    <t>Melting_Curves/meltCurve_sp_Q03591_FHR1_HUMAN_.pdf</t>
  </si>
  <si>
    <t>Melting_Curves/meltCurve_sp_Q04446_GLGB_HUMAN_.pdf</t>
  </si>
  <si>
    <t>Melting_Curves/meltCurve_sp_Q04637_5_IF4G1_HUMAN_.pdf</t>
  </si>
  <si>
    <t>Melting_Curves/meltCurve_sp_Q04721_NOTC2_HUMAN_.pdf</t>
  </si>
  <si>
    <t>Melting_Curves/meltCurve_sp_Q04724_TLE1_HUMAN_.pdf</t>
  </si>
  <si>
    <t>Melting_Curves/meltCurve_sp_Q04726_2_TLE3_HUMAN_.pdf</t>
  </si>
  <si>
    <t>Melting_Curves/meltCurve_sp_Q04756_HGFA_HUMAN_.pdf</t>
  </si>
  <si>
    <t>Melting_Curves/meltCurve_sp_Q04760_LGUL_HUMAN_.pdf</t>
  </si>
  <si>
    <t>Melting_Curves/meltCurve_sp_Q04828_AK1C1_HUMAN_.pdf</t>
  </si>
  <si>
    <t>Melting_Curves/meltCurve_sp_Q04837_SSBP_HUMAN_.pdf</t>
  </si>
  <si>
    <t>Melting_Curves/meltCurve_sp_Q04917_1433F_HUMAN_.pdf</t>
  </si>
  <si>
    <t>Melting_Curves/meltCurve_sp_Q05048_CSTF1_HUMAN_.pdf</t>
  </si>
  <si>
    <t>Melting_Curves/meltCurve_sp_Q05086_3_UBE3A_HUMAN_.pdf</t>
  </si>
  <si>
    <t>Melting_Curves/meltCurve_sp_Q05209_PTN12_HUMAN_.pdf</t>
  </si>
  <si>
    <t>Melting_Curves/meltCurve_sp_Q05519_2_SRS11_HUMAN_.pdf</t>
  </si>
  <si>
    <t>Melting_Curves/meltCurve_sp_Q05639_EF1A2_HUMAN_.pdf</t>
  </si>
  <si>
    <t>Melting_Curves/meltCurve_sp_Q05682_5_CALD1_HUMAN_.pdf</t>
  </si>
  <si>
    <t>Melting_Curves/meltCurve_sp_Q05682_CALD1_HUMAN_.pdf</t>
  </si>
  <si>
    <t>Melting_Curves/meltCurve_sp_Q06033_2_ITIH3_HUMAN_.pdf</t>
  </si>
  <si>
    <t>Melting_Curves/meltCurve_sp_Q06124_2_PTN11_HUMAN_.pdf</t>
  </si>
  <si>
    <t>Melting_Curves/meltCurve_sp_Q06203_PUR1_HUMAN_.pdf</t>
  </si>
  <si>
    <t>Melting_Curves/meltCurve_sp_Q06210_2_GFPT1_HUMAN_.pdf</t>
  </si>
  <si>
    <t>Melting_Curves/meltCurve_sp_Q06265_EXOS9_HUMAN_.pdf</t>
  </si>
  <si>
    <t>Melting_Curves/meltCurve_sp_Q06278_ADO_HUMAN_.pdf</t>
  </si>
  <si>
    <t>Melting_Curves/meltCurve_sp_Q06323_PSME1_HUMAN_.pdf</t>
  </si>
  <si>
    <t>Melting_Curves/meltCurve_sp_Q06330_5_SUH_HUMAN_.pdf</t>
  </si>
  <si>
    <t>Melting_Curves/meltCurve_sp_Q06520_ST2A1_HUMAN_.pdf</t>
  </si>
  <si>
    <t>Melting_Curves/meltCurve_sp_Q06546_GABPA_HUMAN_.pdf</t>
  </si>
  <si>
    <t>Melting_Curves/meltCurve_sp_Q06587_RING1_HUMAN_.pdf</t>
  </si>
  <si>
    <t>Melting_Curves/meltCurve_sp_Q07021_C1QBP_HUMAN_.pdf</t>
  </si>
  <si>
    <t>Melting_Curves/meltCurve_sp_Q07065_CKAP4_HUMAN_.pdf</t>
  </si>
  <si>
    <t>Melting_Curves/meltCurve_sp_Q07075_AMPE_HUMAN_.pdf</t>
  </si>
  <si>
    <t>Melting_Curves/meltCurve_sp_Q07157_ZO1_HUMAN_.pdf</t>
  </si>
  <si>
    <t>Melting_Curves/meltCurve_sp_Q07283_TRHY_HUMAN_.pdf</t>
  </si>
  <si>
    <t>Melting_Curves/meltCurve_sp_Q07666_KHDR1_HUMAN_.pdf</t>
  </si>
  <si>
    <t>Melting_Curves/meltCurve_sp_Q07812_5_BAX_HUMAN_.pdf</t>
  </si>
  <si>
    <t>Melting_Curves/meltCurve_sp_Q07912_ACK1_HUMAN_.pdf</t>
  </si>
  <si>
    <t>Melting_Curves/meltCurve_sp_Q07954_LRP1_HUMAN_.pdf</t>
  </si>
  <si>
    <t>Melting_Curves/meltCurve_sp_Q07955_SRSF1_HUMAN_.pdf</t>
  </si>
  <si>
    <t>Melting_Curves/meltCurve_sp_Q07960_RHG01_HUMAN_.pdf</t>
  </si>
  <si>
    <t>Melting_Curves/meltCurve_sp_Q08170_SRSF4_HUMAN_.pdf</t>
  </si>
  <si>
    <t>Melting_Curves/meltCurve_sp_Q08209_2_PP2BA_HUMAN_.pdf</t>
  </si>
  <si>
    <t>Melting_Curves/meltCurve_sp_Q08211_DHX9_HUMAN_.pdf</t>
  </si>
  <si>
    <t>Melting_Curves/meltCurve_sp_Q08257_QOR_HUMAN_.pdf</t>
  </si>
  <si>
    <t>Melting_Curves/meltCurve_sp_Q08378_GOGA3_HUMAN_.pdf</t>
  </si>
  <si>
    <t>Melting_Curves/meltCurve_sp_Q08379_GOGA2_HUMAN_.pdf</t>
  </si>
  <si>
    <t>Melting_Curves/meltCurve_sp_Q08380_LG3BP_HUMAN_.pdf</t>
  </si>
  <si>
    <t>Melting_Curves/meltCurve_sp_Q08426_ECHP_HUMAN_.pdf</t>
  </si>
  <si>
    <t>Melting_Curves/meltCurve_sp_Q08477_2_CP4F3_HUMAN_.pdf</t>
  </si>
  <si>
    <t>Melting_Curves/meltCurve_sp_Q08495_2_DEMA_HUMAN_.pdf</t>
  </si>
  <si>
    <t>Melting_Curves/meltCurve_sp_Q08752_PPID_HUMAN_.pdf</t>
  </si>
  <si>
    <t>Melting_Curves/meltCurve_sp_Q08830_FGL1_HUMAN_.pdf</t>
  </si>
  <si>
    <t>Melting_Curves/meltCurve_sp_Q08999_RBL2_HUMAN_.pdf</t>
  </si>
  <si>
    <t>Melting_Curves/meltCurve_sp_Q08AG7_MZT1_HUMAN_.pdf</t>
  </si>
  <si>
    <t>Melting_Curves/meltCurve_sp_Q08AH3_ACS2A_HUMAN_.pdf</t>
  </si>
  <si>
    <t>Melting_Curves/meltCurve_sp_Q08AM6_VAC14_HUMAN_.pdf</t>
  </si>
  <si>
    <t>Melting_Curves/meltCurve_sp_Q08J23_NSUN2_HUMAN_.pdf</t>
  </si>
  <si>
    <t>Melting_Curves/meltCurve_sp_Q09028_3_RBBP4_HUMAN_.pdf</t>
  </si>
  <si>
    <t>Melting_Curves/meltCurve_sp_Q09472_EP300_HUMAN_.pdf</t>
  </si>
  <si>
    <t>Melting_Curves/meltCurve_sp_Q09666_AHNK_HUMAN_.pdf</t>
  </si>
  <si>
    <t>Melting_Curves/meltCurve_sp_Q0JRZ9_FCHO2_HUMAN_.pdf</t>
  </si>
  <si>
    <t>Melting_Curves/meltCurve_sp_Q0VDF9_HSP7E_HUMAN_.pdf</t>
  </si>
  <si>
    <t>Melting_Curves/meltCurve_sp_Q0VDG4_SCRN3_HUMAN_.pdf</t>
  </si>
  <si>
    <t>Melting_Curves/meltCurve_sp_Q0VF96_CGNL1_HUMAN_.pdf</t>
  </si>
  <si>
    <t>Melting_Curves/meltCurve_sp_Q10567_2_AP1B1_HUMAN_.pdf</t>
  </si>
  <si>
    <t>Melting_Curves/meltCurve_sp_Q10567_3_AP1B1_HUMAN_.pdf</t>
  </si>
  <si>
    <t>Melting_Curves/meltCurve_sp_Q10570_CPSF1_HUMAN_.pdf</t>
  </si>
  <si>
    <t>Melting_Curves/meltCurve_sp_Q10713_MPPA_HUMAN_.pdf</t>
  </si>
  <si>
    <t>Melting_Curves/meltCurve_sp_Q12768_STRUM_HUMAN_.pdf</t>
  </si>
  <si>
    <t>Melting_Curves/meltCurve_sp_Q12769_NU160_HUMAN_.pdf</t>
  </si>
  <si>
    <t>Melting_Curves/meltCurve_sp_Q12774_ARHG5_HUMAN_.pdf</t>
  </si>
  <si>
    <t>Melting_Curves/meltCurve_sp_Q12792_TWF1_HUMAN_.pdf</t>
  </si>
  <si>
    <t>Melting_Curves/meltCurve_sp_Q12794_7_HYAL1_HUMAN_.pdf</t>
  </si>
  <si>
    <t>Melting_Curves/meltCurve_sp_Q12802_4_AKP13_HUMAN_.pdf</t>
  </si>
  <si>
    <t>Melting_Curves/meltCurve_sp_Q12849_5_GRSF1_HUMAN_.pdf</t>
  </si>
  <si>
    <t>Melting_Curves/meltCurve_sp_Q12874_SF3A3_HUMAN_.pdf</t>
  </si>
  <si>
    <t>Melting_Curves/meltCurve_sp_Q12882_DPYD_HUMAN_.pdf</t>
  </si>
  <si>
    <t>Melting_Curves/meltCurve_sp_Q12888_TP53B_HUMAN_.pdf</t>
  </si>
  <si>
    <t>Melting_Curves/meltCurve_sp_Q12899_TRI26_HUMAN_.pdf</t>
  </si>
  <si>
    <t>Melting_Curves/meltCurve_sp_Q12904_AIMP1_HUMAN_.pdf</t>
  </si>
  <si>
    <t>Melting_Curves/meltCurve_sp_Q12905_ILF2_HUMAN_.pdf</t>
  </si>
  <si>
    <t>Melting_Curves/meltCurve_sp_Q12906_4_ILF3_HUMAN_.pdf</t>
  </si>
  <si>
    <t>Melting_Curves/meltCurve_sp_Q12929_EPS8_HUMAN_.pdf</t>
  </si>
  <si>
    <t>Melting_Curves/meltCurve_sp_Q12933_4_TRAF2_HUMAN_.pdf</t>
  </si>
  <si>
    <t>Melting_Curves/meltCurve_sp_Q12959_5_DLG1_HUMAN_.pdf</t>
  </si>
  <si>
    <t>Melting_Curves/meltCurve_sp_Q12962_TAF10_HUMAN_.pdf</t>
  </si>
  <si>
    <t>Melting_Curves/meltCurve_sp_Q12965_MYO1E_HUMAN_.pdf</t>
  </si>
  <si>
    <t>Melting_Curves/meltCurve_sp_Q12972_PP1R8_HUMAN_.pdf</t>
  </si>
  <si>
    <t>Melting_Curves/meltCurve_sp_Q12986_3_NFX1_HUMAN_.pdf</t>
  </si>
  <si>
    <t>Melting_Curves/meltCurve_sp_Q12996_CSTF3_HUMAN_.pdf</t>
  </si>
  <si>
    <t>Melting_Curves/meltCurve_sp_Q13011_ECH1_HUMAN_.pdf</t>
  </si>
  <si>
    <t>Melting_Curves/meltCurve_sp_Q13017_2_RHG05_HUMAN_.pdf</t>
  </si>
  <si>
    <t>Melting_Curves/meltCurve_sp_Q13033_2_STRN3_HUMAN_.pdf</t>
  </si>
  <si>
    <t>Melting_Curves/meltCurve_sp_Q13045_2_FLII_HUMAN_.pdf</t>
  </si>
  <si>
    <t>Melting_Curves/meltCurve_sp_Q13045_FLII_HUMAN_.pdf</t>
  </si>
  <si>
    <t>Melting_Curves/meltCurve_sp_Q13057_COASY_HUMAN_.pdf</t>
  </si>
  <si>
    <t>Melting_Curves/meltCurve_sp_Q13085_ACACA_HUMAN_.pdf</t>
  </si>
  <si>
    <t>Melting_Curves/meltCurve_sp_Q13107_2_UBP4_HUMAN_.pdf</t>
  </si>
  <si>
    <t>Melting_Curves/meltCurve_sp_Q13123_RED_HUMAN_.pdf</t>
  </si>
  <si>
    <t>Melting_Curves/meltCurve_sp_Q13126_MTAP_HUMAN_.pdf</t>
  </si>
  <si>
    <t>Melting_Curves/meltCurve_sp_Q13131_AAPK1_HUMAN_.pdf</t>
  </si>
  <si>
    <t>Melting_Curves/meltCurve_sp_Q13136_2_LIPA1_HUMAN_.pdf</t>
  </si>
  <si>
    <t>Melting_Curves/meltCurve_sp_Q13148_TADBP_HUMAN_.pdf</t>
  </si>
  <si>
    <t>Melting_Curves/meltCurve_sp_Q13151_ROA0_HUMAN_.pdf</t>
  </si>
  <si>
    <t>Melting_Curves/meltCurve_sp_Q13153_PAK1_HUMAN_.pdf</t>
  </si>
  <si>
    <t>Melting_Curves/meltCurve_sp_Q13155_AIMP2_HUMAN_.pdf</t>
  </si>
  <si>
    <t>Melting_Curves/meltCurve_sp_Q13162_PRDX4_HUMAN_.pdf</t>
  </si>
  <si>
    <t>Melting_Curves/meltCurve_sp_Q13177_PAK2_HUMAN_.pdf</t>
  </si>
  <si>
    <t>Melting_Curves/meltCurve_sp_Q13185_CBX3_HUMAN_.pdf</t>
  </si>
  <si>
    <t>Melting_Curves/meltCurve_sp_Q13188_STK3_HUMAN_.pdf</t>
  </si>
  <si>
    <t>Melting_Curves/meltCurve_sp_Q13200_PSMD2_HUMAN_.pdf</t>
  </si>
  <si>
    <t>Melting_Curves/meltCurve_sp_Q13206_DDX10_HUMAN_.pdf</t>
  </si>
  <si>
    <t>Melting_Curves/meltCurve_sp_Q13217_DNJC3_HUMAN_.pdf</t>
  </si>
  <si>
    <t>Melting_Curves/meltCurve_sp_Q13228_SBP1_HUMAN_.pdf</t>
  </si>
  <si>
    <t>Melting_Curves/meltCurve_sp_Q13232_NDK3_HUMAN_.pdf</t>
  </si>
  <si>
    <t>Melting_Curves/meltCurve_sp_Q13243_3_SRSF5_HUMAN_.pdf</t>
  </si>
  <si>
    <t>Melting_Curves/meltCurve_sp_Q13247_3_SRSF6_HUMAN_.pdf</t>
  </si>
  <si>
    <t>Melting_Curves/meltCurve_sp_Q13257_MD2L1_HUMAN_.pdf</t>
  </si>
  <si>
    <t>Melting_Curves/meltCurve_sp_Q13263_TIF1B_HUMAN_.pdf</t>
  </si>
  <si>
    <t>Melting_Curves/meltCurve_sp_Q13283_G3BP1_HUMAN_.pdf</t>
  </si>
  <si>
    <t>Melting_Curves/meltCurve_sp_Q13287_NMI_HUMAN_.pdf</t>
  </si>
  <si>
    <t>Melting_Curves/meltCurve_sp_Q13310_3_PABP4_HUMAN_.pdf</t>
  </si>
  <si>
    <t>Melting_Curves/meltCurve_sp_Q13310_PABP4_HUMAN_.pdf</t>
  </si>
  <si>
    <t>Melting_Curves/meltCurve_sp_Q13325_IFIT5_HUMAN_.pdf</t>
  </si>
  <si>
    <t>Melting_Curves/meltCurve_sp_Q13330_3_MTA1_HUMAN_.pdf</t>
  </si>
  <si>
    <t>Melting_Curves/meltCurve_sp_Q13347_EIF3I_HUMAN_.pdf</t>
  </si>
  <si>
    <t>Melting_Curves/meltCurve_sp_Q13362_4_2A5G_HUMAN_.pdf</t>
  </si>
  <si>
    <t>Melting_Curves/meltCurve_sp_Q13363_2_CTBP1_HUMAN_.pdf</t>
  </si>
  <si>
    <t>Melting_Curves/meltCurve_sp_Q13404_UB2V1_HUMAN_.pdf</t>
  </si>
  <si>
    <t>Melting_Curves/meltCurve_sp_Q13409_6_DC1I2_HUMAN_.pdf</t>
  </si>
  <si>
    <t>Melting_Curves/meltCurve_sp_Q13418_ILK_HUMAN_.pdf</t>
  </si>
  <si>
    <t>Melting_Curves/meltCurve_sp_Q13423_NNTM_HUMAN_.pdf</t>
  </si>
  <si>
    <t>Melting_Curves/meltCurve_sp_Q13424_SNTA1_HUMAN_.pdf</t>
  </si>
  <si>
    <t>Melting_Curves/meltCurve_sp_Q13426_2_XRCC4_HUMAN_.pdf</t>
  </si>
  <si>
    <t>Melting_Curves/meltCurve_sp_Q13427_2_PPIG_HUMAN_.pdf</t>
  </si>
  <si>
    <t>Melting_Curves/meltCurve_sp_Q13428_4_TCOF_HUMAN_.pdf</t>
  </si>
  <si>
    <t>Melting_Curves/meltCurve_sp_Q13435_SF3B2_HUMAN_.pdf</t>
  </si>
  <si>
    <t>Melting_Curves/meltCurve_sp_Q13442_HAP28_HUMAN_.pdf</t>
  </si>
  <si>
    <t>Melting_Curves/meltCurve_sp_Q13451_FKBP5_HUMAN_.pdf</t>
  </si>
  <si>
    <t>Melting_Curves/meltCurve_sp_Q13459_2_MYO9B_HUMAN_.pdf</t>
  </si>
  <si>
    <t>Melting_Curves/meltCurve_sp_Q13464_ROCK1_HUMAN_.pdf</t>
  </si>
  <si>
    <t>Melting_Curves/meltCurve_sp_Q13492_3_PICAL_HUMAN_.pdf</t>
  </si>
  <si>
    <t>Melting_Curves/meltCurve_sp_Q13496_MTM1_HUMAN_.pdf</t>
  </si>
  <si>
    <t>Melting_Curves/meltCurve_sp_Q13501_2_SQSTM_HUMAN_.pdf</t>
  </si>
  <si>
    <t>Melting_Curves/meltCurve_sp_Q13526_PIN1_HUMAN_.pdf</t>
  </si>
  <si>
    <t>Melting_Curves/meltCurve_sp_Q13541_4EBP1_HUMAN_.pdf</t>
  </si>
  <si>
    <t>Melting_Curves/meltCurve_sp_Q13542_4EBP2_HUMAN_.pdf</t>
  </si>
  <si>
    <t>Melting_Curves/meltCurve_sp_Q13546_RIPK1_HUMAN_.pdf</t>
  </si>
  <si>
    <t>Melting_Curves/meltCurve_sp_Q13547_HDAC1_HUMAN_.pdf</t>
  </si>
  <si>
    <t>Melting_Curves/meltCurve_sp_Q13555_10_KCC2G_HUMAN_.pdf</t>
  </si>
  <si>
    <t>Melting_Curves/meltCurve_sp_Q13557_8_KCC2D_HUMAN_.pdf</t>
  </si>
  <si>
    <t>Melting_Curves/meltCurve_sp_Q13561_DCTN2_HUMAN_.pdf</t>
  </si>
  <si>
    <t>Melting_Curves/meltCurve_sp_Q13572_ITPK1_HUMAN_.pdf</t>
  </si>
  <si>
    <t>Melting_Curves/meltCurve_sp_Q13573_SNW1_HUMAN_.pdf</t>
  </si>
  <si>
    <t>Melting_Curves/meltCurve_sp_Q13576_IQGA2_HUMAN_.pdf</t>
  </si>
  <si>
    <t>Melting_Curves/meltCurve_sp_Q13586_STIM1_HUMAN_.pdf</t>
  </si>
  <si>
    <t>Melting_Curves/meltCurve_sp_Q13596_SNX1_HUMAN_.pdf</t>
  </si>
  <si>
    <t>Melting_Curves/meltCurve_sp_Q13610_PWP1_HUMAN_.pdf</t>
  </si>
  <si>
    <t>Melting_Curves/meltCurve_sp_Q13616_CUL1_HUMAN_.pdf</t>
  </si>
  <si>
    <t>Melting_Curves/meltCurve_sp_Q13617_CUL2_HUMAN_.pdf</t>
  </si>
  <si>
    <t>Melting_Curves/meltCurve_sp_Q13618_CUL3_HUMAN_.pdf</t>
  </si>
  <si>
    <t>Melting_Curves/meltCurve_sp_Q13619_CUL4A_HUMAN_.pdf</t>
  </si>
  <si>
    <t>Melting_Curves/meltCurve_sp_Q13620_1_CUL4B_HUMAN_.pdf</t>
  </si>
  <si>
    <t>Melting_Curves/meltCurve_sp_Q13630_FCL_HUMAN_.pdf</t>
  </si>
  <si>
    <t>Melting_Curves/meltCurve_sp_Q13642_1_FHL1_HUMAN_.pdf</t>
  </si>
  <si>
    <t>Melting_Curves/meltCurve_sp_Q13686_ALKB1_HUMAN_.pdf</t>
  </si>
  <si>
    <t>Melting_Curves/meltCurve_sp_Q13796_SHRM2_HUMAN_.pdf</t>
  </si>
  <si>
    <t>Melting_Curves/meltCurve_sp_Q13813_2_SPTN1_HUMAN_.pdf</t>
  </si>
  <si>
    <t>Melting_Curves/meltCurve_sp_Q13813_SPTN1_HUMAN_.pdf</t>
  </si>
  <si>
    <t>Melting_Curves/meltCurve_sp_Q13825_AUHM_HUMAN_.pdf</t>
  </si>
  <si>
    <t>Melting_Curves/meltCurve_sp_Q13838_DX39B_HUMAN_.pdf</t>
  </si>
  <si>
    <t>Melting_Curves/meltCurve_sp_Q13867_BLMH_HUMAN_.pdf</t>
  </si>
  <si>
    <t>Melting_Curves/meltCurve_sp_Q13868_EXOS2_HUMAN_.pdf</t>
  </si>
  <si>
    <t>Melting_Curves/meltCurve_sp_Q13884_SNTB1_HUMAN_.pdf</t>
  </si>
  <si>
    <t>Melting_Curves/meltCurve_sp_Q13885_TBB2A_HUMAN_.pdf</t>
  </si>
  <si>
    <t>Melting_Curves/meltCurve_sp_Q13907_IDI1_HUMAN_.pdf</t>
  </si>
  <si>
    <t>Melting_Curves/meltCurve_sp_Q13951_2_PEBB_HUMAN_.pdf</t>
  </si>
  <si>
    <t>Melting_Curves/meltCurve_sp_Q14008_2_CKAP5_HUMAN_.pdf</t>
  </si>
  <si>
    <t>Melting_Curves/meltCurve_sp_Q14011_CIRBP_HUMAN_.pdf</t>
  </si>
  <si>
    <t>Melting_Curves/meltCurve_sp_Q14012_KCC1A_HUMAN_.pdf</t>
  </si>
  <si>
    <t>Melting_Curves/meltCurve_sp_Q14019_COTL1_HUMAN_.pdf</t>
  </si>
  <si>
    <t>Melting_Curves/meltCurve_sp_Q14032_BAAT_HUMAN_.pdf</t>
  </si>
  <si>
    <t>Melting_Curves/meltCurve_sp_Q14061_COX17_HUMAN_.pdf</t>
  </si>
  <si>
    <t>Melting_Curves/meltCurve_sp_Q14103_3_HNRPD_HUMAN_.pdf</t>
  </si>
  <si>
    <t>Melting_Curves/meltCurve_sp_Q14116_2_IL18_HUMAN_.pdf</t>
  </si>
  <si>
    <t>Melting_Curves/meltCurve_sp_Q14117_DPYS_HUMAN_.pdf</t>
  </si>
  <si>
    <t>Melting_Curves/meltCurve_sp_Q14118_DAG1_HUMAN_.pdf</t>
  </si>
  <si>
    <t>Melting_Curves/meltCurve_sp_Q14126_DSG2_HUMAN_.pdf</t>
  </si>
  <si>
    <t>Melting_Curves/meltCurve_sp_Q14139_UBE4A_HUMAN_.pdf</t>
  </si>
  <si>
    <t>Melting_Curves/meltCurve_sp_Q14141_2_SEPT6_HUMAN_.pdf</t>
  </si>
  <si>
    <t>Melting_Curves/meltCurve_sp_Q14155_1_ARHG7_HUMAN_.pdf</t>
  </si>
  <si>
    <t>Melting_Curves/meltCurve_sp_Q14157_UBP2L_HUMAN_.pdf</t>
  </si>
  <si>
    <t>Melting_Curves/meltCurve_sp_Q14160_SCRIB_HUMAN_.pdf</t>
  </si>
  <si>
    <t>Melting_Curves/meltCurve_sp_Q14161_GIT2_HUMAN_.pdf</t>
  </si>
  <si>
    <t>Melting_Curves/meltCurve_sp_Q14166_TTL12_HUMAN_.pdf</t>
  </si>
  <si>
    <t>Melting_Curves/meltCurve_sp_Q14185_DOCK1_HUMAN_.pdf</t>
  </si>
  <si>
    <t>Melting_Curves/meltCurve_sp_Q14192_FHL2_HUMAN_.pdf</t>
  </si>
  <si>
    <t>Melting_Curves/meltCurve_sp_Q14203_6_DCTN1_HUMAN_.pdf</t>
  </si>
  <si>
    <t>Melting_Curves/meltCurve_sp_Q14204_DYHC1_HUMAN_.pdf</t>
  </si>
  <si>
    <t>Melting_Curves/meltCurve_sp_Q14232_EI2BA_HUMAN_.pdf</t>
  </si>
  <si>
    <t>Melting_Curves/meltCurve_sp_Q14240_IF4A2_HUMAN_.pdf</t>
  </si>
  <si>
    <t>Melting_Curves/meltCurve_sp_Q14241_ELOA1_HUMAN_.pdf</t>
  </si>
  <si>
    <t>Melting_Curves/meltCurve_sp_Q14244_2_MAP7_HUMAN_.pdf</t>
  </si>
  <si>
    <t>Melting_Curves/meltCurve_sp_Q14247_3_SRC8_HUMAN_.pdf</t>
  </si>
  <si>
    <t>Melting_Curves/meltCurve_sp_Q14247_SRC8_HUMAN_.pdf</t>
  </si>
  <si>
    <t>Melting_Curves/meltCurve_sp_Q14249_NUCG_HUMAN_.pdf</t>
  </si>
  <si>
    <t>Melting_Curves/meltCurve_sp_Q14258_TRI25_HUMAN_.pdf</t>
  </si>
  <si>
    <t>Melting_Curves/meltCurve_sp_Q14289_2_FAK2_HUMAN_.pdf</t>
  </si>
  <si>
    <t>Melting_Curves/meltCurve_sp_Q14318_2_FKBP8_HUMAN_.pdf</t>
  </si>
  <si>
    <t>Melting_Curves/meltCurve_sp_Q14320_FA50A_HUMAN_.pdf</t>
  </si>
  <si>
    <t>Melting_Curves/meltCurve_sp_Q14353_GAMT_HUMAN_.pdf</t>
  </si>
  <si>
    <t>Melting_Curves/meltCurve_sp_Q14376_GALE_HUMAN_.pdf</t>
  </si>
  <si>
    <t>Melting_Curves/meltCurve_sp_Q14397_GCKR_HUMAN_.pdf</t>
  </si>
  <si>
    <t>Melting_Curves/meltCurve_sp_Q14410_GLPK2_HUMAN_.pdf</t>
  </si>
  <si>
    <t>Melting_Curves/meltCurve_sp_Q14444_2_CAPR1_HUMAN_.pdf</t>
  </si>
  <si>
    <t>Melting_Curves/meltCurve_sp_Q14498_2_RBM39_HUMAN_.pdf</t>
  </si>
  <si>
    <t>Melting_Curves/meltCurve_sp_Q14520_2_HABP2_HUMAN_.pdf</t>
  </si>
  <si>
    <t>Melting_Curves/meltCurve_sp_Q14527_HLTF_HUMAN_.pdf</t>
  </si>
  <si>
    <t>Melting_Curves/meltCurve_sp_Q14554_PDIA5_HUMAN_.pdf</t>
  </si>
  <si>
    <t>Melting_Curves/meltCurve_sp_Q14558_KPRA_HUMAN_.pdf</t>
  </si>
  <si>
    <t>Melting_Curves/meltCurve_sp_Q14566_MCM6_HUMAN_.pdf</t>
  </si>
  <si>
    <t>Melting_Curves/meltCurve_sp_Q14624_ITIH4_HUMAN_.pdf</t>
  </si>
  <si>
    <t>Melting_Curves/meltCurve_sp_Q14651_PLSI_HUMAN_.pdf</t>
  </si>
  <si>
    <t>Melting_Curves/meltCurve_sp_Q14653_IRF3_HUMAN_.pdf</t>
  </si>
  <si>
    <t>Melting_Curves/meltCurve_sp_Q14657_LAGE3_HUMAN_.pdf</t>
  </si>
  <si>
    <t>Melting_Curves/meltCurve_sp_Q14669_TRIPC_HUMAN_.pdf</t>
  </si>
  <si>
    <t>Melting_Curves/meltCurve_sp_Q14676_3_MDC1_HUMAN_.pdf</t>
  </si>
  <si>
    <t>Melting_Curves/meltCurve_sp_Q14677_EPN4_HUMAN_.pdf</t>
  </si>
  <si>
    <t>Melting_Curves/meltCurve_sp_Q14678_2_KANK1_HUMAN_.pdf</t>
  </si>
  <si>
    <t>Melting_Curves/meltCurve_sp_Q14683_SMC1A_HUMAN_.pdf</t>
  </si>
  <si>
    <t>Melting_Curves/meltCurve_sp_Q14684_2_RRP1B_HUMAN_.pdf</t>
  </si>
  <si>
    <t>Melting_Curves/meltCurve_sp_Q14687_2_GSE1_HUMAN_.pdf</t>
  </si>
  <si>
    <t>Melting_Curves/meltCurve_sp_Q14689_6_DIP2A_HUMAN_.pdf</t>
  </si>
  <si>
    <t>Melting_Curves/meltCurve_sp_Q14694_UBP10_HUMAN_.pdf</t>
  </si>
  <si>
    <t>Melting_Curves/meltCurve_sp_Q14696_MESD_HUMAN_.pdf</t>
  </si>
  <si>
    <t>Melting_Curves/meltCurve_sp_Q14697_GANAB_HUMAN_.pdf</t>
  </si>
  <si>
    <t>Melting_Curves/meltCurve_sp_Q14749_GNMT_HUMAN_.pdf</t>
  </si>
  <si>
    <t>Melting_Curves/meltCurve_sp_Q14789_GOGB1_HUMAN_.pdf</t>
  </si>
  <si>
    <t>Melting_Curves/meltCurve_sp_Q147X3_NAA30_HUMAN_.pdf</t>
  </si>
  <si>
    <t>Melting_Curves/meltCurve_sp_Q14847_LASP1_HUMAN_.pdf</t>
  </si>
  <si>
    <t>Melting_Curves/meltCurve_sp_Q14894_CRYM_HUMAN_.pdf</t>
  </si>
  <si>
    <t>Melting_Curves/meltCurve_sp_Q14914_2_PTGR1_HUMAN_.pdf</t>
  </si>
  <si>
    <t>Melting_Curves/meltCurve_sp_Q14938_5_NFIX_HUMAN_.pdf</t>
  </si>
  <si>
    <t>Melting_Curves/meltCurve_sp_Q14966_ZN638_HUMAN_.pdf</t>
  </si>
  <si>
    <t>Melting_Curves/meltCurve_sp_Q14974_IMB1_HUMAN_.pdf</t>
  </si>
  <si>
    <t>Melting_Curves/meltCurve_sp_Q14978_NOLC1_HUMAN_.pdf</t>
  </si>
  <si>
    <t>Melting_Curves/meltCurve_sp_Q14980_NUMA1_HUMAN_.pdf</t>
  </si>
  <si>
    <t>Melting_Curves/meltCurve_sp_Q14997_PSME4_HUMAN_.pdf</t>
  </si>
  <si>
    <t>Melting_Curves/meltCurve_sp_Q14C86_4_GAPD1_HUMAN_.pdf</t>
  </si>
  <si>
    <t>Melting_Curves/meltCurve_sp_Q14CX7_2_NAA25_HUMAN_.pdf</t>
  </si>
  <si>
    <t>Melting_Curves/meltCurve_sp_Q15008_PSMD6_HUMAN_.pdf</t>
  </si>
  <si>
    <t>Melting_Curves/meltCurve_sp_Q15018_F175B_HUMAN_.pdf</t>
  </si>
  <si>
    <t>Melting_Curves/meltCurve_sp_Q15019_SEPT2_HUMAN_.pdf</t>
  </si>
  <si>
    <t>Melting_Curves/meltCurve_sp_Q15020_SART3_HUMAN_.pdf</t>
  </si>
  <si>
    <t>Melting_Curves/meltCurve_sp_Q15024_EXOS7_HUMAN_.pdf</t>
  </si>
  <si>
    <t>Melting_Curves/meltCurve_sp_Q15029_2_U5S1_HUMAN_.pdf</t>
  </si>
  <si>
    <t>Melting_Curves/meltCurve_sp_Q15036_2_SNX17_HUMAN_.pdf</t>
  </si>
  <si>
    <t>Melting_Curves/meltCurve_sp_Q15043_2_S39AE_HUMAN_.pdf</t>
  </si>
  <si>
    <t>Melting_Curves/meltCurve_sp_Q15046_SYK_HUMAN_.pdf</t>
  </si>
  <si>
    <t>Melting_Curves/meltCurve_sp_Q15056_2_IF4H_HUMAN_.pdf</t>
  </si>
  <si>
    <t>Melting_Curves/meltCurve_sp_Q15057_ACAP2_HUMAN_.pdf</t>
  </si>
  <si>
    <t>Melting_Curves/meltCurve_sp_Q15059_BRD3_HUMAN_.pdf</t>
  </si>
  <si>
    <t>Melting_Curves/meltCurve_sp_Q15067_2_ACOX1_HUMAN_.pdf</t>
  </si>
  <si>
    <t>Melting_Curves/meltCurve_sp_Q15067_ACOX1_HUMAN_.pdf</t>
  </si>
  <si>
    <t>Melting_Curves/meltCurve_sp_Q15075_EEA1_HUMAN_.pdf</t>
  </si>
  <si>
    <t>Melting_Curves/meltCurve_sp_Q15102_PA1B3_HUMAN_.pdf</t>
  </si>
  <si>
    <t>Melting_Curves/meltCurve_sp_Q15118_PDK1_HUMAN_.pdf</t>
  </si>
  <si>
    <t>Melting_Curves/meltCurve_sp_Q15119_PDK2_HUMAN_.pdf</t>
  </si>
  <si>
    <t>Melting_Curves/meltCurve_sp_Q15120_PDK3_HUMAN_.pdf</t>
  </si>
  <si>
    <t>Melting_Curves/meltCurve_sp_Q15124_2_PGM5_HUMAN_.pdf</t>
  </si>
  <si>
    <t>Melting_Curves/meltCurve_sp_Q15126_PMVK_HUMAN_.pdf</t>
  </si>
  <si>
    <t>Melting_Curves/meltCurve_sp_Q15149_8_PLEC_HUMAN_.pdf</t>
  </si>
  <si>
    <t>Melting_Curves/meltCurve_sp_Q15166_PON3_HUMAN_.pdf</t>
  </si>
  <si>
    <t>Melting_Curves/meltCurve_sp_Q15172_2A5A_HUMAN_.pdf</t>
  </si>
  <si>
    <t>Melting_Curves/meltCurve_sp_Q15181_IPYR_HUMAN_.pdf</t>
  </si>
  <si>
    <t>Melting_Curves/meltCurve_sp_Q15208_STK38_HUMAN_.pdf</t>
  </si>
  <si>
    <t>Melting_Curves/meltCurve_sp_Q15233_NONO_HUMAN_.pdf</t>
  </si>
  <si>
    <t>Melting_Curves/meltCurve_sp_Q15257_2_PTPA_HUMAN_.pdf</t>
  </si>
  <si>
    <t>Melting_Curves/meltCurve_sp_Q15257_PTPA_HUMAN_.pdf</t>
  </si>
  <si>
    <t>Melting_Curves/meltCurve_sp_Q15274_NADC_HUMAN_.pdf</t>
  </si>
  <si>
    <t>Melting_Curves/meltCurve_sp_Q15276_RABE1_HUMAN_.pdf</t>
  </si>
  <si>
    <t>Melting_Curves/meltCurve_sp_Q15291_RBBP5_HUMAN_.pdf</t>
  </si>
  <si>
    <t>Melting_Curves/meltCurve_sp_Q15293_RCN1_HUMAN_.pdf</t>
  </si>
  <si>
    <t>Melting_Curves/meltCurve_sp_Q15311_RBP1_HUMAN_.pdf</t>
  </si>
  <si>
    <t>Melting_Curves/meltCurve_sp_Q15345_LRC41_HUMAN_.pdf</t>
  </si>
  <si>
    <t>Melting_Curves/meltCurve_sp_Q15365_PCBP1_HUMAN_.pdf</t>
  </si>
  <si>
    <t>Melting_Curves/meltCurve_sp_Q15382_RHEB_HUMAN_.pdf</t>
  </si>
  <si>
    <t>Melting_Curves/meltCurve_sp_Q15386_UBE3C_HUMAN_.pdf</t>
  </si>
  <si>
    <t>Melting_Curves/meltCurve_sp_Q15393_SF3B3_HUMAN_.pdf</t>
  </si>
  <si>
    <t>Melting_Curves/meltCurve_sp_Q15404_RSU1_HUMAN_.pdf</t>
  </si>
  <si>
    <t>Melting_Curves/meltCurve_sp_Q15417_CNN3_HUMAN_.pdf</t>
  </si>
  <si>
    <t>Melting_Curves/meltCurve_sp_Q15424_SAFB1_HUMAN_.pdf</t>
  </si>
  <si>
    <t>Melting_Curves/meltCurve_sp_Q15427_SF3B4_HUMAN_.pdf</t>
  </si>
  <si>
    <t>Melting_Curves/meltCurve_sp_Q15435_PP1R7_HUMAN_.pdf</t>
  </si>
  <si>
    <t>Melting_Curves/meltCurve_sp_Q15437_SC23B_HUMAN_.pdf</t>
  </si>
  <si>
    <t>Melting_Curves/meltCurve_sp_Q15459_SF3A1_HUMAN_.pdf</t>
  </si>
  <si>
    <t>Melting_Curves/meltCurve_sp_Q15464_SHB_HUMAN_.pdf</t>
  </si>
  <si>
    <t>Melting_Curves/meltCurve_sp_Q15477_SKIV2_HUMAN_.pdf</t>
  </si>
  <si>
    <t>Melting_Curves/meltCurve_sp_Q15493_RGN_HUMAN_.pdf</t>
  </si>
  <si>
    <t>Melting_Curves/meltCurve_sp_Q15526_2_SURF1_HUMAN_.pdf</t>
  </si>
  <si>
    <t>Melting_Curves/meltCurve_sp_Q15554_TERF2_HUMAN_.pdf</t>
  </si>
  <si>
    <t>Melting_Curves/meltCurve_sp_Q15555_4_MARE2_HUMAN_.pdf</t>
  </si>
  <si>
    <t>Melting_Curves/meltCurve_sp_Q15596_NCOA2_HUMAN_.pdf</t>
  </si>
  <si>
    <t>Melting_Curves/meltCurve_sp_Q15599_NHRF2_HUMAN_.pdf</t>
  </si>
  <si>
    <t>Melting_Curves/meltCurve_sp_Q15628_TRADD_HUMAN_.pdf</t>
  </si>
  <si>
    <t>Melting_Curves/meltCurve_sp_Q15633_2_TRBP2_HUMAN_.pdf</t>
  </si>
  <si>
    <t>Melting_Curves/meltCurve_sp_Q15637_5_SF01_HUMAN_.pdf</t>
  </si>
  <si>
    <t>Melting_Curves/meltCurve_sp_Q15642_CIP4_HUMAN_.pdf</t>
  </si>
  <si>
    <t>Melting_Curves/meltCurve_sp_Q15643_TRIPB_HUMAN_.pdf</t>
  </si>
  <si>
    <t>Melting_Curves/meltCurve_sp_Q15650_TRIP4_HUMAN_.pdf</t>
  </si>
  <si>
    <t>Melting_Curves/meltCurve_sp_Q15652_JHD2C_HUMAN_.pdf</t>
  </si>
  <si>
    <t>Melting_Curves/meltCurve_sp_Q15654_TRIP6_HUMAN_.pdf</t>
  </si>
  <si>
    <t>Melting_Curves/meltCurve_sp_Q15691_MARE1_HUMAN_.pdf</t>
  </si>
  <si>
    <t>Melting_Curves/meltCurve_sp_Q15717_ELAV1_HUMAN_.pdf</t>
  </si>
  <si>
    <t>Melting_Curves/meltCurve_sp_Q15746_2_MYLK_HUMAN_.pdf</t>
  </si>
  <si>
    <t>Melting_Curves/meltCurve_sp_Q15746_6_MYLK_HUMAN_.pdf</t>
  </si>
  <si>
    <t>Melting_Curves/meltCurve_sp_Q15750_2_TAB1_HUMAN_.pdf</t>
  </si>
  <si>
    <t>Melting_Curves/meltCurve_sp_Q15785_TOM34_HUMAN_.pdf</t>
  </si>
  <si>
    <t>Melting_Curves/meltCurve_sp_Q15813_TBCE_HUMAN_.pdf</t>
  </si>
  <si>
    <t>Melting_Curves/meltCurve_sp_Q15814_TBCC_HUMAN_.pdf</t>
  </si>
  <si>
    <t>Melting_Curves/meltCurve_sp_Q15819_UB2V2_HUMAN_.pdf</t>
  </si>
  <si>
    <t>Melting_Curves/meltCurve_sp_Q15833_STXB2_HUMAN_.pdf</t>
  </si>
  <si>
    <t>Melting_Curves/meltCurve_sp_Q15847_ADIRF_HUMAN_.pdf</t>
  </si>
  <si>
    <t>Melting_Curves/meltCurve_sp_Q15907_RB11B_HUMAN_.pdf</t>
  </si>
  <si>
    <t>Melting_Curves/meltCurve_sp_Q15942_ZYX_HUMAN_.pdf</t>
  </si>
  <si>
    <t>Melting_Curves/meltCurve_sp_Q16134_ETFD_HUMAN_.pdf</t>
  </si>
  <si>
    <t>Melting_Curves/meltCurve_sp_Q16181_SEPT7_HUMAN_.pdf</t>
  </si>
  <si>
    <t>Melting_Curves/meltCurve_sp_Q16186_ADRM1_HUMAN_.pdf</t>
  </si>
  <si>
    <t>Melting_Curves/meltCurve_sp_Q16204_CCDC6_HUMAN_.pdf</t>
  </si>
  <si>
    <t>Melting_Curves/meltCurve_sp_Q16222_2_UAP1_HUMAN_.pdf</t>
  </si>
  <si>
    <t>Melting_Curves/meltCurve_sp_Q16254_E2F4_HUMAN_.pdf</t>
  </si>
  <si>
    <t>Melting_Curves/meltCurve_sp_Q16270_2_IBP7_HUMAN_.pdf</t>
  </si>
  <si>
    <t>Melting_Curves/meltCurve_sp_Q16401_2_PSMD5_HUMAN_.pdf</t>
  </si>
  <si>
    <t>Melting_Curves/meltCurve_sp_Q16531_DDB1_HUMAN_.pdf</t>
  </si>
  <si>
    <t>Melting_Curves/meltCurve_sp_Q16539_MK14_HUMAN_.pdf</t>
  </si>
  <si>
    <t>Melting_Curves/meltCurve_sp_Q16543_CDC37_HUMAN_.pdf</t>
  </si>
  <si>
    <t>Melting_Curves/meltCurve_sp_Q16555_2_DPYL2_HUMAN_.pdf</t>
  </si>
  <si>
    <t>Melting_Curves/meltCurve_sp_Q16576_RBBP7_HUMAN_.pdf</t>
  </si>
  <si>
    <t>Melting_Curves/meltCurve_sp_Q16625_5_OCLN_HUMAN_.pdf</t>
  </si>
  <si>
    <t>Melting_Curves/meltCurve_sp_Q16626_MEA1_HUMAN_.pdf</t>
  </si>
  <si>
    <t>Melting_Curves/meltCurve_sp_Q16644_MAPK3_HUMAN_.pdf</t>
  </si>
  <si>
    <t>Melting_Curves/meltCurve_sp_Q16654_PDK4_HUMAN_.pdf</t>
  </si>
  <si>
    <t>Melting_Curves/meltCurve_sp_Q16658_FSCN1_HUMAN_.pdf</t>
  </si>
  <si>
    <t>Melting_Curves/meltCurve_sp_Q16719_KYNU_HUMAN_.pdf</t>
  </si>
  <si>
    <t>Melting_Curves/meltCurve_sp_Q16740_CLPP_HUMAN_.pdf</t>
  </si>
  <si>
    <t>Melting_Curves/meltCurve_sp_Q16762_THTR_HUMAN_.pdf</t>
  </si>
  <si>
    <t>Melting_Curves/meltCurve_sp_Q16773_KAT1_HUMAN_.pdf</t>
  </si>
  <si>
    <t>Melting_Curves/meltCurve_sp_Q16775_GLO2_HUMAN_.pdf</t>
  </si>
  <si>
    <t>Melting_Curves/meltCurve_sp_Q16822_PCKGM_HUMAN_.pdf</t>
  </si>
  <si>
    <t>Melting_Curves/meltCurve_sp_Q16825_PTN21_HUMAN_.pdf</t>
  </si>
  <si>
    <t>Melting_Curves/meltCurve_sp_Q16831_UPP1_HUMAN_.pdf</t>
  </si>
  <si>
    <t>Melting_Curves/meltCurve_sp_Q16836_HCDH_HUMAN_.pdf</t>
  </si>
  <si>
    <t>Melting_Curves/meltCurve_sp_Q16851_2_UGPA_HUMAN_.pdf</t>
  </si>
  <si>
    <t>Melting_Curves/meltCurve_sp_Q16851_UGPA_HUMAN_.pdf</t>
  </si>
  <si>
    <t>Melting_Curves/meltCurve_sp_Q16854_DGUOK_HUMAN_.pdf</t>
  </si>
  <si>
    <t>Melting_Curves/meltCurve_sp_Q16864_VATF_HUMAN_.pdf</t>
  </si>
  <si>
    <t>Melting_Curves/meltCurve_sp_Q16878_CDO1_HUMAN_.pdf</t>
  </si>
  <si>
    <t>Melting_Curves/meltCurve_sp_Q17R31_5_TATD3_HUMAN_.pdf</t>
  </si>
  <si>
    <t>Melting_Curves/meltCurve_sp_Q17RC7_EX3L4_HUMAN_.pdf</t>
  </si>
  <si>
    <t>Melting_Curves/meltCurve_sp_Q17RN3_FA98C_HUMAN_.pdf</t>
  </si>
  <si>
    <t>Melting_Curves/meltCurve_sp_Q1W6H9_F110C_HUMAN_.pdf</t>
  </si>
  <si>
    <t>Melting_Curves/meltCurve_sp_Q27J81_INF2_HUMAN_.pdf</t>
  </si>
  <si>
    <t>Melting_Curves/meltCurve_sp_Q29RF7_PDS5A_HUMAN_.pdf</t>
  </si>
  <si>
    <t>Melting_Curves/meltCurve_sp_Q2KHT3_CL16A_HUMAN_.pdf</t>
  </si>
  <si>
    <t>Melting_Curves/meltCurve_sp_Q2M389_WASH7_HUMAN_.pdf</t>
  </si>
  <si>
    <t>Melting_Curves/meltCurve_sp_Q2PPJ7_3_RGPA2_HUMAN_.pdf</t>
  </si>
  <si>
    <t>Melting_Curves/meltCurve_sp_Q2T9J0_TYSD1_HUMAN_.pdf</t>
  </si>
  <si>
    <t>Melting_Curves/meltCurve_sp_Q2TAL8_QRIC1_HUMAN_.pdf</t>
  </si>
  <si>
    <t>Melting_Curves/meltCurve_sp_Q2TAY7_SMU1_HUMAN_.pdf</t>
  </si>
  <si>
    <t>Melting_Curves/meltCurve_sp_Q32M88_ATHL1_HUMAN_.pdf</t>
  </si>
  <si>
    <t>Melting_Curves/meltCurve_sp_Q32MZ4_2_LRRF1_HUMAN_.pdf</t>
  </si>
  <si>
    <t>Melting_Curves/meltCurve_sp_Q32MZ4_3_LRRF1_HUMAN_.pdf</t>
  </si>
  <si>
    <t>Melting_Curves/meltCurve_sp_Q32MZ4_4_LRRF1_HUMAN_.pdf</t>
  </si>
  <si>
    <t>Melting_Curves/meltCurve_sp_Q32P28_P3H1_HUMAN_.pdf</t>
  </si>
  <si>
    <t>Melting_Curves/meltCurve_sp_Q32P44_EMAL3_HUMAN_.pdf</t>
  </si>
  <si>
    <t>Melting_Curves/meltCurve_sp_Q3B7J2_GFOD2_HUMAN_.pdf</t>
  </si>
  <si>
    <t>Melting_Curves/meltCurve_sp_Q3LXA3_DHAK_HUMAN_.pdf</t>
  </si>
  <si>
    <t>Melting_Curves/meltCurve_sp_Q3MHD2_LSM12_HUMAN_.pdf</t>
  </si>
  <si>
    <t>Melting_Curves/meltCurve_sp_Q3MIT2_PUS10_HUMAN_.pdf</t>
  </si>
  <si>
    <t>Melting_Curves/meltCurve_sp_Q3YEC7_RABL6_HUMAN_.pdf</t>
  </si>
  <si>
    <t>Melting_Curves/meltCurve_sp_Q3ZCM7_TBB8_HUMAN_.pdf</t>
  </si>
  <si>
    <t>Melting_Curves/meltCurve_sp_Q49A26_5_GLYR1_HUMAN_.pdf</t>
  </si>
  <si>
    <t>Melting_Curves/meltCurve_sp_Q49AH0_CDNF_HUMAN_.pdf</t>
  </si>
  <si>
    <t>Melting_Curves/meltCurve_sp_Q49AN0_CRY2_HUMAN_.pdf</t>
  </si>
  <si>
    <t>Melting_Curves/meltCurve_sp_Q49AR2_2_CE022_HUMAN_.pdf</t>
  </si>
  <si>
    <t>Melting_Curves/meltCurve_sp_Q49B96_COX19_HUMAN_.pdf</t>
  </si>
  <si>
    <t>Melting_Curves/meltCurve_sp_Q4G0F5_VP26B_HUMAN_.pdf</t>
  </si>
  <si>
    <t>Melting_Curves/meltCurve_sp_Q4G0J3_LARP7_HUMAN_.pdf</t>
  </si>
  <si>
    <t>Melting_Curves/meltCurve_sp_Q4G0N4_NAKD1_HUMAN_.pdf</t>
  </si>
  <si>
    <t>Melting_Curves/meltCurve_sp_Q4G0X4_KCD21_HUMAN_.pdf</t>
  </si>
  <si>
    <t>Melting_Curves/meltCurve_sp_Q4G148_2_GXLT1_HUMAN_.pdf</t>
  </si>
  <si>
    <t>Melting_Curves/meltCurve_sp_Q4G176_ACSF3_HUMAN_.pdf</t>
  </si>
  <si>
    <t>Melting_Curves/meltCurve_sp_Q4J6C6_4_PPCEL_HUMAN_.pdf</t>
  </si>
  <si>
    <t>Melting_Curves/meltCurve_sp_Q4KMQ1_2_TPRN_HUMAN_.pdf</t>
  </si>
  <si>
    <t>Melting_Curves/meltCurve_sp_Q4KWH8_3_PLCH1_HUMAN_.pdf</t>
  </si>
  <si>
    <t>Melting_Curves/meltCurve_sp_Q4LE39_3_ARI4B_HUMAN_.pdf</t>
  </si>
  <si>
    <t>Melting_Curves/meltCurve_sp_Q4V328_GRAP1_HUMAN_.pdf</t>
  </si>
  <si>
    <t>Melting_Curves/meltCurve_sp_Q4V348_Z658B_HUMAN_.pdf</t>
  </si>
  <si>
    <t>Melting_Curves/meltCurve_sp_Q52LJ0_2_FA98B_HUMAN_.pdf</t>
  </si>
  <si>
    <t>Melting_Curves/meltCurve_sp_Q52LW3_RHG29_HUMAN_.pdf</t>
  </si>
  <si>
    <t>Melting_Curves/meltCurve_sp_Q53F19_CQ085_HUMAN_.pdf</t>
  </si>
  <si>
    <t>Melting_Curves/meltCurve_sp_Q53FA7_QORX_HUMAN_.pdf</t>
  </si>
  <si>
    <t>Melting_Curves/meltCurve_sp_Q53FZ2_ACSM3_HUMAN_.pdf</t>
  </si>
  <si>
    <t>Melting_Curves/meltCurve_sp_Q53GQ0_DHB12_HUMAN_.pdf</t>
  </si>
  <si>
    <t>Melting_Curves/meltCurve_sp_Q53H82_LACB2_HUMAN_.pdf</t>
  </si>
  <si>
    <t>Melting_Curves/meltCurve_sp_Q53HC9_TSSC1_HUMAN_.pdf</t>
  </si>
  <si>
    <t>Melting_Curves/meltCurve_sp_Q53LP3_SWAHC_HUMAN_.pdf</t>
  </si>
  <si>
    <t>Melting_Curves/meltCurve_sp_Q53S33_BOLA3_HUMAN_.pdf</t>
  </si>
  <si>
    <t>Melting_Curves/meltCurve_sp_Q53SF7_4_COBL1_HUMAN_.pdf</t>
  </si>
  <si>
    <t>Melting_Curves/meltCurve_sp_Q53T59_H1BP3_HUMAN_.pdf</t>
  </si>
  <si>
    <t>Melting_Curves/meltCurve_sp_Q562E7_WDR81_HUMAN_.pdf</t>
  </si>
  <si>
    <t>Melting_Curves/meltCurve_sp_Q58FF8_H90B2_HUMAN_.pdf</t>
  </si>
  <si>
    <t>Melting_Curves/meltCurve_sp_Q58WW2_DCAF6_HUMAN_.pdf</t>
  </si>
  <si>
    <t>Melting_Curves/meltCurve_sp_Q5BKU9_OXLD1_HUMAN_.pdf</t>
  </si>
  <si>
    <t>Melting_Curves/meltCurve_sp_Q5EBL4_2_RIPL1_HUMAN_.pdf</t>
  </si>
  <si>
    <t>Melting_Curves/meltCurve_sp_Q5EBL8_PDZ11_HUMAN_.pdf</t>
  </si>
  <si>
    <t>Melting_Curves/meltCurve_sp_Q5EBM0_CMPK2_HUMAN_.pdf</t>
  </si>
  <si>
    <t>Melting_Curves/meltCurve_sp_Q5GLZ8_3_HERC4_HUMAN_.pdf</t>
  </si>
  <si>
    <t>Melting_Curves/meltCurve_sp_Q5HYK7_3_SH319_HUMAN_.pdf</t>
  </si>
  <si>
    <t>Melting_Curves/meltCurve_sp_Q5I0X7_TTC32_HUMAN_.pdf</t>
  </si>
  <si>
    <t>Melting_Curves/meltCurve_sp_Q5JR59_MTUS2_HUMAN_.pdf</t>
  </si>
  <si>
    <t>Melting_Curves/meltCurve_sp_Q5JRX3_PREP_HUMAN_.pdf</t>
  </si>
  <si>
    <t>Melting_Curves/meltCurve_sp_Q5JS37_NHLC3_HUMAN_.pdf</t>
  </si>
  <si>
    <t>Melting_Curves/meltCurve_sp_Q5JSH3_2_WDR44_HUMAN_.pdf</t>
  </si>
  <si>
    <t>Melting_Curves/meltCurve_sp_Q5JSZ5_5_PRC2B_HUMAN_.pdf</t>
  </si>
  <si>
    <t>Melting_Curves/meltCurve_sp_Q5JTD0_2_TJAP1_HUMAN_.pdf</t>
  </si>
  <si>
    <t>Melting_Curves/meltCurve_sp_Q5JTJ3_3_COA6_HUMAN_.pdf</t>
  </si>
  <si>
    <t>Melting_Curves/meltCurve_sp_Q5JTV8_TOIP1_HUMAN_.pdf</t>
  </si>
  <si>
    <t>Melting_Curves/meltCurve_sp_Q5JTZ9_SYAM_HUMAN_.pdf</t>
  </si>
  <si>
    <t>Melting_Curves/meltCurve_sp_Q5JVF3_3_PCID2_HUMAN_.pdf</t>
  </si>
  <si>
    <t>Melting_Curves/meltCurve_sp_Q5JVS0_HABP4_HUMAN_.pdf</t>
  </si>
  <si>
    <t>Melting_Curves/meltCurve_sp_Q5KU26_COL12_HUMAN_.pdf</t>
  </si>
  <si>
    <t>Melting_Curves/meltCurve_sp_Q5MIZ7_3_P4R3B_HUMAN_.pdf</t>
  </si>
  <si>
    <t>Melting_Curves/meltCurve_sp_Q5MNZ6_WIPI3_HUMAN_.pdf</t>
  </si>
  <si>
    <t>Melting_Curves/meltCurve_sp_Q5MNZ9_2_WIPI1_HUMAN_.pdf</t>
  </si>
  <si>
    <t>Melting_Curves/meltCurve_sp_Q5NDL2_EOGT_HUMAN_.pdf</t>
  </si>
  <si>
    <t>Melting_Curves/meltCurve_sp_Q5QJ74_TBCEL_HUMAN_.pdf</t>
  </si>
  <si>
    <t>Melting_Curves/meltCurve_sp_Q5R3I4_TTC38_HUMAN_.pdf</t>
  </si>
  <si>
    <t>Melting_Curves/meltCurve_sp_Q5RHP9_CA173_HUMAN_.pdf</t>
  </si>
  <si>
    <t>Melting_Curves/meltCurve_sp_Q5RKV6_EXOS6_HUMAN_.pdf</t>
  </si>
  <si>
    <t>Melting_Curves/meltCurve_sp_Q5SNT6_FA21B_HUMAN_.pdf</t>
  </si>
  <si>
    <t>Melting_Curves/meltCurve_sp_Q5SRE7_PHYD1_HUMAN_.pdf</t>
  </si>
  <si>
    <t>Melting_Curves/meltCurve_sp_Q5SSJ5_HP1B3_HUMAN_.pdf</t>
  </si>
  <si>
    <t>Melting_Curves/meltCurve_sp_Q5ST30_SYVM_HUMAN_.pdf</t>
  </si>
  <si>
    <t>Melting_Curves/meltCurve_sp_Q5SW79_2_CE170_HUMAN_.pdf</t>
  </si>
  <si>
    <t>Melting_Curves/meltCurve_sp_Q5SW96_ARH_HUMAN_.pdf</t>
  </si>
  <si>
    <t>Melting_Curves/meltCurve_sp_Q5SXM8_DNLZ_HUMAN_.pdf</t>
  </si>
  <si>
    <t>Melting_Curves/meltCurve_sp_Q5SYE7_2_NHSL1_HUMAN_.pdf</t>
  </si>
  <si>
    <t>Melting_Curves/meltCurve_sp_Q5T0N5_3_FBP1L_HUMAN_.pdf</t>
  </si>
  <si>
    <t>Melting_Curves/meltCurve_sp_Q5T160_SYRM_HUMAN_.pdf</t>
  </si>
  <si>
    <t>Melting_Curves/meltCurve_sp_Q5T1C6_THEM4_HUMAN_.pdf</t>
  </si>
  <si>
    <t>Melting_Curves/meltCurve_sp_Q5T1M5_FKB15_HUMAN_.pdf</t>
  </si>
  <si>
    <t>Melting_Curves/meltCurve_sp_Q5T200_ZC3HD_HUMAN_.pdf</t>
  </si>
  <si>
    <t>Melting_Curves/meltCurve_sp_Q5T2E6_CJ076_HUMAN_.pdf</t>
  </si>
  <si>
    <t>Melting_Curves/meltCurve_sp_Q5T2W1_NHRF3_HUMAN_.pdf</t>
  </si>
  <si>
    <t>Melting_Curves/meltCurve_sp_Q5T440_CAF17_HUMAN_.pdf</t>
  </si>
  <si>
    <t>Melting_Curves/meltCurve_sp_Q5T4F4_6_ZFY27_HUMAN_.pdf</t>
  </si>
  <si>
    <t>Melting_Curves/meltCurve_sp_Q5T4S7_3_UBR4_HUMAN_.pdf</t>
  </si>
  <si>
    <t>Melting_Curves/meltCurve_sp_Q5T5P2_SKT_HUMAN_.pdf</t>
  </si>
  <si>
    <t>Melting_Curves/meltCurve_sp_Q5T5U3_RHG21_HUMAN_.pdf</t>
  </si>
  <si>
    <t>Melting_Curves/meltCurve_sp_Q5T6J7_GNTK_HUMAN_.pdf</t>
  </si>
  <si>
    <t>Melting_Curves/meltCurve_sp_Q5T6V5_CI064_HUMAN_.pdf</t>
  </si>
  <si>
    <t>Melting_Curves/meltCurve_sp_Q5T7V8_GORAB_HUMAN_.pdf</t>
  </si>
  <si>
    <t>Melting_Curves/meltCurve_sp_Q5T8D3_2_ACBD5_HUMAN_.pdf</t>
  </si>
  <si>
    <t>Melting_Curves/meltCurve_sp_Q5T8D3_ACBD5_HUMAN_.pdf</t>
  </si>
  <si>
    <t>Melting_Curves/meltCurve_sp_Q5T8P6_2_RBM26_HUMAN_.pdf</t>
  </si>
  <si>
    <t>Melting_Curves/meltCurve_sp_Q5TA50_GLTD1_HUMAN_.pdf</t>
  </si>
  <si>
    <t>Melting_Curves/meltCurve_sp_Q5TBA9_FRY_HUMAN_.pdf</t>
  </si>
  <si>
    <t>Melting_Curves/meltCurve_sp_Q5TC12_ATPF1_HUMAN_.pdf</t>
  </si>
  <si>
    <t>Melting_Curves/meltCurve_sp_Q5TCQ9_4_MAGI3_HUMAN_.pdf</t>
  </si>
  <si>
    <t>Melting_Curves/meltCurve_sp_Q5TDH0_DDI2_HUMAN_.pdf</t>
  </si>
  <si>
    <t>Melting_Curves/meltCurve_sp_Q5TEU4_NDUF5_HUMAN_.pdf</t>
  </si>
  <si>
    <t>Melting_Curves/meltCurve_sp_Q5TFE4_NT5D1_HUMAN_.pdf</t>
  </si>
  <si>
    <t>Melting_Curves/meltCurve_sp_Q5TFQ8_SIRBL_HUMAN_.pdf</t>
  </si>
  <si>
    <t>Melting_Curves/meltCurve_sp_Q5TZA2_CROCC_HUMAN_.pdf</t>
  </si>
  <si>
    <t>Melting_Curves/meltCurve_sp_Q5U5X0_LYRM7_HUMAN_.pdf</t>
  </si>
  <si>
    <t>Melting_Curves/meltCurve_sp_Q5UIP0_2_RIF1_HUMAN_.pdf</t>
  </si>
  <si>
    <t>Melting_Curves/meltCurve_sp_Q5VIR6_4_VPS53_HUMAN_.pdf</t>
  </si>
  <si>
    <t>Melting_Curves/meltCurve_sp_Q5VSL9_STRP1_HUMAN_.pdf</t>
  </si>
  <si>
    <t>Melting_Curves/meltCurve_sp_Q5VSP4_LC1L1_HUMAN_.pdf</t>
  </si>
  <si>
    <t>Melting_Curves/meltCurve_sp_Q5VT06_CE350_HUMAN_.pdf</t>
  </si>
  <si>
    <t>Melting_Curves/meltCurve_sp_Q5VT52_RPRD2_HUMAN_.pdf</t>
  </si>
  <si>
    <t>Melting_Curves/meltCurve_sp_Q5VTE0_EF1A3_HUMAN_.pdf</t>
  </si>
  <si>
    <t>Melting_Curves/meltCurve_sp_Q5VTQ0_5_TT39B_HUMAN_.pdf</t>
  </si>
  <si>
    <t>Melting_Curves/meltCurve_sp_Q5VTR2_BRE1A_HUMAN_.pdf</t>
  </si>
  <si>
    <t>Melting_Curves/meltCurve_sp_Q5VTU8_AT5EL_HUMAN_.pdf</t>
  </si>
  <si>
    <t>Melting_Curves/meltCurve_sp_Q5VUA4_ZN318_HUMAN_.pdf</t>
  </si>
  <si>
    <t>Melting_Curves/meltCurve_sp_Q5VUE5_CA053_HUMAN_.pdf</t>
  </si>
  <si>
    <t>Melting_Curves/meltCurve_sp_Q5VVQ6_2_OTU1_HUMAN_.pdf</t>
  </si>
  <si>
    <t>Melting_Curves/meltCurve_sp_Q5VW32_BROX_HUMAN_.pdf</t>
  </si>
  <si>
    <t>Melting_Curves/meltCurve_sp_Q5VW36_FOCAD_HUMAN_.pdf</t>
  </si>
  <si>
    <t>Melting_Curves/meltCurve_sp_Q5VWP3_MLIP_HUMAN_.pdf</t>
  </si>
  <si>
    <t>Melting_Curves/meltCurve_sp_Q5VWQ8_3_DAB2P_HUMAN_.pdf</t>
  </si>
  <si>
    <t>Melting_Curves/meltCurve_sp_Q5VWZ2_LYPL1_HUMAN_.pdf</t>
  </si>
  <si>
    <t>Melting_Curves/meltCurve_sp_Q5VYK3_ECM29_HUMAN_.pdf</t>
  </si>
  <si>
    <t>Melting_Curves/meltCurve_sp_Q5VYX0_2_RNLS_HUMAN_.pdf</t>
  </si>
  <si>
    <t>Melting_Curves/meltCurve_sp_Q5VZK9_LR16A_HUMAN_.pdf</t>
  </si>
  <si>
    <t>Melting_Curves/meltCurve_sp_Q5W0V3_F16B1_HUMAN_.pdf</t>
  </si>
  <si>
    <t>Melting_Curves/meltCurve_sp_Q5W111_SPRY7_HUMAN_.pdf</t>
  </si>
  <si>
    <t>Melting_Curves/meltCurve_sp_Q5XPI4_RN123_HUMAN_.pdf</t>
  </si>
  <si>
    <t>Melting_Curves/meltCurve_sp_Q63HM1_KFA_HUMAN_.pdf</t>
  </si>
  <si>
    <t>Melting_Curves/meltCurve_sp_Q63HN8_RN213_HUMAN_.pdf</t>
  </si>
  <si>
    <t>Melting_Curves/meltCurve_sp_Q63ZY3_3_KANK2_HUMAN_.pdf</t>
  </si>
  <si>
    <t>Melting_Curves/meltCurve_sp_Q658Y4_F91A1_HUMAN_.pdf</t>
  </si>
  <si>
    <t>Melting_Curves/meltCurve_sp_Q66K14_2_TBC9B_HUMAN_.pdf</t>
  </si>
  <si>
    <t>Melting_Curves/meltCurve_sp_Q66PJ3_5_AR6P4_HUMAN_.pdf</t>
  </si>
  <si>
    <t>Melting_Curves/meltCurve_sp_Q66PJ3_AR6P4_HUMAN_.pdf</t>
  </si>
  <si>
    <t>Melting_Curves/meltCurve_sp_Q676U5_2_A16L1_HUMAN_.pdf</t>
  </si>
  <si>
    <t>Melting_Curves/meltCurve_sp_Q68CK6_ACS2B_HUMAN_.pdf</t>
  </si>
  <si>
    <t>Melting_Curves/meltCurve_sp_Q68CZ2_TENS3_HUMAN_.pdf</t>
  </si>
  <si>
    <t>Melting_Curves/meltCurve_sp_Q68E01_2_INT3_HUMAN_.pdf</t>
  </si>
  <si>
    <t>Melting_Curves/meltCurve_sp_Q68EM7_6_RHG17_HUMAN_.pdf</t>
  </si>
  <si>
    <t>Melting_Curves/meltCurve_sp_Q69YN2_C19L1_HUMAN_.pdf</t>
  </si>
  <si>
    <t>Melting_Curves/meltCurve_sp_Q69YN4_3_VIR_HUMAN_.pdf</t>
  </si>
  <si>
    <t>Melting_Curves/meltCurve_sp_Q69YQ0_2_CYTSA_HUMAN_.pdf</t>
  </si>
  <si>
    <t>Melting_Curves/meltCurve_sp_Q6A1A2_PDPK2_HUMAN_.pdf</t>
  </si>
  <si>
    <t>Melting_Curves/meltCurve_sp_Q6DD87_ZN787_HUMAN_.pdf</t>
  </si>
  <si>
    <t>Melting_Curves/meltCurve_sp_Q6DD88_ATLA3_HUMAN_.pdf</t>
  </si>
  <si>
    <t>Melting_Curves/meltCurve_sp_Q6DHV7_2_ADAL_HUMAN_.pdf</t>
  </si>
  <si>
    <t>Melting_Curves/meltCurve_sp_Q6DKK2_TTC19_HUMAN_.pdf</t>
  </si>
  <si>
    <t>Melting_Curves/meltCurve_sp_Q6DN90_2_IQEC1_HUMAN_.pdf</t>
  </si>
  <si>
    <t>Melting_Curves/meltCurve_sp_Q6EMK4_VASN_HUMAN_.pdf</t>
  </si>
  <si>
    <t>Melting_Curves/meltCurve_sp_Q6FI81_3_CPIN1_HUMAN_.pdf</t>
  </si>
  <si>
    <t>Melting_Curves/meltCurve_sp_Q6FIF0_2_ZFAN6_HUMAN_.pdf</t>
  </si>
  <si>
    <t>Melting_Curves/meltCurve_sp_Q6GMV2_SMYD5_HUMAN_.pdf</t>
  </si>
  <si>
    <t>Melting_Curves/meltCurve_sp_Q6GMV3_PTRD1_HUMAN_.pdf</t>
  </si>
  <si>
    <t>Melting_Curves/meltCurve_sp_Q6GQQ9_2_OTU7B_HUMAN_.pdf</t>
  </si>
  <si>
    <t>Melting_Curves/meltCurve_sp_Q6GYQ0_4_RGPA1_HUMAN_.pdf</t>
  </si>
  <si>
    <t>Melting_Curves/meltCurve_sp_Q6IA69_NADE_HUMAN_.pdf</t>
  </si>
  <si>
    <t>Melting_Curves/meltCurve_sp_Q6IA86_2_ELP2_HUMAN_.pdf</t>
  </si>
  <si>
    <t>Melting_Curves/meltCurve_sp_Q6IB77_GLYAT_HUMAN_.pdf</t>
  </si>
  <si>
    <t>Melting_Curves/meltCurve_sp_Q6IBS0_TWF2_HUMAN_.pdf</t>
  </si>
  <si>
    <t>Melting_Curves/meltCurve_sp_Q6ICG6_3_K0930_HUMAN_.pdf</t>
  </si>
  <si>
    <t>Melting_Curves/meltCurve_sp_Q6IN85_2_P4R3A_HUMAN_.pdf</t>
  </si>
  <si>
    <t>Melting_Curves/meltCurve_sp_Q6IPR1_LYRM5_HUMAN_.pdf</t>
  </si>
  <si>
    <t>Melting_Curves/meltCurve_sp_Q6JQN1_ACD10_HUMAN_.pdf</t>
  </si>
  <si>
    <t>Melting_Curves/meltCurve_sp_Q6KC79_2_NIPBL_HUMAN_.pdf</t>
  </si>
  <si>
    <t>Melting_Curves/meltCurve_sp_Q6N043_2_Z280D_HUMAN_.pdf</t>
  </si>
  <si>
    <t>Melting_Curves/meltCurve_sp_Q6N063_OGFD2_HUMAN_.pdf</t>
  </si>
  <si>
    <t>Melting_Curves/meltCurve_sp_Q6NUM9_RETST_HUMAN_.pdf</t>
  </si>
  <si>
    <t>Melting_Curves/meltCurve_sp_Q6NUN0_ACSM5_HUMAN_.pdf</t>
  </si>
  <si>
    <t>Melting_Curves/meltCurve_sp_Q6NUQ1_RINT1_HUMAN_.pdf</t>
  </si>
  <si>
    <t>Melting_Curves/meltCurve_sp_Q6NUQ4_2_TM214_HUMAN_.pdf</t>
  </si>
  <si>
    <t>Melting_Curves/meltCurve_sp_Q6NVY1_HIBCH_HUMAN_.pdf</t>
  </si>
  <si>
    <t>Melting_Curves/meltCurve_sp_Q6NYC8_PPR18_HUMAN_.pdf</t>
  </si>
  <si>
    <t>Melting_Curves/meltCurve_sp_Q6NZY4_ZCHC8_HUMAN_.pdf</t>
  </si>
  <si>
    <t>Melting_Curves/meltCurve_sp_Q6P1J9_CDC73_HUMAN_.pdf</t>
  </si>
  <si>
    <t>Melting_Curves/meltCurve_sp_Q6P1M3_2_L2GL2_HUMAN_.pdf</t>
  </si>
  <si>
    <t>Melting_Curves/meltCurve_sp_Q6P1N0_2_C2D1A_HUMAN_.pdf</t>
  </si>
  <si>
    <t>Melting_Curves/meltCurve_sp_Q6P1N9_TATD1_HUMAN_.pdf</t>
  </si>
  <si>
    <t>Melting_Curves/meltCurve_sp_Q6P1R4_DUS1L_HUMAN_.pdf</t>
  </si>
  <si>
    <t>Melting_Curves/meltCurve_sp_Q6P1X6_CH082_HUMAN_.pdf</t>
  </si>
  <si>
    <t>Melting_Curves/meltCurve_sp_Q6P2E9_EDC4_HUMAN_.pdf</t>
  </si>
  <si>
    <t>Melting_Curves/meltCurve_sp_Q6P2P2_ANM10_HUMAN_.pdf</t>
  </si>
  <si>
    <t>Melting_Curves/meltCurve_sp_Q6P2Q9_PRP8_HUMAN_.pdf</t>
  </si>
  <si>
    <t>Melting_Curves/meltCurve_sp_Q6P3W7_SCYL2_HUMAN_.pdf</t>
  </si>
  <si>
    <t>Melting_Curves/meltCurve_sp_Q6P3X3_TTC27_HUMAN_.pdf</t>
  </si>
  <si>
    <t>Melting_Curves/meltCurve_sp_Q6P4A8_PLBL1_HUMAN_.pdf</t>
  </si>
  <si>
    <t>Melting_Curves/meltCurve_sp_Q6P4F2_ADXL_HUMAN_.pdf</t>
  </si>
  <si>
    <t>Melting_Curves/meltCurve_sp_Q6P4R8_3_NFRKB_HUMAN_.pdf</t>
  </si>
  <si>
    <t>Melting_Curves/meltCurve_sp_Q6P587_FAHD1_HUMAN_.pdf</t>
  </si>
  <si>
    <t>Melting_Curves/meltCurve_sp_Q6P6B1_CH047_HUMAN_.pdf</t>
  </si>
  <si>
    <t>Melting_Curves/meltCurve_sp_Q6PCB5_RSBNL_HUMAN_.pdf</t>
  </si>
  <si>
    <t>Melting_Curves/meltCurve_sp_Q6PD62_CTR9_HUMAN_.pdf</t>
  </si>
  <si>
    <t>Melting_Curves/meltCurve_sp_Q6PD74_AAGAB_HUMAN_.pdf</t>
  </si>
  <si>
    <t>Melting_Curves/meltCurve_sp_Q6PGP7_TTC37_HUMAN_.pdf</t>
  </si>
  <si>
    <t>Melting_Curves/meltCurve_sp_Q6PH81_CP087_HUMAN_.pdf</t>
  </si>
  <si>
    <t>Melting_Curves/meltCurve_sp_Q6PI48_SYDM_HUMAN_.pdf</t>
  </si>
  <si>
    <t>Melting_Curves/meltCurve_sp_Q6PIJ6_2_FBX38_HUMAN_.pdf</t>
  </si>
  <si>
    <t>Melting_Curves/meltCurve_sp_Q6PJT7_4_ZC3HE_HUMAN_.pdf</t>
  </si>
  <si>
    <t>Melting_Curves/meltCurve_sp_Q6PJW8_2_CNST_HUMAN_.pdf</t>
  </si>
  <si>
    <t>Melting_Curves/meltCurve_sp_Q6PK81_2_ZN773_HUMAN_.pdf</t>
  </si>
  <si>
    <t>Melting_Curves/meltCurve_sp_Q6PKG0_LARP1_HUMAN_.pdf</t>
  </si>
  <si>
    <t>Melting_Curves/meltCurve_sp_Q6PL24_TMED8_HUMAN_.pdf</t>
  </si>
  <si>
    <t>Melting_Curves/meltCurve_sp_Q6QHF9_3_PAOX_HUMAN_.pdf</t>
  </si>
  <si>
    <t>Melting_Curves/meltCurve_sp_Q6QNY0_BL1S3_HUMAN_.pdf</t>
  </si>
  <si>
    <t>Melting_Curves/meltCurve_sp_Q6SPF0_SAMD1_HUMAN_.pdf</t>
  </si>
  <si>
    <t>Melting_Curves/meltCurve_sp_Q6UB28_AMP1D_HUMAN_.pdf</t>
  </si>
  <si>
    <t>Melting_Curves/meltCurve_sp_Q6ULP2_5_AFTIN_HUMAN_.pdf</t>
  </si>
  <si>
    <t>Melting_Curves/meltCurve_sp_Q6UN15_4_FIP1_HUMAN_.pdf</t>
  </si>
  <si>
    <t>Melting_Curves/meltCurve_sp_Q6UWE0_LRSM1_HUMAN_.pdf</t>
  </si>
  <si>
    <t>Melting_Curves/meltCurve_sp_Q6UWP2_DHR11_HUMAN_.pdf</t>
  </si>
  <si>
    <t>Melting_Curves/meltCurve_sp_Q6UWW8_EST3_HUMAN_.pdf</t>
  </si>
  <si>
    <t>Melting_Curves/meltCurve_sp_Q6UX53_MET7B_HUMAN_.pdf</t>
  </si>
  <si>
    <t>Melting_Curves/meltCurve_sp_Q6UXH1_4_CREL2_HUMAN_.pdf</t>
  </si>
  <si>
    <t>Melting_Curves/meltCurve_sp_Q6UXN9_WDR82_HUMAN_.pdf</t>
  </si>
  <si>
    <t>Melting_Curves/meltCurve_sp_Q6UXV4_APOOL_HUMAN_.pdf</t>
  </si>
  <si>
    <t>Melting_Curves/meltCurve_sp_Q6VY07_PACS1_HUMAN_.pdf</t>
  </si>
  <si>
    <t>Melting_Curves/meltCurve_sp_Q6WCQ1_MPRIP_HUMAN_.pdf</t>
  </si>
  <si>
    <t>Melting_Curves/meltCurve_sp_Q6WKZ4_3_RFIP1_HUMAN_.pdf</t>
  </si>
  <si>
    <t>Melting_Curves/meltCurve_sp_Q6XQN6_PNCB_HUMAN_.pdf</t>
  </si>
  <si>
    <t>Melting_Curves/meltCurve_sp_Q6XZF7_DNMBP_HUMAN_.pdf</t>
  </si>
  <si>
    <t>Melting_Curves/meltCurve_sp_Q6Y7W6_4_PERQ2_HUMAN_.pdf</t>
  </si>
  <si>
    <t>Melting_Curves/meltCurve_sp_Q6YN16_HSDL2_HUMAN_.pdf</t>
  </si>
  <si>
    <t>Melting_Curves/meltCurve_sp_Q6YP21_3_KAT3_HUMAN_.pdf</t>
  </si>
  <si>
    <t>Melting_Curves/meltCurve_sp_Q6ZMI0_PPR21_HUMAN_.pdf</t>
  </si>
  <si>
    <t>Melting_Curves/meltCurve_sp_Q6ZNW5_GDPP1_HUMAN_.pdf</t>
  </si>
  <si>
    <t>Melting_Curves/meltCurve_sp_Q6ZS30_NBEL1_HUMAN_.pdf</t>
  </si>
  <si>
    <t>Melting_Curves/meltCurve_sp_Q6ZSZ5_2_ARHGI_HUMAN_.pdf</t>
  </si>
  <si>
    <t>Melting_Curves/meltCurve_sp_Q6ZT12_UBR3_HUMAN_.pdf</t>
  </si>
  <si>
    <t>Melting_Curves/meltCurve_sp_Q6ZUJ8_BCAP_HUMAN_.pdf</t>
  </si>
  <si>
    <t>Melting_Curves/meltCurve_sp_Q6ZVK8_2_NUD18_HUMAN_.pdf</t>
  </si>
  <si>
    <t>Melting_Curves/meltCurve_sp_Q6ZVM7_TM1L2_HUMAN_.pdf</t>
  </si>
  <si>
    <t>Melting_Curves/meltCurve_sp_Q709C8_3_VP13C_HUMAN_.pdf</t>
  </si>
  <si>
    <t>Melting_Curves/meltCurve_sp_Q709F0_ACD11_HUMAN_.pdf</t>
  </si>
  <si>
    <t>Melting_Curves/meltCurve_sp_Q70E73_RAPH1_HUMAN_.pdf</t>
  </si>
  <si>
    <t>Melting_Curves/meltCurve_sp_Q712K3_UB2R2_HUMAN_.pdf</t>
  </si>
  <si>
    <t>Melting_Curves/meltCurve_sp_Q71RC2_6_LARP4_HUMAN_.pdf</t>
  </si>
  <si>
    <t>Melting_Curves/meltCurve_sp_Q71U36_2_TBA1A_HUMAN_.pdf</t>
  </si>
  <si>
    <t>Melting_Curves/meltCurve_sp_Q765P7_MTSSL_HUMAN_.pdf</t>
  </si>
  <si>
    <t>Melting_Curves/meltCurve_sp_Q76FK4_3_NOL8_HUMAN_.pdf</t>
  </si>
  <si>
    <t>Melting_Curves/meltCurve_sp_Q7KZ85_SPT6H_HUMAN_.pdf</t>
  </si>
  <si>
    <t>Melting_Curves/meltCurve_sp_Q7KZF4_SND1_HUMAN_.pdf</t>
  </si>
  <si>
    <t>Melting_Curves/meltCurve_sp_Q7KZI7_12_MARK2_HUMAN_.pdf</t>
  </si>
  <si>
    <t>Melting_Curves/meltCurve_sp_Q7L014_DDX46_HUMAN_.pdf</t>
  </si>
  <si>
    <t>Melting_Curves/meltCurve_sp_Q7L099_2_RUFY3_HUMAN_.pdf</t>
  </si>
  <si>
    <t>Melting_Curves/meltCurve_sp_Q7L099_4_RUFY3_HUMAN_.pdf</t>
  </si>
  <si>
    <t>Melting_Curves/meltCurve_sp_Q7L0Y3_MRRP1_HUMAN_.pdf</t>
  </si>
  <si>
    <t>Melting_Curves/meltCurve_sp_Q7L1Q6_BZW1_HUMAN_.pdf</t>
  </si>
  <si>
    <t>Melting_Curves/meltCurve_sp_Q7L266_ASGL1_HUMAN_.pdf</t>
  </si>
  <si>
    <t>Melting_Curves/meltCurve_sp_Q7L2J0_MEPCE_HUMAN_.pdf</t>
  </si>
  <si>
    <t>Melting_Curves/meltCurve_sp_Q7L3T8_SYPM_HUMAN_.pdf</t>
  </si>
  <si>
    <t>Melting_Curves/meltCurve_sp_Q7L4I2_RSRC2_HUMAN_.pdf</t>
  </si>
  <si>
    <t>Melting_Curves/meltCurve_sp_Q7L576_CYFP1_HUMAN_.pdf</t>
  </si>
  <si>
    <t>Melting_Curves/meltCurve_sp_Q7L592_NDUF7_HUMAN_.pdf</t>
  </si>
  <si>
    <t>Melting_Curves/meltCurve_sp_Q7L5D6_GET4_HUMAN_.pdf</t>
  </si>
  <si>
    <t>Melting_Curves/meltCurve_sp_Q7L5Y1_ENOF1_HUMAN_.pdf</t>
  </si>
  <si>
    <t>Melting_Curves/meltCurve_sp_Q7L775_EPMIP_HUMAN_.pdf</t>
  </si>
  <si>
    <t>Melting_Curves/meltCurve_sp_Q7L8L6_FAKD5_HUMAN_.pdf</t>
  </si>
  <si>
    <t>Melting_Curves/meltCurve_sp_Q7LBC6_KDM3B_HUMAN_.pdf</t>
  </si>
  <si>
    <t>Melting_Curves/meltCurve_sp_Q7LBR1_CHM1B_HUMAN_.pdf</t>
  </si>
  <si>
    <t>Melting_Curves/meltCurve_sp_Q7LG56_RIR2B_HUMAN_.pdf</t>
  </si>
  <si>
    <t>Melting_Curves/meltCurve_sp_Q7RTP6_MICA3_HUMAN_.pdf</t>
  </si>
  <si>
    <t>Melting_Curves/meltCurve_sp_Q7RTV0_PHF5A_HUMAN_.pdf</t>
  </si>
  <si>
    <t>Melting_Curves/meltCurve_sp_Q7Z2W4_ZCCHV_HUMAN_.pdf</t>
  </si>
  <si>
    <t>Melting_Curves/meltCurve_sp_Q7Z2Z2_ETUD1_HUMAN_.pdf</t>
  </si>
  <si>
    <t>Melting_Curves/meltCurve_sp_Q7Z392_3_TPC11_HUMAN_.pdf</t>
  </si>
  <si>
    <t>Melting_Curves/meltCurve_sp_Q7Z3E2_CJ118_HUMAN_.pdf</t>
  </si>
  <si>
    <t>Melting_Curves/meltCurve_sp_Q7Z3J2_CP062_HUMAN_.pdf</t>
  </si>
  <si>
    <t>Melting_Curves/meltCurve_sp_Q7Z3T8_ZFY16_HUMAN_.pdf</t>
  </si>
  <si>
    <t>Melting_Curves/meltCurve_sp_Q7Z406_MYH14_HUMAN_.pdf</t>
  </si>
  <si>
    <t>Melting_Curves/meltCurve_sp_Q7Z417_NUFP2_HUMAN_.pdf</t>
  </si>
  <si>
    <t>Melting_Curves/meltCurve_sp_Q7Z422_2_SZRD1_HUMAN_.pdf</t>
  </si>
  <si>
    <t>Melting_Curves/meltCurve_sp_Q7Z434_MAVS_HUMAN_.pdf</t>
  </si>
  <si>
    <t>Melting_Curves/meltCurve_sp_Q7Z460_2_CLAP1_HUMAN_.pdf</t>
  </si>
  <si>
    <t>Melting_Curves/meltCurve_sp_Q7Z478_DHX29_HUMAN_.pdf</t>
  </si>
  <si>
    <t>Melting_Curves/meltCurve_sp_Q7Z4G1_COMD6_HUMAN_.pdf</t>
  </si>
  <si>
    <t>Melting_Curves/meltCurve_sp_Q7Z4G4_2_TRM11_HUMAN_.pdf</t>
  </si>
  <si>
    <t>Melting_Curves/meltCurve_sp_Q7Z4H8_KDEL2_HUMAN_.pdf</t>
  </si>
  <si>
    <t>Melting_Curves/meltCurve_sp_Q7Z4I7_3_LIMS2_HUMAN_.pdf</t>
  </si>
  <si>
    <t>Melting_Curves/meltCurve_sp_Q7Z4Q2_HEAT3_HUMAN_.pdf</t>
  </si>
  <si>
    <t>Melting_Curves/meltCurve_sp_Q7Z4S6_3_KI21A_HUMAN_.pdf</t>
  </si>
  <si>
    <t>Melting_Curves/meltCurve_sp_Q7Z4V5_HDGR2_HUMAN_.pdf</t>
  </si>
  <si>
    <t>Melting_Curves/meltCurve_sp_Q7Z4W1_DCXR_HUMAN_.pdf</t>
  </si>
  <si>
    <t>Melting_Curves/meltCurve_sp_Q7Z5K2_WAPL_HUMAN_.pdf</t>
  </si>
  <si>
    <t>Melting_Curves/meltCurve_sp_Q7Z5L9_2_I2BP2_HUMAN_.pdf</t>
  </si>
  <si>
    <t>Melting_Curves/meltCurve_sp_Q7Z5P4_DHB13_HUMAN_.pdf</t>
  </si>
  <si>
    <t>Melting_Curves/meltCurve_sp_Q7Z5Q1_7_CPEB2_HUMAN_.pdf</t>
  </si>
  <si>
    <t>Melting_Curves/meltCurve_sp_Q7Z5R6_AB1IP_HUMAN_.pdf</t>
  </si>
  <si>
    <t>Melting_Curves/meltCurve_sp_Q7Z6E9_4_RBBP6_HUMAN_.pdf</t>
  </si>
  <si>
    <t>Melting_Curves/meltCurve_sp_Q7Z6K3_PTAR1_HUMAN_.pdf</t>
  </si>
  <si>
    <t>Melting_Curves/meltCurve_sp_Q7Z6M1_RABEK_HUMAN_.pdf</t>
  </si>
  <si>
    <t>Melting_Curves/meltCurve_sp_Q7Z6Z7_2_HUWE1_HUMAN_.pdf</t>
  </si>
  <si>
    <t>Melting_Curves/meltCurve_sp_Q7Z7G8_2_VP13B_HUMAN_.pdf</t>
  </si>
  <si>
    <t>Melting_Curves/meltCurve_sp_Q7Z7K0_COXM1_HUMAN_.pdf</t>
  </si>
  <si>
    <t>Melting_Curves/meltCurve_sp_Q7Z7K6_3_CENPV_HUMAN_.pdf</t>
  </si>
  <si>
    <t>Melting_Curves/meltCurve_sp_Q86SQ0_3_PHLB2_HUMAN_.pdf</t>
  </si>
  <si>
    <t>Melting_Curves/meltCurve_sp_Q86SQ0_PHLB2_HUMAN_.pdf</t>
  </si>
  <si>
    <t>Melting_Curves/meltCurve_sp_Q86SX6_GLRX5_HUMAN_.pdf</t>
  </si>
  <si>
    <t>Melting_Curves/meltCurve_sp_Q86SZ2_TPC6B_HUMAN_.pdf</t>
  </si>
  <si>
    <t>Melting_Curves/meltCurve_sp_Q86TB9_4_PATL1_HUMAN_.pdf</t>
  </si>
  <si>
    <t>Melting_Curves/meltCurve_sp_Q86TI2_DPP9_HUMAN_.pdf</t>
  </si>
  <si>
    <t>Melting_Curves/meltCurve_sp_Q86TP1_PRUNE_HUMAN_.pdf</t>
  </si>
  <si>
    <t>Melting_Curves/meltCurve_sp_Q86TU7_SETD3_HUMAN_.pdf</t>
  </si>
  <si>
    <t>Melting_Curves/meltCurve_sp_Q86TX2_ACOT1_HUMAN_.pdf</t>
  </si>
  <si>
    <t>Melting_Curves/meltCurve_sp_Q86U17_SPA11_HUMAN_.pdf</t>
  </si>
  <si>
    <t>Melting_Curves/meltCurve_sp_Q86U28_ISCA2_HUMAN_.pdf</t>
  </si>
  <si>
    <t>Melting_Curves/meltCurve_sp_Q86U42_2_PABP2_HUMAN_.pdf</t>
  </si>
  <si>
    <t>Melting_Curves/meltCurve_sp_Q86U44_MTA70_HUMAN_.pdf</t>
  </si>
  <si>
    <t>Melting_Curves/meltCurve_sp_Q86U90_YRDC_HUMAN_.pdf</t>
  </si>
  <si>
    <t>Melting_Curves/meltCurve_sp_Q86UA1_PRP39_HUMAN_.pdf</t>
  </si>
  <si>
    <t>Melting_Curves/meltCurve_sp_Q86UE4_LYRIC_HUMAN_.pdf</t>
  </si>
  <si>
    <t>Melting_Curves/meltCurve_sp_Q86UK7_2_ZN598_HUMAN_.pdf</t>
  </si>
  <si>
    <t>Melting_Curves/meltCurve_sp_Q86UP2_KTN1_HUMAN_.pdf</t>
  </si>
  <si>
    <t>Melting_Curves/meltCurve_sp_Q86US8_EST1A_HUMAN_.pdf</t>
  </si>
  <si>
    <t>Melting_Curves/meltCurve_sp_Q86UU0_4_BCL9L_HUMAN_.pdf</t>
  </si>
  <si>
    <t>Melting_Curves/meltCurve_sp_Q86UW7_3_CAPS2_HUMAN_.pdf</t>
  </si>
  <si>
    <t>Melting_Curves/meltCurve_sp_Q86UX7_2_URP2_HUMAN_.pdf</t>
  </si>
  <si>
    <t>Melting_Curves/meltCurve_sp_Q86UY8_2_NT5D3_HUMAN_.pdf</t>
  </si>
  <si>
    <t>Melting_Curves/meltCurve_sp_Q86V48_2_LUZP1_HUMAN_.pdf</t>
  </si>
  <si>
    <t>Melting_Curves/meltCurve_sp_Q86V81_THOC4_HUMAN_.pdf</t>
  </si>
  <si>
    <t>Melting_Curves/meltCurve_sp_Q86VM9_ZCH18_HUMAN_.pdf</t>
  </si>
  <si>
    <t>Melting_Curves/meltCurve_sp_Q86VN1_2_VPS36_HUMAN_.pdf</t>
  </si>
  <si>
    <t>Melting_Curves/meltCurve_sp_Q86VP6_CAND1_HUMAN_.pdf</t>
  </si>
  <si>
    <t>Melting_Curves/meltCurve_sp_Q86VQ6_TRXR3_HUMAN_.pdf</t>
  </si>
  <si>
    <t>Melting_Curves/meltCurve_sp_Q86VR2_F134C_HUMAN_.pdf</t>
  </si>
  <si>
    <t>Melting_Curves/meltCurve_sp_Q86VS8_HOOK3_HUMAN_.pdf</t>
  </si>
  <si>
    <t>Melting_Curves/meltCurve_sp_Q86VX2_2_COMD7_HUMAN_.pdf</t>
  </si>
  <si>
    <t>Melting_Curves/meltCurve_sp_Q86W92_4_LIPB1_HUMAN_.pdf</t>
  </si>
  <si>
    <t>Melting_Curves/meltCurve_sp_Q86WA6_BPHL_HUMAN_.pdf</t>
  </si>
  <si>
    <t>Melting_Curves/meltCurve_sp_Q86WA8_LONP2_HUMAN_.pdf</t>
  </si>
  <si>
    <t>Melting_Curves/meltCurve_sp_Q86WR0_CCD25_HUMAN_.pdf</t>
  </si>
  <si>
    <t>Melting_Curves/meltCurve_sp_Q86WR7_PRSR2_HUMAN_.pdf</t>
  </si>
  <si>
    <t>Melting_Curves/meltCurve_sp_Q86WU2_2_LDHD_HUMAN_.pdf</t>
  </si>
  <si>
    <t>Melting_Curves/meltCurve_sp_Q86X10_3_RLGPB_HUMAN_.pdf</t>
  </si>
  <si>
    <t>Melting_Curves/meltCurve_sp_Q86X27_RGPS2_HUMAN_.pdf</t>
  </si>
  <si>
    <t>Melting_Curves/meltCurve_sp_Q86X55_1_CARM1_HUMAN_.pdf</t>
  </si>
  <si>
    <t>Melting_Curves/meltCurve_sp_Q86X76_2_NIT1_HUMAN_.pdf</t>
  </si>
  <si>
    <t>Melting_Curves/meltCurve_sp_Q86X83_COMD2_HUMAN_.pdf</t>
  </si>
  <si>
    <t>Melting_Curves/meltCurve_sp_Q86XE5_HOGA1_HUMAN_.pdf</t>
  </si>
  <si>
    <t>Melting_Curves/meltCurve_sp_Q86XP3_DDX42_HUMAN_.pdf</t>
  </si>
  <si>
    <t>Melting_Curves/meltCurve_sp_Q86Y07_4_VRK2_HUMAN_.pdf</t>
  </si>
  <si>
    <t>Melting_Curves/meltCurve_sp_Q86Y56_2_HEAT2_HUMAN_.pdf</t>
  </si>
  <si>
    <t>Melting_Curves/meltCurve_sp_Q86Y82_STX12_HUMAN_.pdf</t>
  </si>
  <si>
    <t>Melting_Curves/meltCurve_sp_Q86YB7_ECHD2_HUMAN_.pdf</t>
  </si>
  <si>
    <t>Melting_Curves/meltCurve_sp_Q86YB8_ERO1B_HUMAN_.pdf</t>
  </si>
  <si>
    <t>Melting_Curves/meltCurve_sp_Q86YH6_DLP1_HUMAN_.pdf</t>
  </si>
  <si>
    <t>Melting_Curves/meltCurve_sp_Q86YJ6_4_THNS2_HUMAN_.pdf</t>
  </si>
  <si>
    <t>Melting_Curves/meltCurve_sp_Q86YP4_2_P66A_HUMAN_.pdf</t>
  </si>
  <si>
    <t>Melting_Curves/meltCurve_sp_Q86YS6_RAB43_HUMAN_.pdf</t>
  </si>
  <si>
    <t>Melting_Curves/meltCurve_sp_Q86YS7_C2CD5_HUMAN_.pdf</t>
  </si>
  <si>
    <t>Melting_Curves/meltCurve_sp_Q8IU81_I2BP1_HUMAN_.pdf</t>
  </si>
  <si>
    <t>Melting_Curves/meltCurve_sp_Q8IU85_2_KCC1D_HUMAN_.pdf</t>
  </si>
  <si>
    <t>Melting_Curves/meltCurve_sp_Q8IUC4_RHPN2_HUMAN_.pdf</t>
  </si>
  <si>
    <t>Melting_Curves/meltCurve_sp_Q8IUD2_RB6I2_HUMAN_.pdf</t>
  </si>
  <si>
    <t>Melting_Curves/meltCurve_sp_Q8IUZ5_AT2L2_HUMAN_.pdf</t>
  </si>
  <si>
    <t>Melting_Curves/meltCurve_sp_Q8IV08_PLD3_HUMAN_.pdf</t>
  </si>
  <si>
    <t>Melting_Curves/meltCurve_sp_Q8IV20_LACC1_HUMAN_.pdf</t>
  </si>
  <si>
    <t>Melting_Curves/meltCurve_sp_Q8IV38_ANKY2_HUMAN_.pdf</t>
  </si>
  <si>
    <t>Melting_Curves/meltCurve_sp_Q8IV50_LYSM2_HUMAN_.pdf</t>
  </si>
  <si>
    <t>Melting_Curves/meltCurve_sp_Q8IVD9_NUDC3_HUMAN_.pdf</t>
  </si>
  <si>
    <t>Melting_Curves/meltCurve_sp_Q8IVH4_MMAA_HUMAN_.pdf</t>
  </si>
  <si>
    <t>Melting_Curves/meltCurve_sp_Q8IVM0_2_CCD50_HUMAN_.pdf</t>
  </si>
  <si>
    <t>Melting_Curves/meltCurve_sp_Q8IVS2_FABD_HUMAN_.pdf</t>
  </si>
  <si>
    <t>Melting_Curves/meltCurve_sp_Q8IVS8_GLCTK_HUMAN_.pdf</t>
  </si>
  <si>
    <t>Melting_Curves/meltCurve_sp_Q8IW45_NNRD_HUMAN_.pdf</t>
  </si>
  <si>
    <t>Melting_Curves/meltCurve_sp_Q8IWB7_WDFY1_HUMAN_.pdf</t>
  </si>
  <si>
    <t>Melting_Curves/meltCurve_sp_Q8IWB9_TEX2_HUMAN_.pdf</t>
  </si>
  <si>
    <t>Melting_Curves/meltCurve_sp_Q8IWE2_NXP20_HUMAN_.pdf</t>
  </si>
  <si>
    <t>Melting_Curves/meltCurve_sp_Q8IWJ2_GCC2_HUMAN_.pdf</t>
  </si>
  <si>
    <t>Melting_Curves/meltCurve_sp_Q8IWL3_HSC20_HUMAN_.pdf</t>
  </si>
  <si>
    <t>Melting_Curves/meltCurve_sp_Q8IWU2_LMTK2_HUMAN_.pdf</t>
  </si>
  <si>
    <t>Melting_Curves/meltCurve_sp_Q8IWV7_UBR1_HUMAN_.pdf</t>
  </si>
  <si>
    <t>Melting_Curves/meltCurve_sp_Q8IWV8_4_UBR2_HUMAN_.pdf</t>
  </si>
  <si>
    <t>Melting_Curves/meltCurve_sp_Q8IWW6_2_RHG12_HUMAN_.pdf</t>
  </si>
  <si>
    <t>Melting_Curves/meltCurve_sp_Q8IWW8_HOT_HUMAN_.pdf</t>
  </si>
  <si>
    <t>Melting_Curves/meltCurve_sp_Q8IWX8_CHERP_HUMAN_.pdf</t>
  </si>
  <si>
    <t>Melting_Curves/meltCurve_sp_Q8IWZ3_ANKH1_HUMAN_.pdf</t>
  </si>
  <si>
    <t>Melting_Curves/meltCurve_sp_Q8IWZ8_SUGP1_HUMAN_.pdf</t>
  </si>
  <si>
    <t>Melting_Curves/meltCurve_sp_Q8IX04_6_UEVLD_HUMAN_.pdf</t>
  </si>
  <si>
    <t>Melting_Curves/meltCurve_sp_Q8IX07_FOG1_HUMAN_.pdf</t>
  </si>
  <si>
    <t>Melting_Curves/meltCurve_sp_Q8IX12_2_CCAR1_HUMAN_.pdf</t>
  </si>
  <si>
    <t>Melting_Curves/meltCurve_sp_Q8IXH7_4_NELFD_HUMAN_.pdf</t>
  </si>
  <si>
    <t>Melting_Curves/meltCurve_sp_Q8IXJ6_2_SIR2_HUMAN_.pdf</t>
  </si>
  <si>
    <t>Melting_Curves/meltCurve_sp_Q8IXK0_2_PHC2_HUMAN_.pdf</t>
  </si>
  <si>
    <t>Melting_Curves/meltCurve_sp_Q8IXQ4_K1704_HUMAN_.pdf</t>
  </si>
  <si>
    <t>Melting_Curves/meltCurve_sp_Q8IXQ6_2_PARP9_HUMAN_.pdf</t>
  </si>
  <si>
    <t>Melting_Curves/meltCurve_sp_Q8IY81_SPB1_HUMAN_.pdf</t>
  </si>
  <si>
    <t>Melting_Curves/meltCurve_sp_Q8IYB5_3_SMAP1_HUMAN_.pdf</t>
  </si>
  <si>
    <t>Melting_Curves/meltCurve_sp_Q8IYB7_DI3L2_HUMAN_.pdf</t>
  </si>
  <si>
    <t>Melting_Curves/meltCurve_sp_Q8IYB8_SUV3_HUMAN_.pdf</t>
  </si>
  <si>
    <t>Melting_Curves/meltCurve_sp_Q8IYD1_ERF3B_HUMAN_.pdf</t>
  </si>
  <si>
    <t>Melting_Curves/meltCurve_sp_Q8IYI6_EXOC8_HUMAN_.pdf</t>
  </si>
  <si>
    <t>Melting_Curves/meltCurve_sp_Q8IYL3_CA174_HUMAN_.pdf</t>
  </si>
  <si>
    <t>Melting_Curves/meltCurve_sp_Q8IYQ7_THNS1_HUMAN_.pdf</t>
  </si>
  <si>
    <t>Melting_Curves/meltCurve_sp_Q8IYS1_P20D2_HUMAN_.pdf</t>
  </si>
  <si>
    <t>Melting_Curves/meltCurve_sp_Q8IYT2_FTSJ1_HUMAN_.pdf</t>
  </si>
  <si>
    <t>Melting_Curves/meltCurve_sp_Q8IZ07_AN13A_HUMAN_.pdf</t>
  </si>
  <si>
    <t>Melting_Curves/meltCurve_sp_Q8IZ21_3_PHAR4_HUMAN_.pdf</t>
  </si>
  <si>
    <t>Melting_Curves/meltCurve_sp_Q8IZ69_TRM2A_HUMAN_.pdf</t>
  </si>
  <si>
    <t>Melting_Curves/meltCurve_sp_Q8IZ83_A16A1_HUMAN_.pdf</t>
  </si>
  <si>
    <t>Melting_Curves/meltCurve_sp_Q8IZD4_DCP1B_HUMAN_.pdf</t>
  </si>
  <si>
    <t>Melting_Curves/meltCurve_sp_Q8IZH2_2_XRN1_HUMAN_.pdf</t>
  </si>
  <si>
    <t>Melting_Curves/meltCurve_sp_Q8IZP0_10_ABI1_HUMAN_.pdf</t>
  </si>
  <si>
    <t>Melting_Curves/meltCurve_sp_Q8IZV5_RDH10_HUMAN_.pdf</t>
  </si>
  <si>
    <t>Melting_Curves/meltCurve_sp_Q8N0U4_F185A_HUMAN_.pdf</t>
  </si>
  <si>
    <t>Melting_Curves/meltCurve_sp_Q8N0W3_FUK_HUMAN_.pdf</t>
  </si>
  <si>
    <t>Melting_Curves/meltCurve_sp_Q8N0X4_CLYBL_HUMAN_.pdf</t>
  </si>
  <si>
    <t>Melting_Curves/meltCurve_sp_Q8N0X7_SPG20_HUMAN_.pdf</t>
  </si>
  <si>
    <t>Melting_Curves/meltCurve_sp_Q8N108_17_MIER1_HUMAN_.pdf</t>
  </si>
  <si>
    <t>Melting_Curves/meltCurve_sp_Q8N129_CNPY4_HUMAN_.pdf</t>
  </si>
  <si>
    <t>Melting_Curves/meltCurve_sp_Q8N142_PURA1_HUMAN_.pdf</t>
  </si>
  <si>
    <t>Melting_Curves/meltCurve_sp_Q8N163_K1967_HUMAN_.pdf</t>
  </si>
  <si>
    <t>Melting_Curves/meltCurve_sp_Q8N1B4_VPS52_HUMAN_.pdf</t>
  </si>
  <si>
    <t>Melting_Curves/meltCurve_sp_Q8N1F7_NUP93_HUMAN_.pdf</t>
  </si>
  <si>
    <t>Melting_Curves/meltCurve_sp_Q8N1G2_MTR1_HUMAN_.pdf</t>
  </si>
  <si>
    <t>Melting_Curves/meltCurve_sp_Q8N1G4_LRC47_HUMAN_.pdf</t>
  </si>
  <si>
    <t>Melting_Curves/meltCurve_sp_Q8N1I0_DOCK4_HUMAN_.pdf</t>
  </si>
  <si>
    <t>Melting_Curves/meltCurve_sp_Q8N201_INT1_HUMAN_.pdf</t>
  </si>
  <si>
    <t>Melting_Curves/meltCurve_sp_Q8N283_ANR35_HUMAN_.pdf</t>
  </si>
  <si>
    <t>Melting_Curves/meltCurve_sp_Q8N2H3_PYRD2_HUMAN_.pdf</t>
  </si>
  <si>
    <t>Melting_Curves/meltCurve_sp_Q8N371_KDM8_HUMAN_.pdf</t>
  </si>
  <si>
    <t>Melting_Curves/meltCurve_sp_Q8N3F8_MILK1_HUMAN_.pdf</t>
  </si>
  <si>
    <t>Melting_Curves/meltCurve_sp_Q8N3V7_2_SYNPO_HUMAN_.pdf</t>
  </si>
  <si>
    <t>Melting_Curves/meltCurve_sp_Q8N3X1_FNBP4_HUMAN_.pdf</t>
  </si>
  <si>
    <t>Melting_Curves/meltCurve_sp_Q8N465_D2HDH_HUMAN_.pdf</t>
  </si>
  <si>
    <t>Melting_Curves/meltCurve_sp_Q8N490_4_PNKD_HUMAN_.pdf</t>
  </si>
  <si>
    <t>Melting_Curves/meltCurve_sp_Q8N4C8_4_MINK1_HUMAN_.pdf</t>
  </si>
  <si>
    <t>Melting_Curves/meltCurve_sp_Q8N4J0_CI041_HUMAN_.pdf</t>
  </si>
  <si>
    <t>Melting_Curves/meltCurve_sp_Q8N4P3_MESH1_HUMAN_.pdf</t>
  </si>
  <si>
    <t>Melting_Curves/meltCurve_sp_Q8N4Q0_ZADH2_HUMAN_.pdf</t>
  </si>
  <si>
    <t>Melting_Curves/meltCurve_sp_Q8N4Q1_MIA40_HUMAN_.pdf</t>
  </si>
  <si>
    <t>Melting_Curves/meltCurve_sp_Q8N4T8_CBR4_HUMAN_.pdf</t>
  </si>
  <si>
    <t>Melting_Curves/meltCurve_sp_Q8N573_8_OXR1_HUMAN_.pdf</t>
  </si>
  <si>
    <t>Melting_Curves/meltCurve_sp_Q8N584_TT39C_HUMAN_.pdf</t>
  </si>
  <si>
    <t>Melting_Curves/meltCurve_sp_Q8N5G2_MACOI_HUMAN_.pdf</t>
  </si>
  <si>
    <t>Melting_Curves/meltCurve_sp_Q8N5J2_FA63A_HUMAN_.pdf</t>
  </si>
  <si>
    <t>Melting_Curves/meltCurve_sp_Q8N5L8_RP25L_HUMAN_.pdf</t>
  </si>
  <si>
    <t>Melting_Curves/meltCurve_sp_Q8N5M1_ATPF2_HUMAN_.pdf</t>
  </si>
  <si>
    <t>Melting_Curves/meltCurve_sp_Q8N5N7_RM50_HUMAN_.pdf</t>
  </si>
  <si>
    <t>Melting_Curves/meltCurve_sp_Q8N5P1_ZC3H8_HUMAN_.pdf</t>
  </si>
  <si>
    <t>Melting_Curves/meltCurve_sp_Q8N5V2_NGEF_HUMAN_.pdf</t>
  </si>
  <si>
    <t>Melting_Curves/meltCurve_sp_Q8N5Z0_AADAT_HUMAN_.pdf</t>
  </si>
  <si>
    <t>Melting_Curves/meltCurve_sp_Q8N612_F16A2_HUMAN_.pdf</t>
  </si>
  <si>
    <t>Melting_Curves/meltCurve_sp_Q8N684_2_CPSF7_HUMAN_.pdf</t>
  </si>
  <si>
    <t>Melting_Curves/meltCurve_sp_Q8N6H7_ARFG2_HUMAN_.pdf</t>
  </si>
  <si>
    <t>Melting_Curves/meltCurve_sp_Q8N6N3_2_CA052_HUMAN_.pdf</t>
  </si>
  <si>
    <t>Melting_Curves/meltCurve_sp_Q8N8N7_PTGR2_HUMAN_.pdf</t>
  </si>
  <si>
    <t>Melting_Curves/meltCurve_sp_Q8N8R5_CB069_HUMAN_.pdf</t>
  </si>
  <si>
    <t>Melting_Curves/meltCurve_sp_Q8N8S7_ENAH_HUMAN_.pdf</t>
  </si>
  <si>
    <t>Melting_Curves/meltCurve_sp_Q8N8V2_GBP7_HUMAN_.pdf</t>
  </si>
  <si>
    <t>Melting_Curves/meltCurve_sp_Q8N954_GPT11_HUMAN_.pdf</t>
  </si>
  <si>
    <t>Melting_Curves/meltCurve_sp_Q8N9L9_ACOT4_HUMAN_.pdf</t>
  </si>
  <si>
    <t>Melting_Curves/meltCurve_sp_Q8N9N7_LRC57_HUMAN_.pdf</t>
  </si>
  <si>
    <t>Melting_Curves/meltCurve_sp_Q8N9V3_2_WSDU1_HUMAN_.pdf</t>
  </si>
  <si>
    <t>Melting_Curves/meltCurve_sp_Q8NB15_2_ZN511_HUMAN_.pdf</t>
  </si>
  <si>
    <t>Melting_Curves/meltCurve_sp_Q8NB37_PDDC1_HUMAN_.pdf</t>
  </si>
  <si>
    <t>Melting_Curves/meltCurve_sp_Q8NBF2_NHLC2_HUMAN_.pdf</t>
  </si>
  <si>
    <t>Melting_Curves/meltCurve_sp_Q8NBJ4_2_GOLM1_HUMAN_.pdf</t>
  </si>
  <si>
    <t>Melting_Curves/meltCurve_sp_Q8NBJ7_SUMF2_HUMAN_.pdf</t>
  </si>
  <si>
    <t>Melting_Curves/meltCurve_sp_Q8NBK3_4_SUMF1_HUMAN_.pdf</t>
  </si>
  <si>
    <t>Melting_Curves/meltCurve_sp_Q8NBL1_PGLT1_HUMAN_.pdf</t>
  </si>
  <si>
    <t>Melting_Curves/meltCurve_sp_Q8NBN7_2_RDH13_HUMAN_.pdf</t>
  </si>
  <si>
    <t>Melting_Curves/meltCurve_sp_Q8NBX0_SCPDL_HUMAN_.pdf</t>
  </si>
  <si>
    <t>Melting_Curves/meltCurve_sp_Q8NC06_ACBD4_HUMAN_.pdf</t>
  </si>
  <si>
    <t>Melting_Curves/meltCurve_sp_Q8NC51_4_PAIRB_HUMAN_.pdf</t>
  </si>
  <si>
    <t>Melting_Curves/meltCurve_sp_Q8NC96_NECP1_HUMAN_.pdf</t>
  </si>
  <si>
    <t>Melting_Curves/meltCurve_sp_Q8NCA5_2_FA98A_HUMAN_.pdf</t>
  </si>
  <si>
    <t>Melting_Curves/meltCurve_sp_Q8NCC3_PAG15_HUMAN_.pdf</t>
  </si>
  <si>
    <t>Melting_Curves/meltCurve_sp_Q8NCE2_3_MTMRE_HUMAN_.pdf</t>
  </si>
  <si>
    <t>Melting_Curves/meltCurve_sp_Q8NCN4_RN169_HUMAN_.pdf</t>
  </si>
  <si>
    <t>Melting_Curves/meltCurve_sp_Q8NCN5_PDPR_HUMAN_.pdf</t>
  </si>
  <si>
    <t>Melting_Curves/meltCurve_sp_Q8NCW5_NNRE_HUMAN_.pdf</t>
  </si>
  <si>
    <t>Melting_Curves/meltCurve_sp_Q8ND23_2_LR16B_HUMAN_.pdf</t>
  </si>
  <si>
    <t>Melting_Curves/meltCurve_sp_Q8ND24_RN214_HUMAN_.pdf</t>
  </si>
  <si>
    <t>Melting_Curves/meltCurve_sp_Q8ND30_LIPB2_HUMAN_.pdf</t>
  </si>
  <si>
    <t>Melting_Curves/meltCurve_sp_Q8ND76_3_CCNY_HUMAN_.pdf</t>
  </si>
  <si>
    <t>Melting_Curves/meltCurve_sp_Q8NDH3_PEPL1_HUMAN_.pdf</t>
  </si>
  <si>
    <t>Melting_Curves/meltCurve_sp_Q8NDI1_3_EHBP1_HUMAN_.pdf</t>
  </si>
  <si>
    <t>Melting_Curves/meltCurve_sp_Q8NDX1_2_PSD4_HUMAN_.pdf</t>
  </si>
  <si>
    <t>Melting_Curves/meltCurve_sp_Q8NDX5_2_PHC3_HUMAN_.pdf</t>
  </si>
  <si>
    <t>Melting_Curves/meltCurve_sp_Q8NE62_CHDH_HUMAN_.pdf</t>
  </si>
  <si>
    <t>Melting_Curves/meltCurve_sp_Q8NE71_ABCF1_HUMAN_.pdf</t>
  </si>
  <si>
    <t>Melting_Curves/meltCurve_sp_Q8NEB9_PK3C3_HUMAN_.pdf</t>
  </si>
  <si>
    <t>Melting_Curves/meltCurve_sp_Q8NEN9_PDZD8_HUMAN_.pdf</t>
  </si>
  <si>
    <t>Melting_Curves/meltCurve_sp_Q8NEU8_DP13B_HUMAN_.pdf</t>
  </si>
  <si>
    <t>Melting_Curves/meltCurve_sp_Q8NEY8_6_PPHLN_HUMAN_.pdf</t>
  </si>
  <si>
    <t>Melting_Curves/meltCurve_sp_Q8NEZ2_2_VP37A_HUMAN_.pdf</t>
  </si>
  <si>
    <t>Melting_Curves/meltCurve_sp_Q8NEZ5_FBX22_HUMAN_.pdf</t>
  </si>
  <si>
    <t>Melting_Curves/meltCurve_sp_Q8NFC6_BD1L1_HUMAN_.pdf</t>
  </si>
  <si>
    <t>Melting_Curves/meltCurve_sp_Q8NFF5_2_FAD1_HUMAN_.pdf</t>
  </si>
  <si>
    <t>Melting_Curves/meltCurve_sp_Q8NFH3_NUP43_HUMAN_.pdf</t>
  </si>
  <si>
    <t>Melting_Curves/meltCurve_sp_Q8NFH4_NUP37_HUMAN_.pdf</t>
  </si>
  <si>
    <t>Melting_Curves/meltCurve_sp_Q8NFH8_4_REPS2_HUMAN_.pdf</t>
  </si>
  <si>
    <t>Melting_Curves/meltCurve_sp_Q8NFI3_ENASE_HUMAN_.pdf</t>
  </si>
  <si>
    <t>Melting_Curves/meltCurve_sp_Q8NFQ8_TOIP2_HUMAN_.pdf</t>
  </si>
  <si>
    <t>Melting_Curves/meltCurve_sp_Q8NFU3_4_TSTD1_HUMAN_.pdf</t>
  </si>
  <si>
    <t>Melting_Curves/meltCurve_sp_Q8NFU3_TSTD1_HUMAN_.pdf</t>
  </si>
  <si>
    <t>Melting_Curves/meltCurve_sp_Q8NFV4_ABHDB_HUMAN_.pdf</t>
  </si>
  <si>
    <t>Melting_Curves/meltCurve_sp_Q8NFW8_NEUA_HUMAN_.pdf</t>
  </si>
  <si>
    <t>Melting_Curves/meltCurve_sp_Q8NFW9_5_MYRIP_HUMAN_.pdf</t>
  </si>
  <si>
    <t>Melting_Curves/meltCurve_sp_Q8NHG8_ZNRF2_HUMAN_.pdf</t>
  </si>
  <si>
    <t>Melting_Curves/meltCurve_sp_Q8NHM4_TRY6_HUMAN_.pdf</t>
  </si>
  <si>
    <t>Melting_Curves/meltCurve_sp_Q8NI35_INADL_HUMAN_.pdf</t>
  </si>
  <si>
    <t>Melting_Curves/meltCurve_sp_Q8TAP9_MPLKI_HUMAN_.pdf</t>
  </si>
  <si>
    <t>Melting_Curves/meltCurve_sp_Q8TAQ2_2_SMRC2_HUMAN_.pdf</t>
  </si>
  <si>
    <t>Melting_Curves/meltCurve_sp_Q8TAT6_NPL4_HUMAN_.pdf</t>
  </si>
  <si>
    <t>Melting_Curves/meltCurve_sp_Q8TAV0_5_FA76A_HUMAN_.pdf</t>
  </si>
  <si>
    <t>Melting_Curves/meltCurve_sp_Q8TB03_CX038_HUMAN_.pdf</t>
  </si>
  <si>
    <t>Melting_Curves/meltCurve_sp_Q8TB22_SPT20_HUMAN_.pdf</t>
  </si>
  <si>
    <t>Melting_Curves/meltCurve_sp_Q8TB24_RIN3_HUMAN_.pdf</t>
  </si>
  <si>
    <t>Melting_Curves/meltCurve_sp_Q8TB37_NUBPL_HUMAN_.pdf</t>
  </si>
  <si>
    <t>Melting_Curves/meltCurve_sp_Q8TB45_DPTOR_HUMAN_.pdf</t>
  </si>
  <si>
    <t>Melting_Curves/meltCurve_sp_Q8TBA6_2_GOGA5_HUMAN_.pdf</t>
  </si>
  <si>
    <t>Melting_Curves/meltCurve_sp_Q8TBC4_UBA3_HUMAN_.pdf</t>
  </si>
  <si>
    <t>Melting_Curves/meltCurve_sp_Q8TBC5_ZSC18_HUMAN_.pdf</t>
  </si>
  <si>
    <t>Melting_Curves/meltCurve_sp_Q8TBF2_4_PGFS_HUMAN_.pdf</t>
  </si>
  <si>
    <t>Melting_Curves/meltCurve_sp_Q8TBG4_3_AT2L1_HUMAN_.pdf</t>
  </si>
  <si>
    <t>Melting_Curves/meltCurve_sp_Q8TBX8_PI42C_HUMAN_.pdf</t>
  </si>
  <si>
    <t>Melting_Curves/meltCurve_sp_Q8TC07_2_TBC15_HUMAN_.pdf</t>
  </si>
  <si>
    <t>Melting_Curves/meltCurve_sp_Q8TC12_RDH11_HUMAN_.pdf</t>
  </si>
  <si>
    <t>Melting_Curves/meltCurve_sp_Q8TCA0_LRC20_HUMAN_.pdf</t>
  </si>
  <si>
    <t>Melting_Curves/meltCurve_sp_Q8TCD5_NT5C_HUMAN_.pdf</t>
  </si>
  <si>
    <t>Melting_Curves/meltCurve_sp_Q8TCE6_2_FA45A_HUMAN_.pdf</t>
  </si>
  <si>
    <t>Melting_Curves/meltCurve_sp_Q8TCS8_PNPT1_HUMAN_.pdf</t>
  </si>
  <si>
    <t>Melting_Curves/meltCurve_sp_Q8TD16_BICD2_HUMAN_.pdf</t>
  </si>
  <si>
    <t>Melting_Curves/meltCurve_sp_Q8TD19_NEK9_HUMAN_.pdf</t>
  </si>
  <si>
    <t>Melting_Curves/meltCurve_sp_Q8TD30_ALAT2_HUMAN_.pdf</t>
  </si>
  <si>
    <t>Melting_Curves/meltCurve_sp_Q8TDB6_DTX3L_HUMAN_.pdf</t>
  </si>
  <si>
    <t>Melting_Curves/meltCurve_sp_Q8TDD1_2_DDX54_HUMAN_.pdf</t>
  </si>
  <si>
    <t>Melting_Curves/meltCurve_sp_Q8TDH9_2_BL1S5_HUMAN_.pdf</t>
  </si>
  <si>
    <t>Melting_Curves/meltCurve_sp_Q8TDX5_ACMSD_HUMAN_.pdf</t>
  </si>
  <si>
    <t>Melting_Curves/meltCurve_sp_Q8TE04_2_PANK1_HUMAN_.pdf</t>
  </si>
  <si>
    <t>Melting_Curves/meltCurve_sp_Q8TE77_SSH3_HUMAN_.pdf</t>
  </si>
  <si>
    <t>Melting_Curves/meltCurve_sp_Q8TEA1_NSUN6_HUMAN_.pdf</t>
  </si>
  <si>
    <t>Melting_Curves/meltCurve_sp_Q8TEA7_3_TBCK_HUMAN_.pdf</t>
  </si>
  <si>
    <t>Melting_Curves/meltCurve_sp_Q8TEB1_2_DCA11_HUMAN_.pdf</t>
  </si>
  <si>
    <t>Melting_Curves/meltCurve_sp_Q8TEH3_DEN1A_HUMAN_.pdf</t>
  </si>
  <si>
    <t>Melting_Curves/meltCurve_sp_Q8TEQ6_GEMI5_HUMAN_.pdf</t>
  </si>
  <si>
    <t>Melting_Curves/meltCurve_sp_Q8TER0_5_SNED1_HUMAN_.pdf</t>
  </si>
  <si>
    <t>Melting_Curves/meltCurve_sp_Q8TER5_ARH40_HUMAN_.pdf</t>
  </si>
  <si>
    <t>Melting_Curves/meltCurve_sp_Q8TEW0_5_PARD3_HUMAN_.pdf</t>
  </si>
  <si>
    <t>Melting_Curves/meltCurve_sp_Q8TEW8_5_PAR3L_HUMAN_.pdf</t>
  </si>
  <si>
    <t>Melting_Curves/meltCurve_sp_Q8TEX9_IPO4_HUMAN_.pdf</t>
  </si>
  <si>
    <t>Melting_Curves/meltCurve_sp_Q8TF05_2_PP4R1_HUMAN_.pdf</t>
  </si>
  <si>
    <t>Melting_Curves/meltCurve_sp_Q8TF46_2_DI3L1_HUMAN_.pdf</t>
  </si>
  <si>
    <t>Melting_Curves/meltCurve_sp_Q8TF65_GIPC2_HUMAN_.pdf</t>
  </si>
  <si>
    <t>Melting_Curves/meltCurve_sp_Q8TF72_SHRM3_HUMAN_.pdf</t>
  </si>
  <si>
    <t>Melting_Curves/meltCurve_sp_Q8TF74_WIPF2_HUMAN_.pdf</t>
  </si>
  <si>
    <t>Melting_Curves/meltCurve_sp_Q8WTS6_SETD7_HUMAN_.pdf</t>
  </si>
  <si>
    <t>Melting_Curves/meltCurve_sp_Q8WU76_2_SCFD2_HUMAN_.pdf</t>
  </si>
  <si>
    <t>Melting_Curves/meltCurve_sp_Q8WU79_2_SMAP2_HUMAN_.pdf</t>
  </si>
  <si>
    <t>Melting_Curves/meltCurve_sp_Q8WU90_ZC3HF_HUMAN_.pdf</t>
  </si>
  <si>
    <t>Melting_Curves/meltCurve_sp_Q8WUA2_PPIL4_HUMAN_.pdf</t>
  </si>
  <si>
    <t>Melting_Curves/meltCurve_sp_Q8WUA7_3_TB22A_HUMAN_.pdf</t>
  </si>
  <si>
    <t>Melting_Curves/meltCurve_sp_Q8WUD4_CCD12_HUMAN_.pdf</t>
  </si>
  <si>
    <t>Melting_Curves/meltCurve_sp_Q8WUF5_IASPP_HUMAN_.pdf</t>
  </si>
  <si>
    <t>Melting_Curves/meltCurve_sp_Q8WUM4_PDC6I_HUMAN_.pdf</t>
  </si>
  <si>
    <t>Melting_Curves/meltCurve_sp_Q8WUN7_UBTD2_HUMAN_.pdf</t>
  </si>
  <si>
    <t>Melting_Curves/meltCurve_sp_Q8WUR7_CO040_HUMAN_.pdf</t>
  </si>
  <si>
    <t>Melting_Curves/meltCurve_sp_Q8WUW1_BRK1_HUMAN_.pdf</t>
  </si>
  <si>
    <t>Melting_Curves/meltCurve_sp_Q8WV28_BLNK_HUMAN_.pdf</t>
  </si>
  <si>
    <t>Melting_Curves/meltCurve_sp_Q8WV74_NUDT8_HUMAN_.pdf</t>
  </si>
  <si>
    <t>Melting_Curves/meltCurve_sp_Q8WVC0_LEO1_HUMAN_.pdf</t>
  </si>
  <si>
    <t>Melting_Curves/meltCurve_sp_Q8WVJ2_NUDC2_HUMAN_.pdf</t>
  </si>
  <si>
    <t>Melting_Curves/meltCurve_sp_Q8WVM8_SCFD1_HUMAN_.pdf</t>
  </si>
  <si>
    <t>Melting_Curves/meltCurve_sp_Q8WVP5_TP8L1_HUMAN_.pdf</t>
  </si>
  <si>
    <t>Melting_Curves/meltCurve_sp_Q8WVT3_TPC12_HUMAN_.pdf</t>
  </si>
  <si>
    <t>Melting_Curves/meltCurve_sp_Q8WVY7_UBCP1_HUMAN_.pdf</t>
  </si>
  <si>
    <t>Melting_Curves/meltCurve_sp_Q8WW12_PCNP_HUMAN_.pdf</t>
  </si>
  <si>
    <t>Melting_Curves/meltCurve_sp_Q8WW59_SPRY4_HUMAN_.pdf</t>
  </si>
  <si>
    <t>Melting_Curves/meltCurve_sp_Q8WWM7_ATX2L_HUMAN_.pdf</t>
  </si>
  <si>
    <t>Melting_Curves/meltCurve_sp_Q8WWV3_RT4I1_HUMAN_.pdf</t>
  </si>
  <si>
    <t>Melting_Curves/meltCurve_sp_Q8WWY3_PRP31_HUMAN_.pdf</t>
  </si>
  <si>
    <t>Melting_Curves/meltCurve_sp_Q8WX92_NELFB_HUMAN_.pdf</t>
  </si>
  <si>
    <t>Melting_Curves/meltCurve_sp_Q8WXA2_2_PATE1_HUMAN_.pdf</t>
  </si>
  <si>
    <t>Melting_Curves/meltCurve_sp_Q8WXA3_2_RUFY2_HUMAN_.pdf</t>
  </si>
  <si>
    <t>Melting_Curves/meltCurve_sp_Q8WXA9_2_SREK1_HUMAN_.pdf</t>
  </si>
  <si>
    <t>Melting_Curves/meltCurve_sp_Q8WXE0_CSKI2_HUMAN_.pdf</t>
  </si>
  <si>
    <t>Melting_Curves/meltCurve_sp_Q8WXE1_2_ATRIP_HUMAN_.pdf</t>
  </si>
  <si>
    <t>Melting_Curves/meltCurve_sp_Q8WXF1_PSPC1_HUMAN_.pdf</t>
  </si>
  <si>
    <t>Melting_Curves/meltCurve_sp_Q8WXH0_SYNE2_HUMAN_.pdf</t>
  </si>
  <si>
    <t>Melting_Curves/meltCurve_sp_Q8WXI4_2_ACO11_HUMAN_.pdf</t>
  </si>
  <si>
    <t>Melting_Curves/meltCurve_sp_Q8WXI9_P66B_HUMAN_.pdf</t>
  </si>
  <si>
    <t>Melting_Curves/meltCurve_sp_Q8WY91_2_THAP4_HUMAN_.pdf</t>
  </si>
  <si>
    <t>Melting_Curves/meltCurve_sp_Q8WYK0_ACO12_HUMAN_.pdf</t>
  </si>
  <si>
    <t>Melting_Curves/meltCurve_sp_Q8WYN0_3_ATG4A_HUMAN_.pdf</t>
  </si>
  <si>
    <t>Melting_Curves/meltCurve_sp_Q8WYP5_ELYS_HUMAN_.pdf</t>
  </si>
  <si>
    <t>Melting_Curves/meltCurve_sp_Q8WYQ3_CHC10_HUMAN_.pdf</t>
  </si>
  <si>
    <t>Melting_Curves/meltCurve_sp_Q8WZ42_3_TITIN_HUMAN_.pdf</t>
  </si>
  <si>
    <t>Melting_Curves/meltCurve_sp_Q8WZ82_OVCA2_HUMAN_.pdf</t>
  </si>
  <si>
    <t>Melting_Curves/meltCurve_sp_Q8WZA0_LZIC_HUMAN_.pdf</t>
  </si>
  <si>
    <t>Melting_Curves/meltCurve_sp_Q8WZA9_IRGQ_HUMAN_.pdf</t>
  </si>
  <si>
    <t>Melting_Curves/meltCurve_sp_Q92466_DDB2_HUMAN_.pdf</t>
  </si>
  <si>
    <t>Melting_Curves/meltCurve_sp_Q92499_DDX1_HUMAN_.pdf</t>
  </si>
  <si>
    <t>Melting_Curves/meltCurve_sp_Q92506_DHB8_HUMAN_.pdf</t>
  </si>
  <si>
    <t>Melting_Curves/meltCurve_sp_Q92520_FAM3C_HUMAN_.pdf</t>
  </si>
  <si>
    <t>Melting_Curves/meltCurve_sp_Q92522_H1X_HUMAN_.pdf</t>
  </si>
  <si>
    <t>Melting_Curves/meltCurve_sp_Q92538_GBF1_HUMAN_.pdf</t>
  </si>
  <si>
    <t>Melting_Curves/meltCurve_sp_Q92541_RTF1_HUMAN_.pdf</t>
  </si>
  <si>
    <t>Melting_Curves/meltCurve_sp_Q92546_RGP1_HUMAN_.pdf</t>
  </si>
  <si>
    <t>Melting_Curves/meltCurve_sp_Q92552_RT27_HUMAN_.pdf</t>
  </si>
  <si>
    <t>Melting_Curves/meltCurve_sp_Q92556_ELMO1_HUMAN_.pdf</t>
  </si>
  <si>
    <t>Melting_Curves/meltCurve_sp_Q92572_AP3S1_HUMAN_.pdf</t>
  </si>
  <si>
    <t>Melting_Curves/meltCurve_sp_Q92575_UBXN4_HUMAN_.pdf</t>
  </si>
  <si>
    <t>Melting_Curves/meltCurve_sp_Q92576_2_PHF3_HUMAN_.pdf</t>
  </si>
  <si>
    <t>Melting_Curves/meltCurve_sp_Q92597_NDRG1_HUMAN_.pdf</t>
  </si>
  <si>
    <t>Melting_Curves/meltCurve_sp_Q92598_2_HS105_HUMAN_.pdf</t>
  </si>
  <si>
    <t>Melting_Curves/meltCurve_sp_Q92599_2_SEPT8_HUMAN_.pdf</t>
  </si>
  <si>
    <t>Melting_Curves/meltCurve_sp_Q92600_RCD1_HUMAN_.pdf</t>
  </si>
  <si>
    <t>Melting_Curves/meltCurve_sp_Q92609_TBCD5_HUMAN_.pdf</t>
  </si>
  <si>
    <t>Melting_Curves/meltCurve_sp_Q92614_4_MY18A_HUMAN_.pdf</t>
  </si>
  <si>
    <t>Melting_Curves/meltCurve_sp_Q92616_GCN1L_HUMAN_.pdf</t>
  </si>
  <si>
    <t>Melting_Curves/meltCurve_sp_Q92620_PRP16_HUMAN_.pdf</t>
  </si>
  <si>
    <t>Melting_Curves/meltCurve_sp_Q92621_NU205_HUMAN_.pdf</t>
  </si>
  <si>
    <t>Melting_Curves/meltCurve_sp_Q92665_RT31_HUMAN_.pdf</t>
  </si>
  <si>
    <t>Melting_Curves/meltCurve_sp_Q92667_AKAP1_HUMAN_.pdf</t>
  </si>
  <si>
    <t>Melting_Curves/meltCurve_sp_Q92688_2_AN32B_HUMAN_.pdf</t>
  </si>
  <si>
    <t>Melting_Curves/meltCurve_sp_Q92696_PGTA_HUMAN_.pdf</t>
  </si>
  <si>
    <t>Melting_Curves/meltCurve_sp_Q92734_2_TFG_HUMAN_.pdf</t>
  </si>
  <si>
    <t>Melting_Curves/meltCurve_sp_Q92738_US6NL_HUMAN_.pdf</t>
  </si>
  <si>
    <t>Melting_Curves/meltCurve_sp_Q92747_ARC1A_HUMAN_.pdf</t>
  </si>
  <si>
    <t>Melting_Curves/meltCurve_sp_Q92748_THRSP_HUMAN_.pdf</t>
  </si>
  <si>
    <t>Melting_Curves/meltCurve_sp_Q92766_RREB1_HUMAN_.pdf</t>
  </si>
  <si>
    <t>Melting_Curves/meltCurve_sp_Q92783_2_STAM1_HUMAN_.pdf</t>
  </si>
  <si>
    <t>Melting_Curves/meltCurve_sp_Q92785_REQU_HUMAN_.pdf</t>
  </si>
  <si>
    <t>Melting_Curves/meltCurve_sp_Q92786_PROX1_HUMAN_.pdf</t>
  </si>
  <si>
    <t>Melting_Curves/meltCurve_sp_Q92793_2_CBP_HUMAN_.pdf</t>
  </si>
  <si>
    <t>Melting_Curves/meltCurve_sp_Q92797_SYMPK_HUMAN_.pdf</t>
  </si>
  <si>
    <t>Melting_Curves/meltCurve_sp_Q92805_GOGA1_HUMAN_.pdf</t>
  </si>
  <si>
    <t>Melting_Curves/meltCurve_sp_Q92817_EVPL_HUMAN_.pdf</t>
  </si>
  <si>
    <t>Melting_Curves/meltCurve_sp_Q92820_GGH_HUMAN_.pdf</t>
  </si>
  <si>
    <t>Melting_Curves/meltCurve_sp_Q92841_DDX17_HUMAN_.pdf</t>
  </si>
  <si>
    <t>Melting_Curves/meltCurve_sp_Q92878_RAD50_HUMAN_.pdf</t>
  </si>
  <si>
    <t>Melting_Curves/meltCurve_sp_Q92879_5_CELF1_HUMAN_.pdf</t>
  </si>
  <si>
    <t>Melting_Curves/meltCurve_sp_Q92882_OSTF1_HUMAN_.pdf</t>
  </si>
  <si>
    <t>Melting_Curves/meltCurve_sp_Q92888_2_ARHG1_HUMAN_.pdf</t>
  </si>
  <si>
    <t>Melting_Curves/meltCurve_sp_Q92890_UFD1_HUMAN_.pdf</t>
  </si>
  <si>
    <t>Melting_Curves/meltCurve_sp_Q92896_GSLG1_HUMAN_.pdf</t>
  </si>
  <si>
    <t>Melting_Curves/meltCurve_sp_Q92900_2_RENT1_HUMAN_.pdf</t>
  </si>
  <si>
    <t>Melting_Curves/meltCurve_sp_Q92905_CSN5_HUMAN_.pdf</t>
  </si>
  <si>
    <t>Melting_Curves/meltCurve_sp_Q92917_GPKOW_HUMAN_.pdf</t>
  </si>
  <si>
    <t>Melting_Curves/meltCurve_sp_Q92934_BAD_HUMAN_.pdf</t>
  </si>
  <si>
    <t>Melting_Curves/meltCurve_sp_Q92945_FUBP2_HUMAN_.pdf</t>
  </si>
  <si>
    <t>Melting_Curves/meltCurve_sp_Q92947_GCDH_HUMAN_.pdf</t>
  </si>
  <si>
    <t>Melting_Curves/meltCurve_sp_Q92954_3_PRG4_HUMAN_.pdf</t>
  </si>
  <si>
    <t>Melting_Curves/meltCurve_sp_Q92973_2_TNPO1_HUMAN_.pdf</t>
  </si>
  <si>
    <t>Melting_Curves/meltCurve_sp_Q92979_NEP1_HUMAN_.pdf</t>
  </si>
  <si>
    <t>Melting_Curves/meltCurve_sp_Q92989_2_CLP1_HUMAN_.pdf</t>
  </si>
  <si>
    <t>Melting_Curves/meltCurve_sp_Q92990_GLMN_HUMAN_.pdf</t>
  </si>
  <si>
    <t>Melting_Curves/meltCurve_sp_Q93008_USP9X_HUMAN_.pdf</t>
  </si>
  <si>
    <t>Melting_Curves/meltCurve_sp_Q93015_NAT6_HUMAN_.pdf</t>
  </si>
  <si>
    <t>Melting_Curves/meltCurve_sp_Q93034_CUL5_HUMAN_.pdf</t>
  </si>
  <si>
    <t>Melting_Curves/meltCurve_sp_Q93052_LPP_HUMAN_.pdf</t>
  </si>
  <si>
    <t>Melting_Curves/meltCurve_sp_Q93062_4_RBPMS_HUMAN_.pdf</t>
  </si>
  <si>
    <t>Melting_Curves/meltCurve_sp_Q93073_2_SBP2L_HUMAN_.pdf</t>
  </si>
  <si>
    <t>Melting_Curves/meltCurve_sp_Q93077_H2A1C_HUMAN_.pdf</t>
  </si>
  <si>
    <t>Melting_Curves/meltCurve_sp_Q93088_BHMT1_HUMAN_.pdf</t>
  </si>
  <si>
    <t>Melting_Curves/meltCurve_sp_Q93096_TP4A1_HUMAN_.pdf</t>
  </si>
  <si>
    <t>Melting_Curves/meltCurve_sp_Q93099_HGD_HUMAN_.pdf</t>
  </si>
  <si>
    <t>Melting_Curves/meltCurve_sp_Q93100_4_KPBB_HUMAN_.pdf</t>
  </si>
  <si>
    <t>Melting_Curves/meltCurve_sp_Q969E8_TSR2_HUMAN_.pdf</t>
  </si>
  <si>
    <t>Melting_Curves/meltCurve_sp_Q969G6_RIFK_HUMAN_.pdf</t>
  </si>
  <si>
    <t>Melting_Curves/meltCurve_sp_Q969H8_CS010_HUMAN_.pdf</t>
  </si>
  <si>
    <t>Melting_Curves/meltCurve_sp_Q969I3_GLYL1_HUMAN_.pdf</t>
  </si>
  <si>
    <t>Melting_Curves/meltCurve_sp_Q969M3_YIPF5_HUMAN_.pdf</t>
  </si>
  <si>
    <t>Melting_Curves/meltCurve_sp_Q969Q0_RL36L_HUMAN_.pdf</t>
  </si>
  <si>
    <t>Melting_Curves/meltCurve_sp_Q969S3_ZN622_HUMAN_.pdf</t>
  </si>
  <si>
    <t>Melting_Curves/meltCurve_sp_Q969S9_2_RRF2M_HUMAN_.pdf</t>
  </si>
  <si>
    <t>Melting_Curves/meltCurve_sp_Q969T7_2_5NT3B_HUMAN_.pdf</t>
  </si>
  <si>
    <t>Melting_Curves/meltCurve_sp_Q969Y2_3_GTPB3_HUMAN_.pdf</t>
  </si>
  <si>
    <t>Melting_Curves/meltCurve_sp_Q969Z0_TBRG4_HUMAN_.pdf</t>
  </si>
  <si>
    <t>Melting_Curves/meltCurve_sp_Q969Z3_MOSC2_HUMAN_.pdf</t>
  </si>
  <si>
    <t>Melting_Curves/meltCurve_sp_Q96A49_SYAP1_HUMAN_.pdf</t>
  </si>
  <si>
    <t>Melting_Curves/meltCurve_sp_Q96A65_EXOC4_HUMAN_.pdf</t>
  </si>
  <si>
    <t>Melting_Curves/meltCurve_sp_Q96AB3_ISOC2_HUMAN_.pdf</t>
  </si>
  <si>
    <t>Melting_Curves/meltCurve_sp_Q96AB6_NTAN1_HUMAN_.pdf</t>
  </si>
  <si>
    <t>Melting_Curves/meltCurve_sp_Q96AC1_FERM2_HUMAN_.pdf</t>
  </si>
  <si>
    <t>Melting_Curves/meltCurve_sp_Q96AE4_2_FUBP1_HUMAN_.pdf</t>
  </si>
  <si>
    <t>Melting_Curves/meltCurve_sp_Q96AE4_FUBP1_HUMAN_.pdf</t>
  </si>
  <si>
    <t>Melting_Curves/meltCurve_sp_Q96AG4_LRC59_HUMAN_.pdf</t>
  </si>
  <si>
    <t>Melting_Curves/meltCurve_sp_Q96AT1_K1143_HUMAN_.pdf</t>
  </si>
  <si>
    <t>Melting_Curves/meltCurve_sp_Q96AT9_RPE_HUMAN_.pdf</t>
  </si>
  <si>
    <t>Melting_Curves/meltCurve_sp_Q96B23_2_CR025_HUMAN_.pdf</t>
  </si>
  <si>
    <t>Melting_Curves/meltCurve_sp_Q96B26_EXOS8_HUMAN_.pdf</t>
  </si>
  <si>
    <t>Melting_Curves/meltCurve_sp_Q96B36_AKTS1_HUMAN_.pdf</t>
  </si>
  <si>
    <t>Melting_Curves/meltCurve_sp_Q96B45_CJ032_HUMAN_.pdf</t>
  </si>
  <si>
    <t>Melting_Curves/meltCurve_sp_Q96B54_ZN428_HUMAN_.pdf</t>
  </si>
  <si>
    <t>Melting_Curves/meltCurve_sp_Q96B70_LENG9_HUMAN_.pdf</t>
  </si>
  <si>
    <t>Melting_Curves/meltCurve_sp_Q96B97_SH3K1_HUMAN_.pdf</t>
  </si>
  <si>
    <t>Melting_Curves/meltCurve_sp_Q96BJ3_AIDA_HUMAN_.pdf</t>
  </si>
  <si>
    <t>Melting_Curves/meltCurve_sp_Q96BN8_F105B_HUMAN_.pdf</t>
  </si>
  <si>
    <t>Melting_Curves/meltCurve_sp_Q96BP3_PPWD1_HUMAN_.pdf</t>
  </si>
  <si>
    <t>Melting_Curves/meltCurve_sp_Q96BR5_SELR1_HUMAN_.pdf</t>
  </si>
  <si>
    <t>Melting_Curves/meltCurve_sp_Q96BW5_2_PTER_HUMAN_.pdf</t>
  </si>
  <si>
    <t>Melting_Curves/meltCurve_sp_Q96BY7_ATG2B_HUMAN_.pdf</t>
  </si>
  <si>
    <t>Melting_Curves/meltCurve_sp_Q96BZ8_LENG1_HUMAN_.pdf</t>
  </si>
  <si>
    <t>Melting_Curves/meltCurve_sp_Q96C01_F136A_HUMAN_.pdf</t>
  </si>
  <si>
    <t>Melting_Curves/meltCurve_sp_Q96C11_FGGY_HUMAN_.pdf</t>
  </si>
  <si>
    <t>Melting_Curves/meltCurve_sp_Q96C19_EFHD2_HUMAN_.pdf</t>
  </si>
  <si>
    <t>Melting_Curves/meltCurve_sp_Q96C23_GALM_HUMAN_.pdf</t>
  </si>
  <si>
    <t>Melting_Curves/meltCurve_sp_Q96C24_SYTL4_HUMAN_.pdf</t>
  </si>
  <si>
    <t>Melting_Curves/meltCurve_sp_Q96C86_DCPS_HUMAN_.pdf</t>
  </si>
  <si>
    <t>Melting_Curves/meltCurve_sp_Q96CB8_INT12_HUMAN_.pdf</t>
  </si>
  <si>
    <t>Melting_Curves/meltCurve_sp_Q96CD0_FBXL8_HUMAN_.pdf</t>
  </si>
  <si>
    <t>Melting_Curves/meltCurve_sp_Q96CF2_CHM4C_HUMAN_.pdf</t>
  </si>
  <si>
    <t>Melting_Curves/meltCurve_sp_Q96CN7_ISOC1_HUMAN_.pdf</t>
  </si>
  <si>
    <t>Melting_Curves/meltCurve_sp_Q96CN9_GCC1_HUMAN_.pdf</t>
  </si>
  <si>
    <t>Melting_Curves/meltCurve_sp_Q96CP2_FWCH2_HUMAN_.pdf</t>
  </si>
  <si>
    <t>Melting_Curves/meltCurve_sp_Q96CS3_FAF2_HUMAN_.pdf</t>
  </si>
  <si>
    <t>Melting_Curves/meltCurve_sp_Q96CT7_CC124_HUMAN_.pdf</t>
  </si>
  <si>
    <t>Melting_Curves/meltCurve_sp_Q96CU9_3_FXRD1_HUMAN_.pdf</t>
  </si>
  <si>
    <t>Melting_Curves/meltCurve_sp_Q96CV9_OPTN_HUMAN_.pdf</t>
  </si>
  <si>
    <t>Melting_Curves/meltCurve_sp_Q96CW1_2_AP2M1_HUMAN_.pdf</t>
  </si>
  <si>
    <t>Melting_Curves/meltCurve_sp_Q96CX2_KCD12_HUMAN_.pdf</t>
  </si>
  <si>
    <t>Melting_Curves/meltCurve_sp_Q96D46_NMD3_HUMAN_.pdf</t>
  </si>
  <si>
    <t>Melting_Curves/meltCurve_sp_Q96D71_2_REPS1_HUMAN_.pdf</t>
  </si>
  <si>
    <t>Melting_Curves/meltCurve_sp_Q96DC8_ECHD3_HUMAN_.pdf</t>
  </si>
  <si>
    <t>Melting_Curves/meltCurve_sp_Q96DE0_NUD16_HUMAN_.pdf</t>
  </si>
  <si>
    <t>Melting_Curves/meltCurve_sp_Q96DG6_CMBL_HUMAN_.pdf</t>
  </si>
  <si>
    <t>Melting_Curves/meltCurve_sp_Q96DH6_2_MSI2H_HUMAN_.pdf</t>
  </si>
  <si>
    <t>Melting_Curves/meltCurve_sp_Q96DI7_SNR40_HUMAN_.pdf</t>
  </si>
  <si>
    <t>Melting_Curves/meltCurve_sp_Q96DR7_ARHGQ_HUMAN_.pdf</t>
  </si>
  <si>
    <t>Melting_Curves/meltCurve_sp_Q96DT5_DYH11_HUMAN_.pdf</t>
  </si>
  <si>
    <t>Melting_Curves/meltCurve_sp_Q96DX5_ASB9_HUMAN_.pdf</t>
  </si>
  <si>
    <t>Melting_Curves/meltCurve_sp_Q96E09_F122A_HUMAN_.pdf</t>
  </si>
  <si>
    <t>Melting_Curves/meltCurve_sp_Q96E11_3_RRFM_HUMAN_.pdf</t>
  </si>
  <si>
    <t>Melting_Curves/meltCurve_sp_Q96E39_RMXL1_HUMAN_.pdf</t>
  </si>
  <si>
    <t>Melting_Curves/meltCurve_sp_Q96EB1_ELP4_HUMAN_.pdf</t>
  </si>
  <si>
    <t>Melting_Curves/meltCurve_sp_Q96ED9_2_HOOK2_HUMAN_.pdf</t>
  </si>
  <si>
    <t>Melting_Curves/meltCurve_sp_Q96EE3_SEH1_HUMAN_.pdf</t>
  </si>
  <si>
    <t>Melting_Curves/meltCurve_sp_Q96EI5_TCAL4_HUMAN_.pdf</t>
  </si>
  <si>
    <t>Melting_Curves/meltCurve_sp_Q96EK6_GNA1_HUMAN_.pdf</t>
  </si>
  <si>
    <t>Melting_Curves/meltCurve_sp_Q96EM0_T3HPD_HUMAN_.pdf</t>
  </si>
  <si>
    <t>Melting_Curves/meltCurve_sp_Q96EN8_MOCOS_HUMAN_.pdf</t>
  </si>
  <si>
    <t>Melting_Curves/meltCurve_sp_Q96EP5_2_DAZP1_HUMAN_.pdf</t>
  </si>
  <si>
    <t>Melting_Curves/meltCurve_sp_Q96EV2_RBM33_HUMAN_.pdf</t>
  </si>
  <si>
    <t>Melting_Curves/meltCurve_sp_Q96EV8_DTBP1_HUMAN_.pdf</t>
  </si>
  <si>
    <t>Melting_Curves/meltCurve_sp_Q96EY1_2_DNJA3_HUMAN_.pdf</t>
  </si>
  <si>
    <t>Melting_Curves/meltCurve_sp_Q96EY4_TMA16_HUMAN_.pdf</t>
  </si>
  <si>
    <t>Melting_Curves/meltCurve_sp_Q96EY7_PTCD3_HUMAN_.pdf</t>
  </si>
  <si>
    <t>Melting_Curves/meltCurve_sp_Q96EY8_MMAB_HUMAN_.pdf</t>
  </si>
  <si>
    <t>Melting_Curves/meltCurve_sp_Q96F10_SAT2_HUMAN_.pdf</t>
  </si>
  <si>
    <t>Melting_Curves/meltCurve_sp_Q96F24_2_NRBF2_HUMAN_.pdf</t>
  </si>
  <si>
    <t>Melting_Curves/meltCurve_sp_Q96F63_CCD97_HUMAN_.pdf</t>
  </si>
  <si>
    <t>Melting_Curves/meltCurve_sp_Q96FJ2_DYL2_HUMAN_.pdf</t>
  </si>
  <si>
    <t>Melting_Curves/meltCurve_sp_Q96FV2_SCRN2_HUMAN_.pdf</t>
  </si>
  <si>
    <t>Melting_Curves/meltCurve_sp_Q96FX7_TRM61_HUMAN_.pdf</t>
  </si>
  <si>
    <t>Melting_Curves/meltCurve_sp_Q96G03_PGM2_HUMAN_.pdf</t>
  </si>
  <si>
    <t>Melting_Curves/meltCurve_sp_Q96G46_DUS3L_HUMAN_.pdf</t>
  </si>
  <si>
    <t>Melting_Curves/meltCurve_sp_Q96GA7_SDSL_HUMAN_.pdf</t>
  </si>
  <si>
    <t>Melting_Curves/meltCurve_sp_Q96GD0_PLPP_HUMAN_.pdf</t>
  </si>
  <si>
    <t>Melting_Curves/meltCurve_sp_Q96GE6_2_CALL4_HUMAN_.pdf</t>
  </si>
  <si>
    <t>Melting_Curves/meltCurve_sp_Q96GF1_RN185_HUMAN_.pdf</t>
  </si>
  <si>
    <t>Melting_Curves/meltCurve_sp_Q96GG9_DCNL1_HUMAN_.pdf</t>
  </si>
  <si>
    <t>Melting_Curves/meltCurve_sp_Q96GK7_FAH2A_HUMAN_.pdf</t>
  </si>
  <si>
    <t>Melting_Curves/meltCurve_sp_Q96GS4_CQ059_HUMAN_.pdf</t>
  </si>
  <si>
    <t>Melting_Curves/meltCurve_sp_Q96GW9_SYMM_HUMAN_.pdf</t>
  </si>
  <si>
    <t>Melting_Curves/meltCurve_sp_Q96GX9_MTNB_HUMAN_.pdf</t>
  </si>
  <si>
    <t>Melting_Curves/meltCurve_sp_Q96H20_SNF8_HUMAN_.pdf</t>
  </si>
  <si>
    <t>Melting_Curves/meltCurve_sp_Q96HC4_PDLI5_HUMAN_.pdf</t>
  </si>
  <si>
    <t>Melting_Curves/meltCurve_sp_Q96HD9_ACY3_HUMAN_.pdf</t>
  </si>
  <si>
    <t>Melting_Curves/meltCurve_sp_Q96HE7_ERO1A_HUMAN_.pdf</t>
  </si>
  <si>
    <t>Melting_Curves/meltCurve_sp_Q96HJ9_2_CG055_HUMAN_.pdf</t>
  </si>
  <si>
    <t>Melting_Curves/meltCurve_sp_Q96HJ9_CG055_HUMAN_.pdf</t>
  </si>
  <si>
    <t>Melting_Curves/meltCurve_sp_Q96HP4_OXND1_HUMAN_.pdf</t>
  </si>
  <si>
    <t>Melting_Curves/meltCurve_sp_Q96HQ2_2_C2AIL_HUMAN_.pdf</t>
  </si>
  <si>
    <t>Melting_Curves/meltCurve_sp_Q96HR9_REEP6_HUMAN_.pdf</t>
  </si>
  <si>
    <t>Melting_Curves/meltCurve_sp_Q96HS1_PGAM5_HUMAN_.pdf</t>
  </si>
  <si>
    <t>Melting_Curves/meltCurve_sp_Q96HY6_DDRGK_HUMAN_.pdf</t>
  </si>
  <si>
    <t>Melting_Curves/meltCurve_sp_Q96HY7_DHTK1_HUMAN_.pdf</t>
  </si>
  <si>
    <t>Melting_Curves/meltCurve_sp_Q96I15_SCLY_HUMAN_.pdf</t>
  </si>
  <si>
    <t>Melting_Curves/meltCurve_sp_Q96I23_PREY_HUMAN_.pdf</t>
  </si>
  <si>
    <t>Melting_Curves/meltCurve_sp_Q96I24_FUBP3_HUMAN_.pdf</t>
  </si>
  <si>
    <t>Melting_Curves/meltCurve_sp_Q96I25_SPF45_HUMAN_.pdf</t>
  </si>
  <si>
    <t>Melting_Curves/meltCurve_sp_Q96I51_WBS16_HUMAN_.pdf</t>
  </si>
  <si>
    <t>Melting_Curves/meltCurve_sp_Q96I59_SYNM_HUMAN_.pdf</t>
  </si>
  <si>
    <t>Melting_Curves/meltCurve_sp_Q96I99_SUCB2_HUMAN_.pdf</t>
  </si>
  <si>
    <t>Melting_Curves/meltCurve_sp_Q96IF1_AJUBA_HUMAN_.pdf</t>
  </si>
  <si>
    <t>Melting_Curves/meltCurve_sp_Q96II8_3_LRCH3_HUMAN_.pdf</t>
  </si>
  <si>
    <t>Melting_Curves/meltCurve_sp_Q96IJ6_GMPPA_HUMAN_.pdf</t>
  </si>
  <si>
    <t>Melting_Curves/meltCurve_sp_Q96IQ9_2_ZN414_HUMAN_.pdf</t>
  </si>
  <si>
    <t>Melting_Curves/meltCurve_sp_Q96IU4_ABHEB_HUMAN_.pdf</t>
  </si>
  <si>
    <t>Melting_Curves/meltCurve_sp_Q96IV0_2_NGLY1_HUMAN_.pdf</t>
  </si>
  <si>
    <t>Melting_Curves/meltCurve_sp_Q96IY4_CBPB2_HUMAN_.pdf</t>
  </si>
  <si>
    <t>Melting_Curves/meltCurve_sp_Q96IZ0_PAWR_HUMAN_.pdf</t>
  </si>
  <si>
    <t>Melting_Curves/meltCurve_sp_Q96J02_2_ITCH_HUMAN_.pdf</t>
  </si>
  <si>
    <t>Melting_Curves/meltCurve_sp_Q96JB2_COG3_HUMAN_.pdf</t>
  </si>
  <si>
    <t>Melting_Curves/meltCurve_sp_Q96JB5_CK5P3_HUMAN_.pdf</t>
  </si>
  <si>
    <t>Melting_Curves/meltCurve_sp_Q96JE7_SC16B_HUMAN_.pdf</t>
  </si>
  <si>
    <t>Melting_Curves/meltCurve_sp_Q96JG6_3_CC132_HUMAN_.pdf</t>
  </si>
  <si>
    <t>Melting_Curves/meltCurve_sp_Q96JH7_VCIP1_HUMAN_.pdf</t>
  </si>
  <si>
    <t>Melting_Curves/meltCurve_sp_Q96JM3_CHAP1_HUMAN_.pdf</t>
  </si>
  <si>
    <t>Melting_Curves/meltCurve_sp_Q96JP2_MY15B_HUMAN_.pdf</t>
  </si>
  <si>
    <t>Melting_Curves/meltCurve_sp_Q96JP5_2_ZFP91_HUMAN_.pdf</t>
  </si>
  <si>
    <t>Melting_Curves/meltCurve_sp_Q96JQ2_CLMN_HUMAN_.pdf</t>
  </si>
  <si>
    <t>Melting_Curves/meltCurve_sp_Q96JY6_PDLI2_HUMAN_.pdf</t>
  </si>
  <si>
    <t>Melting_Curves/meltCurve_sp_Q96K17_2_BT3L4_HUMAN_.pdf</t>
  </si>
  <si>
    <t>Melting_Curves/meltCurve_sp_Q96KC8_DNJC1_HUMAN_.pdf</t>
  </si>
  <si>
    <t>Melting_Curves/meltCurve_sp_Q96KG9_3_NTKL_HUMAN_.pdf</t>
  </si>
  <si>
    <t>Melting_Curves/meltCurve_sp_Q96KM6_Z512B_HUMAN_.pdf</t>
  </si>
  <si>
    <t>Melting_Curves/meltCurve_sp_Q96KP1_EXOC2_HUMAN_.pdf</t>
  </si>
  <si>
    <t>Melting_Curves/meltCurve_sp_Q96KP4_CNDP2_HUMAN_.pdf</t>
  </si>
  <si>
    <t>Melting_Curves/meltCurve_sp_Q96KR1_ZFR_HUMAN_.pdf</t>
  </si>
  <si>
    <t>Melting_Curves/meltCurve_sp_Q96L91_3_EP400_HUMAN_.pdf</t>
  </si>
  <si>
    <t>Melting_Curves/meltCurve_sp_Q96L92_3_SNX27_HUMAN_.pdf</t>
  </si>
  <si>
    <t>Melting_Curves/meltCurve_sp_Q96LD4_TRI47_HUMAN_.pdf</t>
  </si>
  <si>
    <t>Melting_Curves/meltCurve_sp_Q96LD8_SENP8_HUMAN_.pdf</t>
  </si>
  <si>
    <t>Melting_Curves/meltCurve_sp_Q96LJ7_DHRS1_HUMAN_.pdf</t>
  </si>
  <si>
    <t>Melting_Curves/meltCurve_sp_Q96M27_PRRC1_HUMAN_.pdf</t>
  </si>
  <si>
    <t>Melting_Curves/meltCurve_sp_Q96ME1_4_FXL18_HUMAN_.pdf</t>
  </si>
  <si>
    <t>Melting_Curves/meltCurve_sp_Q96MG8_PCMD1_HUMAN_.pdf</t>
  </si>
  <si>
    <t>Melting_Curves/meltCurve_sp_Q96MH2_HEXI2_HUMAN_.pdf</t>
  </si>
  <si>
    <t>Melting_Curves/meltCurve_sp_Q96MU7_2_YTDC1_HUMAN_.pdf</t>
  </si>
  <si>
    <t>Melting_Curves/meltCurve_sp_Q96MW1_CCD43_HUMAN_.pdf</t>
  </si>
  <si>
    <t>Melting_Curves/meltCurve_sp_Q96MX6_WDR92_HUMAN_.pdf</t>
  </si>
  <si>
    <t>Melting_Curves/meltCurve_sp_Q96N67_4_DOCK7_HUMAN_.pdf</t>
  </si>
  <si>
    <t>Melting_Curves/meltCurve_sp_Q96N76_HUTU_HUMAN_.pdf</t>
  </si>
  <si>
    <t>Melting_Curves/meltCurve_sp_Q96NA2_RILP_HUMAN_.pdf</t>
  </si>
  <si>
    <t>Melting_Curves/meltCurve_sp_Q96NB3_ZN830_HUMAN_.pdf</t>
  </si>
  <si>
    <t>Melting_Curves/meltCurve_sp_Q96NC0_ZMAT2_HUMAN_.pdf</t>
  </si>
  <si>
    <t>Melting_Curves/meltCurve_sp_Q96NL8_CH037_HUMAN_.pdf</t>
  </si>
  <si>
    <t>Melting_Curves/meltCurve_sp_Q96NT1_NP1L5_HUMAN_.pdf</t>
  </si>
  <si>
    <t>Melting_Curves/meltCurve_sp_Q96NU7_HUTI_HUMAN_.pdf</t>
  </si>
  <si>
    <t>Melting_Curves/meltCurve_sp_Q96NZ9_PRAP1_HUMAN_.pdf</t>
  </si>
  <si>
    <t>Melting_Curves/meltCurve_sp_Q96P16_3_RPR1A_HUMAN_.pdf</t>
  </si>
  <si>
    <t>Melting_Curves/meltCurve_sp_Q96P47_AGAP3_HUMAN_.pdf</t>
  </si>
  <si>
    <t>Melting_Curves/meltCurve_sp_Q96P48_7_ARAP1_HUMAN_.pdf</t>
  </si>
  <si>
    <t>Melting_Curves/meltCurve_sp_Q96P70_IPO9_HUMAN_.pdf</t>
  </si>
  <si>
    <t>Melting_Curves/meltCurve_sp_Q96PD5_PGRP2_HUMAN_.pdf</t>
  </si>
  <si>
    <t>Melting_Curves/meltCurve_sp_Q96PE7_MCEE_HUMAN_.pdf</t>
  </si>
  <si>
    <t>Melting_Curves/meltCurve_sp_Q96PK6_RBM14_HUMAN_.pdf</t>
  </si>
  <si>
    <t>Melting_Curves/meltCurve_sp_Q96PM5_3_ZN363_HUMAN_.pdf</t>
  </si>
  <si>
    <t>Melting_Curves/meltCurve_sp_Q96PU8_5_QKI_HUMAN_.pdf</t>
  </si>
  <si>
    <t>Melting_Curves/meltCurve_sp_Q96PU8_9_QKI_HUMAN_.pdf</t>
  </si>
  <si>
    <t>Melting_Curves/meltCurve_sp_Q96PV6_LENG8_HUMAN_.pdf</t>
  </si>
  <si>
    <t>Melting_Curves/meltCurve_sp_Q96PZ0_PUS7_HUMAN_.pdf</t>
  </si>
  <si>
    <t>Melting_Curves/meltCurve_sp_Q96Q05_3_TPPC9_HUMAN_.pdf</t>
  </si>
  <si>
    <t>Melting_Curves/meltCurve_sp_Q96Q06_2_PLIN4_HUMAN_.pdf</t>
  </si>
  <si>
    <t>Melting_Curves/meltCurve_sp_Q96Q11_2_TRNT1_HUMAN_.pdf</t>
  </si>
  <si>
    <t>Melting_Curves/meltCurve_sp_Q96Q42_ALS2_HUMAN_.pdf</t>
  </si>
  <si>
    <t>Melting_Curves/meltCurve_sp_Q96Q83_ALKB3_HUMAN_.pdf</t>
  </si>
  <si>
    <t>Melting_Curves/meltCurve_sp_Q96Q89_4_KI20B_HUMAN_.pdf</t>
  </si>
  <si>
    <t>Melting_Curves/meltCurve_sp_Q96QC0_PP1RA_HUMAN_.pdf</t>
  </si>
  <si>
    <t>Melting_Curves/meltCurve_sp_Q96QK1_VPS35_HUMAN_.pdf</t>
  </si>
  <si>
    <t>Melting_Curves/meltCurve_sp_Q96QR8_PURB_HUMAN_.pdf</t>
  </si>
  <si>
    <t>Melting_Curves/meltCurve_sp_Q96QZ7_3_MAGI1_HUMAN_.pdf</t>
  </si>
  <si>
    <t>Melting_Curves/meltCurve_sp_Q96R06_SPAG5_HUMAN_.pdf</t>
  </si>
  <si>
    <t>Melting_Curves/meltCurve_sp_Q96RE7_NACC1_HUMAN_.pdf</t>
  </si>
  <si>
    <t>Melting_Curves/meltCurve_sp_Q96RF0_2_SNX18_HUMAN_.pdf</t>
  </si>
  <si>
    <t>Melting_Curves/meltCurve_sp_Q96RL7_4_VP13A_HUMAN_.pdf</t>
  </si>
  <si>
    <t>Melting_Curves/meltCurve_sp_Q96RN5_3_MED15_HUMAN_.pdf</t>
  </si>
  <si>
    <t>Melting_Curves/meltCurve_sp_Q96RP9_EFGM_HUMAN_.pdf</t>
  </si>
  <si>
    <t>Melting_Curves/meltCurve_sp_Q96RQ3_MCCA_HUMAN_.pdf</t>
  </si>
  <si>
    <t>Melting_Curves/meltCurve_sp_Q96RS6_3_NUDC1_HUMAN_.pdf</t>
  </si>
  <si>
    <t>Melting_Curves/meltCurve_sp_Q96RT1_9_LAP2_HUMAN_.pdf</t>
  </si>
  <si>
    <t>Melting_Curves/meltCurve_sp_Q96RU2_2_UBP28_HUMAN_.pdf</t>
  </si>
  <si>
    <t>Melting_Curves/meltCurve_sp_Q96RU3_4_FNBP1_HUMAN_.pdf</t>
  </si>
  <si>
    <t>Melting_Curves/meltCurve_sp_Q96RW7_2_HMCN1_HUMAN_.pdf</t>
  </si>
  <si>
    <t>Melting_Curves/meltCurve_sp_Q96S19_CP013_HUMAN_.pdf</t>
  </si>
  <si>
    <t>Melting_Curves/meltCurve_sp_Q96S44_PRPK_HUMAN_.pdf</t>
  </si>
  <si>
    <t>Melting_Curves/meltCurve_sp_Q96S55_2_WRIP1_HUMAN_.pdf</t>
  </si>
  <si>
    <t>Melting_Curves/meltCurve_sp_Q96S59_2_RANB9_HUMAN_.pdf</t>
  </si>
  <si>
    <t>Melting_Curves/meltCurve_sp_Q96S66_4_CLCC1_HUMAN_.pdf</t>
  </si>
  <si>
    <t>Melting_Curves/meltCurve_sp_Q96SB3_NEB2_HUMAN_.pdf</t>
  </si>
  <si>
    <t>Melting_Curves/meltCurve_sp_Q96ST2_IWS1_HUMAN_.pdf</t>
  </si>
  <si>
    <t>Melting_Curves/meltCurve_sp_Q96ST3_SIN3A_HUMAN_.pdf</t>
  </si>
  <si>
    <t>Melting_Curves/meltCurve_sp_Q96SU4_7_OSBL9_HUMAN_.pdf</t>
  </si>
  <si>
    <t>Melting_Curves/meltCurve_sp_Q96SZ5_AEDO_HUMAN_.pdf</t>
  </si>
  <si>
    <t>Melting_Curves/meltCurve_sp_Q96T37_2_RBM15_HUMAN_.pdf</t>
  </si>
  <si>
    <t>Melting_Curves/meltCurve_sp_Q96T51_RUFY1_HUMAN_.pdf</t>
  </si>
  <si>
    <t>Melting_Curves/meltCurve_sp_Q96T58_MINT_HUMAN_.pdf</t>
  </si>
  <si>
    <t>Melting_Curves/meltCurve_sp_Q96T76_MMS19_HUMAN_.pdf</t>
  </si>
  <si>
    <t>Melting_Curves/meltCurve_sp_Q99417_MYCBP_HUMAN_.pdf</t>
  </si>
  <si>
    <t>Melting_Curves/meltCurve_sp_Q99424_ACOX2_HUMAN_.pdf</t>
  </si>
  <si>
    <t>Melting_Curves/meltCurve_sp_Q99426_TBCB_HUMAN_.pdf</t>
  </si>
  <si>
    <t>Melting_Curves/meltCurve_sp_Q99436_PSB7_HUMAN_.pdf</t>
  </si>
  <si>
    <t>Melting_Curves/meltCurve_sp_Q99447_3_PCY2_HUMAN_.pdf</t>
  </si>
  <si>
    <t>Melting_Curves/meltCurve_sp_Q99459_CDC5L_HUMAN_.pdf</t>
  </si>
  <si>
    <t>Melting_Curves/meltCurve_sp_Q99460_PSMD1_HUMAN_.pdf</t>
  </si>
  <si>
    <t>Melting_Curves/meltCurve_sp_Q99470_SDF2_HUMAN_.pdf</t>
  </si>
  <si>
    <t>Melting_Curves/meltCurve_sp_Q99471_PFD5_HUMAN_.pdf</t>
  </si>
  <si>
    <t>Melting_Curves/meltCurve_sp_Q99487_PAFA2_HUMAN_.pdf</t>
  </si>
  <si>
    <t>Melting_Curves/meltCurve_sp_Q99489_OXDD_HUMAN_.pdf</t>
  </si>
  <si>
    <t>Melting_Curves/meltCurve_sp_Q99497_PARK7_HUMAN_.pdf</t>
  </si>
  <si>
    <t>Melting_Curves/meltCurve_sp_Q99519_NEUR1_HUMAN_.pdf</t>
  </si>
  <si>
    <t>Melting_Curves/meltCurve_sp_Q99536_VAT1_HUMAN_.pdf</t>
  </si>
  <si>
    <t>Melting_Curves/meltCurve_sp_Q99538_LGMN_HUMAN_.pdf</t>
  </si>
  <si>
    <t>Melting_Curves/meltCurve_sp_Q99543_DNJC2_HUMAN_.pdf</t>
  </si>
  <si>
    <t>Melting_Curves/meltCurve_sp_Q99549_MPP8_HUMAN_.pdf</t>
  </si>
  <si>
    <t>Melting_Curves/meltCurve_sp_Q99567_NUP88_HUMAN_.pdf</t>
  </si>
  <si>
    <t>Melting_Curves/meltCurve_sp_Q99569_2_PKP4_HUMAN_.pdf</t>
  </si>
  <si>
    <t>Melting_Curves/meltCurve_sp_Q99570_PI3R4_HUMAN_.pdf</t>
  </si>
  <si>
    <t>Melting_Curves/meltCurve_sp_Q99575_POP1_HUMAN_.pdf</t>
  </si>
  <si>
    <t>Melting_Curves/meltCurve_sp_Q99584_S10AD_HUMAN_.pdf</t>
  </si>
  <si>
    <t>Melting_Curves/meltCurve_sp_Q99590_2_SCAFB_HUMAN_.pdf</t>
  </si>
  <si>
    <t>Melting_Curves/meltCurve_sp_Q99598_TSNAX_HUMAN_.pdf</t>
  </si>
  <si>
    <t>Melting_Curves/meltCurve_sp_Q99611_SPS2_HUMAN_.pdf</t>
  </si>
  <si>
    <t>Melting_Curves/meltCurve_sp_Q99614_TTC1_HUMAN_.pdf</t>
  </si>
  <si>
    <t>Melting_Curves/meltCurve_sp_Q99615_DNJC7_HUMAN_.pdf</t>
  </si>
  <si>
    <t>Melting_Curves/meltCurve_sp_Q99622_C10_HUMAN_.pdf</t>
  </si>
  <si>
    <t>Melting_Curves/meltCurve_sp_Q99624_S38A3_HUMAN_.pdf</t>
  </si>
  <si>
    <t>Melting_Curves/meltCurve_sp_Q99627_2_CSN8_HUMAN_.pdf</t>
  </si>
  <si>
    <t>Melting_Curves/meltCurve_sp_Q99685_MGLL_HUMAN_.pdf</t>
  </si>
  <si>
    <t>Melting_Curves/meltCurve_sp_Q99700_4_ATX2_HUMAN_.pdf</t>
  </si>
  <si>
    <t>Melting_Curves/meltCurve_sp_Q99707_METH_HUMAN_.pdf</t>
  </si>
  <si>
    <t>Melting_Curves/meltCurve_sp_Q99714_HCD2_HUMAN_.pdf</t>
  </si>
  <si>
    <t>Melting_Curves/meltCurve_sp_Q99733_NP1L4_HUMAN_.pdf</t>
  </si>
  <si>
    <t>Melting_Curves/meltCurve_sp_Q99735_2_MGST2_HUMAN_.pdf</t>
  </si>
  <si>
    <t>Melting_Curves/meltCurve_sp_Q99747_SNAG_HUMAN_.pdf</t>
  </si>
  <si>
    <t>Melting_Curves/meltCurve_sp_Q99757_THIOM_HUMAN_.pdf</t>
  </si>
  <si>
    <t>Melting_Curves/meltCurve_sp_Q99766_ATP5S_HUMAN_.pdf</t>
  </si>
  <si>
    <t>Melting_Curves/meltCurve_sp_Q99797_MIPEP_HUMAN_.pdf</t>
  </si>
  <si>
    <t>Melting_Curves/meltCurve_sp_Q99798_ACON_HUMAN_.pdf</t>
  </si>
  <si>
    <t>Melting_Curves/meltCurve_sp_Q99807_2_COQ7_HUMAN_.pdf</t>
  </si>
  <si>
    <t>Melting_Curves/meltCurve_sp_Q99832_TCPH_HUMAN_.pdf</t>
  </si>
  <si>
    <t>Melting_Curves/meltCurve_sp_Q99836_MYD88_HUMAN_.pdf</t>
  </si>
  <si>
    <t>Melting_Curves/meltCurve_sp_Q99878_H2A1J_HUMAN_.pdf</t>
  </si>
  <si>
    <t>Melting_Curves/meltCurve_sp_Q99952_PTN18_HUMAN_.pdf</t>
  </si>
  <si>
    <t>Melting_Curves/meltCurve_sp_Q99959_2_PKP2_HUMAN_.pdf</t>
  </si>
  <si>
    <t>Melting_Curves/meltCurve_sp_Q99961_SH3G1_HUMAN_.pdf</t>
  </si>
  <si>
    <t>Melting_Curves/meltCurve_sp_Q99996_5_AKAP9_HUMAN_.pdf</t>
  </si>
  <si>
    <t>Melting_Curves/meltCurve_sp_Q9BPW8_NIPS1_HUMAN_.pdf</t>
  </si>
  <si>
    <t>Melting_Curves/meltCurve_sp_Q9BPX5_ARP5L_HUMAN_.pdf</t>
  </si>
  <si>
    <t>Melting_Curves/meltCurve_sp_Q9BPZ3_PAIP2_HUMAN_.pdf</t>
  </si>
  <si>
    <t>Melting_Curves/meltCurve_sp_Q9BQ24_ZFY21_HUMAN_.pdf</t>
  </si>
  <si>
    <t>Melting_Curves/meltCurve_sp_Q9BQ52_RNZ2_HUMAN_.pdf</t>
  </si>
  <si>
    <t>Melting_Curves/meltCurve_sp_Q9BQ61_CS043_HUMAN_.pdf</t>
  </si>
  <si>
    <t>Melting_Curves/meltCurve_sp_Q9BQ67_GRWD1_HUMAN_.pdf</t>
  </si>
  <si>
    <t>Melting_Curves/meltCurve_sp_Q9BQ69_MACD1_HUMAN_.pdf</t>
  </si>
  <si>
    <t>Melting_Curves/meltCurve_sp_Q9BQA1_MEP50_HUMAN_.pdf</t>
  </si>
  <si>
    <t>Melting_Curves/meltCurve_sp_Q9BQB6_3_VKOR1_HUMAN_.pdf</t>
  </si>
  <si>
    <t>Melting_Curves/meltCurve_sp_Q9BQE3_TBA1C_HUMAN_.pdf</t>
  </si>
  <si>
    <t>Melting_Curves/meltCurve_sp_Q9BQE5_APOL2_HUMAN_.pdf</t>
  </si>
  <si>
    <t>Melting_Curves/meltCurve_sp_Q9BQG0_MBB1A_HUMAN_.pdf</t>
  </si>
  <si>
    <t>Melting_Curves/meltCurve_sp_Q9BQG2_NUD12_HUMAN_.pdf</t>
  </si>
  <si>
    <t>Melting_Curves/meltCurve_sp_Q9BQK8_2_LPIN3_HUMAN_.pdf</t>
  </si>
  <si>
    <t>Melting_Curves/meltCurve_sp_Q9BQP7_MGME1_HUMAN_.pdf</t>
  </si>
  <si>
    <t>Melting_Curves/meltCurve_sp_Q9BQS8_FYCO1_HUMAN_.pdf</t>
  </si>
  <si>
    <t>Melting_Curves/meltCurve_sp_Q9BR61_ACBD6_HUMAN_.pdf</t>
  </si>
  <si>
    <t>Melting_Curves/meltCurve_sp_Q9BR76_COR1B_HUMAN_.pdf</t>
  </si>
  <si>
    <t>Melting_Curves/meltCurve_sp_Q9BRA2_TXD17_HUMAN_.pdf</t>
  </si>
  <si>
    <t>Melting_Curves/meltCurve_sp_Q9BRF8_CPPED_HUMAN_.pdf</t>
  </si>
  <si>
    <t>Melting_Curves/meltCurve_sp_Q9BRG1_VPS25_HUMAN_.pdf</t>
  </si>
  <si>
    <t>Melting_Curves/meltCurve_sp_Q9BRK5_CAB45_HUMAN_.pdf</t>
  </si>
  <si>
    <t>Melting_Curves/meltCurve_sp_Q9BRP4_PAAF1_HUMAN_.pdf</t>
  </si>
  <si>
    <t>Melting_Curves/meltCurve_sp_Q9BRP8_2_WIBG_HUMAN_.pdf</t>
  </si>
  <si>
    <t>Melting_Curves/meltCurve_sp_Q9BRT3_MIEN1_HUMAN_.pdf</t>
  </si>
  <si>
    <t>Melting_Curves/meltCurve_sp_Q9BRX2_PELO_HUMAN_.pdf</t>
  </si>
  <si>
    <t>Melting_Curves/meltCurve_sp_Q9BRZ2_TRI56_HUMAN_.pdf</t>
  </si>
  <si>
    <t>Melting_Curves/meltCurve_sp_Q9BS26_ERP44_HUMAN_.pdf</t>
  </si>
  <si>
    <t>Melting_Curves/meltCurve_sp_Q9BSE5_SPEB_HUMAN_.pdf</t>
  </si>
  <si>
    <t>Melting_Curves/meltCurve_sp_Q9BSH4_TACO1_HUMAN_.pdf</t>
  </si>
  <si>
    <t>Melting_Curves/meltCurve_sp_Q9BSH5_HDHD3_HUMAN_.pdf</t>
  </si>
  <si>
    <t>Melting_Curves/meltCurve_sp_Q9BSJ5_3_CQ080_HUMAN_.pdf</t>
  </si>
  <si>
    <t>Melting_Curves/meltCurve_sp_Q9BSJ8_ESYT1_HUMAN_.pdf</t>
  </si>
  <si>
    <t>Melting_Curves/meltCurve_sp_Q9BSL1_UBAC1_HUMAN_.pdf</t>
  </si>
  <si>
    <t>Melting_Curves/meltCurve_sp_Q9BST9_RTKN_HUMAN_.pdf</t>
  </si>
  <si>
    <t>Melting_Curves/meltCurve_sp_Q9BSU1_CP070_HUMAN_.pdf</t>
  </si>
  <si>
    <t>Melting_Curves/meltCurve_sp_Q9BSY4_CHCH5_HUMAN_.pdf</t>
  </si>
  <si>
    <t>Melting_Curves/meltCurve_sp_Q9BT09_CNPY3_HUMAN_.pdf</t>
  </si>
  <si>
    <t>Melting_Curves/meltCurve_sp_Q9BT30_ALKB7_HUMAN_.pdf</t>
  </si>
  <si>
    <t>Melting_Curves/meltCurve_sp_Q9BT73_PSMG3_HUMAN_.pdf</t>
  </si>
  <si>
    <t>Melting_Curves/meltCurve_sp_Q9BT78_CSN4_HUMAN_.pdf</t>
  </si>
  <si>
    <t>Melting_Curves/meltCurve_sp_Q9BTA9_2_WAC_HUMAN_.pdf</t>
  </si>
  <si>
    <t>Melting_Curves/meltCurve_sp_Q9BTC0_DIDO1_HUMAN_.pdf</t>
  </si>
  <si>
    <t>Melting_Curves/meltCurve_sp_Q9BTE1_2_DCTN5_HUMAN_.pdf</t>
  </si>
  <si>
    <t>Melting_Curves/meltCurve_sp_Q9BTE3_2_MCMBP_HUMAN_.pdf</t>
  </si>
  <si>
    <t>Melting_Curves/meltCurve_sp_Q9BTE6_AASD1_HUMAN_.pdf</t>
  </si>
  <si>
    <t>Melting_Curves/meltCurve_sp_Q9BTL3_RAM_HUMAN_.pdf</t>
  </si>
  <si>
    <t>Melting_Curves/meltCurve_sp_Q9BTT0_AN32E_HUMAN_.pdf</t>
  </si>
  <si>
    <t>Melting_Curves/meltCurve_sp_Q9BTW9_TBCD_HUMAN_.pdf</t>
  </si>
  <si>
    <t>Melting_Curves/meltCurve_sp_Q9BTX7_TTPAL_HUMAN_.pdf</t>
  </si>
  <si>
    <t>Melting_Curves/meltCurve_sp_Q9BTY2_FUCO2_HUMAN_.pdf</t>
  </si>
  <si>
    <t>Melting_Curves/meltCurve_sp_Q9BTY7_F203A_HUMAN_.pdf</t>
  </si>
  <si>
    <t>Melting_Curves/meltCurve_sp_Q9BTZ2_DHRS4_HUMAN_.pdf</t>
  </si>
  <si>
    <t>Melting_Curves/meltCurve_sp_Q9BU02_THTPA_HUMAN_.pdf</t>
  </si>
  <si>
    <t>Melting_Curves/meltCurve_sp_Q9BU89_DOHH_HUMAN_.pdf</t>
  </si>
  <si>
    <t>Melting_Curves/meltCurve_sp_Q9BUE6_ISCA1_HUMAN_.pdf</t>
  </si>
  <si>
    <t>Melting_Curves/meltCurve_sp_Q9BUH6_CI142_HUMAN_.pdf</t>
  </si>
  <si>
    <t>Melting_Curves/meltCurve_sp_Q9BUJ2_2_HNRL1_HUMAN_.pdf</t>
  </si>
  <si>
    <t>Melting_Curves/meltCurve_sp_Q9BUK6_4_MSTO1_HUMAN_.pdf</t>
  </si>
  <si>
    <t>Melting_Curves/meltCurve_sp_Q9BUP0_EFHD1_HUMAN_.pdf</t>
  </si>
  <si>
    <t>Melting_Curves/meltCurve_sp_Q9BUP3_HTAI2_HUMAN_.pdf</t>
  </si>
  <si>
    <t>Melting_Curves/meltCurve_sp_Q9BUQ8_DDX23_HUMAN_.pdf</t>
  </si>
  <si>
    <t>Melting_Curves/meltCurve_sp_Q9BUT1_BDH2_HUMAN_.pdf</t>
  </si>
  <si>
    <t>Melting_Curves/meltCurve_sp_Q9BUT9_F195A_HUMAN_.pdf</t>
  </si>
  <si>
    <t>Melting_Curves/meltCurve_sp_Q9BV19_CA050_HUMAN_.pdf</t>
  </si>
  <si>
    <t>Melting_Curves/meltCurve_sp_Q9BV20_MTNA_HUMAN_.pdf</t>
  </si>
  <si>
    <t>Melting_Curves/meltCurve_sp_Q9BV44_THUM3_HUMAN_.pdf</t>
  </si>
  <si>
    <t>Melting_Curves/meltCurve_sp_Q9BV57_MTND_HUMAN_.pdf</t>
  </si>
  <si>
    <t>Melting_Curves/meltCurve_sp_Q9BV79_MECR_HUMAN_.pdf</t>
  </si>
  <si>
    <t>Melting_Curves/meltCurve_sp_Q9BV86_NTM1A_HUMAN_.pdf</t>
  </si>
  <si>
    <t>Melting_Curves/meltCurve_sp_Q9BVG4_PBDC1_HUMAN_.pdf</t>
  </si>
  <si>
    <t>Melting_Curves/meltCurve_sp_Q9BVJ7_DUS23_HUMAN_.pdf</t>
  </si>
  <si>
    <t>Melting_Curves/meltCurve_sp_Q9BVL4_SELO_HUMAN_.pdf</t>
  </si>
  <si>
    <t>Melting_Curves/meltCurve_sp_Q9BVM4_GGACT_HUMAN_.pdf</t>
  </si>
  <si>
    <t>Melting_Curves/meltCurve_sp_Q9BVS5_TR61B_HUMAN_.pdf</t>
  </si>
  <si>
    <t>Melting_Curves/meltCurve_sp_Q9BW27_NUP85_HUMAN_.pdf</t>
  </si>
  <si>
    <t>Melting_Curves/meltCurve_sp_Q9BW61_DDA1_HUMAN_.pdf</t>
  </si>
  <si>
    <t>Melting_Curves/meltCurve_sp_Q9BW71_HIRP3_HUMAN_.pdf</t>
  </si>
  <si>
    <t>Melting_Curves/meltCurve_sp_Q9BW83_2_IFT27_HUMAN_.pdf</t>
  </si>
  <si>
    <t>Melting_Curves/meltCurve_sp_Q9BW85_CCD94_HUMAN_.pdf</t>
  </si>
  <si>
    <t>Melting_Curves/meltCurve_sp_Q9BW91_2_NUDT9_HUMAN_.pdf</t>
  </si>
  <si>
    <t>Melting_Curves/meltCurve_sp_Q9BW92_SYTM_HUMAN_.pdf</t>
  </si>
  <si>
    <t>Melting_Curves/meltCurve_sp_Q9BWD1_THIC_HUMAN_.pdf</t>
  </si>
  <si>
    <t>Melting_Curves/meltCurve_sp_Q9BWE0_REPI1_HUMAN_.pdf</t>
  </si>
  <si>
    <t>Melting_Curves/meltCurve_sp_Q9BWJ5_SF3B5_HUMAN_.pdf</t>
  </si>
  <si>
    <t>Melting_Curves/meltCurve_sp_Q9BWS9_3_CHID1_HUMAN_.pdf</t>
  </si>
  <si>
    <t>Melting_Curves/meltCurve_sp_Q9BWU0_NADAP_HUMAN_.pdf</t>
  </si>
  <si>
    <t>Melting_Curves/meltCurve_sp_Q9BX66_5_SRBS1_HUMAN_.pdf</t>
  </si>
  <si>
    <t>Melting_Curves/meltCurve_sp_Q9BX66_9_SRBS1_HUMAN_.pdf</t>
  </si>
  <si>
    <t>Melting_Curves/meltCurve_sp_Q9BX68_HINT2_HUMAN_.pdf</t>
  </si>
  <si>
    <t>Melting_Curves/meltCurve_sp_Q9BX95_SGPP1_HUMAN_.pdf</t>
  </si>
  <si>
    <t>Melting_Curves/meltCurve_sp_Q9BXB4_OSB11_HUMAN_.pdf</t>
  </si>
  <si>
    <t>Melting_Curves/meltCurve_sp_Q9BXI6_TB10A_HUMAN_.pdf</t>
  </si>
  <si>
    <t>Melting_Curves/meltCurve_sp_Q9BXJ9_NAA15_HUMAN_.pdf</t>
  </si>
  <si>
    <t>Melting_Curves/meltCurve_sp_Q9BXK5_B2L13_HUMAN_.pdf</t>
  </si>
  <si>
    <t>Melting_Curves/meltCurve_sp_Q9BXP5_5_SRRT_HUMAN_.pdf</t>
  </si>
  <si>
    <t>Melting_Curves/meltCurve_sp_Q9BXR0_TGT_HUMAN_.pdf</t>
  </si>
  <si>
    <t>Melting_Curves/meltCurve_sp_Q9BXS5_AP1M1_HUMAN_.pdf</t>
  </si>
  <si>
    <t>Melting_Curves/meltCurve_sp_Q9BXS6_7_NUSAP_HUMAN_.pdf</t>
  </si>
  <si>
    <t>Melting_Curves/meltCurve_sp_Q9BXV9_CN142_HUMAN_.pdf</t>
  </si>
  <si>
    <t>Melting_Curves/meltCurve_sp_Q9BXW6_OSBL1_HUMAN_.pdf</t>
  </si>
  <si>
    <t>Melting_Curves/meltCurve_sp_Q9BXW7_2_CECR5_HUMAN_.pdf</t>
  </si>
  <si>
    <t>Melting_Curves/meltCurve_sp_Q9BY32_ITPA_HUMAN_.pdf</t>
  </si>
  <si>
    <t>Melting_Curves/meltCurve_sp_Q9BY42_RTF2_HUMAN_.pdf</t>
  </si>
  <si>
    <t>Melting_Curves/meltCurve_sp_Q9BY43_CHM4A_HUMAN_.pdf</t>
  </si>
  <si>
    <t>Melting_Curves/meltCurve_sp_Q9BY49_PECR_HUMAN_.pdf</t>
  </si>
  <si>
    <t>Melting_Curves/meltCurve_sp_Q9BY67_2_CADM1_HUMAN_.pdf</t>
  </si>
  <si>
    <t>Melting_Curves/meltCurve_sp_Q9BY77_PDIP3_HUMAN_.pdf</t>
  </si>
  <si>
    <t>Melting_Curves/meltCurve_sp_Q9BY89_K1671_HUMAN_.pdf</t>
  </si>
  <si>
    <t>Melting_Curves/meltCurve_sp_Q9BYM8_HOIL1_HUMAN_.pdf</t>
  </si>
  <si>
    <t>Melting_Curves/meltCurve_sp_Q9BYN0_SRXN1_HUMAN_.pdf</t>
  </si>
  <si>
    <t>Melting_Curves/meltCurve_sp_Q9BYP7_3_WNK3_HUMAN_.pdf</t>
  </si>
  <si>
    <t>Melting_Curves/meltCurve_sp_Q9BYT8_NEUL_HUMAN_.pdf</t>
  </si>
  <si>
    <t>Melting_Curves/meltCurve_sp_Q9BYV1_AGT2_HUMAN_.pdf</t>
  </si>
  <si>
    <t>Melting_Curves/meltCurve_sp_Q9BYV7_4_BCDO2_HUMAN_.pdf</t>
  </si>
  <si>
    <t>Melting_Curves/meltCurve_sp_Q9BYW2_SETD2_HUMAN_.pdf</t>
  </si>
  <si>
    <t>Melting_Curves/meltCurve_sp_Q9BYX4_IFIH1_HUMAN_.pdf</t>
  </si>
  <si>
    <t>Melting_Curves/meltCurve_sp_Q9BZ29_3_DOCK9_HUMAN_.pdf</t>
  </si>
  <si>
    <t>Melting_Curves/meltCurve_sp_Q9BZE2_PUS3_HUMAN_.pdf</t>
  </si>
  <si>
    <t>Melting_Curves/meltCurve_sp_Q9BZE9_ASPC1_HUMAN_.pdf</t>
  </si>
  <si>
    <t>Melting_Curves/meltCurve_sp_Q9BZF1_3_OSBL8_HUMAN_.pdf</t>
  </si>
  <si>
    <t>Melting_Curves/meltCurve_sp_Q9BZH6_WDR11_HUMAN_.pdf</t>
  </si>
  <si>
    <t>Melting_Curves/meltCurve_sp_Q9BZI7_2_REN3B_HUMAN_.pdf</t>
  </si>
  <si>
    <t>Melting_Curves/meltCurve_sp_Q9BZJ0_2_CRNL1_HUMAN_.pdf</t>
  </si>
  <si>
    <t>Melting_Curves/meltCurve_sp_Q9BZK7_TBL1R_HUMAN_.pdf</t>
  </si>
  <si>
    <t>Melting_Curves/meltCurve_sp_Q9BZL1_UBL5_HUMAN_.pdf</t>
  </si>
  <si>
    <t>Melting_Curves/meltCurve_sp_Q9BZL4_PP12C_HUMAN_.pdf</t>
  </si>
  <si>
    <t>Melting_Curves/meltCurve_sp_Q9BZM1_PG12A_HUMAN_.pdf</t>
  </si>
  <si>
    <t>Melting_Curves/meltCurve_sp_Q9BZZ5_2_API5_HUMAN_.pdf</t>
  </si>
  <si>
    <t>Melting_Curves/meltCurve_sp_Q9C005_DPY30_HUMAN_.pdf</t>
  </si>
  <si>
    <t>Melting_Curves/meltCurve_sp_Q9C0B0_UNK_HUMAN_.pdf</t>
  </si>
  <si>
    <t>Melting_Curves/meltCurve_sp_Q9C0B1_FTO_HUMAN_.pdf</t>
  </si>
  <si>
    <t>Melting_Curves/meltCurve_sp_Q9C0B5_2_ZDHC5_HUMAN_.pdf</t>
  </si>
  <si>
    <t>Melting_Curves/meltCurve_sp_Q9C0C2_TB182_HUMAN_.pdf</t>
  </si>
  <si>
    <t>Melting_Curves/meltCurve_sp_Q9C0C9_UBE2O_HUMAN_.pdf</t>
  </si>
  <si>
    <t>Melting_Curves/meltCurve_sp_Q9C0H9_5_SRCN1_HUMAN_.pdf</t>
  </si>
  <si>
    <t>Melting_Curves/meltCurve_sp_Q9C0I1_MTMRC_HUMAN_.pdf</t>
  </si>
  <si>
    <t>Melting_Curves/meltCurve_sp_Q9C0J8_WDR33_HUMAN_.pdf</t>
  </si>
  <si>
    <t>Melting_Curves/meltCurve_sp_Q9GZM5_YIPF3_HUMAN_.pdf</t>
  </si>
  <si>
    <t>Melting_Curves/meltCurve_sp_Q9GZM7_3_TINAL_HUMAN_.pdf</t>
  </si>
  <si>
    <t>Melting_Curves/meltCurve_sp_Q9GZN8_CT027_HUMAN_.pdf</t>
  </si>
  <si>
    <t>Melting_Curves/meltCurve_sp_Q9GZP4_PITH1_HUMAN_.pdf</t>
  </si>
  <si>
    <t>Melting_Curves/meltCurve_sp_Q9GZQ3_COMD5_HUMAN_.pdf</t>
  </si>
  <si>
    <t>Melting_Curves/meltCurve_sp_Q9GZT3_2_SLIRP_HUMAN_.pdf</t>
  </si>
  <si>
    <t>Melting_Curves/meltCurve_sp_Q9GZT8_2_NIF3L_HUMAN_.pdf</t>
  </si>
  <si>
    <t>Melting_Curves/meltCurve_sp_Q9GZT9_EGLN1_HUMAN_.pdf</t>
  </si>
  <si>
    <t>Melting_Curves/meltCurve_sp_Q9GZU8_F192A_HUMAN_.pdf</t>
  </si>
  <si>
    <t>Melting_Curves/meltCurve_sp_Q9GZY8_2_MFF_HUMAN_.pdf</t>
  </si>
  <si>
    <t>Melting_Curves/meltCurve_sp_Q9GZZ9_UBA5_HUMAN_.pdf</t>
  </si>
  <si>
    <t>Melting_Curves/meltCurve_sp_Q9H008_LHPP_HUMAN_.pdf</t>
  </si>
  <si>
    <t>Melting_Curves/meltCurve_sp_Q9H074_PAIP1_HUMAN_.pdf</t>
  </si>
  <si>
    <t>Melting_Curves/meltCurve_sp_Q9H098_F107B_HUMAN_.pdf</t>
  </si>
  <si>
    <t>Melting_Curves/meltCurve_sp_Q9H0A8_COMD4_HUMAN_.pdf</t>
  </si>
  <si>
    <t>Melting_Curves/meltCurve_sp_Q9H0C8_ILKAP_HUMAN_.pdf</t>
  </si>
  <si>
    <t>Melting_Curves/meltCurve_sp_Q9H0D6_XRN2_HUMAN_.pdf</t>
  </si>
  <si>
    <t>Melting_Curves/meltCurve_sp_Q9H0E2_TOLIP_HUMAN_.pdf</t>
  </si>
  <si>
    <t>Melting_Curves/meltCurve_sp_Q9H0F6_SHRPN_HUMAN_.pdf</t>
  </si>
  <si>
    <t>Melting_Curves/meltCurve_sp_Q9H0G5_NSRP1_HUMAN_.pdf</t>
  </si>
  <si>
    <t>Melting_Curves/meltCurve_sp_Q9H0K1_SIK2_HUMAN_.pdf</t>
  </si>
  <si>
    <t>Melting_Curves/meltCurve_sp_Q9H0L4_CSTFT_HUMAN_.pdf</t>
  </si>
  <si>
    <t>Melting_Curves/meltCurve_sp_Q9H0P0_1_5NT3A_HUMAN_.pdf</t>
  </si>
  <si>
    <t>Melting_Curves/meltCurve_sp_Q9H0R4_HDHD2_HUMAN_.pdf</t>
  </si>
  <si>
    <t>Melting_Curves/meltCurve_sp_Q9H0R6_GATA_HUMAN_.pdf</t>
  </si>
  <si>
    <t>Melting_Curves/meltCurve_sp_Q9H0U4_RAB1B_HUMAN_.pdf</t>
  </si>
  <si>
    <t>Melting_Curves/meltCurve_sp_Q9H0W9_CK054_HUMAN_.pdf</t>
  </si>
  <si>
    <t>Melting_Curves/meltCurve_sp_Q9H173_SIL1_HUMAN_.pdf</t>
  </si>
  <si>
    <t>Melting_Curves/meltCurve_sp_Q9H1B7_I2BPL_HUMAN_.pdf</t>
  </si>
  <si>
    <t>Melting_Curves/meltCurve_sp_Q9H1E3_NUCKS_HUMAN_.pdf</t>
  </si>
  <si>
    <t>Melting_Curves/meltCurve_sp_Q9H1H9_3_KI13A_HUMAN_.pdf</t>
  </si>
  <si>
    <t>Melting_Curves/meltCurve_sp_Q9H1J1_REN3A_HUMAN_.pdf</t>
  </si>
  <si>
    <t>Melting_Curves/meltCurve_sp_Q9H1K0_RBNS5_HUMAN_.pdf</t>
  </si>
  <si>
    <t>Melting_Curves/meltCurve_sp_Q9H1K1_ISCU_HUMAN_.pdf</t>
  </si>
  <si>
    <t>Melting_Curves/meltCurve_sp_Q9H1P3_2_OSBL2_HUMAN_.pdf</t>
  </si>
  <si>
    <t>Melting_Curves/meltCurve_sp_Q9H1Y0_ATG5_HUMAN_.pdf</t>
  </si>
  <si>
    <t>Melting_Curves/meltCurve_sp_Q9H1Z4_WDR13_HUMAN_.pdf</t>
  </si>
  <si>
    <t>Melting_Curves/meltCurve_sp_Q9H223_EHD4_HUMAN_.pdf</t>
  </si>
  <si>
    <t>Melting_Curves/meltCurve_sp_Q9H227_GBA3_HUMAN_.pdf</t>
  </si>
  <si>
    <t>Melting_Curves/meltCurve_sp_Q9H270_VPS11_HUMAN_.pdf</t>
  </si>
  <si>
    <t>Melting_Curves/meltCurve_sp_Q9H2A2_AL8A1_HUMAN_.pdf</t>
  </si>
  <si>
    <t>Melting_Curves/meltCurve_sp_Q9H2D6_3_TARA_HUMAN_.pdf</t>
  </si>
  <si>
    <t>Melting_Curves/meltCurve_sp_Q9H2G2_SLK_HUMAN_.pdf</t>
  </si>
  <si>
    <t>Melting_Curves/meltCurve_sp_Q9H2H8_PPIL3_HUMAN_.pdf</t>
  </si>
  <si>
    <t>Melting_Curves/meltCurve_sp_Q9H2K8_TAOK3_HUMAN_.pdf</t>
  </si>
  <si>
    <t>Melting_Curves/meltCurve_sp_Q9H2M3_BHMT2_HUMAN_.pdf</t>
  </si>
  <si>
    <t>Melting_Curves/meltCurve_sp_Q9H2M9_RBGPR_HUMAN_.pdf</t>
  </si>
  <si>
    <t>Melting_Curves/meltCurve_sp_Q9H2P0_ADNP_HUMAN_.pdf</t>
  </si>
  <si>
    <t>Melting_Curves/meltCurve_sp_Q9H2P9_3_DPH5_HUMAN_.pdf</t>
  </si>
  <si>
    <t>Melting_Curves/meltCurve_sp_Q9H2U1_3_DHX36_HUMAN_.pdf</t>
  </si>
  <si>
    <t>Melting_Curves/meltCurve_sp_Q9H2U2_IPYR2_HUMAN_.pdf</t>
  </si>
  <si>
    <t>Melting_Curves/meltCurve_sp_Q9H2W6_RM46_HUMAN_.pdf</t>
  </si>
  <si>
    <t>Melting_Curves/meltCurve_sp_Q9H307_PININ_HUMAN_.pdf</t>
  </si>
  <si>
    <t>Melting_Curves/meltCurve_sp_Q9H329_2_E41LB_HUMAN_.pdf</t>
  </si>
  <si>
    <t>Melting_Curves/meltCurve_sp_Q9H3G5_CPVL_HUMAN_.pdf</t>
  </si>
  <si>
    <t>Melting_Curves/meltCurve_sp_Q9H3H3_CK068_HUMAN_.pdf</t>
  </si>
  <si>
    <t>Melting_Curves/meltCurve_sp_Q9H3K6_BOLA2_HUMAN_.pdf</t>
  </si>
  <si>
    <t>Melting_Curves/meltCurve_sp_Q9H3N1_TMX1_HUMAN_.pdf</t>
  </si>
  <si>
    <t>Melting_Curves/meltCurve_sp_Q9H3P2_NELFA_HUMAN_.pdf</t>
  </si>
  <si>
    <t>Melting_Curves/meltCurve_sp_Q9H3P7_GCP60_HUMAN_.pdf</t>
  </si>
  <si>
    <t>Melting_Curves/meltCurve_sp_Q9H3Q1_BORG4_HUMAN_.pdf</t>
  </si>
  <si>
    <t>Melting_Curves/meltCurve_sp_Q9H3S7_PTN23_HUMAN_.pdf</t>
  </si>
  <si>
    <t>Melting_Curves/meltCurve_sp_Q9H3U1_2_UN45A_HUMAN_.pdf</t>
  </si>
  <si>
    <t>Melting_Curves/meltCurve_sp_Q9H444_CHM4B_HUMAN_.pdf</t>
  </si>
  <si>
    <t>Melting_Curves/meltCurve_sp_Q9H477_RBSK_HUMAN_.pdf</t>
  </si>
  <si>
    <t>Melting_Curves/meltCurve_sp_Q9H479_FN3K_HUMAN_.pdf</t>
  </si>
  <si>
    <t>Melting_Curves/meltCurve_sp_Q9H488_OFUT1_HUMAN_.pdf</t>
  </si>
  <si>
    <t>Melting_Curves/meltCurve_sp_Q9H4A4_AMPB_HUMAN_.pdf</t>
  </si>
  <si>
    <t>Melting_Curves/meltCurve_sp_Q9H4A6_GOLP3_HUMAN_.pdf</t>
  </si>
  <si>
    <t>Melting_Curves/meltCurve_sp_Q9H4B0_OSGP2_HUMAN_.pdf</t>
  </si>
  <si>
    <t>Melting_Curves/meltCurve_sp_Q9H4I2_ZHX3_HUMAN_.pdf</t>
  </si>
  <si>
    <t>Melting_Curves/meltCurve_sp_Q9H4L7_SMRCD_HUMAN_.pdf</t>
  </si>
  <si>
    <t>Melting_Curves/meltCurve_sp_Q9H4M9_EHD1_HUMAN_.pdf</t>
  </si>
  <si>
    <t>Melting_Curves/meltCurve_sp_Q9H4Z3_PCIF1_HUMAN_.pdf</t>
  </si>
  <si>
    <t>Melting_Curves/meltCurve_sp_Q9H5N1_RABE2_HUMAN_.pdf</t>
  </si>
  <si>
    <t>Melting_Curves/meltCurve_sp_Q9H5Q4_TFB2M_HUMAN_.pdf</t>
  </si>
  <si>
    <t>Melting_Curves/meltCurve_sp_Q9H5V9_2_CX056_HUMAN_.pdf</t>
  </si>
  <si>
    <t>Melting_Curves/meltCurve_sp_Q9H6E5_STPAP_HUMAN_.pdf</t>
  </si>
  <si>
    <t>Melting_Curves/meltCurve_sp_Q9H6Q4_NARFL_HUMAN_.pdf</t>
  </si>
  <si>
    <t>Melting_Curves/meltCurve_sp_Q9H6R3_ACSS3_HUMAN_.pdf</t>
  </si>
  <si>
    <t>Melting_Curves/meltCurve_sp_Q9H6S0_YTDC2_HUMAN_.pdf</t>
  </si>
  <si>
    <t>Melting_Curves/meltCurve_sp_Q9H6S3_ES8L2_HUMAN_.pdf</t>
  </si>
  <si>
    <t>Melting_Curves/meltCurve_sp_Q9H6T0_2_ESRP2_HUMAN_.pdf</t>
  </si>
  <si>
    <t>Melting_Curves/meltCurve_sp_Q9H6U6_2_BCAS3_HUMAN_.pdf</t>
  </si>
  <si>
    <t>Melting_Curves/meltCurve_sp_Q9H773_DCTP1_HUMAN_.pdf</t>
  </si>
  <si>
    <t>Melting_Curves/meltCurve_sp_Q9H777_RNZ1_HUMAN_.pdf</t>
  </si>
  <si>
    <t>Melting_Curves/meltCurve_sp_Q9H788_SH24A_HUMAN_.pdf</t>
  </si>
  <si>
    <t>Melting_Curves/meltCurve_sp_Q9H7C9_AAMDC_HUMAN_.pdf</t>
  </si>
  <si>
    <t>Melting_Curves/meltCurve_sp_Q9H7D0_DOCK5_HUMAN_.pdf</t>
  </si>
  <si>
    <t>Melting_Curves/meltCurve_sp_Q9H7E2_3_TDRD3_HUMAN_.pdf</t>
  </si>
  <si>
    <t>Melting_Curves/meltCurve_sp_Q9H7N4_SFR19_HUMAN_.pdf</t>
  </si>
  <si>
    <t>Melting_Curves/meltCurve_sp_Q9H7Z6_KAT8_HUMAN_.pdf</t>
  </si>
  <si>
    <t>Melting_Curves/meltCurve_sp_Q9H7Z7_PGES2_HUMAN_.pdf</t>
  </si>
  <si>
    <t>Melting_Curves/meltCurve_sp_Q9H832_UBE2Z_HUMAN_.pdf</t>
  </si>
  <si>
    <t>Melting_Curves/meltCurve_sp_Q9H845_ACAD9_HUMAN_.pdf</t>
  </si>
  <si>
    <t>Melting_Curves/meltCurve_sp_Q9H8M7_F188A_HUMAN_.pdf</t>
  </si>
  <si>
    <t>Melting_Curves/meltCurve_sp_Q9H8S9_MOB1A_HUMAN_.pdf</t>
  </si>
  <si>
    <t>Melting_Curves/meltCurve_sp_Q9H8T0_AKTIP_HUMAN_.pdf</t>
  </si>
  <si>
    <t>Melting_Curves/meltCurve_sp_Q9H8W4_PKHF2_HUMAN_.pdf</t>
  </si>
  <si>
    <t>Melting_Curves/meltCurve_sp_Q9H8Y8_GORS2_HUMAN_.pdf</t>
  </si>
  <si>
    <t>Melting_Curves/meltCurve_sp_Q9H939_PPIP2_HUMAN_.pdf</t>
  </si>
  <si>
    <t>Melting_Curves/meltCurve_sp_Q9H974_QTRD1_HUMAN_.pdf</t>
  </si>
  <si>
    <t>Melting_Curves/meltCurve_sp_Q9H993_CF211_HUMAN_.pdf</t>
  </si>
  <si>
    <t>Melting_Curves/meltCurve_sp_Q9H9A5_2_CNO10_HUMAN_.pdf</t>
  </si>
  <si>
    <t>Melting_Curves/meltCurve_sp_Q9H9A6_LRC40_HUMAN_.pdf</t>
  </si>
  <si>
    <t>Melting_Curves/meltCurve_sp_Q9H9B1_3_EHMT1_HUMAN_.pdf</t>
  </si>
  <si>
    <t>Melting_Curves/meltCurve_sp_Q9H9B4_SFXN1_HUMAN_.pdf</t>
  </si>
  <si>
    <t>Melting_Curves/meltCurve_sp_Q9H9C1_2_SPE39_HUMAN_.pdf</t>
  </si>
  <si>
    <t>Melting_Curves/meltCurve_sp_Q9H9E3_COG4_HUMAN_.pdf</t>
  </si>
  <si>
    <t>Melting_Curves/meltCurve_sp_Q9H9G7_AGO3_HUMAN_.pdf</t>
  </si>
  <si>
    <t>Melting_Curves/meltCurve_sp_Q9H9J2_RM44_HUMAN_.pdf</t>
  </si>
  <si>
    <t>Melting_Curves/meltCurve_sp_Q9H9L3_I20L2_HUMAN_.pdf</t>
  </si>
  <si>
    <t>Melting_Curves/meltCurve_sp_Q9H9T3_2_ELP3_HUMAN_.pdf</t>
  </si>
  <si>
    <t>Melting_Curves/meltCurve_sp_Q9HA47_3_UCK1_HUMAN_.pdf</t>
  </si>
  <si>
    <t>Melting_Curves/meltCurve_sp_Q9HA64_KT3K_HUMAN_.pdf</t>
  </si>
  <si>
    <t>Melting_Curves/meltCurve_sp_Q9HA65_TBC17_HUMAN_.pdf</t>
  </si>
  <si>
    <t>Melting_Curves/meltCurve_sp_Q9HA77_SYCM_HUMAN_.pdf</t>
  </si>
  <si>
    <t>Melting_Curves/meltCurve_sp_Q9HAB8_PPCS_HUMAN_.pdf</t>
  </si>
  <si>
    <t>Melting_Curves/meltCurve_sp_Q9HAC7_4_CG010_HUMAN_.pdf</t>
  </si>
  <si>
    <t>Melting_Curves/meltCurve_sp_Q9HAJ7_2_SP30L_HUMAN_.pdf</t>
  </si>
  <si>
    <t>Melting_Curves/meltCurve_sp_Q9HAN9_NMNA1_HUMAN_.pdf</t>
  </si>
  <si>
    <t>Melting_Curves/meltCurve_sp_Q9HAT2_2_SIAE_HUMAN_.pdf</t>
  </si>
  <si>
    <t>Melting_Curves/meltCurve_sp_Q9HAU0_PKHA5_HUMAN_.pdf</t>
  </si>
  <si>
    <t>Melting_Curves/meltCurve_sp_Q9HAU5_RENT2_HUMAN_.pdf</t>
  </si>
  <si>
    <t>Melting_Curves/meltCurve_sp_Q9HAV4_XPO5_HUMAN_.pdf</t>
  </si>
  <si>
    <t>Melting_Curves/meltCurve_sp_Q9HAV7_GRPE1_HUMAN_.pdf</t>
  </si>
  <si>
    <t>Melting_Curves/meltCurve_sp_Q9HB07_MYG1_HUMAN_.pdf</t>
  </si>
  <si>
    <t>Melting_Curves/meltCurve_sp_Q9HB21_PKHA1_HUMAN_.pdf</t>
  </si>
  <si>
    <t>Melting_Curves/meltCurve_sp_Q9HB71_CYBP_HUMAN_.pdf</t>
  </si>
  <si>
    <t>Melting_Curves/meltCurve_sp_Q9HB90_RRAGC_HUMAN_.pdf</t>
  </si>
  <si>
    <t>Melting_Curves/meltCurve_sp_Q9HBF4_2_ZFYV1_HUMAN_.pdf</t>
  </si>
  <si>
    <t>Melting_Curves/meltCurve_sp_Q9HBH1_DEFM_HUMAN_.pdf</t>
  </si>
  <si>
    <t>Melting_Curves/meltCurve_sp_Q9HBK9_AS3MT_HUMAN_.pdf</t>
  </si>
  <si>
    <t>Melting_Curves/meltCurve_sp_Q9HBL8_NMRL1_HUMAN_.pdf</t>
  </si>
  <si>
    <t>Melting_Curves/meltCurve_sp_Q9HBY8_2_SGK2_HUMAN_.pdf</t>
  </si>
  <si>
    <t>Melting_Curves/meltCurve_sp_Q9HC35_EMAL4_HUMAN_.pdf</t>
  </si>
  <si>
    <t>Melting_Curves/meltCurve_sp_Q9HC38_2_GLOD4_HUMAN_.pdf</t>
  </si>
  <si>
    <t>Melting_Curves/meltCurve_sp_Q9HC52_CBX8_HUMAN_.pdf</t>
  </si>
  <si>
    <t>Melting_Curves/meltCurve_sp_Q9HCB6_SPON1_HUMAN_.pdf</t>
  </si>
  <si>
    <t>Melting_Curves/meltCurve_sp_Q9HCC0_MCCB_HUMAN_.pdf</t>
  </si>
  <si>
    <t>Melting_Curves/meltCurve_sp_Q9HCC9_5_LST2_HUMAN_.pdf</t>
  </si>
  <si>
    <t>Melting_Curves/meltCurve_sp_Q9HCE1_MOV10_HUMAN_.pdf</t>
  </si>
  <si>
    <t>Melting_Curves/meltCurve_sp_Q9HCE5_MET14_HUMAN_.pdf</t>
  </si>
  <si>
    <t>Melting_Curves/meltCurve_sp_Q9HCE6_3_ARGAL_HUMAN_.pdf</t>
  </si>
  <si>
    <t>Melting_Curves/meltCurve_sp_Q9HCL3_ZFP14_HUMAN_.pdf</t>
  </si>
  <si>
    <t>Melting_Curves/meltCurve_sp_Q9HCM4_2_E41L5_HUMAN_.pdf</t>
  </si>
  <si>
    <t>Melting_Curves/meltCurve_sp_Q9HCN4_3_GPN1_HUMAN_.pdf</t>
  </si>
  <si>
    <t>Melting_Curves/meltCurve_sp_Q9HCN8_SDF2L_HUMAN_.pdf</t>
  </si>
  <si>
    <t>Melting_Curves/meltCurve_sp_Q9HD15_SRA1_HUMAN_.pdf</t>
  </si>
  <si>
    <t>Melting_Curves/meltCurve_sp_Q9HD26_2_GOPC_HUMAN_.pdf</t>
  </si>
  <si>
    <t>Melting_Curves/meltCurve_sp_Q9HD34_LYRM4_HUMAN_.pdf</t>
  </si>
  <si>
    <t>Melting_Curves/meltCurve_sp_Q9HD40_SPCS_HUMAN_.pdf</t>
  </si>
  <si>
    <t>Melting_Curves/meltCurve_sp_Q9HD42_CHM1A_HUMAN_.pdf</t>
  </si>
  <si>
    <t>Melting_Curves/meltCurve_sp_Q9HD47_4_MOG1_HUMAN_.pdf</t>
  </si>
  <si>
    <t>Melting_Curves/meltCurve_sp_Q9HD89_RETN_HUMAN_.pdf</t>
  </si>
  <si>
    <t>Melting_Curves/meltCurve_sp_Q9HDC9_2_APMAP_HUMAN_.pdf</t>
  </si>
  <si>
    <t>Melting_Curves/meltCurve_sp_Q9NP61_ARFG3_HUMAN_.pdf</t>
  </si>
  <si>
    <t>Melting_Curves/meltCurve_sp_Q9NP71_4_MLXPL_HUMAN_.pdf</t>
  </si>
  <si>
    <t>Melting_Curves/meltCurve_sp_Q9NP72_RAB18_HUMAN_.pdf</t>
  </si>
  <si>
    <t>Melting_Curves/meltCurve_sp_Q9NP73_2_ALG13_HUMAN_.pdf</t>
  </si>
  <si>
    <t>Melting_Curves/meltCurve_sp_Q9NP74_PALMD_HUMAN_.pdf</t>
  </si>
  <si>
    <t>Melting_Curves/meltCurve_sp_Q9NP77_SSU72_HUMAN_.pdf</t>
  </si>
  <si>
    <t>Melting_Curves/meltCurve_sp_Q9NP79_VTA1_HUMAN_.pdf</t>
  </si>
  <si>
    <t>Melting_Curves/meltCurve_sp_Q9NP97_DLRB1_HUMAN_.pdf</t>
  </si>
  <si>
    <t>Melting_Curves/meltCurve_sp_Q9NPA8_2_ENY2_HUMAN_.pdf</t>
  </si>
  <si>
    <t>Melting_Curves/meltCurve_sp_Q9NPD3_EXOS4_HUMAN_.pdf</t>
  </si>
  <si>
    <t>Melting_Curves/meltCurve_sp_Q9NPE3_NOP10_HUMAN_.pdf</t>
  </si>
  <si>
    <t>Melting_Curves/meltCurve_sp_Q9NPF4_OSGEP_HUMAN_.pdf</t>
  </si>
  <si>
    <t>Melting_Curves/meltCurve_sp_Q9NPG3_2_UBN1_HUMAN_.pdf</t>
  </si>
  <si>
    <t>Melting_Curves/meltCurve_sp_Q9NPH0_PPA6_HUMAN_.pdf</t>
  </si>
  <si>
    <t>Melting_Curves/meltCurve_sp_Q9NPJ3_ACO13_HUMAN_.pdf</t>
  </si>
  <si>
    <t>Melting_Curves/meltCurve_sp_Q9NPQ8_4_RIC8A_HUMAN_.pdf</t>
  </si>
  <si>
    <t>Melting_Curves/meltCurve_sp_Q9NQ88_TIGAR_HUMAN_.pdf</t>
  </si>
  <si>
    <t>Melting_Curves/meltCurve_sp_Q9NQ94_2_A1CF_HUMAN_.pdf</t>
  </si>
  <si>
    <t>Melting_Curves/meltCurve_sp_Q9NQG5_RPR1B_HUMAN_.pdf</t>
  </si>
  <si>
    <t>Melting_Curves/meltCurve_sp_Q9NQH7_2_XPP3_HUMAN_.pdf</t>
  </si>
  <si>
    <t>Melting_Curves/meltCurve_sp_Q9NQP4_PFD4_HUMAN_.pdf</t>
  </si>
  <si>
    <t>Melting_Curves/meltCurve_sp_Q9NQR4_NIT2_HUMAN_.pdf</t>
  </si>
  <si>
    <t>Melting_Curves/meltCurve_sp_Q9NQS1_AVEN_HUMAN_.pdf</t>
  </si>
  <si>
    <t>Melting_Curves/meltCurve_sp_Q9NQT4_EXOS5_HUMAN_.pdf</t>
  </si>
  <si>
    <t>Melting_Curves/meltCurve_sp_Q9NQT8_KI13B_HUMAN_.pdf</t>
  </si>
  <si>
    <t>Melting_Curves/meltCurve_sp_Q9NQW7_3_XPP1_HUMAN_.pdf</t>
  </si>
  <si>
    <t>Melting_Curves/meltCurve_sp_Q9NQX3_GEPH_HUMAN_.pdf</t>
  </si>
  <si>
    <t>Melting_Curves/meltCurve_sp_Q9NQZ2_SAS10_HUMAN_.pdf</t>
  </si>
  <si>
    <t>Melting_Curves/meltCurve_sp_Q9NR12_3_PDLI7_HUMAN_.pdf</t>
  </si>
  <si>
    <t>Melting_Curves/meltCurve_sp_Q9NR19_ACSA_HUMAN_.pdf</t>
  </si>
  <si>
    <t>Melting_Curves/meltCurve_sp_Q9NR28_2_DBLOH_HUMAN_.pdf</t>
  </si>
  <si>
    <t>Melting_Curves/meltCurve_sp_Q9NR30_DDX21_HUMAN_.pdf</t>
  </si>
  <si>
    <t>Melting_Curves/meltCurve_sp_Q9NR31_SAR1A_HUMAN_.pdf</t>
  </si>
  <si>
    <t>Melting_Curves/meltCurve_sp_Q9NR45_SIAS_HUMAN_.pdf</t>
  </si>
  <si>
    <t>Melting_Curves/meltCurve_sp_Q9NR50_3_EI2BG_HUMAN_.pdf</t>
  </si>
  <si>
    <t>Melting_Curves/meltCurve_sp_Q9NRF8_PYRG2_HUMAN_.pdf</t>
  </si>
  <si>
    <t>Melting_Curves/meltCurve_sp_Q9NRG7_2_D39U1_HUMAN_.pdf</t>
  </si>
  <si>
    <t>Melting_Curves/meltCurve_sp_Q9NRN7_ADPPT_HUMAN_.pdf</t>
  </si>
  <si>
    <t>Melting_Curves/meltCurve_sp_Q9NRP4_ACN9_HUMAN_.pdf</t>
  </si>
  <si>
    <t>Melting_Curves/meltCurve_sp_Q9NRR5_UBQL4_HUMAN_.pdf</t>
  </si>
  <si>
    <t>Melting_Curves/meltCurve_sp_Q9NRS6_2_SNX15_HUMAN_.pdf</t>
  </si>
  <si>
    <t>Melting_Curves/meltCurve_sp_Q9NRV9_HEBP1_HUMAN_.pdf</t>
  </si>
  <si>
    <t>Melting_Curves/meltCurve_sp_Q9NRW7_VPS45_HUMAN_.pdf</t>
  </si>
  <si>
    <t>Melting_Curves/meltCurve_sp_Q9NRX4_PHP14_HUMAN_.pdf</t>
  </si>
  <si>
    <t>Melting_Curves/meltCurve_sp_Q9NRY2_SOSSC_HUMAN_.pdf</t>
  </si>
  <si>
    <t>Melting_Curves/meltCurve_sp_Q9NRY4_RHG35_HUMAN_.pdf</t>
  </si>
  <si>
    <t>Melting_Curves/meltCurve_sp_Q9NRY5_F1142_HUMAN_.pdf</t>
  </si>
  <si>
    <t>Melting_Curves/meltCurve_sp_Q9NS86_LANC2_HUMAN_.pdf</t>
  </si>
  <si>
    <t>Melting_Curves/meltCurve_sp_Q9NSA3_CNBP1_HUMAN_.pdf</t>
  </si>
  <si>
    <t>Melting_Curves/meltCurve_sp_Q9NSB8_2_HOME2_HUMAN_.pdf</t>
  </si>
  <si>
    <t>Melting_Curves/meltCurve_sp_Q9NSE4_SYIM_HUMAN_.pdf</t>
  </si>
  <si>
    <t>Melting_Curves/meltCurve_sp_Q9NSK0_KLC4_HUMAN_.pdf</t>
  </si>
  <si>
    <t>Melting_Curves/meltCurve_sp_Q9NSY0_NRBP2_HUMAN_.pdf</t>
  </si>
  <si>
    <t>Melting_Curves/meltCurve_sp_Q9NSY2_STAR5_HUMAN_.pdf</t>
  </si>
  <si>
    <t>Melting_Curves/meltCurve_sp_Q9NT62_ATG3_HUMAN_.pdf</t>
  </si>
  <si>
    <t>Melting_Curves/meltCurve_sp_Q9NTG7_SIR3_HUMAN_.pdf</t>
  </si>
  <si>
    <t>Melting_Curves/meltCurve_sp_Q9NTI5_2_PDS5B_HUMAN_.pdf</t>
  </si>
  <si>
    <t>Melting_Curves/meltCurve_sp_Q9NTJ4_3_MA2C1_HUMAN_.pdf</t>
  </si>
  <si>
    <t>Melting_Curves/meltCurve_sp_Q9NTK5_OLA1_HUMAN_.pdf</t>
  </si>
  <si>
    <t>Melting_Curves/meltCurve_sp_Q9NTM9_CUTC_HUMAN_.pdf</t>
  </si>
  <si>
    <t>Melting_Curves/meltCurve_sp_Q9NTN9_SEM4G_HUMAN_.pdf</t>
  </si>
  <si>
    <t>Melting_Curves/meltCurve_sp_Q9NTX5_6_ECHD1_HUMAN_.pdf</t>
  </si>
  <si>
    <t>Melting_Curves/meltCurve_sp_Q9NTZ6_RBM12_HUMAN_.pdf</t>
  </si>
  <si>
    <t>Melting_Curves/meltCurve_sp_Q9NU23_LYRM2_HUMAN_.pdf</t>
  </si>
  <si>
    <t>Melting_Curves/meltCurve_sp_Q9NUI1_DECR2_HUMAN_.pdf</t>
  </si>
  <si>
    <t>Melting_Curves/meltCurve_sp_Q9NUJ1_ABHDA_HUMAN_.pdf</t>
  </si>
  <si>
    <t>Melting_Curves/meltCurve_sp_Q9NUL5_4_CS066_HUMAN_.pdf</t>
  </si>
  <si>
    <t>Melting_Curves/meltCurve_sp_Q9NUP1_BL1S4_HUMAN_.pdf</t>
  </si>
  <si>
    <t>Melting_Curves/meltCurve_sp_Q9NUP9_LIN7C_HUMAN_.pdf</t>
  </si>
  <si>
    <t>Melting_Curves/meltCurve_sp_Q9NUQ3_TXLNG_HUMAN_.pdf</t>
  </si>
  <si>
    <t>Melting_Curves/meltCurve_sp_Q9NUQ6_SPS2L_HUMAN_.pdf</t>
  </si>
  <si>
    <t>Melting_Curves/meltCurve_sp_Q9NUQ8_2_ABCF3_HUMAN_.pdf</t>
  </si>
  <si>
    <t>Melting_Curves/meltCurve_sp_Q9NUQ9_FA49B_HUMAN_.pdf</t>
  </si>
  <si>
    <t>Melting_Curves/meltCurve_sp_Q9NUV9_GIMA4_HUMAN_.pdf</t>
  </si>
  <si>
    <t>Melting_Curves/meltCurve_sp_Q9NUY8_2_TBC23_HUMAN_.pdf</t>
  </si>
  <si>
    <t>Melting_Curves/meltCurve_sp_Q9NV35_NUD15_HUMAN_.pdf</t>
  </si>
  <si>
    <t>Melting_Curves/meltCurve_sp_Q9NV56_MRGBP_HUMAN_.pdf</t>
  </si>
  <si>
    <t>Melting_Curves/meltCurve_sp_Q9NV70_2_EXOC1_HUMAN_.pdf</t>
  </si>
  <si>
    <t>Melting_Curves/meltCurve_sp_Q9NVD7_PARVA_HUMAN_.pdf</t>
  </si>
  <si>
    <t>Melting_Curves/meltCurve_sp_Q9NVE7_PANK4_HUMAN_.pdf</t>
  </si>
  <si>
    <t>Melting_Curves/meltCurve_sp_Q9NVF9_EKI2_HUMAN_.pdf</t>
  </si>
  <si>
    <t>Melting_Curves/meltCurve_sp_Q9NVG8_TBC13_HUMAN_.pdf</t>
  </si>
  <si>
    <t>Melting_Curves/meltCurve_sp_Q9NVH0_2_EXD2_HUMAN_.pdf</t>
  </si>
  <si>
    <t>Melting_Curves/meltCurve_sp_Q9NVH6_TMLH_HUMAN_.pdf</t>
  </si>
  <si>
    <t>Melting_Curves/meltCurve_sp_Q9NVM4_3_ANM7_HUMAN_.pdf</t>
  </si>
  <si>
    <t>Melting_Curves/meltCurve_sp_Q9NVM6_DJC17_HUMAN_.pdf</t>
  </si>
  <si>
    <t>Melting_Curves/meltCurve_sp_Q9NVS9_PNPO_HUMAN_.pdf</t>
  </si>
  <si>
    <t>Melting_Curves/meltCurve_sp_Q9NVT9_ARMC1_HUMAN_.pdf</t>
  </si>
  <si>
    <t>Melting_Curves/meltCurve_sp_Q9NVU7_2_SDA1_HUMAN_.pdf</t>
  </si>
  <si>
    <t>Melting_Curves/meltCurve_sp_Q9NVX2_NLE1_HUMAN_.pdf</t>
  </si>
  <si>
    <t>Melting_Curves/meltCurve_sp_Q9NVZ3_NECP2_HUMAN_.pdf</t>
  </si>
  <si>
    <t>Melting_Curves/meltCurve_sp_Q9NW13_RBM28_HUMAN_.pdf</t>
  </si>
  <si>
    <t>Melting_Curves/meltCurve_sp_Q9NW64_RBM22_HUMAN_.pdf</t>
  </si>
  <si>
    <t>Melting_Curves/meltCurve_sp_Q9NW68_4_BSDC1_HUMAN_.pdf</t>
  </si>
  <si>
    <t>Melting_Curves/meltCurve_sp_Q9NW82_WDR70_HUMAN_.pdf</t>
  </si>
  <si>
    <t>Melting_Curves/meltCurve_sp_Q9NWB6_ARGL1_HUMAN_.pdf</t>
  </si>
  <si>
    <t>Melting_Curves/meltCurve_sp_Q9NWH9_SLTM_HUMAN_.pdf</t>
  </si>
  <si>
    <t>Melting_Curves/meltCurve_sp_Q9NWK9_2_BCD1_HUMAN_.pdf</t>
  </si>
  <si>
    <t>Melting_Curves/meltCurve_sp_Q9NWT8_AKIP_HUMAN_.pdf</t>
  </si>
  <si>
    <t>Melting_Curves/meltCurve_sp_Q9NWU1_OXSM_HUMAN_.pdf</t>
  </si>
  <si>
    <t>Melting_Curves/meltCurve_sp_Q9NWV4_CA123_HUMAN_.pdf</t>
  </si>
  <si>
    <t>Melting_Curves/meltCurve_sp_Q9NWX6_THG1_HUMAN_.pdf</t>
  </si>
  <si>
    <t>Melting_Curves/meltCurve_sp_Q9NWY4_CD027_HUMAN_.pdf</t>
  </si>
  <si>
    <t>Melting_Curves/meltCurve_sp_Q9NWZ3_IRAK4_HUMAN_.pdf</t>
  </si>
  <si>
    <t>Melting_Curves/meltCurve_sp_Q9NX01_TXN4B_HUMAN_.pdf</t>
  </si>
  <si>
    <t>Melting_Curves/meltCurve_sp_Q9NX07_2_TSAP1_HUMAN_.pdf</t>
  </si>
  <si>
    <t>Melting_Curves/meltCurve_sp_Q9NX08_COMD8_HUMAN_.pdf</t>
  </si>
  <si>
    <t>Melting_Curves/meltCurve_sp_Q9NX14_NDUBB_HUMAN_.pdf</t>
  </si>
  <si>
    <t>Melting_Curves/meltCurve_sp_Q9NX38_F206A_HUMAN_.pdf</t>
  </si>
  <si>
    <t>Melting_Curves/meltCurve_sp_Q9NX46_ARHL2_HUMAN_.pdf</t>
  </si>
  <si>
    <t>Melting_Curves/meltCurve_sp_Q9NX55_HYPK_HUMAN_.pdf</t>
  </si>
  <si>
    <t>Melting_Curves/meltCurve_sp_Q9NX74_DUS2L_HUMAN_.pdf</t>
  </si>
  <si>
    <t>Melting_Curves/meltCurve_sp_Q9NXA8_SIR5_HUMAN_.pdf</t>
  </si>
  <si>
    <t>Melting_Curves/meltCurve_sp_Q9NXD2_MTMRA_HUMAN_.pdf</t>
  </si>
  <si>
    <t>Melting_Curves/meltCurve_sp_Q9NXG2_THUM1_HUMAN_.pdf</t>
  </si>
  <si>
    <t>Melting_Curves/meltCurve_sp_Q9NXH9_TRM1_HUMAN_.pdf</t>
  </si>
  <si>
    <t>Melting_Curves/meltCurve_sp_Q9NXR7_4_BRE_HUMAN_.pdf</t>
  </si>
  <si>
    <t>Melting_Curves/meltCurve_sp_Q9NXU5_ARL15_HUMAN_.pdf</t>
  </si>
  <si>
    <t>Melting_Curves/meltCurve_sp_Q9NXV6_CARF_HUMAN_.pdf</t>
  </si>
  <si>
    <t>Melting_Curves/meltCurve_sp_Q9NXW2_DJB12_HUMAN_.pdf</t>
  </si>
  <si>
    <t>Melting_Curves/meltCurve_sp_Q9NXW9_ALKB4_HUMAN_.pdf</t>
  </si>
  <si>
    <t>Melting_Curves/meltCurve_sp_Q9NY27_PP4R2_HUMAN_.pdf</t>
  </si>
  <si>
    <t>Melting_Curves/meltCurve_sp_Q9NY33_DPP3_HUMAN_.pdf</t>
  </si>
  <si>
    <t>Melting_Curves/meltCurve_sp_Q9NYB0_TE2IP_HUMAN_.pdf</t>
  </si>
  <si>
    <t>Melting_Curves/meltCurve_sp_Q9NYF8_2_BCLF1_HUMAN_.pdf</t>
  </si>
  <si>
    <t>Melting_Curves/meltCurve_sp_Q9NYJ1_COA4_HUMAN_.pdf</t>
  </si>
  <si>
    <t>Melting_Curves/meltCurve_sp_Q9NYJ8_TAB2_HUMAN_.pdf</t>
  </si>
  <si>
    <t>Melting_Curves/meltCurve_sp_Q9NYL2_MLTK_HUMAN_.pdf</t>
  </si>
  <si>
    <t>Melting_Curves/meltCurve_sp_Q9NYL9_TMOD3_HUMAN_.pdf</t>
  </si>
  <si>
    <t>Melting_Curves/meltCurve_sp_Q9NYQ3_HAOX2_HUMAN_.pdf</t>
  </si>
  <si>
    <t>Melting_Curves/meltCurve_sp_Q9NYU2_2_UGGG1_HUMAN_.pdf</t>
  </si>
  <si>
    <t>Melting_Curves/meltCurve_sp_Q9NYV4_2_CDK12_HUMAN_.pdf</t>
  </si>
  <si>
    <t>Melting_Curves/meltCurve_sp_Q9NYY8_2_FAKD2_HUMAN_.pdf</t>
  </si>
  <si>
    <t>Melting_Curves/meltCurve_sp_Q9NZ08_ERAP1_HUMAN_.pdf</t>
  </si>
  <si>
    <t>Melting_Curves/meltCurve_sp_Q9NZ32_ARP10_HUMAN_.pdf</t>
  </si>
  <si>
    <t>Melting_Curves/meltCurve_sp_Q9NZ63_CI078_HUMAN_.pdf</t>
  </si>
  <si>
    <t>Melting_Curves/meltCurve_sp_Q9NZB2_F120A_HUMAN_.pdf</t>
  </si>
  <si>
    <t>Melting_Curves/meltCurve_sp_Q9NZB8_2_MOCS1_HUMAN_.pdf</t>
  </si>
  <si>
    <t>Melting_Curves/meltCurve_sp_Q9NZD2_GLTP_HUMAN_.pdf</t>
  </si>
  <si>
    <t>Melting_Curves/meltCurve_sp_Q9NZD8_2_SPG21_HUMAN_.pdf</t>
  </si>
  <si>
    <t>Melting_Curves/meltCurve_sp_Q9NZJ4_2_SACS_HUMAN_.pdf</t>
  </si>
  <si>
    <t>Melting_Curves/meltCurve_sp_Q9NZJ6_COQ3_HUMAN_.pdf</t>
  </si>
  <si>
    <t>Melting_Curves/meltCurve_sp_Q9NZJ9_NUDT4_HUMAN_.pdf</t>
  </si>
  <si>
    <t>Melting_Curves/meltCurve_sp_Q9NZL4_HPBP1_HUMAN_.pdf</t>
  </si>
  <si>
    <t>Melting_Curves/meltCurve_sp_Q9NZL9_MAT2B_HUMAN_.pdf</t>
  </si>
  <si>
    <t>Melting_Curves/meltCurve_sp_Q9NZM3_2_ITSN2_HUMAN_.pdf</t>
  </si>
  <si>
    <t>Melting_Curves/meltCurve_sp_Q9NZN5_2_ARHGC_HUMAN_.pdf</t>
  </si>
  <si>
    <t>Melting_Curves/meltCurve_sp_Q9NZN8_4_CNOT2_HUMAN_.pdf</t>
  </si>
  <si>
    <t>Melting_Curves/meltCurve_sp_Q9NZP8_C1RL_HUMAN_.pdf</t>
  </si>
  <si>
    <t>Melting_Curves/meltCurve_sp_Q9NZT2_2_OGFR_HUMAN_.pdf</t>
  </si>
  <si>
    <t>Melting_Curves/meltCurve_sp_Q9NZU5_LMCD1_HUMAN_.pdf</t>
  </si>
  <si>
    <t>Melting_Curves/meltCurve_sp_Q9NZZ3_CHMP5_HUMAN_.pdf</t>
  </si>
  <si>
    <t>Melting_Curves/meltCurve_sp_Q9P000_COMD9_HUMAN_.pdf</t>
  </si>
  <si>
    <t>Melting_Curves/meltCurve_sp_Q9P013_CWC15_HUMAN_.pdf</t>
  </si>
  <si>
    <t>Melting_Curves/meltCurve_sp_Q9P016_THYN1_HUMAN_.pdf</t>
  </si>
  <si>
    <t>Melting_Curves/meltCurve_sp_Q9P032_NDUF4_HUMAN_.pdf</t>
  </si>
  <si>
    <t>Melting_Curves/meltCurve_sp_Q9P0J1_PDP1_HUMAN_.pdf</t>
  </si>
  <si>
    <t>Melting_Curves/meltCurve_sp_Q9P0K7_3_RAI14_HUMAN_.pdf</t>
  </si>
  <si>
    <t>Melting_Curves/meltCurve_sp_Q9P0L0_VAPA_HUMAN_.pdf</t>
  </si>
  <si>
    <t>Melting_Curves/meltCurve_sp_Q9P0M2_AKA7G_HUMAN_.pdf</t>
  </si>
  <si>
    <t>Melting_Curves/meltCurve_sp_Q9P0P8_CF203_HUMAN_.pdf</t>
  </si>
  <si>
    <t>Melting_Curves/meltCurve_sp_Q9P0R6_GSKIP_HUMAN_.pdf</t>
  </si>
  <si>
    <t>Melting_Curves/meltCurve_sp_Q9P0Z9_SOX_HUMAN_.pdf</t>
  </si>
  <si>
    <t>Melting_Curves/meltCurve_sp_Q9P1F3_ABRAL_HUMAN_.pdf</t>
  </si>
  <si>
    <t>Melting_Curves/meltCurve_sp_Q9P1Y5_CAMP3_HUMAN_.pdf</t>
  </si>
  <si>
    <t>Melting_Curves/meltCurve_sp_Q9P1Z2_2_CACO1_HUMAN_.pdf</t>
  </si>
  <si>
    <t>Melting_Curves/meltCurve_sp_Q9P206_2_K1522_HUMAN_.pdf</t>
  </si>
  <si>
    <t>Melting_Curves/meltCurve_sp_Q9P253_VPS18_HUMAN_.pdf</t>
  </si>
  <si>
    <t>Melting_Curves/meltCurve_sp_Q9P258_RCC2_HUMAN_.pdf</t>
  </si>
  <si>
    <t>Melting_Curves/meltCurve_sp_Q9P260_2_K1468_HUMAN_.pdf</t>
  </si>
  <si>
    <t>Melting_Curves/meltCurve_sp_Q9P265_DIP2B_HUMAN_.pdf</t>
  </si>
  <si>
    <t>Melting_Curves/meltCurve_sp_Q9P266_JCAD_HUMAN_.pdf</t>
  </si>
  <si>
    <t>Melting_Curves/meltCurve_sp_Q9P270_SLAI2_HUMAN_.pdf</t>
  </si>
  <si>
    <t>Melting_Curves/meltCurve_sp_Q9P287_BCCIP_HUMAN_.pdf</t>
  </si>
  <si>
    <t>Melting_Curves/meltCurve_sp_Q9P299_COPZ2_HUMAN_.pdf</t>
  </si>
  <si>
    <t>Melting_Curves/meltCurve_sp_Q9P2D0_2_IBTK_HUMAN_.pdf</t>
  </si>
  <si>
    <t>Melting_Curves/meltCurve_sp_Q9P2D3_3_HTR5B_HUMAN_.pdf</t>
  </si>
  <si>
    <t>Melting_Curves/meltCurve_sp_Q9P2E9_2_RRBP1_HUMAN_.pdf</t>
  </si>
  <si>
    <t>Melting_Curves/meltCurve_sp_Q9P2E9_RRBP1_HUMAN_.pdf</t>
  </si>
  <si>
    <t>Melting_Curves/meltCurve_sp_Q9P2I0_CPSF2_HUMAN_.pdf</t>
  </si>
  <si>
    <t>Melting_Curves/meltCurve_sp_Q9P2K8_2_E2AK4_HUMAN_.pdf</t>
  </si>
  <si>
    <t>Melting_Curves/meltCurve_sp_Q9P2M7_CING_HUMAN_.pdf</t>
  </si>
  <si>
    <t>Melting_Curves/meltCurve_sp_Q9P2N5_RBM27_HUMAN_.pdf</t>
  </si>
  <si>
    <t>Melting_Curves/meltCurve_sp_Q9P2R3_ANFY1_HUMAN_.pdf</t>
  </si>
  <si>
    <t>Melting_Curves/meltCurve_sp_Q9P2R6_2_RERE_HUMAN_.pdf</t>
  </si>
  <si>
    <t>Melting_Curves/meltCurve_sp_Q9P2X3_IMPCT_HUMAN_.pdf</t>
  </si>
  <si>
    <t>Melting_Curves/meltCurve_sp_Q9UBB4_ATX10_HUMAN_.pdf</t>
  </si>
  <si>
    <t>Melting_Curves/meltCurve_sp_Q9UBB5_MBD2_HUMAN_.pdf</t>
  </si>
  <si>
    <t>Melting_Curves/meltCurve_sp_Q9UBC2_3_EP15R_HUMAN_.pdf</t>
  </si>
  <si>
    <t>Melting_Curves/meltCurve_sp_Q9UBE0_SAE1_HUMAN_.pdf</t>
  </si>
  <si>
    <t>Melting_Curves/meltCurve_sp_Q9UBF2_COPG2_HUMAN_.pdf</t>
  </si>
  <si>
    <t>Melting_Curves/meltCurve_sp_Q9UBF6_RBX2_HUMAN_.pdf</t>
  </si>
  <si>
    <t>Melting_Curves/meltCurve_sp_Q9UBI1_COMD3_HUMAN_.pdf</t>
  </si>
  <si>
    <t>Melting_Curves/meltCurve_sp_Q9UBI6_GBG12_HUMAN_.pdf</t>
  </si>
  <si>
    <t>Melting_Curves/meltCurve_sp_Q9UBK8_2_MTRR_HUMAN_.pdf</t>
  </si>
  <si>
    <t>Melting_Curves/meltCurve_sp_Q9UBM7_DHCR7_HUMAN_.pdf</t>
  </si>
  <si>
    <t>Melting_Curves/meltCurve_sp_Q9UBN7_HDAC6_HUMAN_.pdf</t>
  </si>
  <si>
    <t>Melting_Curves/meltCurve_sp_Q9UBP0_3_SPAST_HUMAN_.pdf</t>
  </si>
  <si>
    <t>Melting_Curves/meltCurve_sp_Q9UBP6_TRMB_HUMAN_.pdf</t>
  </si>
  <si>
    <t>Melting_Curves/meltCurve_sp_Q9UBQ0_VPS29_HUMAN_.pdf</t>
  </si>
  <si>
    <t>Melting_Curves/meltCurve_sp_Q9UBQ7_GRHPR_HUMAN_.pdf</t>
  </si>
  <si>
    <t>Melting_Curves/meltCurve_sp_Q9UBR1_BUP1_HUMAN_.pdf</t>
  </si>
  <si>
    <t>Melting_Curves/meltCurve_sp_Q9UBR2_CATZ_HUMAN_.pdf</t>
  </si>
  <si>
    <t>Melting_Curves/meltCurve_sp_Q9UBS4_DJB11_HUMAN_.pdf</t>
  </si>
  <si>
    <t>Melting_Curves/meltCurve_sp_Q9UBS8_RNF14_HUMAN_.pdf</t>
  </si>
  <si>
    <t>Melting_Curves/meltCurve_sp_Q9UBT2_SAE2_HUMAN_.pdf</t>
  </si>
  <si>
    <t>Melting_Curves/meltCurve_sp_Q9UBV8_PEF1_HUMAN_.pdf</t>
  </si>
  <si>
    <t>Melting_Curves/meltCurve_sp_Q9UBW7_2_ZMYM2_HUMAN_.pdf</t>
  </si>
  <si>
    <t>Melting_Curves/meltCurve_sp_Q9UBW8_CSN7A_HUMAN_.pdf</t>
  </si>
  <si>
    <t>Melting_Curves/meltCurve_sp_Q9UBX1_CATF_HUMAN_.pdf</t>
  </si>
  <si>
    <t>Melting_Curves/meltCurve_sp_Q9UDR5_AASS_HUMAN_.pdf</t>
  </si>
  <si>
    <t>Melting_Curves/meltCurve_sp_Q9UDX3_S14L4_HUMAN_.pdf</t>
  </si>
  <si>
    <t>Melting_Curves/meltCurve_sp_Q9UDY2_ZO2_HUMAN_.pdf</t>
  </si>
  <si>
    <t>Melting_Curves/meltCurve_sp_Q9UDY8_2_MALT1_HUMAN_.pdf</t>
  </si>
  <si>
    <t>Melting_Curves/meltCurve_sp_Q9UEU0_VTI1B_HUMAN_.pdf</t>
  </si>
  <si>
    <t>Melting_Curves/meltCurve_sp_Q9UEY8_2_ADDG_HUMAN_.pdf</t>
  </si>
  <si>
    <t>Melting_Curves/meltCurve_sp_Q9UFG5_CS025_HUMAN_.pdf</t>
  </si>
  <si>
    <t>Melting_Curves/meltCurve_sp_Q9UFN0_NPS3A_HUMAN_.pdf</t>
  </si>
  <si>
    <t>Melting_Curves/meltCurve_sp_Q9UFW8_CGBP1_HUMAN_.pdf</t>
  </si>
  <si>
    <t>Melting_Curves/meltCurve_sp_Q9UGC7_RF1ML_HUMAN_.pdf</t>
  </si>
  <si>
    <t>Melting_Curves/meltCurve_sp_Q9UGI8_TES_HUMAN_.pdf</t>
  </si>
  <si>
    <t>Melting_Curves/meltCurve_sp_Q9UGJ0_2_AAKG2_HUMAN_.pdf</t>
  </si>
  <si>
    <t>Melting_Curves/meltCurve_sp_Q9UGK3_STAP2_HUMAN_.pdf</t>
  </si>
  <si>
    <t>Melting_Curves/meltCurve_sp_Q9UGP4_LIMD1_HUMAN_.pdf</t>
  </si>
  <si>
    <t>Melting_Curves/meltCurve_sp_Q9UH62_ARMX3_HUMAN_.pdf</t>
  </si>
  <si>
    <t>Melting_Curves/meltCurve_sp_Q9UH65_SWP70_HUMAN_.pdf</t>
  </si>
  <si>
    <t>Melting_Curves/meltCurve_sp_Q9UHA4_LTOR3_HUMAN_.pdf</t>
  </si>
  <si>
    <t>Melting_Curves/meltCurve_sp_Q9UHB6_LIMA1_HUMAN_.pdf</t>
  </si>
  <si>
    <t>Melting_Curves/meltCurve_sp_Q9UHB7_2_AFF4_HUMAN_.pdf</t>
  </si>
  <si>
    <t>Melting_Curves/meltCurve_sp_Q9UHB9_SRP68_HUMAN_.pdf</t>
  </si>
  <si>
    <t>Melting_Curves/meltCurve_sp_Q9UHD1_CHRD1_HUMAN_.pdf</t>
  </si>
  <si>
    <t>Melting_Curves/meltCurve_sp_Q9UHD2_TBK1_HUMAN_.pdf</t>
  </si>
  <si>
    <t>Melting_Curves/meltCurve_sp_Q9UHD8_SEPT9_HUMAN_.pdf</t>
  </si>
  <si>
    <t>Melting_Curves/meltCurve_sp_Q9UHD9_UBQL2_HUMAN_.pdf</t>
  </si>
  <si>
    <t>Melting_Curves/meltCurve_sp_Q9UHG3_PCYOX_HUMAN_.pdf</t>
  </si>
  <si>
    <t>Melting_Curves/meltCurve_sp_Q9UHJ6_SHPK_HUMAN_.pdf</t>
  </si>
  <si>
    <t>Melting_Curves/meltCurve_sp_Q9UHL4_DPP2_HUMAN_.pdf</t>
  </si>
  <si>
    <t>Melting_Curves/meltCurve_sp_Q9UHR4_BI2L1_HUMAN_.pdf</t>
  </si>
  <si>
    <t>Melting_Curves/meltCurve_sp_Q9UHV9_PFD2_HUMAN_.pdf</t>
  </si>
  <si>
    <t>Melting_Curves/meltCurve_sp_Q9UHX1_4_PUF60_HUMAN_.pdf</t>
  </si>
  <si>
    <t>Melting_Curves/meltCurve_sp_Q9UHY7_ENOPH_HUMAN_.pdf</t>
  </si>
  <si>
    <t>Melting_Curves/meltCurve_sp_Q9UI08_EVL_HUMAN_.pdf</t>
  </si>
  <si>
    <t>Melting_Curves/meltCurve_sp_Q9UI10_3_EI2BD_HUMAN_.pdf</t>
  </si>
  <si>
    <t>Melting_Curves/meltCurve_sp_Q9UI10_EI2BD_HUMAN_.pdf</t>
  </si>
  <si>
    <t>Melting_Curves/meltCurve_sp_Q9UI12_2_VATH_HUMAN_.pdf</t>
  </si>
  <si>
    <t>Melting_Curves/meltCurve_sp_Q9UI17_M2GD_HUMAN_.pdf</t>
  </si>
  <si>
    <t>Melting_Curves/meltCurve_sp_Q9UI32_GLSL_HUMAN_.pdf</t>
  </si>
  <si>
    <t>Melting_Curves/meltCurve_sp_Q9UIA9_XPO7_HUMAN_.pdf</t>
  </si>
  <si>
    <t>Melting_Curves/meltCurve_sp_Q9UID3_VPS51_HUMAN_.pdf</t>
  </si>
  <si>
    <t>Melting_Curves/meltCurve_sp_Q9UII2_ATIF1_HUMAN_.pdf</t>
  </si>
  <si>
    <t>Melting_Curves/meltCurve_sp_Q9UIJ7_KAD3_HUMAN_.pdf</t>
  </si>
  <si>
    <t>Melting_Curves/meltCurve_sp_Q9UIL1_3_SCOC_HUMAN_.pdf</t>
  </si>
  <si>
    <t>Melting_Curves/meltCurve_sp_Q9UJ41_2_RABX5_HUMAN_.pdf</t>
  </si>
  <si>
    <t>Melting_Curves/meltCurve_sp_Q9UJ68_5_MSRA_HUMAN_.pdf</t>
  </si>
  <si>
    <t>Melting_Curves/meltCurve_sp_Q9UJ70_NAGK_HUMAN_.pdf</t>
  </si>
  <si>
    <t>Melting_Curves/meltCurve_sp_Q9UJA5_TRM6_HUMAN_.pdf</t>
  </si>
  <si>
    <t>Melting_Curves/meltCurve_sp_Q9UJC5_SH3L2_HUMAN_.pdf</t>
  </si>
  <si>
    <t>Melting_Curves/meltCurve_sp_Q9UJM3_ERRFI_HUMAN_.pdf</t>
  </si>
  <si>
    <t>Melting_Curves/meltCurve_sp_Q9UJM8_HAOX1_HUMAN_.pdf</t>
  </si>
  <si>
    <t>Melting_Curves/meltCurve_sp_Q9UJS0_CMC2_HUMAN_.pdf</t>
  </si>
  <si>
    <t>Melting_Curves/meltCurve_sp_Q9UJU6_2_DBNL_HUMAN_.pdf</t>
  </si>
  <si>
    <t>Melting_Curves/meltCurve_sp_Q9UJU6_DBNL_HUMAN_.pdf</t>
  </si>
  <si>
    <t>Melting_Curves/meltCurve_sp_Q9UJW0_DCTN4_HUMAN_.pdf</t>
  </si>
  <si>
    <t>Melting_Curves/meltCurve_sp_Q9UJY5_4_GGA1_HUMAN_.pdf</t>
  </si>
  <si>
    <t>Melting_Curves/meltCurve_sp_Q9UK22_FBX2_HUMAN_.pdf</t>
  </si>
  <si>
    <t>Melting_Curves/meltCurve_sp_Q9UK45_LSM7_HUMAN_.pdf</t>
  </si>
  <si>
    <t>Melting_Curves/meltCurve_sp_Q9UK55_ZPI_HUMAN_.pdf</t>
  </si>
  <si>
    <t>Melting_Curves/meltCurve_sp_Q9UK59_DBR1_HUMAN_.pdf</t>
  </si>
  <si>
    <t>Melting_Curves/meltCurve_sp_Q9UK99_FBX3_HUMAN_.pdf</t>
  </si>
  <si>
    <t>Melting_Curves/meltCurve_sp_Q9UKA4_AKA11_HUMAN_.pdf</t>
  </si>
  <si>
    <t>Melting_Curves/meltCurve_sp_Q9UKB3_DJC12_HUMAN_.pdf</t>
  </si>
  <si>
    <t>Melting_Curves/meltCurve_sp_Q9UKE5_8_TNIK_HUMAN_.pdf</t>
  </si>
  <si>
    <t>Melting_Curves/meltCurve_sp_Q9UKF6_CPSF3_HUMAN_.pdf</t>
  </si>
  <si>
    <t>Melting_Curves/meltCurve_sp_Q9UKG1_DP13A_HUMAN_.pdf</t>
  </si>
  <si>
    <t>Melting_Curves/meltCurve_sp_Q9UKG9_OCTC_HUMAN_.pdf</t>
  </si>
  <si>
    <t>Melting_Curves/meltCurve_sp_Q9UKI8_5_TLK1_HUMAN_.pdf</t>
  </si>
  <si>
    <t>Melting_Curves/meltCurve_sp_Q9UKJ3_GPTC8_HUMAN_.pdf</t>
  </si>
  <si>
    <t>Melting_Curves/meltCurve_sp_Q9UKK9_NUDT5_HUMAN_.pdf</t>
  </si>
  <si>
    <t>Melting_Curves/meltCurve_sp_Q9UKL0_RCOR1_HUMAN_.pdf</t>
  </si>
  <si>
    <t>Melting_Curves/meltCurve_sp_Q9UKL6_PPCT_HUMAN_.pdf</t>
  </si>
  <si>
    <t>Melting_Curves/meltCurve_sp_Q9UKN8_TF3C4_HUMAN_.pdf</t>
  </si>
  <si>
    <t>Melting_Curves/meltCurve_sp_Q9UKS6_PACN3_HUMAN_.pdf</t>
  </si>
  <si>
    <t>Melting_Curves/meltCurve_sp_Q9UKT5_FBX4_HUMAN_.pdf</t>
  </si>
  <si>
    <t>Melting_Curves/meltCurve_sp_Q9UKU7_ACAD8_HUMAN_.pdf</t>
  </si>
  <si>
    <t>Melting_Curves/meltCurve_sp_Q9UKV8_AGO2_HUMAN_.pdf</t>
  </si>
  <si>
    <t>Melting_Curves/meltCurve_sp_Q9UKX7_NUP50_HUMAN_.pdf</t>
  </si>
  <si>
    <t>Melting_Curves/meltCurve_sp_Q9UKY7_2_CDV3_HUMAN_.pdf</t>
  </si>
  <si>
    <t>Melting_Curves/meltCurve_sp_Q9UL12_SARDH_HUMAN_.pdf</t>
  </si>
  <si>
    <t>Melting_Curves/meltCurve_sp_Q9UL25_RAB21_HUMAN_.pdf</t>
  </si>
  <si>
    <t>Melting_Curves/meltCurve_sp_Q9UL26_RB22A_HUMAN_.pdf</t>
  </si>
  <si>
    <t>Melting_Curves/meltCurve_sp_Q9UL42_PNMA2_HUMAN_.pdf</t>
  </si>
  <si>
    <t>Melting_Curves/meltCurve_sp_Q9UL46_PSME2_HUMAN_.pdf</t>
  </si>
  <si>
    <t>Melting_Curves/meltCurve_sp_Q9ULA0_DNPEP_HUMAN_.pdf</t>
  </si>
  <si>
    <t>Melting_Curves/meltCurve_sp_Q9ULC4_MCTS1_HUMAN_.pdf</t>
  </si>
  <si>
    <t>Melting_Curves/meltCurve_sp_Q9ULC5_ACSL5_HUMAN_.pdf</t>
  </si>
  <si>
    <t>Melting_Curves/meltCurve_sp_Q9ULD0_OGDHL_HUMAN_.pdf</t>
  </si>
  <si>
    <t>Melting_Curves/meltCurve_sp_Q9ULD2_2_MTUS1_HUMAN_.pdf</t>
  </si>
  <si>
    <t>Melting_Curves/meltCurve_sp_Q9ULH7_4_MKL2_HUMAN_.pdf</t>
  </si>
  <si>
    <t>Melting_Curves/meltCurve_sp_Q9ULJ3_2_ZBT21_HUMAN_.pdf</t>
  </si>
  <si>
    <t>Melting_Curves/meltCurve_sp_Q9ULJ6_ZMIZ1_HUMAN_.pdf</t>
  </si>
  <si>
    <t>Melting_Curves/meltCurve_sp_Q9ULP9_2_TBC24_HUMAN_.pdf</t>
  </si>
  <si>
    <t>Melting_Curves/meltCurve_sp_Q9ULT8_HECD1_HUMAN_.pdf</t>
  </si>
  <si>
    <t>Melting_Curves/meltCurve_sp_Q9ULV4_COR1C_HUMAN_.pdf</t>
  </si>
  <si>
    <t>Melting_Curves/meltCurve_sp_Q9ULZ3_2_ASC_HUMAN_.pdf</t>
  </si>
  <si>
    <t>Melting_Curves/meltCurve_sp_Q9UM22_2_EPDR1_HUMAN_.pdf</t>
  </si>
  <si>
    <t>Melting_Curves/meltCurve_sp_Q9UMS0_3_NFU1_HUMAN_.pdf</t>
  </si>
  <si>
    <t>Melting_Curves/meltCurve_sp_Q9UMS4_PRP19_HUMAN_.pdf</t>
  </si>
  <si>
    <t>Melting_Curves/meltCurve_sp_Q9UMX0_2_UBQL1_HUMAN_.pdf</t>
  </si>
  <si>
    <t>Melting_Curves/meltCurve_sp_Q9UMX5_NENF_HUMAN_.pdf</t>
  </si>
  <si>
    <t>Melting_Curves/meltCurve_sp_Q9UMY4_2_SNX12_HUMAN_.pdf</t>
  </si>
  <si>
    <t>Melting_Curves/meltCurve_sp_Q9UMZ2_6_SYNRG_HUMAN_.pdf</t>
  </si>
  <si>
    <t>Melting_Curves/meltCurve_sp_Q9UN36_2_NDRG2_HUMAN_.pdf</t>
  </si>
  <si>
    <t>Melting_Curves/meltCurve_sp_Q9UN36_NDRG2_HUMAN_.pdf</t>
  </si>
  <si>
    <t>Melting_Curves/meltCurve_sp_Q9UN86_2_G3BP2_HUMAN_.pdf</t>
  </si>
  <si>
    <t>Melting_Curves/meltCurve_sp_Q9UNE7_CHIP_HUMAN_.pdf</t>
  </si>
  <si>
    <t>Melting_Curves/meltCurve_sp_Q9UNF0_PACN2_HUMAN_.pdf</t>
  </si>
  <si>
    <t>Melting_Curves/meltCurve_sp_Q9UNH7_SNX6_HUMAN_.pdf</t>
  </si>
  <si>
    <t>Melting_Curves/meltCurve_sp_Q9UNM6_PSD13_HUMAN_.pdf</t>
  </si>
  <si>
    <t>Melting_Curves/meltCurve_sp_Q9UNN5_FAF1_HUMAN_.pdf</t>
  </si>
  <si>
    <t>Melting_Curves/meltCurve_sp_Q9UNS2_CSN3_HUMAN_.pdf</t>
  </si>
  <si>
    <t>Melting_Curves/meltCurve_sp_Q9UNW1_MINP1_HUMAN_.pdf</t>
  </si>
  <si>
    <t>Melting_Curves/meltCurve_sp_Q9UNZ2_NSF1C_HUMAN_.pdf</t>
  </si>
  <si>
    <t>Melting_Curves/meltCurve_sp_Q9UP83_COG5_HUMAN_.pdf</t>
  </si>
  <si>
    <t>Melting_Curves/meltCurve_sp_Q9UPN6_SCAF8_HUMAN_.pdf</t>
  </si>
  <si>
    <t>Melting_Curves/meltCurve_sp_Q9UPN7_PP6R1_HUMAN_.pdf</t>
  </si>
  <si>
    <t>Melting_Curves/meltCurve_sp_Q9UPP1_4_PHF8_HUMAN_.pdf</t>
  </si>
  <si>
    <t>Melting_Curves/meltCurve_sp_Q9UPQ3_2_AGAP1_HUMAN_.pdf</t>
  </si>
  <si>
    <t>Melting_Curves/meltCurve_sp_Q9UPQ9_1_TNR6B_HUMAN_.pdf</t>
  </si>
  <si>
    <t>Melting_Curves/meltCurve_sp_Q9UPR0_PLCL2_HUMAN_.pdf</t>
  </si>
  <si>
    <t>Melting_Curves/meltCurve_sp_Q9UPT5_2_EXOC7_HUMAN_.pdf</t>
  </si>
  <si>
    <t>Melting_Curves/meltCurve_sp_Q9UPT8_ZC3H4_HUMAN_.pdf</t>
  </si>
  <si>
    <t>Melting_Curves/meltCurve_sp_Q9UPU5_UBP24_HUMAN_.pdf</t>
  </si>
  <si>
    <t>Melting_Curves/meltCurve_sp_Q9UPU7_TBD2B_HUMAN_.pdf</t>
  </si>
  <si>
    <t>Melting_Curves/meltCurve_sp_Q9UPX8_3_SHAN2_HUMAN_.pdf</t>
  </si>
  <si>
    <t>Melting_Curves/meltCurve_sp_Q9UPY3_DICER_HUMAN_.pdf</t>
  </si>
  <si>
    <t>Melting_Curves/meltCurve_sp_Q9UPY8_2_MARE3_HUMAN_.pdf</t>
  </si>
  <si>
    <t>Melting_Curves/meltCurve_sp_Q9UQ35_SRRM2_HUMAN_.pdf</t>
  </si>
  <si>
    <t>Melting_Curves/meltCurve_sp_Q9UQ80_PA2G4_HUMAN_.pdf</t>
  </si>
  <si>
    <t>Melting_Curves/meltCurve_sp_Q9UQB8_5_BAIP2_HUMAN_.pdf</t>
  </si>
  <si>
    <t>Melting_Curves/meltCurve_sp_Q9UQE7_SMC3_HUMAN_.pdf</t>
  </si>
  <si>
    <t>Melting_Curves/meltCurve_sp_Q9Y217_MTMR6_HUMAN_.pdf</t>
  </si>
  <si>
    <t>Melting_Curves/meltCurve_sp_Q9Y223_2_GLCNE_HUMAN_.pdf</t>
  </si>
  <si>
    <t>Melting_Curves/meltCurve_sp_Q9Y224_CN166_HUMAN_.pdf</t>
  </si>
  <si>
    <t>Melting_Curves/meltCurve_sp_Q9Y230_RUVB2_HUMAN_.pdf</t>
  </si>
  <si>
    <t>Melting_Curves/meltCurve_sp_Q9Y237_PIN4_HUMAN_.pdf</t>
  </si>
  <si>
    <t>Melting_Curves/meltCurve_sp_Q9Y259_CHKB_HUMAN_.pdf</t>
  </si>
  <si>
    <t>Melting_Curves/meltCurve_sp_Q9Y262_EIF3L_HUMAN_.pdf</t>
  </si>
  <si>
    <t>Melting_Curves/meltCurve_sp_Q9Y263_PLAP_HUMAN_.pdf</t>
  </si>
  <si>
    <t>Melting_Curves/meltCurve_sp_Q9Y265_RUVB1_HUMAN_.pdf</t>
  </si>
  <si>
    <t>Melting_Curves/meltCurve_sp_Q9Y266_NUDC_HUMAN_.pdf</t>
  </si>
  <si>
    <t>Melting_Curves/meltCurve_sp_Q9Y281_COF2_HUMAN_.pdf</t>
  </si>
  <si>
    <t>Melting_Curves/meltCurve_sp_Q9Y295_DRG1_HUMAN_.pdf</t>
  </si>
  <si>
    <t>Melting_Curves/meltCurve_sp_Q9Y296_TPPC4_HUMAN_.pdf</t>
  </si>
  <si>
    <t>Melting_Curves/meltCurve_sp_Q9Y2A7_NCKP1_HUMAN_.pdf</t>
  </si>
  <si>
    <t>Melting_Curves/meltCurve_sp_Q9Y2B0_CNPY2_HUMAN_.pdf</t>
  </si>
  <si>
    <t>Melting_Curves/meltCurve_sp_Q9Y2D4_EXC6B_HUMAN_.pdf</t>
  </si>
  <si>
    <t>Melting_Curves/meltCurve_sp_Q9Y2D5_6_AKAP2_HUMAN_.pdf</t>
  </si>
  <si>
    <t>Melting_Curves/meltCurve_sp_Q9Y2E4_DIP2C_HUMAN_.pdf</t>
  </si>
  <si>
    <t>Melting_Curves/meltCurve_sp_Q9Y2G5_OFUT2_HUMAN_.pdf</t>
  </si>
  <si>
    <t>Melting_Curves/meltCurve_sp_Q9Y2I1_4_NISCH_HUMAN_.pdf</t>
  </si>
  <si>
    <t>Melting_Curves/meltCurve_sp_Q9Y2J2_2_E41L3_HUMAN_.pdf</t>
  </si>
  <si>
    <t>Melting_Curves/meltCurve_sp_Q9Y2K7_4_KDM2A_HUMAN_.pdf</t>
  </si>
  <si>
    <t>Melting_Curves/meltCurve_sp_Q9Y2L1_RRP44_HUMAN_.pdf</t>
  </si>
  <si>
    <t>Melting_Curves/meltCurve_sp_Q9Y2L9_2_LRCH1_HUMAN_.pdf</t>
  </si>
  <si>
    <t>Melting_Curves/meltCurve_sp_Q9Y2P5_S27A5_HUMAN_.pdf</t>
  </si>
  <si>
    <t>Melting_Curves/meltCurve_sp_Q9Y2Q3_GSTK1_HUMAN_.pdf</t>
  </si>
  <si>
    <t>Melting_Curves/meltCurve_sp_Q9Y2Q5_LTOR2_HUMAN_.pdf</t>
  </si>
  <si>
    <t>Melting_Curves/meltCurve_sp_Q9Y2R9_RT07_HUMAN_.pdf</t>
  </si>
  <si>
    <t>Melting_Curves/meltCurve_sp_Q9Y2S2_CRYL1_HUMAN_.pdf</t>
  </si>
  <si>
    <t>Melting_Curves/meltCurve_sp_Q9Y2S6_TMA7_HUMAN_.pdf</t>
  </si>
  <si>
    <t>Melting_Curves/meltCurve_sp_Q9Y2S7_PDIP2_HUMAN_.pdf</t>
  </si>
  <si>
    <t>Melting_Curves/meltCurve_sp_Q9Y2T2_AP3M1_HUMAN_.pdf</t>
  </si>
  <si>
    <t>Melting_Curves/meltCurve_sp_Q9Y2T3_3_GUAD_HUMAN_.pdf</t>
  </si>
  <si>
    <t>Melting_Curves/meltCurve_sp_Q9Y2U5_M3K2_HUMAN_.pdf</t>
  </si>
  <si>
    <t>Melting_Curves/meltCurve_sp_Q9Y2U8_MAN1_HUMAN_.pdf</t>
  </si>
  <si>
    <t>Melting_Curves/meltCurve_sp_Q9Y2V2_CHSP1_HUMAN_.pdf</t>
  </si>
  <si>
    <t>Melting_Curves/meltCurve_sp_Q9Y2V7_COG6_HUMAN_.pdf</t>
  </si>
  <si>
    <t>Melting_Curves/meltCurve_sp_Q9Y2W1_TR150_HUMAN_.pdf</t>
  </si>
  <si>
    <t>Melting_Curves/meltCurve_sp_Q9Y2X3_NOP58_HUMAN_.pdf</t>
  </si>
  <si>
    <t>Melting_Curves/meltCurve_sp_Q9Y2Z0_SUGT1_HUMAN_.pdf</t>
  </si>
  <si>
    <t>Melting_Curves/meltCurve_sp_Q9Y2Z2_5_MTO1_HUMAN_.pdf</t>
  </si>
  <si>
    <t>Melting_Curves/meltCurve_sp_Q9Y2Z4_SYYM_HUMAN_.pdf</t>
  </si>
  <si>
    <t>Melting_Curves/meltCurve_sp_Q9Y2Z9_3_COQ6_HUMAN_.pdf</t>
  </si>
  <si>
    <t>Melting_Curves/meltCurve_sp_Q9Y303_NAGA_HUMAN_.pdf</t>
  </si>
  <si>
    <t>Melting_Curves/meltCurve_sp_Q9Y305_ACOT9_HUMAN_.pdf</t>
  </si>
  <si>
    <t>Melting_Curves/meltCurve_sp_Q9Y312_AAR2_HUMAN_.pdf</t>
  </si>
  <si>
    <t>Melting_Curves/meltCurve_sp_Q9Y314_NOSIP_HUMAN_.pdf</t>
  </si>
  <si>
    <t>Melting_Curves/meltCurve_sp_Q9Y315_DEOC_HUMAN_.pdf</t>
  </si>
  <si>
    <t>Melting_Curves/meltCurve_sp_Q9Y316_MEMO1_HUMAN_.pdf</t>
  </si>
  <si>
    <t>Melting_Curves/meltCurve_sp_Q9Y333_LSM2_HUMAN_.pdf</t>
  </si>
  <si>
    <t>Melting_Curves/meltCurve_sp_Q9Y371_SHLB1_HUMAN_.pdf</t>
  </si>
  <si>
    <t>Melting_Curves/meltCurve_sp_Q9Y376_CAB39_HUMAN_.pdf</t>
  </si>
  <si>
    <t>Melting_Curves/meltCurve_sp_Q9Y383_LC7L2_HUMAN_.pdf</t>
  </si>
  <si>
    <t>Melting_Curves/meltCurve_sp_Q9Y385_UB2J1_HUMAN_.pdf</t>
  </si>
  <si>
    <t>Melting_Curves/meltCurve_sp_Q9Y3A3_2_PHOCN_HUMAN_.pdf</t>
  </si>
  <si>
    <t>Melting_Curves/meltCurve_sp_Q9Y3A5_SBDS_HUMAN_.pdf</t>
  </si>
  <si>
    <t>Melting_Curves/meltCurve_sp_Q9Y3B9_RRP15_HUMAN_.pdf</t>
  </si>
  <si>
    <t>Melting_Curves/meltCurve_sp_Q9Y3C1_NOP16_HUMAN_.pdf</t>
  </si>
  <si>
    <t>Melting_Curves/meltCurve_sp_Q9Y3C4_2_TPRKB_HUMAN_.pdf</t>
  </si>
  <si>
    <t>Melting_Curves/meltCurve_sp_Q9Y3C6_PPIL1_HUMAN_.pdf</t>
  </si>
  <si>
    <t>Melting_Curves/meltCurve_sp_Q9Y3C8_UFC1_HUMAN_.pdf</t>
  </si>
  <si>
    <t>Melting_Curves/meltCurve_sp_Q9Y3D0_MIP18_HUMAN_.pdf</t>
  </si>
  <si>
    <t>Melting_Curves/meltCurve_sp_Q9Y3D2_MSRB2_HUMAN_.pdf</t>
  </si>
  <si>
    <t>Melting_Curves/meltCurve_sp_Q9Y3D6_FIS1_HUMAN_.pdf</t>
  </si>
  <si>
    <t>Melting_Curves/meltCurve_sp_Q9Y3D8_2_KAD6_HUMAN_.pdf</t>
  </si>
  <si>
    <t>Melting_Curves/meltCurve_sp_Q9Y3D9_RT23_HUMAN_.pdf</t>
  </si>
  <si>
    <t>Melting_Curves/meltCurve_sp_Q9Y3E2_BOLA1_HUMAN_.pdf</t>
  </si>
  <si>
    <t>Melting_Curves/meltCurve_sp_Q9Y3F4_STRAP_HUMAN_.pdf</t>
  </si>
  <si>
    <t>Melting_Curves/meltCurve_sp_Q9Y3I0_RTCB_HUMAN_.pdf</t>
  </si>
  <si>
    <t>Melting_Curves/meltCurve_sp_Q9Y3I1_FBX7_HUMAN_.pdf</t>
  </si>
  <si>
    <t>Melting_Curves/meltCurve_sp_Q9Y3L5_RAP2C_HUMAN_.pdf</t>
  </si>
  <si>
    <t>Melting_Curves/meltCurve_sp_Q9Y3P9_RBGP1_HUMAN_.pdf</t>
  </si>
  <si>
    <t>Melting_Curves/meltCurve_sp_Q9Y3S2_ZN330_HUMAN_.pdf</t>
  </si>
  <si>
    <t>Melting_Curves/meltCurve_sp_Q9Y3X0_CCDC9_HUMAN_.pdf</t>
  </si>
  <si>
    <t>Melting_Curves/meltCurve_sp_Q9Y3Y2_4_CHTOP_HUMAN_.pdf</t>
  </si>
  <si>
    <t>Melting_Curves/meltCurve_sp_Q9Y3Z3_SAMH1_HUMAN_.pdf</t>
  </si>
  <si>
    <t>Melting_Curves/meltCurve_sp_Q9Y450_4_HBS1L_HUMAN_.pdf</t>
  </si>
  <si>
    <t>Melting_Curves/meltCurve_sp_Q9Y490_TLN1_HUMAN_.pdf</t>
  </si>
  <si>
    <t>Melting_Curves/meltCurve_sp_Q9Y4B6_3_VPRBP_HUMAN_.pdf</t>
  </si>
  <si>
    <t>Melting_Curves/meltCurve_sp_Q9Y4C2_2_F115A_HUMAN_.pdf</t>
  </si>
  <si>
    <t>Melting_Curves/meltCurve_sp_Q9Y4E8_2_UBP15_HUMAN_.pdf</t>
  </si>
  <si>
    <t>Melting_Curves/meltCurve_sp_Q9Y4F1_FARP1_HUMAN_.pdf</t>
  </si>
  <si>
    <t>Melting_Curves/meltCurve_sp_Q9Y4G6_TLN2_HUMAN_.pdf</t>
  </si>
  <si>
    <t>Melting_Curves/meltCurve_sp_Q9Y4H2_IRS2_HUMAN_.pdf</t>
  </si>
  <si>
    <t>Melting_Curves/meltCurve_sp_Q9Y4I1_2_MYO5A_HUMAN_.pdf</t>
  </si>
  <si>
    <t>Melting_Curves/meltCurve_sp_Q9Y4K1_AIM1_HUMAN_.pdf</t>
  </si>
  <si>
    <t>Melting_Curves/meltCurve_sp_Q9Y4K3_TRAF6_HUMAN_.pdf</t>
  </si>
  <si>
    <t>Melting_Curves/meltCurve_sp_Q9Y4P8_4_WIPI2_HUMAN_.pdf</t>
  </si>
  <si>
    <t>Melting_Curves/meltCurve_sp_Q9Y4U1_MMAC_HUMAN_.pdf</t>
  </si>
  <si>
    <t>Melting_Curves/meltCurve_sp_Q9Y4W6_AFG32_HUMAN_.pdf</t>
  </si>
  <si>
    <t>Melting_Curves/meltCurve_sp_Q9Y4X5_ARI1_HUMAN_.pdf</t>
  </si>
  <si>
    <t>Melting_Curves/meltCurve_sp_Q9Y4Z0_LSM4_HUMAN_.pdf</t>
  </si>
  <si>
    <t>Melting_Curves/meltCurve_sp_Q9Y508_RN114_HUMAN_.pdf</t>
  </si>
  <si>
    <t>Melting_Curves/meltCurve_sp_Q9Y520_4_PRC2C_HUMAN_.pdf</t>
  </si>
  <si>
    <t>Melting_Curves/meltCurve_sp_Q9Y547_HSB11_HUMAN_.pdf</t>
  </si>
  <si>
    <t>Melting_Curves/meltCurve_sp_Q9Y570_PPME1_HUMAN_.pdf</t>
  </si>
  <si>
    <t>Melting_Curves/meltCurve_sp_Q9Y597_2_KCTD3_HUMAN_.pdf</t>
  </si>
  <si>
    <t>Melting_Curves/meltCurve_sp_Q9Y5A7_2_NUB1_HUMAN_.pdf</t>
  </si>
  <si>
    <t>Melting_Curves/meltCurve_sp_Q9Y5A9_2_YTHD2_HUMAN_.pdf</t>
  </si>
  <si>
    <t>Melting_Curves/meltCurve_sp_Q9Y5B0_CTDP1_HUMAN_.pdf</t>
  </si>
  <si>
    <t>Melting_Curves/meltCurve_sp_Q9Y5B9_SP16H_HUMAN_.pdf</t>
  </si>
  <si>
    <t>Melting_Curves/meltCurve_sp_Q9Y5J7_TIM9_HUMAN_.pdf</t>
  </si>
  <si>
    <t>Melting_Curves/meltCurve_sp_Q9Y5K5_2_UCHL5_HUMAN_.pdf</t>
  </si>
  <si>
    <t>Melting_Curves/meltCurve_sp_Q9Y5K6_CD2AP_HUMAN_.pdf</t>
  </si>
  <si>
    <t>Melting_Curves/meltCurve_sp_Q9Y5K8_VATD_HUMAN_.pdf</t>
  </si>
  <si>
    <t>Melting_Curves/meltCurve_sp_Q9Y5L0_TNPO3_HUMAN_.pdf</t>
  </si>
  <si>
    <t>Melting_Curves/meltCurve_sp_Q9Y5L4_TIM13_HUMAN_.pdf</t>
  </si>
  <si>
    <t>Melting_Curves/meltCurve_sp_Q9Y5P4_2_C43BP_HUMAN_.pdf</t>
  </si>
  <si>
    <t>Melting_Curves/meltCurve_sp_Q9Y5P6_GMPPB_HUMAN_.pdf</t>
  </si>
  <si>
    <t>Melting_Curves/meltCurve_sp_Q9Y5S2_MRCKB_HUMAN_.pdf</t>
  </si>
  <si>
    <t>Melting_Curves/meltCurve_sp_Q9Y5S9_RBM8A_HUMAN_.pdf</t>
  </si>
  <si>
    <t>Melting_Curves/meltCurve_sp_Q9Y5U2_2_TSSC4_HUMAN_.pdf</t>
  </si>
  <si>
    <t>Melting_Curves/meltCurve_sp_Q9Y5V0_ZN706_HUMAN_.pdf</t>
  </si>
  <si>
    <t>Melting_Curves/meltCurve_sp_Q9Y5X1_SNX9_HUMAN_.pdf</t>
  </si>
  <si>
    <t>Melting_Curves/meltCurve_sp_Q9Y5X3_SNX5_HUMAN_.pdf</t>
  </si>
  <si>
    <t>Melting_Curves/meltCurve_sp_Q9Y5Y2_NUBP2_HUMAN_.pdf</t>
  </si>
  <si>
    <t>Melting_Curves/meltCurve_sp_Q9Y5Z4_HEBP2_HUMAN_.pdf</t>
  </si>
  <si>
    <t>Melting_Curves/meltCurve_sp_Q9Y608_4_LRRF2_HUMAN_.pdf</t>
  </si>
  <si>
    <t>Melting_Curves/meltCurve_sp_Q9Y617_SERC_HUMAN_.pdf</t>
  </si>
  <si>
    <t>Melting_Curves/meltCurve_sp_Q9Y646_CBPQ_HUMAN_.pdf</t>
  </si>
  <si>
    <t>Melting_Curves/meltCurve_sp_Q9Y678_COPG1_HUMAN_.pdf</t>
  </si>
  <si>
    <t>Melting_Curves/meltCurve_sp_Q9Y680_3_FKBP7_HUMAN_.pdf</t>
  </si>
  <si>
    <t>Melting_Curves/meltCurve_sp_Q9Y696_CLIC4_HUMAN_.pdf</t>
  </si>
  <si>
    <t>Melting_Curves/meltCurve_sp_Q9Y697_2_NFS1_HUMAN_.pdf</t>
  </si>
  <si>
    <t>Melting_Curves/meltCurve_sp_Q9Y6A4_CP080_HUMAN_.pdf</t>
  </si>
  <si>
    <t>Melting_Curves/meltCurve_sp_Q9Y6B6_SAR1B_HUMAN_.pdf</t>
  </si>
  <si>
    <t>Melting_Curves/meltCurve_sp_Q9Y6D5_BIG2_HUMAN_.pdf</t>
  </si>
  <si>
    <t>Melting_Curves/meltCurve_sp_Q9Y6D6_BIG1_HUMAN_.pdf</t>
  </si>
  <si>
    <t>Melting_Curves/meltCurve_sp_Q9Y6G5_COMDA_HUMAN_.pdf</t>
  </si>
  <si>
    <t>Melting_Curves/meltCurve_sp_Q9Y6G9_DC1L1_HUMAN_.pdf</t>
  </si>
  <si>
    <t>Melting_Curves/meltCurve_sp_Q9Y6H1_CHCH2_HUMAN_.pdf</t>
  </si>
  <si>
    <t>Melting_Curves/meltCurve_sp_Q9Y6I3_3_EPN1_HUMAN_.pdf</t>
  </si>
  <si>
    <t>Melting_Curves/meltCurve_sp_Q9Y6I9_TX264_HUMAN_.pdf</t>
  </si>
  <si>
    <t>Melting_Curves/meltCurve_sp_Q9Y6K5_OAS3_HUMAN_.pdf</t>
  </si>
  <si>
    <t>Melting_Curves/meltCurve_sp_Q9Y6K9_NEMO_HUMAN_.pdf</t>
  </si>
  <si>
    <t>Melting_Curves/meltCurve_sp_Q9Y6N5_SQRD_HUMAN_.pdf</t>
  </si>
  <si>
    <t>Melting_Curves/meltCurve_sp_Q9Y6W3_CAN7_HUMAN_.pdf</t>
  </si>
  <si>
    <t>Melting_Curves/meltCurve_sp_Q9Y6W5_WASF2_HUMAN_.pdf</t>
  </si>
  <si>
    <t>Melting_Curves/meltCurve_sp_Q9Y6X5_ENPP4_HUMAN_.pdf</t>
  </si>
  <si>
    <t>Melting_Curves/meltCurve_sp_Q9Y6X8_ZHX2_HUMAN_.pdf</t>
  </si>
  <si>
    <t>Melting_Curves/meltCurve_tr_A1A5A8_A1A5A8_HUMAN_.pdf</t>
  </si>
  <si>
    <t>Melting_Curves/meltCurve_tr_A2ACR1_A2ACR1_HUMAN_.pdf</t>
  </si>
  <si>
    <t>Melting_Curves/meltCurve_tr_A6H8Z3_A6H8Z3_HUMAN_.pdf</t>
  </si>
  <si>
    <t>Melting_Curves/meltCurve_tr_A6ND22_A6ND22_HUMAN_.pdf</t>
  </si>
  <si>
    <t>Melting_Curves/meltCurve_tr_A6NDT1_A6NDT1_HUMAN_.pdf</t>
  </si>
  <si>
    <t>Melting_Curves/meltCurve_tr_A6NG64_A6NG64_HUMAN_.pdf</t>
  </si>
  <si>
    <t>Melting_Curves/meltCurve_tr_A6NGP5_A6NGP5_HUMAN_.pdf</t>
  </si>
  <si>
    <t>Melting_Curves/meltCurve_tr_A6NJX6_A6NJX6_HUMAN_.pdf</t>
  </si>
  <si>
    <t>Melting_Curves/meltCurve_tr_A6NKZ2_A6NKZ2_HUMAN_.pdf</t>
  </si>
  <si>
    <t>Melting_Curves/meltCurve_tr_A6NML8_A6NML8_HUMAN_.pdf</t>
  </si>
  <si>
    <t>Melting_Curves/meltCurve_tr_A6NN40_A6NN40_HUMAN_.pdf</t>
  </si>
  <si>
    <t>Melting_Curves/meltCurve_tr_A8CTX8_A8CTX8_HUMAN_.pdf</t>
  </si>
  <si>
    <t>Melting_Curves/meltCurve_tr_A8K7Q2_A8K7Q2_HUMAN_.pdf</t>
  </si>
  <si>
    <t>Melting_Curves/meltCurve_tr_A8MQB8_A8MQB8_HUMAN_.pdf</t>
  </si>
  <si>
    <t>Melting_Curves/meltCurve_tr_A8MTY9_A8MTY9_HUMAN_.pdf</t>
  </si>
  <si>
    <t>Melting_Curves/meltCurve_tr_A8MU28_A8MU28_HUMAN_.pdf</t>
  </si>
  <si>
    <t>Melting_Curves/meltCurve_tr_A8MU44_A8MU44_HUMAN_.pdf</t>
  </si>
  <si>
    <t>Melting_Curves/meltCurve_tr_A8MUB1_A8MUB1_HUMAN_.pdf</t>
  </si>
  <si>
    <t>Melting_Curves/meltCurve_tr_A8MWR6_A8MWR6_HUMAN_.pdf</t>
  </si>
  <si>
    <t>Melting_Curves/meltCurve_tr_A8MXP9_A8MXP9_HUMAN_.pdf</t>
  </si>
  <si>
    <t>Melting_Curves/meltCurve_tr_A8MYC1_A8MYC1_HUMAN_.pdf</t>
  </si>
  <si>
    <t>Melting_Curves/meltCurve_tr_A9Z1X7_A9Z1X7_HUMAN_.pdf</t>
  </si>
  <si>
    <t>Melting_Curves/meltCurve_tr_B0FLL2_B0FLL2_HUMAN_.pdf</t>
  </si>
  <si>
    <t>Melting_Curves/meltCurve_tr_B0UX83_B0UX83_HUMAN_.pdf</t>
  </si>
  <si>
    <t>Melting_Curves/meltCurve_tr_B1AK87_B1AK87_HUMAN_.pdf</t>
  </si>
  <si>
    <t>Melting_Curves/meltCurve_tr_B1AKL4_B1AKL4_HUMAN_.pdf</t>
  </si>
  <si>
    <t>Melting_Curves/meltCurve_tr_B1AKN7_B1AKN7_HUMAN_.pdf</t>
  </si>
  <si>
    <t>Melting_Curves/meltCurve_tr_B1AKV3_B1AKV3_HUMAN_.pdf</t>
  </si>
  <si>
    <t>Melting_Curves/meltCurve_tr_B1AKZ5_B1AKZ5_HUMAN_.pdf</t>
  </si>
  <si>
    <t>Melting_Curves/meltCurve_tr_B1AL69_B1AL69_HUMAN_.pdf</t>
  </si>
  <si>
    <t>Melting_Curves/meltCurve_tr_B1ALY0_B1ALY0_HUMAN_.pdf</t>
  </si>
  <si>
    <t>Melting_Curves/meltCurve_tr_B1ANH0_B1ANH0_HUMAN_.pdf</t>
  </si>
  <si>
    <t>Melting_Curves/meltCurve_tr_B1AT46_B1AT46_HUMAN_.pdf</t>
  </si>
  <si>
    <t>Melting_Curves/meltCurve_tr_B3KRS5_B3KRS5_HUMAN_.pdf</t>
  </si>
  <si>
    <t>Melting_Curves/meltCurve_tr_B3KSI9_B3KSI9_HUMAN_.pdf</t>
  </si>
  <si>
    <t>Melting_Curves/meltCurve_tr_B3KVH8_B3KVH8_HUMAN_.pdf</t>
  </si>
  <si>
    <t>Melting_Curves/meltCurve_tr_B3KY83_B3KY83_HUMAN_.pdf</t>
  </si>
  <si>
    <t>Melting_Curves/meltCurve_tr_B4DDD1_B4DDD1_HUMAN_.pdf</t>
  </si>
  <si>
    <t>Melting_Curves/meltCurve_tr_B4DDF4_B4DDF4_HUMAN_.pdf</t>
  </si>
  <si>
    <t>Melting_Curves/meltCurve_tr_B4DDZ0_B4DDZ0_HUMAN_.pdf</t>
  </si>
  <si>
    <t>Melting_Curves/meltCurve_tr_B4DE16_B4DE16_HUMAN_.pdf</t>
  </si>
  <si>
    <t>Melting_Curves/meltCurve_tr_B4DEM7_B4DEM7_HUMAN_.pdf</t>
  </si>
  <si>
    <t>Melting_Curves/meltCurve_tr_B4DEW9_B4DEW9_HUMAN_.pdf</t>
  </si>
  <si>
    <t>Melting_Curves/meltCurve_tr_B4DFA2_B4DFA2_HUMAN_.pdf</t>
  </si>
  <si>
    <t>Melting_Curves/meltCurve_tr_B4DFG6_B4DFG6_HUMAN_.pdf</t>
  </si>
  <si>
    <t>Melting_Curves/meltCurve_tr_B4DFI9_B4DFI9_HUMAN_.pdf</t>
  </si>
  <si>
    <t>Melting_Curves/meltCurve_tr_B4DFQ4_B4DFQ4_HUMAN_.pdf</t>
  </si>
  <si>
    <t>Melting_Curves/meltCurve_tr_B4DGU4_B4DGU4_HUMAN_.pdf</t>
  </si>
  <si>
    <t>Melting_Curves/meltCurve_tr_B4DH21_B4DH21_HUMAN_.pdf</t>
  </si>
  <si>
    <t>Melting_Curves/meltCurve_tr_B4DH53_B4DH53_HUMAN_.pdf</t>
  </si>
  <si>
    <t>Melting_Curves/meltCurve_tr_B4DHJ7_B4DHJ7_HUMAN_.pdf</t>
  </si>
  <si>
    <t>Melting_Curves/meltCurve_tr_B4DHT5_B4DHT5_HUMAN_.pdf</t>
  </si>
  <si>
    <t>Melting_Curves/meltCurve_tr_B4DJA5_B4DJA5_HUMAN_.pdf</t>
  </si>
  <si>
    <t>Melting_Curves/meltCurve_tr_B4DJP7_B4DJP7_HUMAN_.pdf</t>
  </si>
  <si>
    <t>Melting_Curves/meltCurve_tr_B4DJV2_B4DJV2_HUMAN_.pdf</t>
  </si>
  <si>
    <t>Melting_Curves/meltCurve_tr_B4DKG8_B4DKG8_HUMAN_.pdf</t>
  </si>
  <si>
    <t>Melting_Curves/meltCurve_tr_B4DKJ3_B4DKJ3_HUMAN_.pdf</t>
  </si>
  <si>
    <t>Melting_Curves/meltCurve_tr_B4DKL4_B4DKL4_HUMAN_.pdf</t>
  </si>
  <si>
    <t>Melting_Curves/meltCurve_tr_B4DL14_B4DL14_HUMAN_.pdf</t>
  </si>
  <si>
    <t>Melting_Curves/meltCurve_tr_B4DL54_B4DL54_HUMAN_.pdf</t>
  </si>
  <si>
    <t>Melting_Curves/meltCurve_tr_B4DL80_B4DL80_HUMAN_.pdf</t>
  </si>
  <si>
    <t>Melting_Curves/meltCurve_tr_B4DLN1_B4DLN1_HUMAN_.pdf</t>
  </si>
  <si>
    <t>Melting_Curves/meltCurve_tr_B4DLW8_B4DLW8_HUMAN_.pdf</t>
  </si>
  <si>
    <t>Melting_Curves/meltCurve_tr_B4DMX0_B4DMX0_HUMAN_.pdf</t>
  </si>
  <si>
    <t>Melting_Curves/meltCurve_tr_B4DNC9_B4DNC9_HUMAN_.pdf</t>
  </si>
  <si>
    <t>Melting_Curves/meltCurve_tr_B4DNK1_B4DNK1_HUMAN_.pdf</t>
  </si>
  <si>
    <t>Melting_Curves/meltCurve_tr_B4DP21_B4DP21_HUMAN_.pdf</t>
  </si>
  <si>
    <t>Melting_Curves/meltCurve_tr_B4DPR4_B4DPR4_HUMAN_.pdf</t>
  </si>
  <si>
    <t>Melting_Curves/meltCurve_tr_B4DPY8_B4DPY8_HUMAN_.pdf</t>
  </si>
  <si>
    <t>Melting_Curves/meltCurve_tr_B4DQ14_B4DQ14_HUMAN_.pdf</t>
  </si>
  <si>
    <t>Melting_Curves/meltCurve_tr_B4DQA8_B4DQA8_HUMAN_.pdf</t>
  </si>
  <si>
    <t>Melting_Curves/meltCurve_tr_B4DQJ8_B4DQJ8_HUMAN_.pdf</t>
  </si>
  <si>
    <t>Melting_Curves/meltCurve_tr_B4DR80_B4DR80_HUMAN_.pdf</t>
  </si>
  <si>
    <t>Melting_Curves/meltCurve_tr_B4DRL9_B4DRL9_HUMAN_.pdf</t>
  </si>
  <si>
    <t>Melting_Curves/meltCurve_tr_B4DTG6_B4DTG6_HUMAN_.pdf</t>
  </si>
  <si>
    <t>Melting_Curves/meltCurve_tr_B4DTU4_B4DTU4_HUMAN_.pdf</t>
  </si>
  <si>
    <t>Melting_Curves/meltCurve_tr_B4DUS9_B4DUS9_HUMAN_.pdf</t>
  </si>
  <si>
    <t>Melting_Curves/meltCurve_tr_B4DVY1_B4DVY1_HUMAN_.pdf</t>
  </si>
  <si>
    <t>Melting_Curves/meltCurve_tr_B4DWI1_B4DWI1_HUMAN_.pdf</t>
  </si>
  <si>
    <t>Melting_Curves/meltCurve_tr_B4DXK4_B4DXK4_HUMAN_.pdf</t>
  </si>
  <si>
    <t>Melting_Curves/meltCurve_tr_B4DXZ6_B4DXZ6_HUMAN_.pdf</t>
  </si>
  <si>
    <t>Melting_Curves/meltCurve_tr_B4DYB4_B4DYB4_HUMAN_.pdf</t>
  </si>
  <si>
    <t>Melting_Curves/meltCurve_tr_B4DZ67_B4DZ67_HUMAN_.pdf</t>
  </si>
  <si>
    <t>Melting_Curves/meltCurve_tr_B4DZW6_B4DZW6_HUMAN_.pdf</t>
  </si>
  <si>
    <t>Melting_Curves/meltCurve_tr_B4E072_B4E072_HUMAN_.pdf</t>
  </si>
  <si>
    <t>Melting_Curves/meltCurve_tr_B4E107_B4E107_HUMAN_.pdf</t>
  </si>
  <si>
    <t>Melting_Curves/meltCurve_tr_B4E1J0_B4E1J0_HUMAN_.pdf</t>
  </si>
  <si>
    <t>Melting_Curves/meltCurve_tr_B4E1K7_B4E1K7_HUMAN_.pdf</t>
  </si>
  <si>
    <t>Melting_Curves/meltCurve_tr_B4E1Z4_B4E1Z4_HUMAN_.pdf</t>
  </si>
  <si>
    <t>Melting_Curves/meltCurve_tr_B4E241_B4E241_HUMAN_.pdf</t>
  </si>
  <si>
    <t>Melting_Curves/meltCurve_tr_B4E351_B4E351_HUMAN_.pdf</t>
  </si>
  <si>
    <t>Melting_Curves/meltCurve_tr_B4E3Q4_B4E3Q4_HUMAN_.pdf</t>
  </si>
  <si>
    <t>Melting_Curves/meltCurve_tr_B5MC59_B5MC59_HUMAN_.pdf</t>
  </si>
  <si>
    <t>Melting_Curves/meltCurve_tr_B5MCF9_B5MCF9_HUMAN_.pdf</t>
  </si>
  <si>
    <t>Melting_Curves/meltCurve_tr_B5MCK8_B5MCK8_HUMAN_.pdf</t>
  </si>
  <si>
    <t>Melting_Curves/meltCurve_tr_B5MCP9_B5MCP9_HUMAN_.pdf</t>
  </si>
  <si>
    <t>Melting_Curves/meltCurve_tr_B5MCQ5_B5MCQ5_HUMAN_.pdf</t>
  </si>
  <si>
    <t>Melting_Curves/meltCurve_tr_B5MCT7_B5MCT7_HUMAN_.pdf</t>
  </si>
  <si>
    <t>Melting_Curves/meltCurve_tr_B5MCU0_B5MCU0_HUMAN_.pdf</t>
  </si>
  <si>
    <t>Melting_Curves/meltCurve_tr_B5MEB3_B5MEB3_HUMAN_.pdf</t>
  </si>
  <si>
    <t>Melting_Curves/meltCurve_tr_B7WP27_B7WP27_HUMAN_.pdf</t>
  </si>
  <si>
    <t>Melting_Curves/meltCurve_tr_B7Z1T4_B7Z1T4_HUMAN_.pdf</t>
  </si>
  <si>
    <t>Melting_Curves/meltCurve_tr_B7Z1W9_B7Z1W9_HUMAN_.pdf</t>
  </si>
  <si>
    <t>Melting_Curves/meltCurve_tr_B7Z242_B7Z242_HUMAN_.pdf</t>
  </si>
  <si>
    <t>Melting_Curves/meltCurve_tr_B7Z291_B7Z291_HUMAN_.pdf</t>
  </si>
  <si>
    <t>Melting_Curves/meltCurve_tr_B7Z2Y2_B7Z2Y2_HUMAN_.pdf</t>
  </si>
  <si>
    <t>Melting_Curves/meltCurve_tr_B7Z341_B7Z341_HUMAN_.pdf</t>
  </si>
  <si>
    <t>Melting_Curves/meltCurve_tr_B7Z3B9_B7Z3B9_HUMAN_.pdf</t>
  </si>
  <si>
    <t>Melting_Curves/meltCurve_tr_B7Z3I9_B7Z3I9_HUMAN_.pdf</t>
  </si>
  <si>
    <t>Melting_Curves/meltCurve_tr_B7Z4K6_B7Z4K6_HUMAN_.pdf</t>
  </si>
  <si>
    <t>Melting_Curves/meltCurve_tr_B7Z4M2_B7Z4M2_HUMAN_.pdf</t>
  </si>
  <si>
    <t>Melting_Curves/meltCurve_tr_B7Z4R0_B7Z4R0_HUMAN_.pdf</t>
  </si>
  <si>
    <t>Melting_Curves/meltCurve_tr_B7Z583_B7Z583_HUMAN_.pdf</t>
  </si>
  <si>
    <t>Melting_Curves/meltCurve_tr_B7Z637_B7Z637_HUMAN_.pdf</t>
  </si>
  <si>
    <t>Melting_Curves/meltCurve_tr_B7Z6B8_B7Z6B8_HUMAN_.pdf</t>
  </si>
  <si>
    <t>Melting_Curves/meltCurve_tr_B7Z729_B7Z729_HUMAN_.pdf</t>
  </si>
  <si>
    <t>Melting_Curves/meltCurve_tr_B7Z7F3_B7Z7F3_HUMAN_.pdf</t>
  </si>
  <si>
    <t>Melting_Curves/meltCurve_tr_B7Z7F9_B7Z7F9_HUMAN_.pdf</t>
  </si>
  <si>
    <t>Melting_Curves/meltCurve_tr_B7Z7X8_B7Z7X8_HUMAN_.pdf</t>
  </si>
  <si>
    <t>Melting_Curves/meltCurve_tr_B7Z815_B7Z815_HUMAN_.pdf</t>
  </si>
  <si>
    <t>Melting_Curves/meltCurve_tr_B7Z817_B7Z817_HUMAN_.pdf</t>
  </si>
  <si>
    <t>Melting_Curves/meltCurve_tr_B7Z8K9_B7Z8K9_HUMAN_.pdf</t>
  </si>
  <si>
    <t>Melting_Curves/meltCurve_tr_B7Z8V7_B7Z8V7_HUMAN_.pdf</t>
  </si>
  <si>
    <t>Melting_Curves/meltCurve_tr_B7Z941_B7Z941_HUMAN_.pdf</t>
  </si>
  <si>
    <t>Melting_Curves/meltCurve_tr_B7Z9S8_B7Z9S8_HUMAN_.pdf</t>
  </si>
  <si>
    <t>Melting_Curves/meltCurve_tr_B7ZAX5_B7ZAX5_HUMAN_.pdf</t>
  </si>
  <si>
    <t>Melting_Curves/meltCurve_tr_B7ZBQ3_B7ZBQ3_HUMAN_.pdf</t>
  </si>
  <si>
    <t>Melting_Curves/meltCurve_tr_B7ZC39_B7ZC39_HUMAN_.pdf</t>
  </si>
  <si>
    <t>Melting_Curves/meltCurve_tr_B7ZKK9_B7ZKK9_HUMAN_.pdf</t>
  </si>
  <si>
    <t>Melting_Curves/meltCurve_tr_B7ZLP8_B7ZLP8_HUMAN_.pdf</t>
  </si>
  <si>
    <t>Melting_Curves/meltCurve_tr_B7ZLZ2_B7ZLZ2_HUMAN_.pdf</t>
  </si>
  <si>
    <t>Melting_Curves/meltCurve_tr_B7ZM82_B7ZM82_HUMAN_.pdf</t>
  </si>
  <si>
    <t>Melting_Curves/meltCurve_tr_B8ZZC8_B8ZZC8_HUMAN_.pdf</t>
  </si>
  <si>
    <t>Melting_Curves/meltCurve_tr_B8ZZG1_B8ZZG1_HUMAN_.pdf</t>
  </si>
  <si>
    <t>Melting_Curves/meltCurve_tr_B8ZZK4_B8ZZK4_HUMAN_.pdf</t>
  </si>
  <si>
    <t>Melting_Curves/meltCurve_tr_B8ZZQ6_B8ZZQ6_HUMAN_.pdf</t>
  </si>
  <si>
    <t>Melting_Curves/meltCurve_tr_B8ZZU8_B8ZZU8_HUMAN_.pdf</t>
  </si>
  <si>
    <t>Melting_Curves/meltCurve_tr_B9A057_B9A057_HUMAN_.pdf</t>
  </si>
  <si>
    <t>Melting_Curves/meltCurve_tr_B9A058_B9A058_HUMAN_.pdf</t>
  </si>
  <si>
    <t>Melting_Curves/meltCurve_tr_B9ZVN9_B9ZVN9_HUMAN_.pdf</t>
  </si>
  <si>
    <t>Melting_Curves/meltCurve_tr_C9IZA5_C9IZA5_HUMAN_.pdf</t>
  </si>
  <si>
    <t>Melting_Curves/meltCurve_tr_C9J060_C9J060_HUMAN_.pdf</t>
  </si>
  <si>
    <t>Melting_Curves/meltCurve_tr_C9J0A7_C9J0A7_HUMAN_.pdf</t>
  </si>
  <si>
    <t>Melting_Curves/meltCurve_tr_C9J0K6_C9J0K6_HUMAN_.pdf</t>
  </si>
  <si>
    <t>Melting_Curves/meltCurve_tr_C9J1C6_C9J1C6_HUMAN_.pdf</t>
  </si>
  <si>
    <t>Melting_Curves/meltCurve_tr_C9J212_C9J212_HUMAN_.pdf</t>
  </si>
  <si>
    <t>Melting_Curves/meltCurve_tr_C9J3Q2_C9J3Q2_HUMAN_.pdf</t>
  </si>
  <si>
    <t>Melting_Curves/meltCurve_tr_C9J406_C9J406_HUMAN_.pdf</t>
  </si>
  <si>
    <t>Melting_Curves/meltCurve_tr_C9J5C3_C9J5C3_HUMAN_.pdf</t>
  </si>
  <si>
    <t>Melting_Curves/meltCurve_tr_C9J6H2_C9J6H2_HUMAN_.pdf</t>
  </si>
  <si>
    <t>Melting_Curves/meltCurve_tr_C9J712_C9J712_HUMAN_.pdf</t>
  </si>
  <si>
    <t>Melting_Curves/meltCurve_tr_C9J8B8_C9J8B8_HUMAN_.pdf</t>
  </si>
  <si>
    <t>Melting_Curves/meltCurve_tr_C9J9K3_C9J9K3_HUMAN_.pdf</t>
  </si>
  <si>
    <t>Melting_Curves/meltCurve_tr_C9JAX1_C9JAX1_HUMAN_.pdf</t>
  </si>
  <si>
    <t>Melting_Curves/meltCurve_tr_C9JB56_C9JB56_HUMAN_.pdf</t>
  </si>
  <si>
    <t>Melting_Curves/meltCurve_tr_C9JBI3_C9JBI3_HUMAN_.pdf</t>
  </si>
  <si>
    <t>Melting_Curves/meltCurve_tr_C9JBJ6_C9JBJ6_HUMAN_.pdf</t>
  </si>
  <si>
    <t>Melting_Curves/meltCurve_tr_C9JE98_C9JE98_HUMAN_.pdf</t>
  </si>
  <si>
    <t>Melting_Curves/meltCurve_tr_C9JEL3_C9JEL3_HUMAN_.pdf</t>
  </si>
  <si>
    <t>Melting_Curves/meltCurve_tr_C9JFE4_C9JFE4_HUMAN_.pdf</t>
  </si>
  <si>
    <t>Melting_Curves/meltCurve_tr_C9JFR9_C9JFR9_HUMAN_.pdf</t>
  </si>
  <si>
    <t>Melting_Curves/meltCurve_tr_C9JG97_C9JG97_HUMAN_.pdf</t>
  </si>
  <si>
    <t>Melting_Curves/meltCurve_tr_C9JGB2_C9JGB2_HUMAN_.pdf</t>
  </si>
  <si>
    <t>Melting_Curves/meltCurve_tr_C9JIK8_C9JIK8_HUMAN_.pdf</t>
  </si>
  <si>
    <t>Melting_Curves/meltCurve_tr_C9JNE2_C9JNE2_HUMAN_.pdf</t>
  </si>
  <si>
    <t>Melting_Curves/meltCurve_tr_C9JP32_C9JP32_HUMAN_.pdf</t>
  </si>
  <si>
    <t>Melting_Curves/meltCurve_tr_C9JQ41_C9JQ41_HUMAN_.pdf</t>
  </si>
  <si>
    <t>Melting_Curves/meltCurve_tr_C9JQB1_C9JQB1_HUMAN_.pdf</t>
  </si>
  <si>
    <t>Melting_Curves/meltCurve_tr_C9JQD1_C9JQD1_HUMAN_.pdf</t>
  </si>
  <si>
    <t>Melting_Curves/meltCurve_tr_C9JQD4_C9JQD4_HUMAN_.pdf</t>
  </si>
  <si>
    <t>Melting_Curves/meltCurve_tr_C9JQV3_C9JQV3_HUMAN_.pdf</t>
  </si>
  <si>
    <t>Melting_Curves/meltCurve_tr_C9JTW6_C9JTW6_HUMAN_.pdf</t>
  </si>
  <si>
    <t>Melting_Curves/meltCurve_tr_C9JVN9_C9JVN9_HUMAN_.pdf</t>
  </si>
  <si>
    <t>Melting_Curves/meltCurve_tr_C9JVR1_C9JVR1_HUMAN_.pdf</t>
  </si>
  <si>
    <t>Melting_Curves/meltCurve_tr_C9JW69_C9JW69_HUMAN_.pdf</t>
  </si>
  <si>
    <t>Melting_Curves/meltCurve_tr_C9JXB8_C9JXB8_HUMAN_.pdf</t>
  </si>
  <si>
    <t>Melting_Curves/meltCurve_tr_C9JXK0_C9JXK0_HUMAN_.pdf</t>
  </si>
  <si>
    <t>Melting_Curves/meltCurve_tr_C9JXK9_C9JXK9_HUMAN_.pdf</t>
  </si>
  <si>
    <t>Melting_Curves/meltCurve_tr_C9JZP6_C9JZP6_HUMAN_.pdf</t>
  </si>
  <si>
    <t>Melting_Curves/meltCurve_tr_C9JZY6_C9JZY6_HUMAN_.pdf</t>
  </si>
  <si>
    <t>Melting_Curves/meltCurve_tr_D3DR31_D3DR31_HUMAN_.pdf</t>
  </si>
  <si>
    <t>Melting_Curves/meltCurve_tr_D3DTZ5_D3DTZ5_HUMAN_.pdf</t>
  </si>
  <si>
    <t>Melting_Curves/meltCurve_tr_D3YHP0_D3YHP0_HUMAN_.pdf</t>
  </si>
  <si>
    <t>Melting_Curves/meltCurve_tr_D3YTE0_D3YTE0_HUMAN_.pdf</t>
  </si>
  <si>
    <t>Melting_Curves/meltCurve_tr_D6R9D6_D6R9D6_HUMAN_.pdf</t>
  </si>
  <si>
    <t>Melting_Curves/meltCurve_tr_D6R9G1_D6R9G1_HUMAN_.pdf</t>
  </si>
  <si>
    <t>Melting_Curves/meltCurve_tr_D6R9P3_D6R9P3_HUMAN_.pdf</t>
  </si>
  <si>
    <t>Melting_Curves/meltCurve_tr_D6RAL3_D6RAL3_HUMAN_.pdf</t>
  </si>
  <si>
    <t>Melting_Curves/meltCurve_tr_D6RB81_D6RB81_HUMAN_.pdf</t>
  </si>
  <si>
    <t>Melting_Curves/meltCurve_tr_D6RBN5_D6RBN5_HUMAN_.pdf</t>
  </si>
  <si>
    <t>Melting_Curves/meltCurve_tr_D6RBV0_D6RBV0_HUMAN_.pdf</t>
  </si>
  <si>
    <t>Melting_Curves/meltCurve_tr_D6RCD0_D6RCD0_HUMAN_.pdf</t>
  </si>
  <si>
    <t>Melting_Curves/meltCurve_tr_D6RD47_D6RD47_HUMAN_.pdf</t>
  </si>
  <si>
    <t>Melting_Curves/meltCurve_tr_D6REA0_D6REA0_HUMAN_.pdf</t>
  </si>
  <si>
    <t>Melting_Curves/meltCurve_tr_D6REB0_D6REB0_HUMAN_.pdf</t>
  </si>
  <si>
    <t>Melting_Curves/meltCurve_tr_D6RF92_D6RF92_HUMAN_.pdf</t>
  </si>
  <si>
    <t>Melting_Curves/meltCurve_tr_D6RGI3_D6RGI3_HUMAN_.pdf</t>
  </si>
  <si>
    <t>Melting_Curves/meltCurve_tr_D6RHI9_D6RHI9_HUMAN_.pdf</t>
  </si>
  <si>
    <t>Melting_Curves/meltCurve_tr_E2QRD5_E2QRD5_HUMAN_.pdf</t>
  </si>
  <si>
    <t>Melting_Curves/meltCurve_tr_E5RFY9_E5RFY9_HUMAN_.pdf</t>
  </si>
  <si>
    <t>Melting_Curves/meltCurve_tr_E5RGS9_E5RGS9_HUMAN_.pdf</t>
  </si>
  <si>
    <t>Melting_Curves/meltCurve_tr_E5RGX5_E5RGX5_HUMAN_.pdf</t>
  </si>
  <si>
    <t>Melting_Curves/meltCurve_tr_E5RHG8_E5RHG8_HUMAN_.pdf</t>
  </si>
  <si>
    <t>Melting_Curves/meltCurve_tr_E5RJ68_E5RJ68_HUMAN_.pdf</t>
  </si>
  <si>
    <t>Melting_Curves/meltCurve_tr_E5RJD2_E5RJD2_HUMAN_.pdf</t>
  </si>
  <si>
    <t>Melting_Curves/meltCurve_tr_E5RJR5_E5RJR5_HUMAN_.pdf</t>
  </si>
  <si>
    <t>Melting_Curves/meltCurve_tr_E7EM64_E7EM64_HUMAN_.pdf</t>
  </si>
  <si>
    <t>Melting_Curves/meltCurve_tr_E7EMM4_E7EMM4_HUMAN_.pdf</t>
  </si>
  <si>
    <t>Melting_Curves/meltCurve_tr_E7EMV7_E7EMV7_HUMAN_.pdf</t>
  </si>
  <si>
    <t>Melting_Curves/meltCurve_tr_E7EMZ9_E7EMZ9_HUMAN_.pdf</t>
  </si>
  <si>
    <t>Melting_Curves/meltCurve_tr_E7EN68_E7EN68_HUMAN_.pdf</t>
  </si>
  <si>
    <t>Melting_Curves/meltCurve_tr_E7END2_E7END2_HUMAN_.pdf</t>
  </si>
  <si>
    <t>Melting_Curves/meltCurve_tr_E7ENN3_E7ENN3_HUMAN_.pdf</t>
  </si>
  <si>
    <t>Melting_Curves/meltCurve_tr_E7ENY8_E7ENY8_HUMAN_.pdf</t>
  </si>
  <si>
    <t>Melting_Curves/meltCurve_tr_E7EPD0_E7EPD0_HUMAN_.pdf</t>
  </si>
  <si>
    <t>Melting_Curves/meltCurve_tr_E7EPL4_E7EPL4_HUMAN_.pdf</t>
  </si>
  <si>
    <t>Melting_Curves/meltCurve_tr_E7EQ69_E7EQ69_HUMAN_.pdf</t>
  </si>
  <si>
    <t>Melting_Curves/meltCurve_tr_E7EQA9_E7EQA9_HUMAN_.pdf</t>
  </si>
  <si>
    <t>Melting_Curves/meltCurve_tr_E7EQB9_E7EQB9_HUMAN_.pdf</t>
  </si>
  <si>
    <t>Melting_Curves/meltCurve_tr_E7EQT4_E7EQT4_HUMAN_.pdf</t>
  </si>
  <si>
    <t>Melting_Curves/meltCurve_tr_E7EQV9_E7EQV9_HUMAN_.pdf</t>
  </si>
  <si>
    <t>Melting_Curves/meltCurve_tr_E7ES08_E7ES08_HUMAN_.pdf</t>
  </si>
  <si>
    <t>Melting_Curves/meltCurve_tr_E7ESU4_E7ESU4_HUMAN_.pdf</t>
  </si>
  <si>
    <t>Melting_Curves/meltCurve_tr_E7ESY6_E7ESY6_HUMAN_.pdf</t>
  </si>
  <si>
    <t>Melting_Curves/meltCurve_tr_E7ET15_E7ET15_HUMAN_.pdf</t>
  </si>
  <si>
    <t>Melting_Curves/meltCurve_tr_E7ETA6_E7ETA6_HUMAN_.pdf</t>
  </si>
  <si>
    <t>Melting_Curves/meltCurve_tr_E7ETD6_E7ETD6_HUMAN_.pdf</t>
  </si>
  <si>
    <t>Melting_Curves/meltCurve_tr_E7ETZ4_E7ETZ4_HUMAN_.pdf</t>
  </si>
  <si>
    <t>Melting_Curves/meltCurve_tr_E7EU96_E7EU96_HUMAN_.pdf</t>
  </si>
  <si>
    <t>Melting_Curves/meltCurve_tr_E7EUY0_E7EUY0_HUMAN_.pdf</t>
  </si>
  <si>
    <t>Melting_Curves/meltCurve_tr_E7EV62_E7EV62_HUMAN_.pdf</t>
  </si>
  <si>
    <t>Melting_Curves/meltCurve_tr_E7EVD1_E7EVD1_HUMAN_.pdf</t>
  </si>
  <si>
    <t>Melting_Curves/meltCurve_tr_E7EVG2_E7EVG2_HUMAN_.pdf</t>
  </si>
  <si>
    <t>Melting_Curves/meltCurve_tr_E7EVJ5_E7EVJ5_HUMAN_.pdf</t>
  </si>
  <si>
    <t>Melting_Curves/meltCurve_tr_E7EVX9_E7EVX9_HUMAN_.pdf</t>
  </si>
  <si>
    <t>Melting_Curves/meltCurve_tr_E7EW69_E7EW69_HUMAN_.pdf</t>
  </si>
  <si>
    <t>Melting_Curves/meltCurve_tr_E7EWG4_E7EWG4_HUMAN_.pdf</t>
  </si>
  <si>
    <t>Melting_Curves/meltCurve_tr_E7EX83_E7EX83_HUMAN_.pdf</t>
  </si>
  <si>
    <t>Melting_Curves/meltCurve_tr_E9PB09_E9PB09_HUMAN_.pdf</t>
  </si>
  <si>
    <t>Melting_Curves/meltCurve_tr_E9PB14_E9PB14_HUMAN_.pdf</t>
  </si>
  <si>
    <t>Melting_Curves/meltCurve_tr_E9PBL8_E9PBL8_HUMAN_.pdf</t>
  </si>
  <si>
    <t>Melting_Curves/meltCurve_tr_E9PCG9_E9PCG9_HUMAN_.pdf</t>
  </si>
  <si>
    <t>Melting_Curves/meltCurve_tr_E9PCJ7_E9PCJ7_HUMAN_.pdf</t>
  </si>
  <si>
    <t>Melting_Curves/meltCurve_tr_E9PCY7_E9PCY7_HUMAN_.pdf</t>
  </si>
  <si>
    <t>Melting_Curves/meltCurve_tr_E9PDC3_E9PDC3_HUMAN_.pdf</t>
  </si>
  <si>
    <t>Melting_Curves/meltCurve_tr_E9PEG3_E9PEG3_HUMAN_.pdf</t>
  </si>
  <si>
    <t>Melting_Curves/meltCurve_tr_E9PEZ3_E9PEZ3_HUMAN_.pdf</t>
  </si>
  <si>
    <t>Melting_Curves/meltCurve_tr_E9PF10_E9PF10_HUMAN_.pdf</t>
  </si>
  <si>
    <t>Melting_Curves/meltCurve_tr_E9PF19_E9PF19_HUMAN_.pdf</t>
  </si>
  <si>
    <t>Melting_Curves/meltCurve_tr_E9PFC1_E9PFC1_HUMAN_.pdf</t>
  </si>
  <si>
    <t>Melting_Curves/meltCurve_tr_E9PFD7_E9PFD7_HUMAN_.pdf</t>
  </si>
  <si>
    <t>Melting_Curves/meltCurve_tr_E9PFR3_E9PFR3_HUMAN_.pdf</t>
  </si>
  <si>
    <t>Melting_Curves/meltCurve_tr_E9PG46_E9PG46_HUMAN_.pdf</t>
  </si>
  <si>
    <t>Melting_Curves/meltCurve_tr_E9PGF5_E9PGF5_HUMAN_.pdf</t>
  </si>
  <si>
    <t>Melting_Curves/meltCurve_tr_E9PGF9_E9PGF9_HUMAN_.pdf</t>
  </si>
  <si>
    <t>Melting_Curves/meltCurve_tr_E9PGM7_E9PGM7_HUMAN_.pdf</t>
  </si>
  <si>
    <t>Melting_Curves/meltCurve_tr_E9PGT1_E9PGT1_HUMAN_.pdf</t>
  </si>
  <si>
    <t>Melting_Curves/meltCurve_tr_E9PH29_E9PH29_HUMAN_.pdf</t>
  </si>
  <si>
    <t>Melting_Curves/meltCurve_tr_E9PHK0_E9PHK0_HUMAN_.pdf</t>
  </si>
  <si>
    <t>Melting_Curves/meltCurve_tr_E9PHM2_E9PHM2_HUMAN_.pdf</t>
  </si>
  <si>
    <t>Melting_Curves/meltCurve_tr_E9PHY8_E9PHY8_HUMAN_.pdf</t>
  </si>
  <si>
    <t>Melting_Curves/meltCurve_tr_E9PIB9_E9PIB9_HUMAN_.pdf</t>
  </si>
  <si>
    <t>Melting_Curves/meltCurve_tr_E9PIC2_E9PIC2_HUMAN_.pdf</t>
  </si>
  <si>
    <t>Melting_Curves/meltCurve_tr_E9PIR7_E9PIR7_HUMAN_.pdf</t>
  </si>
  <si>
    <t>Melting_Curves/meltCurve_tr_E9PJ24_E9PJ24_HUMAN_.pdf</t>
  </si>
  <si>
    <t>Melting_Curves/meltCurve_tr_E9PJ81_E9PJ81_HUMAN_.pdf</t>
  </si>
  <si>
    <t>Melting_Curves/meltCurve_tr_E9PJB2_E9PJB2_HUMAN_.pdf</t>
  </si>
  <si>
    <t>Melting_Curves/meltCurve_tr_E9PJD7_E9PJD7_HUMAN_.pdf</t>
  </si>
  <si>
    <t>Melting_Curves/meltCurve_tr_E9PJH1_E9PJH1_HUMAN_.pdf</t>
  </si>
  <si>
    <t>Melting_Curves/meltCurve_tr_E9PK01_E9PK01_HUMAN_.pdf</t>
  </si>
  <si>
    <t>Melting_Curves/meltCurve_tr_E9PK67_E9PK67_HUMAN_.pdf</t>
  </si>
  <si>
    <t>Melting_Curves/meltCurve_tr_E9PKB0_E9PKB0_HUMAN_.pdf</t>
  </si>
  <si>
    <t>Melting_Curves/meltCurve_tr_E9PKC0_E9PKC0_HUMAN_.pdf</t>
  </si>
  <si>
    <t>Melting_Curves/meltCurve_tr_E9PKF3_E9PKF3_HUMAN_.pdf</t>
  </si>
  <si>
    <t>Melting_Curves/meltCurve_tr_E9PKG1_E9PKG1_HUMAN_.pdf</t>
  </si>
  <si>
    <t>Melting_Curves/meltCurve_tr_E9PKV8_E9PKV8_HUMAN_.pdf</t>
  </si>
  <si>
    <t>Melting_Curves/meltCurve_tr_E9PKY5_E9PKY5_HUMAN_.pdf</t>
  </si>
  <si>
    <t>Melting_Curves/meltCurve_tr_E9PL22_E9PL22_HUMAN_.pdf</t>
  </si>
  <si>
    <t>Melting_Curves/meltCurve_tr_E9PL24_E9PL24_HUMAN_.pdf</t>
  </si>
  <si>
    <t>Melting_Curves/meltCurve_tr_E9PL57_E9PL57_HUMAN_.pdf</t>
  </si>
  <si>
    <t>Melting_Curves/meltCurve_tr_E9PLK3_E9PLK3_HUMAN_.pdf</t>
  </si>
  <si>
    <t>Melting_Curves/meltCurve_tr_E9PM46_E9PM46_HUMAN_.pdf</t>
  </si>
  <si>
    <t>Melting_Curves/meltCurve_tr_E9PM92_E9PM92_HUMAN_.pdf</t>
  </si>
  <si>
    <t>Melting_Curves/meltCurve_tr_E9PMI6_E9PMI6_HUMAN_.pdf</t>
  </si>
  <si>
    <t>Melting_Curves/meltCurve_tr_E9PMJ2_E9PMJ2_HUMAN_.pdf</t>
  </si>
  <si>
    <t>Melting_Curves/meltCurve_tr_E9PMS6_E9PMS6_HUMAN_.pdf</t>
  </si>
  <si>
    <t>Melting_Curves/meltCurve_tr_E9PN48_E9PN48_HUMAN_.pdf</t>
  </si>
  <si>
    <t>Melting_Curves/meltCurve_tr_E9PNK6_E9PNK6_HUMAN_.pdf</t>
  </si>
  <si>
    <t>Melting_Curves/meltCurve_tr_E9PNN3_E9PNN3_HUMAN_.pdf</t>
  </si>
  <si>
    <t>Melting_Curves/meltCurve_tr_E9PNU4_E9PNU4_HUMAN_.pdf</t>
  </si>
  <si>
    <t>Melting_Curves/meltCurve_tr_E9PNW4_E9PNW4_HUMAN_.pdf</t>
  </si>
  <si>
    <t>Melting_Curves/meltCurve_tr_E9PP36_E9PP36_HUMAN_.pdf</t>
  </si>
  <si>
    <t>Melting_Curves/meltCurve_tr_E9PPR2_E9PPR2_HUMAN_.pdf</t>
  </si>
  <si>
    <t>Melting_Curves/meltCurve_tr_E9PQ74_E9PQ74_HUMAN_.pdf</t>
  </si>
  <si>
    <t>Melting_Curves/meltCurve_tr_E9PQR7_E9PQR7_HUMAN_.pdf</t>
  </si>
  <si>
    <t>Melting_Curves/meltCurve_tr_E9PQW4_E9PQW4_HUMAN_.pdf</t>
  </si>
  <si>
    <t>Melting_Curves/meltCurve_tr_E9PQY3_E9PQY3_HUMAN_.pdf</t>
  </si>
  <si>
    <t>Melting_Curves/meltCurve_tr_E9PR54_E9PR54_HUMAN_.pdf</t>
  </si>
  <si>
    <t>Melting_Curves/meltCurve_tr_E9PRD9_E9PRD9_HUMAN_.pdf</t>
  </si>
  <si>
    <t>Melting_Curves/meltCurve_tr_E9PRE7_E9PRE7_HUMAN_.pdf</t>
  </si>
  <si>
    <t>Melting_Curves/meltCurve_tr_E9PRI4_E9PRI4_HUMAN_.pdf</t>
  </si>
  <si>
    <t>Melting_Curves/meltCurve_tr_F2Z2E1_F2Z2E1_HUMAN_.pdf</t>
  </si>
  <si>
    <t>Melting_Curves/meltCurve_tr_F2Z2V0_F2Z2V0_HUMAN_.pdf</t>
  </si>
  <si>
    <t>Melting_Curves/meltCurve_tr_F2Z2X4_F2Z2X4_HUMAN_.pdf</t>
  </si>
  <si>
    <t>Melting_Curves/meltCurve_tr_F2Z3K9_F2Z3K9_HUMAN_.pdf</t>
  </si>
  <si>
    <t>Melting_Curves/meltCurve_tr_F2Z3M0_F2Z3M0_HUMAN_.pdf</t>
  </si>
  <si>
    <t>Melting_Curves/meltCurve_tr_F5GWI9_F5GWI9_HUMAN_.pdf</t>
  </si>
  <si>
    <t>Melting_Curves/meltCurve_tr_F5GWP8_F5GWP8_HUMAN_.pdf</t>
  </si>
  <si>
    <t>Melting_Curves/meltCurve_tr_F5GWT4_F5GWT4_HUMAN_.pdf</t>
  </si>
  <si>
    <t>Melting_Curves/meltCurve_tr_F5GWX5_F5GWX5_HUMAN_.pdf</t>
  </si>
  <si>
    <t>Melting_Curves/meltCurve_tr_F5GX77_F5GX77_HUMAN_.pdf</t>
  </si>
  <si>
    <t>Melting_Curves/meltCurve_tr_F5GXC8_F5GXC8_HUMAN_.pdf</t>
  </si>
  <si>
    <t>Melting_Curves/meltCurve_tr_F5GXD1_F5GXD1_HUMAN_.pdf</t>
  </si>
  <si>
    <t>Melting_Curves/meltCurve_tr_F5GXJ9_F5GXJ9_HUMAN_.pdf</t>
  </si>
  <si>
    <t>Melting_Curves/meltCurve_tr_F5GY80_F5GY80_HUMAN_.pdf</t>
  </si>
  <si>
    <t>Melting_Curves/meltCurve_tr_F5GYA2_F5GYA2_HUMAN_.pdf</t>
  </si>
  <si>
    <t>Melting_Curves/meltCurve_tr_F5GYC4_F5GYC4_HUMAN_.pdf</t>
  </si>
  <si>
    <t>Melting_Curves/meltCurve_tr_F5GYJ5_F5GYJ5_HUMAN_.pdf</t>
  </si>
  <si>
    <t>Melting_Curves/meltCurve_tr_F5GYK2_F5GYK2_HUMAN_.pdf</t>
  </si>
  <si>
    <t>Melting_Curves/meltCurve_tr_F5GYN4_F5GYN4_HUMAN_.pdf</t>
  </si>
  <si>
    <t>Melting_Curves/meltCurve_tr_F5GZY0_F5GZY0_HUMAN_.pdf</t>
  </si>
  <si>
    <t>Melting_Curves/meltCurve_tr_F5GZY7_F5GZY7_HUMAN_.pdf</t>
  </si>
  <si>
    <t>Melting_Curves/meltCurve_tr_F5GZZ9_F5GZZ9_HUMAN_.pdf</t>
  </si>
  <si>
    <t>Melting_Curves/meltCurve_tr_F5H012_F5H012_HUMAN_.pdf</t>
  </si>
  <si>
    <t>Melting_Curves/meltCurve_tr_F5H0B0_F5H0B0_HUMAN_.pdf</t>
  </si>
  <si>
    <t>Melting_Curves/meltCurve_tr_F5H0C8_F5H0C8_HUMAN_.pdf</t>
  </si>
  <si>
    <t>Melting_Curves/meltCurve_tr_F5H0L8_F5H0L8_HUMAN_.pdf</t>
  </si>
  <si>
    <t>Melting_Curves/meltCurve_tr_F5H157_F5H157_HUMAN_.pdf</t>
  </si>
  <si>
    <t>Melting_Curves/meltCurve_tr_F5H1L4_F5H1L4_HUMAN_.pdf</t>
  </si>
  <si>
    <t>Melting_Curves/meltCurve_tr_F5H1X8_F5H1X8_HUMAN_.pdf</t>
  </si>
  <si>
    <t>Melting_Curves/meltCurve_tr_F5H1Z6_F5H1Z6_HUMAN_.pdf</t>
  </si>
  <si>
    <t>Melting_Curves/meltCurve_tr_F5H2B9_F5H2B9_HUMAN_.pdf</t>
  </si>
  <si>
    <t>Melting_Curves/meltCurve_tr_F5H2Q7_F5H2Q7_HUMAN_.pdf</t>
  </si>
  <si>
    <t>Melting_Curves/meltCurve_tr_F5H2X0_F5H2X0_HUMAN_.pdf</t>
  </si>
  <si>
    <t>Melting_Curves/meltCurve_tr_F5H335_F5H335_HUMAN_.pdf</t>
  </si>
  <si>
    <t>Melting_Curves/meltCurve_tr_F5H365_F5H365_HUMAN_.pdf</t>
  </si>
  <si>
    <t>Melting_Curves/meltCurve_tr_F5H442_F5H442_HUMAN_.pdf</t>
  </si>
  <si>
    <t>Melting_Curves/meltCurve_tr_F5H4F1_F5H4F1_HUMAN_.pdf</t>
  </si>
  <si>
    <t>Melting_Curves/meltCurve_tr_F5H4G7_F5H4G7_HUMAN_.pdf</t>
  </si>
  <si>
    <t>Melting_Curves/meltCurve_tr_F5H4J2_F5H4J2_HUMAN_.pdf</t>
  </si>
  <si>
    <t>Melting_Curves/meltCurve_tr_F5H4S0_F5H4S0_HUMAN_.pdf</t>
  </si>
  <si>
    <t>Melting_Curves/meltCurve_tr_F5H5C2_F5H5C2_HUMAN_.pdf</t>
  </si>
  <si>
    <t>Melting_Curves/meltCurve_tr_F5H604_F5H604_HUMAN_.pdf</t>
  </si>
  <si>
    <t>Melting_Curves/meltCurve_tr_F5H698_F5H698_HUMAN_.pdf</t>
  </si>
  <si>
    <t>Melting_Curves/meltCurve_tr_F5H721_F5H721_HUMAN_.pdf</t>
  </si>
  <si>
    <t>Melting_Curves/meltCurve_tr_F5H7F6_F5H7F6_HUMAN_.pdf</t>
  </si>
  <si>
    <t>Melting_Curves/meltCurve_tr_F5H7J5_F5H7J5_HUMAN_.pdf</t>
  </si>
  <si>
    <t>Melting_Curves/meltCurve_tr_F5H801_F5H801_HUMAN_.pdf</t>
  </si>
  <si>
    <t>Melting_Curves/meltCurve_tr_F5H897_F5H897_HUMAN_.pdf</t>
  </si>
  <si>
    <t>Melting_Curves/meltCurve_tr_F5H8D7_F5H8D7_HUMAN_.pdf</t>
  </si>
  <si>
    <t>Melting_Curves/meltCurve_tr_F5H8F7_F5H8F7_HUMAN_.pdf</t>
  </si>
  <si>
    <t>Melting_Curves/meltCurve_tr_F5H8H2_F5H8H2_HUMAN_.pdf</t>
  </si>
  <si>
    <t>Melting_Curves/meltCurve_tr_F5H8H4_F5H8H4_HUMAN_.pdf</t>
  </si>
  <si>
    <t>Melting_Curves/meltCurve_tr_F5H8L0_F5H8L0_HUMAN_.pdf</t>
  </si>
  <si>
    <t>Melting_Curves/meltCurve_tr_F6PQP6_F6PQP6_HUMAN_.pdf</t>
  </si>
  <si>
    <t>Melting_Curves/meltCurve_tr_F6RY50_F6RY50_HUMAN_.pdf</t>
  </si>
  <si>
    <t>Melting_Curves/meltCurve_tr_F6T1Q0_F6T1Q0_HUMAN_.pdf</t>
  </si>
  <si>
    <t>Melting_Curves/meltCurve_tr_F6TQG2_F6TQG2_HUMAN_.pdf</t>
  </si>
  <si>
    <t>Melting_Curves/meltCurve_tr_F6U1T9_F6U1T9_HUMAN_.pdf</t>
  </si>
  <si>
    <t>Melting_Curves/meltCurve_tr_F6XY72_F6XY72_HUMAN_.pdf</t>
  </si>
  <si>
    <t>Melting_Curves/meltCurve_tr_F8VQR7_F8VQR7_HUMAN_.pdf</t>
  </si>
  <si>
    <t>Melting_Curves/meltCurve_tr_F8VQX6_F8VQX6_HUMAN_.pdf</t>
  </si>
  <si>
    <t>Melting_Curves/meltCurve_tr_F8VRD9_F8VRD9_HUMAN_.pdf</t>
  </si>
  <si>
    <t>Melting_Curves/meltCurve_tr_F8VSL3_F8VSL3_HUMAN_.pdf</t>
  </si>
  <si>
    <t>Melting_Curves/meltCurve_tr_F8VU65_F8VU65_HUMAN_.pdf</t>
  </si>
  <si>
    <t>Melting_Curves/meltCurve_tr_F8VUA6_F8VUA6_HUMAN_.pdf</t>
  </si>
  <si>
    <t>Melting_Curves/meltCurve_tr_F8VVM2_F8VVM2_HUMAN_.pdf</t>
  </si>
  <si>
    <t>Melting_Curves/meltCurve_tr_F8VVX6_F8VVX6_HUMAN_.pdf</t>
  </si>
  <si>
    <t>Melting_Curves/meltCurve_tr_F8VWA5_F8VWA5_HUMAN_.pdf</t>
  </si>
  <si>
    <t>Melting_Curves/meltCurve_tr_F8VWA6_F8VWA6_HUMAN_.pdf</t>
  </si>
  <si>
    <t>Melting_Curves/meltCurve_tr_F8VWL3_F8VWL3_HUMAN_.pdf</t>
  </si>
  <si>
    <t>Melting_Curves/meltCurve_tr_F8VXY3_F8VXY3_HUMAN_.pdf</t>
  </si>
  <si>
    <t>Melting_Curves/meltCurve_tr_F8VZJ2_F8VZJ2_HUMAN_.pdf</t>
  </si>
  <si>
    <t>Melting_Curves/meltCurve_tr_F8W038_F8W038_HUMAN_.pdf</t>
  </si>
  <si>
    <t>Melting_Curves/meltCurve_tr_F8W118_F8W118_HUMAN_.pdf</t>
  </si>
  <si>
    <t>Melting_Curves/meltCurve_tr_F8W1A4_F8W1A4_HUMAN_.pdf</t>
  </si>
  <si>
    <t>Melting_Curves/meltCurve_tr_F8W1Q3_F8W1Q3_HUMAN_.pdf</t>
  </si>
  <si>
    <t>Melting_Curves/meltCurve_tr_F8W1R7_F8W1R7_HUMAN_.pdf</t>
  </si>
  <si>
    <t>Melting_Curves/meltCurve_tr_F8W720_F8W720_HUMAN_.pdf</t>
  </si>
  <si>
    <t>Melting_Curves/meltCurve_tr_F8W785_F8W785_HUMAN_.pdf</t>
  </si>
  <si>
    <t>Melting_Curves/meltCurve_tr_F8W7C6_F8W7C6_HUMAN_.pdf</t>
  </si>
  <si>
    <t>Melting_Curves/meltCurve_tr_F8W7U3_F8W7U3_HUMAN_.pdf</t>
  </si>
  <si>
    <t>Melting_Curves/meltCurve_tr_F8W8I6_F8W8I6_HUMAN_.pdf</t>
  </si>
  <si>
    <t>Melting_Curves/meltCurve_tr_F8W8M4_F8W8M4_HUMAN_.pdf</t>
  </si>
  <si>
    <t>Melting_Curves/meltCurve_tr_F8W9I4_F8W9I4_HUMAN_.pdf</t>
  </si>
  <si>
    <t>Melting_Curves/meltCurve_tr_F8W9X7_F8W9X7_HUMAN_.pdf</t>
  </si>
  <si>
    <t>Melting_Curves/meltCurve_tr_F8WAK8_F8WAK8_HUMAN_.pdf</t>
  </si>
  <si>
    <t>Melting_Curves/meltCurve_tr_F8WEE4_F8WEE4_HUMAN_.pdf</t>
  </si>
  <si>
    <t>Melting_Curves/meltCurve_tr_F8WF49_F8WF49_HUMAN_.pdf</t>
  </si>
  <si>
    <t>Melting_Curves/meltCurve_tr_F8WJN3_F8WJN3_HUMAN_.pdf</t>
  </si>
  <si>
    <t>Melting_Curves/meltCurve_tr_G3V0E8_G3V0E8_HUMAN_.pdf</t>
  </si>
  <si>
    <t>Melting_Curves/meltCurve_tr_G3V169_G3V169_HUMAN_.pdf</t>
  </si>
  <si>
    <t>Melting_Curves/meltCurve_tr_G3V1P3_G3V1P3_HUMAN_.pdf</t>
  </si>
  <si>
    <t>Melting_Curves/meltCurve_tr_G3V1R9_G3V1R9_HUMAN_.pdf</t>
  </si>
  <si>
    <t>Melting_Curves/meltCurve_tr_G3V1Y8_G3V1Y8_HUMAN_.pdf</t>
  </si>
  <si>
    <t>Melting_Curves/meltCurve_tr_G3V238_G3V238_HUMAN_.pdf</t>
  </si>
  <si>
    <t>Melting_Curves/meltCurve_tr_G3V2T6_G3V2T6_HUMAN_.pdf</t>
  </si>
  <si>
    <t>Melting_Curves/meltCurve_tr_G3V2U7_G3V2U7_HUMAN_.pdf</t>
  </si>
  <si>
    <t>Melting_Curves/meltCurve_tr_G3V357_G3V357_HUMAN_.pdf</t>
  </si>
  <si>
    <t>Melting_Curves/meltCurve_tr_G3V3D2_G3V3D2_HUMAN_.pdf</t>
  </si>
  <si>
    <t>Melting_Curves/meltCurve_tr_G3V3G9_G3V3G9_HUMAN_.pdf</t>
  </si>
  <si>
    <t>Melting_Curves/meltCurve_tr_G3V3R7_G3V3R7_HUMAN_.pdf</t>
  </si>
  <si>
    <t>Melting_Curves/meltCurve_tr_G3V4P7_G3V4P7_HUMAN_.pdf</t>
  </si>
  <si>
    <t>Melting_Curves/meltCurve_tr_G3V4S8_G3V4S8_HUMAN_.pdf</t>
  </si>
  <si>
    <t>Melting_Curves/meltCurve_tr_G3V4W0_G3V4W0_HUMAN_.pdf</t>
  </si>
  <si>
    <t>Melting_Curves/meltCurve_tr_G3V599_G3V599_HUMAN_.pdf</t>
  </si>
  <si>
    <t>Melting_Curves/meltCurve_tr_G3V5E1_G3V5E1_HUMAN_.pdf</t>
  </si>
  <si>
    <t>Melting_Curves/meltCurve_tr_G3V5T0_G3V5T0_HUMAN_.pdf</t>
  </si>
  <si>
    <t>Melting_Curves/meltCurve_tr_G3V5V3_G3V5V3_HUMAN_.pdf</t>
  </si>
  <si>
    <t>Melting_Curves/meltCurve_tr_G3XAA0_G3XAA0_HUMAN_.pdf</t>
  </si>
  <si>
    <t>Melting_Curves/meltCurve_tr_G3XAM2_G3XAM2_HUMAN_.pdf</t>
  </si>
  <si>
    <t>Melting_Curves/meltCurve_tr_G3XAN8_G3XAN8_HUMAN_.pdf</t>
  </si>
  <si>
    <t>Melting_Curves/meltCurve_tr_G5E9C8_G5E9C8_HUMAN_.pdf</t>
  </si>
  <si>
    <t>Melting_Curves/meltCurve_tr_G5E9W7_G5E9W7_HUMAN_.pdf</t>
  </si>
  <si>
    <t>Melting_Curves/meltCurve_tr_G5E9X3_G5E9X3_HUMAN_.pdf</t>
  </si>
  <si>
    <t>Melting_Curves/meltCurve_tr_G5EA52_G5EA52_HUMAN_.pdf</t>
  </si>
  <si>
    <t>Melting_Curves/meltCurve_tr_G8JLB3_G8JLB3_HUMAN_.pdf</t>
  </si>
  <si>
    <t>Melting_Curves/meltCurve_tr_G8JLC6_G8JLC6_HUMAN_.pdf</t>
  </si>
  <si>
    <t>Melting_Curves/meltCurve_tr_G8JLE5_G8JLE5_HUMAN_.pdf</t>
  </si>
  <si>
    <t>Melting_Curves/meltCurve_tr_G8JLI5_G8JLI5_HUMAN_.pdf</t>
  </si>
  <si>
    <t>Melting_Curves/meltCurve_tr_G8JLK3_G8JLK3_HUMAN_.pdf</t>
  </si>
  <si>
    <t>Melting_Curves/meltCurve_tr_H0Y300_H0Y300_HUMAN_.pdf</t>
  </si>
  <si>
    <t>Melting_Curves/meltCurve_tr_H0Y304_H0Y304_HUMAN_.pdf</t>
  </si>
  <si>
    <t>Melting_Curves/meltCurve_tr_H0Y3A0_H0Y3A0_HUMAN_.pdf</t>
  </si>
  <si>
    <t>Melting_Curves/meltCurve_tr_H0Y3P2_H0Y3P2_HUMAN_.pdf</t>
  </si>
  <si>
    <t>Melting_Curves/meltCurve_tr_H0Y4R1_H0Y4R1_HUMAN_.pdf</t>
  </si>
  <si>
    <t>Melting_Curves/meltCurve_tr_H0Y5G7_H0Y5G7_HUMAN_.pdf</t>
  </si>
  <si>
    <t>Melting_Curves/meltCurve_tr_H0Y612_H0Y612_HUMAN_.pdf</t>
  </si>
  <si>
    <t>Melting_Curves/meltCurve_tr_H0Y614_H0Y614_HUMAN_.pdf</t>
  </si>
  <si>
    <t>Melting_Curves/meltCurve_tr_H0Y6A0_H0Y6A0_HUMAN_.pdf</t>
  </si>
  <si>
    <t>Melting_Curves/meltCurve_tr_H0Y6C3_H0Y6C3_HUMAN_.pdf</t>
  </si>
  <si>
    <t>Melting_Curves/meltCurve_tr_H0Y6I0_H0Y6I0_HUMAN_.pdf</t>
  </si>
  <si>
    <t>Melting_Curves/meltCurve_tr_H0Y7P1_H0Y7P1_HUMAN_.pdf</t>
  </si>
  <si>
    <t>Melting_Curves/meltCurve_tr_H0Y7U4_H0Y7U4_HUMAN_.pdf</t>
  </si>
  <si>
    <t>Melting_Curves/meltCurve_tr_H0Y8L5_H0Y8L5_HUMAN_.pdf</t>
  </si>
  <si>
    <t>Melting_Curves/meltCurve_tr_H0Y9B0_H0Y9B0_HUMAN_.pdf</t>
  </si>
  <si>
    <t>Melting_Curves/meltCurve_tr_H0Y9C8_H0Y9C8_HUMAN_.pdf</t>
  </si>
  <si>
    <t>Melting_Curves/meltCurve_tr_H0Y9D7_H0Y9D7_HUMAN_.pdf</t>
  </si>
  <si>
    <t>Melting_Curves/meltCurve_tr_H0YA52_H0YA52_HUMAN_.pdf</t>
  </si>
  <si>
    <t>Melting_Curves/meltCurve_tr_H0YA61_H0YA61_HUMAN_.pdf</t>
  </si>
  <si>
    <t>Melting_Curves/meltCurve_tr_H0YA68_H0YA68_HUMAN_.pdf</t>
  </si>
  <si>
    <t>Melting_Curves/meltCurve_tr_H0YAJ5_H0YAJ5_HUMAN_.pdf</t>
  </si>
  <si>
    <t>Melting_Curves/meltCurve_tr_H0YAL7_H0YAL7_HUMAN_.pdf</t>
  </si>
  <si>
    <t>Melting_Curves/meltCurve_tr_H0YAT2_H0YAT2_HUMAN_.pdf</t>
  </si>
  <si>
    <t>Melting_Curves/meltCurve_tr_H0YBZ4_H0YBZ4_HUMAN_.pdf</t>
  </si>
  <si>
    <t>Melting_Curves/meltCurve_tr_H0YDR8_H0YDR8_HUMAN_.pdf</t>
  </si>
  <si>
    <t>Melting_Curves/meltCurve_tr_H0YDU8_H0YDU8_HUMAN_.pdf</t>
  </si>
  <si>
    <t>Melting_Curves/meltCurve_tr_H0YE28_H0YE28_HUMAN_.pdf</t>
  </si>
  <si>
    <t>Melting_Curves/meltCurve_tr_H0YEB6_H0YEB6_HUMAN_.pdf</t>
  </si>
  <si>
    <t>Melting_Curves/meltCurve_tr_H0YEG5_H0YEG5_HUMAN_.pdf</t>
  </si>
  <si>
    <t>Melting_Curves/meltCurve_tr_H0YEH2_H0YEH2_HUMAN_.pdf</t>
  </si>
  <si>
    <t>Melting_Curves/meltCurve_tr_H0YEI0_H0YEI0_HUMAN_.pdf</t>
  </si>
  <si>
    <t>Melting_Curves/meltCurve_tr_H0YEN5_H0YEN5_HUMAN_.pdf</t>
  </si>
  <si>
    <t>Melting_Curves/meltCurve_tr_H0YEP5_H0YEP5_HUMAN_.pdf</t>
  </si>
  <si>
    <t>Melting_Curves/meltCurve_tr_H0YER1_H0YER1_HUMAN_.pdf</t>
  </si>
  <si>
    <t>Melting_Curves/meltCurve_tr_H0YFI1_H0YFI1_HUMAN_.pdf</t>
  </si>
  <si>
    <t>Melting_Curves/meltCurve_tr_H0YG38_H0YG38_HUMAN_.pdf</t>
  </si>
  <si>
    <t>Melting_Curves/meltCurve_tr_H0YGR4_H0YGR4_HUMAN_.pdf</t>
  </si>
  <si>
    <t>Melting_Curves/meltCurve_tr_H0YGX7_H0YGX7_HUMAN_.pdf</t>
  </si>
  <si>
    <t>Melting_Curves/meltCurve_tr_H0YI02_H0YI02_HUMAN_.pdf</t>
  </si>
  <si>
    <t>Melting_Curves/meltCurve_tr_H0YLA4_H0YLA4_HUMAN_.pdf</t>
  </si>
  <si>
    <t>Melting_Curves/meltCurve_tr_H0YLN8_H0YLN8_HUMAN_.pdf</t>
  </si>
  <si>
    <t>Melting_Curves/meltCurve_tr_H0YM11_H0YM11_HUMAN_.pdf</t>
  </si>
  <si>
    <t>Melting_Curves/meltCurve_tr_H0YMB0_H0YMB0_HUMAN_.pdf</t>
  </si>
  <si>
    <t>Melting_Curves/meltCurve_tr_H0YMB1_H0YMB1_HUMAN_.pdf</t>
  </si>
  <si>
    <t>Melting_Curves/meltCurve_tr_H0YMB3_H0YMB3_HUMAN_.pdf</t>
  </si>
  <si>
    <t>Melting_Curves/meltCurve_tr_H0YMM7_H0YMM7_HUMAN_.pdf</t>
  </si>
  <si>
    <t>Melting_Curves/meltCurve_tr_H0YN81_H0YN81_HUMAN_.pdf</t>
  </si>
  <si>
    <t>Melting_Curves/meltCurve_tr_H0YNE9_H0YNE9_HUMAN_.pdf</t>
  </si>
  <si>
    <t>Melting_Curves/meltCurve_tr_H0YNU5_H0YNU5_HUMAN_.pdf</t>
  </si>
  <si>
    <t>Melting_Curves/meltCurve_tr_H3BLU7_H3BLU7_HUMAN_.pdf</t>
  </si>
  <si>
    <t>Melting_Curves/meltCurve_tr_H3BM67_H3BM67_HUMAN_.pdf</t>
  </si>
  <si>
    <t>Melting_Curves/meltCurve_tr_H3BMM5_H3BMM5_HUMAN_.pdf</t>
  </si>
  <si>
    <t>Melting_Curves/meltCurve_tr_H3BN98_H3BN98_HUMAN_.pdf</t>
  </si>
  <si>
    <t>Melting_Curves/meltCurve_tr_H3BND3_H3BND3_HUMAN_.pdf</t>
  </si>
  <si>
    <t>Melting_Curves/meltCurve_tr_H3BPB8_H3BPB8_HUMAN_.pdf</t>
  </si>
  <si>
    <t>Melting_Curves/meltCurve_tr_H3BPE1_H3BPE1_HUMAN_.pdf</t>
  </si>
  <si>
    <t>Melting_Curves/meltCurve_tr_H3BPZ6_H3BPZ6_HUMAN_.pdf</t>
  </si>
  <si>
    <t>Melting_Curves/meltCurve_tr_H3BQ52_H3BQ52_HUMAN_.pdf</t>
  </si>
  <si>
    <t>Melting_Curves/meltCurve_tr_H3BQH3_H3BQH3_HUMAN_.pdf</t>
  </si>
  <si>
    <t>Melting_Curves/meltCurve_tr_H3BQP5_H3BQP5_HUMAN_.pdf</t>
  </si>
  <si>
    <t>Melting_Curves/meltCurve_tr_H3BQV3_H3BQV3_HUMAN_.pdf</t>
  </si>
  <si>
    <t>Melting_Curves/meltCurve_tr_H3BQZ7_H3BQZ7_HUMAN_.pdf</t>
  </si>
  <si>
    <t>Melting_Curves/meltCurve_tr_H3BRF9_H3BRF9_HUMAN_.pdf</t>
  </si>
  <si>
    <t>Melting_Curves/meltCurve_tr_H3BRG4_H3BRG4_HUMAN_.pdf</t>
  </si>
  <si>
    <t>Melting_Curves/meltCurve_tr_H3BRL3_H3BRL3_HUMAN_.pdf</t>
  </si>
  <si>
    <t>Melting_Curves/meltCurve_tr_H3BRQ0_H3BRQ0_HUMAN_.pdf</t>
  </si>
  <si>
    <t>Melting_Curves/meltCurve_tr_H3BRQ8_H3BRQ8_HUMAN_.pdf</t>
  </si>
  <si>
    <t>Melting_Curves/meltCurve_tr_H3BRT1_H3BRT1_HUMAN_.pdf</t>
  </si>
  <si>
    <t>Melting_Curves/meltCurve_tr_H3BRV0_H3BRV0_HUMAN_.pdf</t>
  </si>
  <si>
    <t>Melting_Curves/meltCurve_tr_H3BTA2_H3BTA2_HUMAN_.pdf</t>
  </si>
  <si>
    <t>Melting_Curves/meltCurve_tr_H3BTB7_H3BTB7_HUMAN_.pdf</t>
  </si>
  <si>
    <t>Melting_Curves/meltCurve_tr_H3BTL2_H3BTL2_HUMAN_.pdf</t>
  </si>
  <si>
    <t>Melting_Curves/meltCurve_tr_H3BU49_H3BU49_HUMAN_.pdf</t>
  </si>
  <si>
    <t>Melting_Curves/meltCurve_tr_H3BV05_H3BV05_HUMAN_.pdf</t>
  </si>
  <si>
    <t>Melting_Curves/meltCurve_tr_H3BV16_H3BV16_HUMAN_.pdf</t>
  </si>
  <si>
    <t>Melting_Curves/meltCurve_tr_H7BXH2_H7BXH2_HUMAN_.pdf</t>
  </si>
  <si>
    <t>Melting_Curves/meltCurve_tr_H7BXV2_H7BXV2_HUMAN_.pdf</t>
  </si>
  <si>
    <t>Melting_Curves/meltCurve_tr_H7BXV5_H7BXV5_HUMAN_.pdf</t>
  </si>
  <si>
    <t>Melting_Curves/meltCurve_tr_H7BXZ5_H7BXZ5_HUMAN_.pdf</t>
  </si>
  <si>
    <t>Melting_Curves/meltCurve_tr_H7BYD0_H7BYD0_HUMAN_.pdf</t>
  </si>
  <si>
    <t>Melting_Curves/meltCurve_tr_H7BYY1_H7BYY1_HUMAN_.pdf</t>
  </si>
  <si>
    <t>Melting_Curves/meltCurve_tr_H7BZ00_H7BZ00_HUMAN_.pdf</t>
  </si>
  <si>
    <t>Melting_Curves/meltCurve_tr_H7BZL0_H7BZL0_HUMAN_.pdf</t>
  </si>
  <si>
    <t>Melting_Curves/meltCurve_tr_H7C0E5_H7C0E5_HUMAN_.pdf</t>
  </si>
  <si>
    <t>Melting_Curves/meltCurve_tr_H7C0G7_H7C0G7_HUMAN_.pdf</t>
  </si>
  <si>
    <t>Melting_Curves/meltCurve_tr_H7C0V9_H7C0V9_HUMAN_.pdf</t>
  </si>
  <si>
    <t>Melting_Curves/meltCurve_tr_H7C0Y4_H7C0Y4_HUMAN_.pdf</t>
  </si>
  <si>
    <t>Melting_Curves/meltCurve_tr_H7C128_H7C128_HUMAN_.pdf</t>
  </si>
  <si>
    <t>Melting_Curves/meltCurve_tr_H7C1I7_H7C1I7_HUMAN_.pdf</t>
  </si>
  <si>
    <t>Melting_Curves/meltCurve_tr_H7C1J4_H7C1J4_HUMAN_.pdf</t>
  </si>
  <si>
    <t>Melting_Curves/meltCurve_tr_H7C1V3_H7C1V3_HUMAN_.pdf</t>
  </si>
  <si>
    <t>Melting_Curves/meltCurve_tr_H7C2B1_H7C2B1_HUMAN_.pdf</t>
  </si>
  <si>
    <t>Melting_Curves/meltCurve_tr_H7C2G2_H7C2G2_HUMAN_.pdf</t>
  </si>
  <si>
    <t>Melting_Curves/meltCurve_tr_H7C3G7_H7C3G7_HUMAN_.pdf</t>
  </si>
  <si>
    <t>Melting_Curves/meltCurve_tr_H7C3P4_H7C3P4_HUMAN_.pdf</t>
  </si>
  <si>
    <t>Melting_Curves/meltCurve_tr_H7C3T2_H7C3T2_HUMAN_.pdf</t>
  </si>
  <si>
    <t>Melting_Curves/meltCurve_tr_H7C4T5_H7C4T5_HUMAN_.pdf</t>
  </si>
  <si>
    <t>Melting_Curves/meltCurve_tr_H7C5G1_H7C5G1_HUMAN_.pdf</t>
  </si>
  <si>
    <t>Melting_Curves/meltCurve_tr_I3L097_I3L097_HUMAN_.pdf</t>
  </si>
  <si>
    <t>Melting_Curves/meltCurve_tr_I3L0A5_I3L0A5_HUMAN_.pdf</t>
  </si>
  <si>
    <t>Melting_Curves/meltCurve_tr_I3L0H8_I3L0H8_HUMAN_.pdf</t>
  </si>
  <si>
    <t>Melting_Curves/meltCurve_tr_I3L0K7_I3L0K7_HUMAN_.pdf</t>
  </si>
  <si>
    <t>Melting_Curves/meltCurve_tr_I3L1H5_I3L1H5_HUMAN_.pdf</t>
  </si>
  <si>
    <t>Melting_Curves/meltCurve_tr_I3L1K7_I3L1K7_HUMAN_.pdf</t>
  </si>
  <si>
    <t>Melting_Curves/meltCurve_tr_I3L1Q3_I3L1Q3_HUMAN_.pdf</t>
  </si>
  <si>
    <t>Melting_Curves/meltCurve_tr_I3L2B0_I3L2B0_HUMAN_.pdf</t>
  </si>
  <si>
    <t>Melting_Curves/meltCurve_tr_I3L2J0_I3L2J0_HUMAN_.pdf</t>
  </si>
  <si>
    <t>Melting_Curves/meltCurve_tr_I3L2L5_I3L2L5_HUMAN_.pdf</t>
  </si>
  <si>
    <t>Melting_Curves/meltCurve_tr_I3L397_I3L397_HUMAN_.pdf</t>
  </si>
  <si>
    <t>Melting_Curves/meltCurve_tr_I3L4C3_I3L4C3_HUMAN_.pdf</t>
  </si>
  <si>
    <t>Melting_Curves/meltCurve_tr_I3L4X3_I3L4X3_HUMAN_.pdf</t>
  </si>
  <si>
    <t>Melting_Curves/meltCurve_tr_I3L521_I3L521_HUMAN_.pdf</t>
  </si>
  <si>
    <t>Melting_Curves/meltCurve_tr_J3KMY5_J3KMY5_HUMAN_.pdf</t>
  </si>
  <si>
    <t>Melting_Curves/meltCurve_tr_J3KN29_J3KN29_HUMAN_.pdf</t>
  </si>
  <si>
    <t>Melting_Curves/meltCurve_tr_J3KN66_J3KN66_HUMAN_.pdf</t>
  </si>
  <si>
    <t>Melting_Curves/meltCurve_tr_J3KN75_J3KN75_HUMAN_.pdf</t>
  </si>
  <si>
    <t>Melting_Curves/meltCurve_tr_J3KNC0_J3KNC0_HUMAN_.pdf</t>
  </si>
  <si>
    <t>Melting_Curves/meltCurve_tr_J3KND1_J3KND1_HUMAN_.pdf</t>
  </si>
  <si>
    <t>Melting_Curves/meltCurve_tr_J3KNE2_J3KNE2_HUMAN_.pdf</t>
  </si>
  <si>
    <t>Melting_Curves/meltCurve_tr_J3KNF4_J3KNF4_HUMAN_.pdf</t>
  </si>
  <si>
    <t>Melting_Curves/meltCurve_tr_J3KNL6_J3KNL6_HUMAN_.pdf</t>
  </si>
  <si>
    <t>Melting_Curves/meltCurve_tr_J3KNN7_J3KNN7_HUMAN_.pdf</t>
  </si>
  <si>
    <t>Melting_Curves/meltCurve_tr_J3KP15_J3KP15_HUMAN_.pdf</t>
  </si>
  <si>
    <t>Melting_Curves/meltCurve_tr_J3KP19_J3KP19_HUMAN_.pdf</t>
  </si>
  <si>
    <t>Melting_Curves/meltCurve_tr_J3KP30_J3KP30_HUMAN_.pdf</t>
  </si>
  <si>
    <t>Melting_Curves/meltCurve_tr_J3KP36_J3KP36_HUMAN_.pdf</t>
  </si>
  <si>
    <t>Melting_Curves/meltCurve_tr_J3KPS2_J3KPS2_HUMAN_.pdf</t>
  </si>
  <si>
    <t>Melting_Curves/meltCurve_tr_J3KPV7_J3KPV7_HUMAN_.pdf</t>
  </si>
  <si>
    <t>Melting_Curves/meltCurve_tr_J3KQ72_J3KQ72_HUMAN_.pdf</t>
  </si>
  <si>
    <t>Melting_Curves/meltCurve_tr_J3KQG4_J3KQG4_HUMAN_.pdf</t>
  </si>
  <si>
    <t>Melting_Curves/meltCurve_tr_J3KQS6_J3KQS6_HUMAN_.pdf</t>
  </si>
  <si>
    <t>Melting_Curves/meltCurve_tr_J3KRP0_J3KRP0_HUMAN_.pdf</t>
  </si>
  <si>
    <t>Melting_Curves/meltCurve_tr_J3KRR7_J3KRR7_HUMAN_.pdf</t>
  </si>
  <si>
    <t>Melting_Curves/meltCurve_tr_J3KS05_J3KS05_HUMAN_.pdf</t>
  </si>
  <si>
    <t>Melting_Curves/meltCurve_tr_J3KS94_J3KS94_HUMAN_.pdf</t>
  </si>
  <si>
    <t>Melting_Curves/meltCurve_tr_J3KSS7_J3KSS7_HUMAN_.pdf</t>
  </si>
  <si>
    <t>Melting_Curves/meltCurve_tr_J3KST8_J3KST8_HUMAN_.pdf</t>
  </si>
  <si>
    <t>Melting_Curves/meltCurve_tr_J3KSZ8_J3KSZ8_HUMAN_.pdf</t>
  </si>
  <si>
    <t>Melting_Curves/meltCurve_tr_J3KT51_J3KT51_HUMAN_.pdf</t>
  </si>
  <si>
    <t>Melting_Curves/meltCurve_tr_J3KT74_J3KT74_HUMAN_.pdf</t>
  </si>
  <si>
    <t>Melting_Curves/meltCurve_tr_J3KTJ8_J3KTJ8_HUMAN_.pdf</t>
  </si>
  <si>
    <t>Melting_Curves/meltCurve_tr_J3QL56_J3QL56_HUMAN_.pdf</t>
  </si>
  <si>
    <t>Melting_Curves/meltCurve_tr_J3QLE5_J3QLE5_HUMAN_.pdf</t>
  </si>
  <si>
    <t>Melting_Curves/meltCurve_tr_J3QLP6_J3QLP6_HUMAN_.pdf</t>
  </si>
  <si>
    <t>Melting_Curves/meltCurve_tr_J3QLU0_J3QLU0_HUMAN_.pdf</t>
  </si>
  <si>
    <t>Melting_Curves/meltCurve_tr_J3QQJ5_J3QQJ5_HUMAN_.pdf</t>
  </si>
  <si>
    <t>Melting_Curves/meltCurve_tr_J3QQT2_J3QQT2_HUMAN_.pdf</t>
  </si>
  <si>
    <t>Melting_Curves/meltCurve_tr_J3QQX3_J3QQX3_HUMAN_.pdf</t>
  </si>
  <si>
    <t>Melting_Curves/meltCurve_tr_J3QR09_J3QR09_HUMAN_.pdf</t>
  </si>
  <si>
    <t>Melting_Curves/meltCurve_tr_J3QRH2_J3QRH2_HUMAN_.pdf</t>
  </si>
  <si>
    <t>Melting_Curves/meltCurve_tr_J3QRK2_J3QRK2_HUMAN_.pdf</t>
  </si>
  <si>
    <t>Melting_Curves/meltCurve_tr_J3QRX6_J3QRX6_HUMAN_.pdf</t>
  </si>
  <si>
    <t>Melting_Curves/meltCurve_tr_J3QRZ6_J3QRZ6_HUMAN_.pdf</t>
  </si>
  <si>
    <t>Melting_Curves/meltCurve_tr_J3QSE5_J3QSE5_HUMAN_.pdf</t>
  </si>
  <si>
    <t>Melting_Curves/meltCurve_tr_J3QSV6_J3QSV6_HUMAN_.pdf</t>
  </si>
  <si>
    <t>Melting_Curves/meltCurve_tr_J3QSY4_J3QSY4_HUMAN_.pdf</t>
  </si>
  <si>
    <t>Melting_Curves/meltCurve_tr_J9JIC5_J9JIC5_HUMAN_.pdf</t>
  </si>
  <si>
    <t>Melting_Curves/meltCurve_tr_J9JIE0_J9JIE0_HUMAN_.pdf</t>
  </si>
  <si>
    <t>Melting_Curves/meltCurve_tr_J9JIE9_J9JIE9_HUMAN_.pdf</t>
  </si>
  <si>
    <t>Melting_Curves/meltCurve_tr_K7EIG1_K7EIG1_HUMAN_.pdf</t>
  </si>
  <si>
    <t>Melting_Curves/meltCurve_tr_K7EIN1_K7EIN1_HUMAN_.pdf</t>
  </si>
  <si>
    <t>Melting_Curves/meltCurve_tr_K7EIR0_K7EIR0_HUMAN_.pdf</t>
  </si>
  <si>
    <t>Melting_Curves/meltCurve_tr_K7EIU8_K7EIU8_HUMAN_.pdf</t>
  </si>
  <si>
    <t>Melting_Curves/meltCurve_tr_K7EIV9_K7EIV9_HUMAN_.pdf</t>
  </si>
  <si>
    <t>Melting_Curves/meltCurve_tr_K7EJ05_K7EJ05_HUMAN_.pdf</t>
  </si>
  <si>
    <t>Melting_Curves/meltCurve_tr_K7EJB9_K7EJB9_HUMAN_.pdf</t>
  </si>
  <si>
    <t>Melting_Curves/meltCurve_tr_K7EJG0_K7EJG0_HUMAN_.pdf</t>
  </si>
  <si>
    <t>Melting_Curves/meltCurve_tr_K7EJX0_K7EJX0_HUMAN_.pdf</t>
  </si>
  <si>
    <t>Melting_Curves/meltCurve_tr_K7EK07_K7EK07_HUMAN_.pdf</t>
  </si>
  <si>
    <t>Melting_Curves/meltCurve_tr_K7EK11_K7EK11_HUMAN_.pdf</t>
  </si>
  <si>
    <t>Melting_Curves/meltCurve_tr_K7EKE6_K7EKE6_HUMAN_.pdf</t>
  </si>
  <si>
    <t>Melting_Curves/meltCurve_tr_K7ELL7_K7ELL7_HUMAN_.pdf</t>
  </si>
  <si>
    <t>Melting_Curves/meltCurve_tr_K7EM02_K7EM02_HUMAN_.pdf</t>
  </si>
  <si>
    <t>Melting_Curves/meltCurve_tr_K7EM09_K7EM09_HUMAN_.pdf</t>
  </si>
  <si>
    <t>Melting_Curves/meltCurve_tr_K7EM38_K7EM38_HUMAN_.pdf</t>
  </si>
  <si>
    <t>Melting_Curves/meltCurve_tr_K7EME0_K7EME0_HUMAN_.pdf</t>
  </si>
  <si>
    <t>Melting_Curves/meltCurve_tr_K7EN05_K7EN05_HUMAN_.pdf</t>
  </si>
  <si>
    <t>Melting_Curves/meltCurve_tr_K7ENR6_K7ENR6_HUMAN_.pdf</t>
  </si>
  <si>
    <t>Melting_Curves/meltCurve_tr_K7ENT8_K7ENT8_HUMAN_.pdf</t>
  </si>
  <si>
    <t>Melting_Curves/meltCurve_tr_K7EP32_K7EP32_HUMAN_.pdf</t>
  </si>
  <si>
    <t>Melting_Curves/meltCurve_tr_K7ER46_K7ER46_HUMAN_.pdf</t>
  </si>
  <si>
    <t>Melting_Curves/meltCurve_tr_K7ERE3_K7ERE3_HUMAN_.pdf</t>
  </si>
  <si>
    <t>Melting_Curves/meltCurve_tr_K7ERI9_K7ERI9_HUMAN_.pdf</t>
  </si>
  <si>
    <t>Melting_Curves/meltCurve_tr_K7ES31_K7ES31_HUMAN_.pdf</t>
  </si>
  <si>
    <t>Melting_Curves/meltCurve_tr_K7ESE3_K7ESE3_HUMAN_.pdf</t>
  </si>
  <si>
    <t>Melting_Curves/meltCurve_tr_M0QWZ7_M0QWZ7_HUMAN_.pdf</t>
  </si>
  <si>
    <t>Melting_Curves/meltCurve_tr_M0QX35_M0QX35_HUMAN_.pdf</t>
  </si>
  <si>
    <t>Melting_Curves/meltCurve_tr_M0QXL5_M0QXL5_HUMAN_.pdf</t>
  </si>
  <si>
    <t>Melting_Curves/meltCurve_tr_M0QYF4_M0QYF4_HUMAN_.pdf</t>
  </si>
  <si>
    <t>Melting_Curves/meltCurve_tr_M0QZC7_M0QZC7_HUMAN_.pdf</t>
  </si>
  <si>
    <t>Melting_Curves/meltCurve_tr_M0QZE0_M0QZE0_HUMAN_.pdf</t>
  </si>
  <si>
    <t>Melting_Curves/meltCurve_tr_M0R021_M0R021_HUMAN_.pdf</t>
  </si>
  <si>
    <t>Melting_Curves/meltCurve_tr_M0R0B4_M0R0B4_HUMAN_.pdf</t>
  </si>
  <si>
    <t>Melting_Curves/meltCurve_tr_M0R248_M0R248_HUMAN_.pdf</t>
  </si>
  <si>
    <t>Melting_Curves/meltCurve_tr_M0R2L9_M0R2L9_HUMAN_.pdf</t>
  </si>
  <si>
    <t>Melting_Curves/meltCurve_tr_O95205_O95205_HUMAN_.pdf</t>
  </si>
  <si>
    <t>Melting_Curves/meltCurve_tr_Q17RU2_Q17RU2_HUMAN_.pdf</t>
  </si>
  <si>
    <t>Melting_Curves/meltCurve_tr_Q2TAM5_Q2TAM5_HUMAN_.pdf</t>
  </si>
  <si>
    <t>Melting_Curves/meltCurve_tr_Q32N00_Q32N00_HUMAN_.pdf</t>
  </si>
  <si>
    <t>Melting_Curves/meltCurve_tr_Q53XA7_Q53XA7_HUMAN_.pdf</t>
  </si>
  <si>
    <t>Melting_Curves/meltCurve_tr_Q567Q0_Q567Q0_HUMAN_.pdf</t>
  </si>
  <si>
    <t>Melting_Curves/meltCurve_tr_Q5H9A7_Q5H9A7_HUMAN_.pdf</t>
  </si>
  <si>
    <t>Melting_Curves/meltCurve_tr_Q5HY54_Q5HY54_HUMAN_.pdf</t>
  </si>
  <si>
    <t>Melting_Curves/meltCurve_tr_Q5JB52_Q5JB52_HUMAN_.pdf</t>
  </si>
  <si>
    <t>Melting_Curves/meltCurve_tr_Q5JP53_Q5JP53_HUMAN_.pdf</t>
  </si>
  <si>
    <t>Melting_Curves/meltCurve_tr_Q5JR08_Q5JR08_HUMAN_.pdf</t>
  </si>
  <si>
    <t>Melting_Curves/meltCurve_tr_Q5JRG1_Q5JRG1_HUMAN_.pdf</t>
  </si>
  <si>
    <t>Melting_Curves/meltCurve_tr_Q5JTV1_Q5JTV1_HUMAN_.pdf</t>
  </si>
  <si>
    <t>Melting_Curves/meltCurve_tr_Q5JUA8_Q5JUA8_HUMAN_.pdf</t>
  </si>
  <si>
    <t>Melting_Curves/meltCurve_tr_Q5JW30_Q5JW30_HUMAN_.pdf</t>
  </si>
  <si>
    <t>Melting_Curves/meltCurve_tr_Q5QNY5_Q5QNY5_HUMAN_.pdf</t>
  </si>
  <si>
    <t>Melting_Curves/meltCurve_tr_Q5QPL9_Q5QPL9_HUMAN_.pdf</t>
  </si>
  <si>
    <t>Melting_Curves/meltCurve_tr_Q5QPM7_Q5QPM7_HUMAN_.pdf</t>
  </si>
  <si>
    <t>Melting_Curves/meltCurve_tr_Q5SSZ3_Q5SSZ3_HUMAN_.pdf</t>
  </si>
  <si>
    <t>Melting_Curves/meltCurve_tr_Q5SZC6_Q5SZC6_HUMAN_.pdf</t>
  </si>
  <si>
    <t>Melting_Curves/meltCurve_tr_Q5T123_Q5T123_HUMAN_.pdf</t>
  </si>
  <si>
    <t>Melting_Curves/meltCurve_tr_Q5T6K7_Q5T6K7_HUMAN_.pdf</t>
  </si>
  <si>
    <t>Melting_Curves/meltCurve_tr_Q5T7A4_Q5T7A4_HUMAN_.pdf</t>
  </si>
  <si>
    <t>Melting_Curves/meltCurve_tr_Q5T985_Q5T985_HUMAN_.pdf</t>
  </si>
  <si>
    <t>Melting_Curves/meltCurve_tr_Q5TA04_Q5TA04_HUMAN_.pdf</t>
  </si>
  <si>
    <t>Melting_Curves/meltCurve_tr_Q5TA58_Q5TA58_HUMAN_.pdf</t>
  </si>
  <si>
    <t>Melting_Curves/meltCurve_tr_Q5TAQ0_Q5TAQ0_HUMAN_.pdf</t>
  </si>
  <si>
    <t>Melting_Curves/meltCurve_tr_Q5TBP5_Q5TBP5_HUMAN_.pdf</t>
  </si>
  <si>
    <t>Melting_Curves/meltCurve_tr_Q5TBP9_Q5TBP9_HUMAN_.pdf</t>
  </si>
  <si>
    <t>Melting_Curves/meltCurve_tr_Q5TCW7_Q5TCW7_HUMAN_.pdf</t>
  </si>
  <si>
    <t>Melting_Curves/meltCurve_tr_Q5TH58_Q5TH58_HUMAN_.pdf</t>
  </si>
  <si>
    <t>Melting_Curves/meltCurve_tr_Q5VTI5_Q5VTI5_HUMAN_.pdf</t>
  </si>
  <si>
    <t>Melting_Curves/meltCurve_tr_Q5VTU3_Q5VTU3_HUMAN_.pdf</t>
  </si>
  <si>
    <t>Melting_Curves/meltCurve_tr_Q5VZM0_Q5VZM0_HUMAN_.pdf</t>
  </si>
  <si>
    <t>Melting_Curves/meltCurve_tr_Q64EX5_Q64EX5_HUMAN_.pdf</t>
  </si>
  <si>
    <t>Melting_Curves/meltCurve_tr_Q68DL3_Q68DL3_HUMAN_.pdf</t>
  </si>
  <si>
    <t>Melting_Curves/meltCurve_tr_Q6ICJ4_Q6ICJ4_HUMAN_.pdf</t>
  </si>
  <si>
    <t>Melting_Curves/meltCurve_tr_Q6PIR0_Q6PIR0_HUMAN_.pdf</t>
  </si>
  <si>
    <t>Melting_Curves/meltCurve_tr_Q6PJZ0_Q6PJZ0_HUMAN_.pdf</t>
  </si>
  <si>
    <t>Melting_Curves/meltCurve_tr_Q71TU5_Q71TU5_HUMAN_.pdf</t>
  </si>
  <si>
    <t>Melting_Curves/meltCurve_tr_Q7Z721_Q7Z721_HUMAN_.pdf</t>
  </si>
  <si>
    <t>Melting_Curves/meltCurve_tr_Q86UY0_Q86UY0_HUMAN_.pdf</t>
  </si>
  <si>
    <t>Melting_Curves/meltCurve_tr_Q86VQ2_Q86VQ2_HUMAN_.pdf</t>
  </si>
  <si>
    <t>Melting_Curves/meltCurve_tr_Q8IUW1_Q8IUW1_HUMAN_.pdf</t>
  </si>
  <si>
    <t>Melting_Curves/meltCurve_tr_Q8IYN9_Q8IYN9_HUMAN_.pdf</t>
  </si>
  <si>
    <t>Melting_Curves/meltCurve_tr_Q8N749_Q8N749_HUMAN_.pdf</t>
  </si>
  <si>
    <t>Melting_Curves/meltCurve_tr_Q8NBY1_Q8NBY1_HUMAN_.pdf</t>
  </si>
  <si>
    <t>Melting_Curves/meltCurve_tr_Q8WVC2_Q8WVC2_HUMAN_.pdf</t>
  </si>
  <si>
    <t>Melting_Curves/meltCurve_tr_Q8WYQ7_Q8WYQ7_HUMAN_.pdf</t>
  </si>
  <si>
    <t>Melting_Curves/meltCurve_tr_Q96G53_Q96G53_HUMAN_.pdf</t>
  </si>
  <si>
    <t>Melting_Curves/meltCurve_tr_Q9H6Y6_Q9H6Y6_HUMAN_.pdf</t>
  </si>
  <si>
    <t>Melting_Curves/meltCurve_tr_Q9UII8_Q9UII8_HUMAN_.pdf</t>
  </si>
  <si>
    <t>Melting_Curves/meltCurve_tr_Q9UQL0_Q9UQL0_HUMAN_.pdf</t>
  </si>
  <si>
    <t>Melting_Curves/meltCurve_tr_R4GMR5_R4GMR5_HUMAN_.pdf</t>
  </si>
  <si>
    <t>Melting_Curves/meltCurve_tr_R4GMU8_R4GMU8_HUMAN_.pdf</t>
  </si>
  <si>
    <t>Melting_Curves/meltCurve_tr_R4GMX3_R4GMX3_HUMAN_.pdf</t>
  </si>
  <si>
    <t>Melting_Curves/meltCurve_tr_R4GN55_R4GN55_HUMAN_.pdf</t>
  </si>
  <si>
    <t>Melting_Curves/meltCurve_tr_R4GN98_R4GN98_HUMAN_.pdf</t>
  </si>
  <si>
    <t>Melting_Curves/meltCurve_tr_R4GNB2_R4GNB2_HUMAN_.pdf</t>
  </si>
  <si>
    <t>Melting_Curves/meltCurve_tr_R4GNH3_R4GNH3_HUMAN_.pdf</t>
  </si>
  <si>
    <t>Yes</t>
  </si>
  <si>
    <t>No</t>
  </si>
  <si>
    <t>A0AVT1</t>
  </si>
  <si>
    <t>A0JNW5</t>
  </si>
  <si>
    <t>A0MZ66</t>
  </si>
  <si>
    <t>A1L170</t>
  </si>
  <si>
    <t>A1L188</t>
  </si>
  <si>
    <t>A1X283</t>
  </si>
  <si>
    <t>A2RUC4</t>
  </si>
  <si>
    <t>A2VDF0-2</t>
  </si>
  <si>
    <t>A3KMH1-3</t>
  </si>
  <si>
    <t>A3KN83-3</t>
  </si>
  <si>
    <t>A4D126-2</t>
  </si>
  <si>
    <t>A4D1P6-2</t>
  </si>
  <si>
    <t>A5PLN9-2</t>
  </si>
  <si>
    <t>A5YKK6-2</t>
  </si>
  <si>
    <t>A6ND36-2</t>
  </si>
  <si>
    <t>A6ND91</t>
  </si>
  <si>
    <t>A6NDB9</t>
  </si>
  <si>
    <t>A6NDG6</t>
  </si>
  <si>
    <t>A6NED2</t>
  </si>
  <si>
    <t>A6NEL2</t>
  </si>
  <si>
    <t>A6NFY7</t>
  </si>
  <si>
    <t>A6NIH7</t>
  </si>
  <si>
    <t>A6NK44</t>
  </si>
  <si>
    <t>A6NK58</t>
  </si>
  <si>
    <t>A6NKD9</t>
  </si>
  <si>
    <t>A6NKN8</t>
  </si>
  <si>
    <t>A6NLP5</t>
  </si>
  <si>
    <t>A8MSI8</t>
  </si>
  <si>
    <t>A8MXV4</t>
  </si>
  <si>
    <t>B1AJZ9-4</t>
  </si>
  <si>
    <t>B1AK53</t>
  </si>
  <si>
    <t>B7ZBB8</t>
  </si>
  <si>
    <t>B9A064</t>
  </si>
  <si>
    <t>C4AMC7</t>
  </si>
  <si>
    <t>F8WCM5</t>
  </si>
  <si>
    <t>O00116</t>
  </si>
  <si>
    <t>O00124-3</t>
  </si>
  <si>
    <t>O00139-2</t>
  </si>
  <si>
    <t>O00142</t>
  </si>
  <si>
    <t>O00151</t>
  </si>
  <si>
    <t>O00154-6</t>
  </si>
  <si>
    <t>O00161</t>
  </si>
  <si>
    <t>O00170</t>
  </si>
  <si>
    <t>O00178</t>
  </si>
  <si>
    <t>O00214</t>
  </si>
  <si>
    <t>O00231</t>
  </si>
  <si>
    <t>O00232</t>
  </si>
  <si>
    <t>O00244</t>
  </si>
  <si>
    <t>O00264</t>
  </si>
  <si>
    <t>O00267-2</t>
  </si>
  <si>
    <t>O00273</t>
  </si>
  <si>
    <t>O00291</t>
  </si>
  <si>
    <t>O00299</t>
  </si>
  <si>
    <t>O00399</t>
  </si>
  <si>
    <t>O00401</t>
  </si>
  <si>
    <t>O00410</t>
  </si>
  <si>
    <t>O00429-4</t>
  </si>
  <si>
    <t>O00459</t>
  </si>
  <si>
    <t>O00462</t>
  </si>
  <si>
    <t>O00468-2</t>
  </si>
  <si>
    <t>O00471</t>
  </si>
  <si>
    <t>O00479</t>
  </si>
  <si>
    <t>O00483</t>
  </si>
  <si>
    <t>O00487</t>
  </si>
  <si>
    <t>O00499-6</t>
  </si>
  <si>
    <t>O00505</t>
  </si>
  <si>
    <t>O00506</t>
  </si>
  <si>
    <t>O00515</t>
  </si>
  <si>
    <t>O00534</t>
  </si>
  <si>
    <t>O00567</t>
  </si>
  <si>
    <t>O00571</t>
  </si>
  <si>
    <t>O00625</t>
  </si>
  <si>
    <t>O00629</t>
  </si>
  <si>
    <t>O00635</t>
  </si>
  <si>
    <t>O00743</t>
  </si>
  <si>
    <t>O00748</t>
  </si>
  <si>
    <t>O00754</t>
  </si>
  <si>
    <t>O00757</t>
  </si>
  <si>
    <t>O00763</t>
  </si>
  <si>
    <t>O00764</t>
  </si>
  <si>
    <t>O14497</t>
  </si>
  <si>
    <t>O14519-2</t>
  </si>
  <si>
    <t>O14545</t>
  </si>
  <si>
    <t>O14561</t>
  </si>
  <si>
    <t>O14579-2</t>
  </si>
  <si>
    <t>O14579</t>
  </si>
  <si>
    <t>O14617-4</t>
  </si>
  <si>
    <t>O14686</t>
  </si>
  <si>
    <t>O14732-2</t>
  </si>
  <si>
    <t>O14734</t>
  </si>
  <si>
    <t>O14737</t>
  </si>
  <si>
    <t>O14744</t>
  </si>
  <si>
    <t>O14745</t>
  </si>
  <si>
    <t>O14756</t>
  </si>
  <si>
    <t>O14772</t>
  </si>
  <si>
    <t>O14773-2</t>
  </si>
  <si>
    <t>O14776-2</t>
  </si>
  <si>
    <t>O14787-2</t>
  </si>
  <si>
    <t>O14818</t>
  </si>
  <si>
    <t>O14832</t>
  </si>
  <si>
    <t>O14841</t>
  </si>
  <si>
    <t>O14867</t>
  </si>
  <si>
    <t>O14879</t>
  </si>
  <si>
    <t>O14896</t>
  </si>
  <si>
    <t>O14907</t>
  </si>
  <si>
    <t>O14929</t>
  </si>
  <si>
    <t>O14933</t>
  </si>
  <si>
    <t>O14936-3</t>
  </si>
  <si>
    <t>O14964</t>
  </si>
  <si>
    <t>O14974</t>
  </si>
  <si>
    <t>O14975-2</t>
  </si>
  <si>
    <t>O14976</t>
  </si>
  <si>
    <t>O14979-3</t>
  </si>
  <si>
    <t>O14980</t>
  </si>
  <si>
    <t>O14981</t>
  </si>
  <si>
    <t>O15014</t>
  </si>
  <si>
    <t>O15020</t>
  </si>
  <si>
    <t>O15021-2</t>
  </si>
  <si>
    <t>O15031</t>
  </si>
  <si>
    <t>O15056-3</t>
  </si>
  <si>
    <t>O15067</t>
  </si>
  <si>
    <t>O15084</t>
  </si>
  <si>
    <t>O15085</t>
  </si>
  <si>
    <t>O15116</t>
  </si>
  <si>
    <t>O15143</t>
  </si>
  <si>
    <t>O15144</t>
  </si>
  <si>
    <t>O15145</t>
  </si>
  <si>
    <t>O15156</t>
  </si>
  <si>
    <t>O15173</t>
  </si>
  <si>
    <t>O15212</t>
  </si>
  <si>
    <t>O15230</t>
  </si>
  <si>
    <t>O15234</t>
  </si>
  <si>
    <t>O15254</t>
  </si>
  <si>
    <t>O15294-3</t>
  </si>
  <si>
    <t>O15305</t>
  </si>
  <si>
    <t>O15355</t>
  </si>
  <si>
    <t>O15372</t>
  </si>
  <si>
    <t>O15379</t>
  </si>
  <si>
    <t>O15382</t>
  </si>
  <si>
    <t>O15397</t>
  </si>
  <si>
    <t>O15400-2</t>
  </si>
  <si>
    <t>O15467</t>
  </si>
  <si>
    <t>O15488-4</t>
  </si>
  <si>
    <t>O15498</t>
  </si>
  <si>
    <t>O15511</t>
  </si>
  <si>
    <t>O15514</t>
  </si>
  <si>
    <t>O15541</t>
  </si>
  <si>
    <t>O43143</t>
  </si>
  <si>
    <t>O43148</t>
  </si>
  <si>
    <t>O43172-2</t>
  </si>
  <si>
    <t>O43175</t>
  </si>
  <si>
    <t>O43236-5</t>
  </si>
  <si>
    <t>O43237</t>
  </si>
  <si>
    <t>O43242</t>
  </si>
  <si>
    <t>O43252</t>
  </si>
  <si>
    <t>O43264</t>
  </si>
  <si>
    <t>O43290</t>
  </si>
  <si>
    <t>O43312-4</t>
  </si>
  <si>
    <t>O43314-2</t>
  </si>
  <si>
    <t>O43318-2</t>
  </si>
  <si>
    <t>O43325</t>
  </si>
  <si>
    <t>O43353-2</t>
  </si>
  <si>
    <t>O43390</t>
  </si>
  <si>
    <t>O43396</t>
  </si>
  <si>
    <t>O43399</t>
  </si>
  <si>
    <t>O43414-3</t>
  </si>
  <si>
    <t>O43426-4</t>
  </si>
  <si>
    <t>O43432</t>
  </si>
  <si>
    <t>O43464-3</t>
  </si>
  <si>
    <t>O43491-4</t>
  </si>
  <si>
    <t>O43493-2</t>
  </si>
  <si>
    <t>O43566-5</t>
  </si>
  <si>
    <t>O43583</t>
  </si>
  <si>
    <t>O43592</t>
  </si>
  <si>
    <t>O43598</t>
  </si>
  <si>
    <t>O43615</t>
  </si>
  <si>
    <t>O43617</t>
  </si>
  <si>
    <t>O43633</t>
  </si>
  <si>
    <t>O43660-2</t>
  </si>
  <si>
    <t>O43663-3</t>
  </si>
  <si>
    <t>O43670-2</t>
  </si>
  <si>
    <t>O43678</t>
  </si>
  <si>
    <t>O43681</t>
  </si>
  <si>
    <t>O43684-2</t>
  </si>
  <si>
    <t>O43704</t>
  </si>
  <si>
    <t>O43707</t>
  </si>
  <si>
    <t>O43715</t>
  </si>
  <si>
    <t>O43716</t>
  </si>
  <si>
    <t>O43719</t>
  </si>
  <si>
    <t>O43747</t>
  </si>
  <si>
    <t>O43765</t>
  </si>
  <si>
    <t>O43766</t>
  </si>
  <si>
    <t>O43768-2</t>
  </si>
  <si>
    <t>O43776</t>
  </si>
  <si>
    <t>O43809</t>
  </si>
  <si>
    <t>O43813</t>
  </si>
  <si>
    <t>O43815-2</t>
  </si>
  <si>
    <t>O43819</t>
  </si>
  <si>
    <t>O43820-4</t>
  </si>
  <si>
    <t>O43837</t>
  </si>
  <si>
    <t>O43847-2</t>
  </si>
  <si>
    <t>O43852</t>
  </si>
  <si>
    <t>O43865</t>
  </si>
  <si>
    <t>O43896</t>
  </si>
  <si>
    <t>O60216</t>
  </si>
  <si>
    <t>O60218</t>
  </si>
  <si>
    <t>O60220</t>
  </si>
  <si>
    <t>O60231</t>
  </si>
  <si>
    <t>O60234</t>
  </si>
  <si>
    <t>O60240</t>
  </si>
  <si>
    <t>O60256</t>
  </si>
  <si>
    <t>O60260-5</t>
  </si>
  <si>
    <t>O60271-4</t>
  </si>
  <si>
    <t>O60341</t>
  </si>
  <si>
    <t>O60343-2</t>
  </si>
  <si>
    <t>O60437</t>
  </si>
  <si>
    <t>O60443</t>
  </si>
  <si>
    <t>O60447</t>
  </si>
  <si>
    <t>O60493</t>
  </si>
  <si>
    <t>O60504</t>
  </si>
  <si>
    <t>O60506-3</t>
  </si>
  <si>
    <t>O60518</t>
  </si>
  <si>
    <t>O60547-2</t>
  </si>
  <si>
    <t>O60551</t>
  </si>
  <si>
    <t>O60568</t>
  </si>
  <si>
    <t>O60613</t>
  </si>
  <si>
    <t>O60645-3</t>
  </si>
  <si>
    <t>O60664-4</t>
  </si>
  <si>
    <t>O60701</t>
  </si>
  <si>
    <t>O60716-5</t>
  </si>
  <si>
    <t>O60749</t>
  </si>
  <si>
    <t>O60763</t>
  </si>
  <si>
    <t>O60826</t>
  </si>
  <si>
    <t>O60828-2</t>
  </si>
  <si>
    <t>O60832</t>
  </si>
  <si>
    <t>O60841</t>
  </si>
  <si>
    <t>O60869</t>
  </si>
  <si>
    <t>O60884</t>
  </si>
  <si>
    <t>O60885</t>
  </si>
  <si>
    <t>O60888-3</t>
  </si>
  <si>
    <t>O60907</t>
  </si>
  <si>
    <t>O60925</t>
  </si>
  <si>
    <t>O60927</t>
  </si>
  <si>
    <t>O60934</t>
  </si>
  <si>
    <t>O75052-3</t>
  </si>
  <si>
    <t>O75081-2</t>
  </si>
  <si>
    <t>O75083</t>
  </si>
  <si>
    <t>O75116</t>
  </si>
  <si>
    <t>O75128</t>
  </si>
  <si>
    <t>O75131</t>
  </si>
  <si>
    <t>O75146</t>
  </si>
  <si>
    <t>O75150</t>
  </si>
  <si>
    <t>O75152</t>
  </si>
  <si>
    <t>O75154-2</t>
  </si>
  <si>
    <t>O75157-2</t>
  </si>
  <si>
    <t>O75165</t>
  </si>
  <si>
    <t>O75170-4</t>
  </si>
  <si>
    <t>O75175</t>
  </si>
  <si>
    <t>O75191</t>
  </si>
  <si>
    <t>O75208</t>
  </si>
  <si>
    <t>O75223</t>
  </si>
  <si>
    <t>O75323</t>
  </si>
  <si>
    <t>O75340</t>
  </si>
  <si>
    <t>O75347</t>
  </si>
  <si>
    <t>O75348</t>
  </si>
  <si>
    <t>O75351</t>
  </si>
  <si>
    <t>O75356</t>
  </si>
  <si>
    <t>O75367-2</t>
  </si>
  <si>
    <t>O75368</t>
  </si>
  <si>
    <t>O75369-2</t>
  </si>
  <si>
    <t>O75369-8</t>
  </si>
  <si>
    <t>O75376</t>
  </si>
  <si>
    <t>O75380</t>
  </si>
  <si>
    <t>O75382-2</t>
  </si>
  <si>
    <t>O75396</t>
  </si>
  <si>
    <t>O75410-7</t>
  </si>
  <si>
    <t>O75436</t>
  </si>
  <si>
    <t>O75439</t>
  </si>
  <si>
    <t>O75449</t>
  </si>
  <si>
    <t>O75452</t>
  </si>
  <si>
    <t>O75475</t>
  </si>
  <si>
    <t>O75489</t>
  </si>
  <si>
    <t>O75503</t>
  </si>
  <si>
    <t>O75521-2</t>
  </si>
  <si>
    <t>O75525-2</t>
  </si>
  <si>
    <t>O75531</t>
  </si>
  <si>
    <t>O75533</t>
  </si>
  <si>
    <t>O75534</t>
  </si>
  <si>
    <t>O75600</t>
  </si>
  <si>
    <t>O75608-2</t>
  </si>
  <si>
    <t>O75629</t>
  </si>
  <si>
    <t>O75643</t>
  </si>
  <si>
    <t>O75648</t>
  </si>
  <si>
    <t>O75663</t>
  </si>
  <si>
    <t>O75688</t>
  </si>
  <si>
    <t>O75695</t>
  </si>
  <si>
    <t>O75764</t>
  </si>
  <si>
    <t>O75821</t>
  </si>
  <si>
    <t>O75822</t>
  </si>
  <si>
    <t>O75828</t>
  </si>
  <si>
    <t>O75843</t>
  </si>
  <si>
    <t>O75874</t>
  </si>
  <si>
    <t>O75882-2</t>
  </si>
  <si>
    <t>O75884</t>
  </si>
  <si>
    <t>O75886</t>
  </si>
  <si>
    <t>O75891</t>
  </si>
  <si>
    <t>O75915</t>
  </si>
  <si>
    <t>O75934</t>
  </si>
  <si>
    <t>O75935</t>
  </si>
  <si>
    <t>O75936</t>
  </si>
  <si>
    <t>O75937</t>
  </si>
  <si>
    <t>O75940</t>
  </si>
  <si>
    <t>O75970-3</t>
  </si>
  <si>
    <t>O75976</t>
  </si>
  <si>
    <t>O76003</t>
  </si>
  <si>
    <t>O76024</t>
  </si>
  <si>
    <t>O76027</t>
  </si>
  <si>
    <t>O76031</t>
  </si>
  <si>
    <t>O76054</t>
  </si>
  <si>
    <t>O76071</t>
  </si>
  <si>
    <t>O76094</t>
  </si>
  <si>
    <t>O94760</t>
  </si>
  <si>
    <t>O94776</t>
  </si>
  <si>
    <t>O94788-4</t>
  </si>
  <si>
    <t>O94811</t>
  </si>
  <si>
    <t>O94817</t>
  </si>
  <si>
    <t>O94819</t>
  </si>
  <si>
    <t>O94822</t>
  </si>
  <si>
    <t>O94826</t>
  </si>
  <si>
    <t>O94829</t>
  </si>
  <si>
    <t>O94851-5</t>
  </si>
  <si>
    <t>O94855</t>
  </si>
  <si>
    <t>O94874</t>
  </si>
  <si>
    <t>O94875-12</t>
  </si>
  <si>
    <t>O94880</t>
  </si>
  <si>
    <t>O94887</t>
  </si>
  <si>
    <t>O94888</t>
  </si>
  <si>
    <t>O94903</t>
  </si>
  <si>
    <t>O94913</t>
  </si>
  <si>
    <t>O94925</t>
  </si>
  <si>
    <t>O94929-2</t>
  </si>
  <si>
    <t>O94966-7</t>
  </si>
  <si>
    <t>O94973</t>
  </si>
  <si>
    <t>O94979-6</t>
  </si>
  <si>
    <t>O94992</t>
  </si>
  <si>
    <t>O95081</t>
  </si>
  <si>
    <t>O95104-3</t>
  </si>
  <si>
    <t>O95154</t>
  </si>
  <si>
    <t>O95155-2</t>
  </si>
  <si>
    <t>O95163</t>
  </si>
  <si>
    <t>O95202</t>
  </si>
  <si>
    <t>O95210</t>
  </si>
  <si>
    <t>O95218-2</t>
  </si>
  <si>
    <t>O95219</t>
  </si>
  <si>
    <t>O95232</t>
  </si>
  <si>
    <t>O95243-3</t>
  </si>
  <si>
    <t>O95251-2</t>
  </si>
  <si>
    <t>O95278-6</t>
  </si>
  <si>
    <t>O95292</t>
  </si>
  <si>
    <t>O95295</t>
  </si>
  <si>
    <t>O95302</t>
  </si>
  <si>
    <t>O95336</t>
  </si>
  <si>
    <t>O95340</t>
  </si>
  <si>
    <t>O95352</t>
  </si>
  <si>
    <t>O95363</t>
  </si>
  <si>
    <t>O95372</t>
  </si>
  <si>
    <t>O95373</t>
  </si>
  <si>
    <t>O95376</t>
  </si>
  <si>
    <t>O95391</t>
  </si>
  <si>
    <t>O95394</t>
  </si>
  <si>
    <t>O95396</t>
  </si>
  <si>
    <t>O95399</t>
  </si>
  <si>
    <t>O95400</t>
  </si>
  <si>
    <t>O95425-2</t>
  </si>
  <si>
    <t>O95429-2</t>
  </si>
  <si>
    <t>O95433</t>
  </si>
  <si>
    <t>O95453-2</t>
  </si>
  <si>
    <t>O95456</t>
  </si>
  <si>
    <t>O95479</t>
  </si>
  <si>
    <t>O95486</t>
  </si>
  <si>
    <t>O95487-2</t>
  </si>
  <si>
    <t>O95497</t>
  </si>
  <si>
    <t>O95544</t>
  </si>
  <si>
    <t>O95551</t>
  </si>
  <si>
    <t>O95571</t>
  </si>
  <si>
    <t>O95573</t>
  </si>
  <si>
    <t>O95628-5</t>
  </si>
  <si>
    <t>O95630</t>
  </si>
  <si>
    <t>O95671-2</t>
  </si>
  <si>
    <t>O95684</t>
  </si>
  <si>
    <t>O95721</t>
  </si>
  <si>
    <t>O95747</t>
  </si>
  <si>
    <t>O95757</t>
  </si>
  <si>
    <t>O95777</t>
  </si>
  <si>
    <t>O95782-2</t>
  </si>
  <si>
    <t>O95786-2</t>
  </si>
  <si>
    <t>O95801</t>
  </si>
  <si>
    <t>O95816</t>
  </si>
  <si>
    <t>O95817</t>
  </si>
  <si>
    <t>O95822</t>
  </si>
  <si>
    <t>O95825</t>
  </si>
  <si>
    <t>O95831-3</t>
  </si>
  <si>
    <t>O95834</t>
  </si>
  <si>
    <t>O95865</t>
  </si>
  <si>
    <t>O95881</t>
  </si>
  <si>
    <t>O95954</t>
  </si>
  <si>
    <t>O95989</t>
  </si>
  <si>
    <t>O95999</t>
  </si>
  <si>
    <t>O96007</t>
  </si>
  <si>
    <t>O96013-4</t>
  </si>
  <si>
    <t>O96019</t>
  </si>
  <si>
    <t>O96033</t>
  </si>
  <si>
    <t>P00325</t>
  </si>
  <si>
    <t>P00326</t>
  </si>
  <si>
    <t>P00338</t>
  </si>
  <si>
    <t>P00352</t>
  </si>
  <si>
    <t>P00374</t>
  </si>
  <si>
    <t>P00387-2</t>
  </si>
  <si>
    <t>P00390-2</t>
  </si>
  <si>
    <t>P00439</t>
  </si>
  <si>
    <t>P00450</t>
  </si>
  <si>
    <t>P00480</t>
  </si>
  <si>
    <t>P00491</t>
  </si>
  <si>
    <t>P00492</t>
  </si>
  <si>
    <t>P00505</t>
  </si>
  <si>
    <t>P00558</t>
  </si>
  <si>
    <t>P00568</t>
  </si>
  <si>
    <t>P00734</t>
  </si>
  <si>
    <t>P00736</t>
  </si>
  <si>
    <t>P00738</t>
  </si>
  <si>
    <t>P00739</t>
  </si>
  <si>
    <t>P00740</t>
  </si>
  <si>
    <t>P00742</t>
  </si>
  <si>
    <t>P00747</t>
  </si>
  <si>
    <t>P00748</t>
  </si>
  <si>
    <t>P00966</t>
  </si>
  <si>
    <t>P01009</t>
  </si>
  <si>
    <t>P01011</t>
  </si>
  <si>
    <t>P01019</t>
  </si>
  <si>
    <t>P01023</t>
  </si>
  <si>
    <t>P01024</t>
  </si>
  <si>
    <t>P01034</t>
  </si>
  <si>
    <t>P01040</t>
  </si>
  <si>
    <t>P01042-2</t>
  </si>
  <si>
    <t>P01111</t>
  </si>
  <si>
    <t>P01116-2</t>
  </si>
  <si>
    <t>P01116</t>
  </si>
  <si>
    <t>P01608</t>
  </si>
  <si>
    <t>P01743</t>
  </si>
  <si>
    <t>P01764</t>
  </si>
  <si>
    <t>P01766</t>
  </si>
  <si>
    <t>P01834</t>
  </si>
  <si>
    <t>P01857</t>
  </si>
  <si>
    <t>P01859</t>
  </si>
  <si>
    <t>P01860</t>
  </si>
  <si>
    <t>P01871</t>
  </si>
  <si>
    <t>P01876</t>
  </si>
  <si>
    <t>P01877</t>
  </si>
  <si>
    <t>P02008</t>
  </si>
  <si>
    <t>P02452</t>
  </si>
  <si>
    <t>P02462</t>
  </si>
  <si>
    <t>P02538</t>
  </si>
  <si>
    <t>P02545</t>
  </si>
  <si>
    <t>P02647</t>
  </si>
  <si>
    <t>P02649</t>
  </si>
  <si>
    <t>P02652</t>
  </si>
  <si>
    <t>P02656</t>
  </si>
  <si>
    <t>P02671-2</t>
  </si>
  <si>
    <t>P02675</t>
  </si>
  <si>
    <t>P02679-2</t>
  </si>
  <si>
    <t>P02743</t>
  </si>
  <si>
    <t>P02748</t>
  </si>
  <si>
    <t>P02749</t>
  </si>
  <si>
    <t>P02750</t>
  </si>
  <si>
    <t>P02751-10</t>
  </si>
  <si>
    <t>P02760</t>
  </si>
  <si>
    <t>P02763</t>
  </si>
  <si>
    <t>P02765</t>
  </si>
  <si>
    <t>P02766</t>
  </si>
  <si>
    <t>P02771</t>
  </si>
  <si>
    <t>P02774</t>
  </si>
  <si>
    <t>P02790</t>
  </si>
  <si>
    <t>P02792</t>
  </si>
  <si>
    <t>P02794</t>
  </si>
  <si>
    <t>P02795</t>
  </si>
  <si>
    <t>P03950</t>
  </si>
  <si>
    <t>P03952</t>
  </si>
  <si>
    <t>P04003</t>
  </si>
  <si>
    <t>P04004</t>
  </si>
  <si>
    <t>P04066</t>
  </si>
  <si>
    <t>P04080</t>
  </si>
  <si>
    <t>P04114</t>
  </si>
  <si>
    <t>P04150-7</t>
  </si>
  <si>
    <t>P04179</t>
  </si>
  <si>
    <t>P04181</t>
  </si>
  <si>
    <t>P04196</t>
  </si>
  <si>
    <t>P04206</t>
  </si>
  <si>
    <t>P04217</t>
  </si>
  <si>
    <t>P04264</t>
  </si>
  <si>
    <t>P04406</t>
  </si>
  <si>
    <t>P04424</t>
  </si>
  <si>
    <t>P04632</t>
  </si>
  <si>
    <t>P04731</t>
  </si>
  <si>
    <t>P04732</t>
  </si>
  <si>
    <t>P04733</t>
  </si>
  <si>
    <t>P04792</t>
  </si>
  <si>
    <t>P04899</t>
  </si>
  <si>
    <t>P05023-3</t>
  </si>
  <si>
    <t>P05062</t>
  </si>
  <si>
    <t>P05089</t>
  </si>
  <si>
    <t>P05090</t>
  </si>
  <si>
    <t>P05091</t>
  </si>
  <si>
    <t>P05109</t>
  </si>
  <si>
    <t>P05114</t>
  </si>
  <si>
    <t>P05141</t>
  </si>
  <si>
    <t>P05154</t>
  </si>
  <si>
    <t>P05155</t>
  </si>
  <si>
    <t>P05161</t>
  </si>
  <si>
    <t>P05164-2</t>
  </si>
  <si>
    <t>P05165</t>
  </si>
  <si>
    <t>P05166</t>
  </si>
  <si>
    <t>P05177</t>
  </si>
  <si>
    <t>P05181</t>
  </si>
  <si>
    <t>P05186</t>
  </si>
  <si>
    <t>P05198</t>
  </si>
  <si>
    <t>P05204</t>
  </si>
  <si>
    <t>P05387</t>
  </si>
  <si>
    <t>P05455</t>
  </si>
  <si>
    <t>P05543</t>
  </si>
  <si>
    <t>P05546</t>
  </si>
  <si>
    <t>P05556</t>
  </si>
  <si>
    <t>P05783</t>
  </si>
  <si>
    <t>P05787</t>
  </si>
  <si>
    <t>P05976-2</t>
  </si>
  <si>
    <t>P06132</t>
  </si>
  <si>
    <t>P06133</t>
  </si>
  <si>
    <t>P06280</t>
  </si>
  <si>
    <t>P06576</t>
  </si>
  <si>
    <t>P06681</t>
  </si>
  <si>
    <t>P06702</t>
  </si>
  <si>
    <t>P06727</t>
  </si>
  <si>
    <t>P06730</t>
  </si>
  <si>
    <t>P06733</t>
  </si>
  <si>
    <t>P06737</t>
  </si>
  <si>
    <t>P06744</t>
  </si>
  <si>
    <t>P06748</t>
  </si>
  <si>
    <t>P06753-2</t>
  </si>
  <si>
    <t>P06865</t>
  </si>
  <si>
    <t>P07099</t>
  </si>
  <si>
    <t>P07108</t>
  </si>
  <si>
    <t>P07148</t>
  </si>
  <si>
    <t>P07195</t>
  </si>
  <si>
    <t>P07203</t>
  </si>
  <si>
    <t>P07205</t>
  </si>
  <si>
    <t>P07237</t>
  </si>
  <si>
    <t>P07305</t>
  </si>
  <si>
    <t>P07307-3</t>
  </si>
  <si>
    <t>P07327</t>
  </si>
  <si>
    <t>P07355</t>
  </si>
  <si>
    <t>P07357</t>
  </si>
  <si>
    <t>P07360</t>
  </si>
  <si>
    <t>P07384</t>
  </si>
  <si>
    <t>P07438</t>
  </si>
  <si>
    <t>P07602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</si>
  <si>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</si>
  <si>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</si>
  <si>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</si>
  <si>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</si>
  <si>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</si>
  <si>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</si>
  <si>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</si>
  <si>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</si>
  <si>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</si>
  <si>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P07947</t>
  </si>
  <si>
    <t>P07954-2</t>
  </si>
  <si>
    <t>P07996</t>
  </si>
  <si>
    <t>P08107</t>
  </si>
  <si>
    <t>P08123</t>
  </si>
  <si>
    <t>P08133</t>
  </si>
  <si>
    <t>P08185</t>
  </si>
  <si>
    <t>P08236-2</t>
  </si>
  <si>
    <t>P08238</t>
  </si>
  <si>
    <t>P08240-2</t>
  </si>
  <si>
    <t>P08294</t>
  </si>
  <si>
    <t>P08319</t>
  </si>
  <si>
    <t>P08397-2</t>
  </si>
  <si>
    <t>P08519</t>
  </si>
  <si>
    <t>P08559-3</t>
  </si>
  <si>
    <t>P08571</t>
  </si>
  <si>
    <t>P08579</t>
  </si>
  <si>
    <t>P08581</t>
  </si>
  <si>
    <t>P08603</t>
  </si>
  <si>
    <t>P08621-2</t>
  </si>
  <si>
    <t>P08651-2</t>
  </si>
  <si>
    <t>P08670</t>
  </si>
  <si>
    <t>P08684</t>
  </si>
  <si>
    <t>P08697</t>
  </si>
  <si>
    <t>P08727</t>
  </si>
  <si>
    <t>P08729</t>
  </si>
  <si>
    <t>P08754</t>
  </si>
  <si>
    <t>P08779</t>
  </si>
  <si>
    <t>P09012</t>
  </si>
  <si>
    <t>P09110</t>
  </si>
  <si>
    <t>P09132</t>
  </si>
  <si>
    <t>P09210</t>
  </si>
  <si>
    <t>P09234</t>
  </si>
  <si>
    <t>P09327</t>
  </si>
  <si>
    <t>P09382</t>
  </si>
  <si>
    <t>P09417</t>
  </si>
  <si>
    <t>P09429</t>
  </si>
  <si>
    <t>P09467</t>
  </si>
  <si>
    <t>P09493-3</t>
  </si>
  <si>
    <t>P09496-2</t>
  </si>
  <si>
    <t>P09497-2</t>
  </si>
  <si>
    <t>P09525</t>
  </si>
  <si>
    <t>P09543-2</t>
  </si>
  <si>
    <t>P09601</t>
  </si>
  <si>
    <t>P09622</t>
  </si>
  <si>
    <t>P09651-3</t>
  </si>
  <si>
    <t>P09661</t>
  </si>
  <si>
    <t>P09668</t>
  </si>
  <si>
    <t>P09871</t>
  </si>
  <si>
    <t>P09874</t>
  </si>
  <si>
    <t>P09913</t>
  </si>
  <si>
    <t>P09960</t>
  </si>
  <si>
    <t>P09972</t>
  </si>
  <si>
    <t>P0C0L4</t>
  </si>
  <si>
    <t>P0C0L5</t>
  </si>
  <si>
    <t>P0C7P0</t>
  </si>
  <si>
    <t>P0C7U0</t>
  </si>
  <si>
    <t>P0CAP1-11</t>
  </si>
  <si>
    <t>P0CG05</t>
  </si>
  <si>
    <t>P0DI82</t>
  </si>
  <si>
    <t>P0DJI8</t>
  </si>
  <si>
    <t>P10109</t>
  </si>
  <si>
    <t>P10153</t>
  </si>
  <si>
    <t>P10155</t>
  </si>
  <si>
    <t>P10253</t>
  </si>
  <si>
    <t>P10398</t>
  </si>
  <si>
    <t>P10412</t>
  </si>
  <si>
    <t>P10515</t>
  </si>
  <si>
    <t>P10586-2</t>
  </si>
  <si>
    <t>P10606</t>
  </si>
  <si>
    <t>P10619</t>
  </si>
  <si>
    <t>P10632</t>
  </si>
  <si>
    <t>P10635</t>
  </si>
  <si>
    <t>P10643</t>
  </si>
  <si>
    <t>P10644</t>
  </si>
  <si>
    <t>P10746</t>
  </si>
  <si>
    <t>P10768</t>
  </si>
  <si>
    <t>P10809</t>
  </si>
  <si>
    <t>P10909-4</t>
  </si>
  <si>
    <t>P11021</t>
  </si>
  <si>
    <t>P11047</t>
  </si>
  <si>
    <t>P11142</t>
  </si>
  <si>
    <t>P11168</t>
  </si>
  <si>
    <t>P11171-4</t>
  </si>
  <si>
    <t>P11172</t>
  </si>
  <si>
    <t>P11177-2</t>
  </si>
  <si>
    <t>P11182</t>
  </si>
  <si>
    <t>P11216</t>
  </si>
  <si>
    <t>P11226</t>
  </si>
  <si>
    <t>P11245</t>
  </si>
  <si>
    <t>P11274-2</t>
  </si>
  <si>
    <t>P11279</t>
  </si>
  <si>
    <t>P11310</t>
  </si>
  <si>
    <t>P11413</t>
  </si>
  <si>
    <t>P11441</t>
  </si>
  <si>
    <t>P11498</t>
  </si>
  <si>
    <t>P11509</t>
  </si>
  <si>
    <t>P11532-3</t>
  </si>
  <si>
    <t>P11586</t>
  </si>
  <si>
    <t>P11712</t>
  </si>
  <si>
    <t>P11717</t>
  </si>
  <si>
    <t>P11766</t>
  </si>
  <si>
    <t>P11802</t>
  </si>
  <si>
    <t>P11908</t>
  </si>
  <si>
    <t>P11940</t>
  </si>
  <si>
    <t>P12004</t>
  </si>
  <si>
    <t>P12270</t>
  </si>
  <si>
    <t>P12694</t>
  </si>
  <si>
    <t>P12724</t>
  </si>
  <si>
    <t>P12814</t>
  </si>
  <si>
    <t>P12955</t>
  </si>
  <si>
    <t>P12956</t>
  </si>
  <si>
    <t>P13010</t>
  </si>
  <si>
    <t>P13073</t>
  </si>
  <si>
    <t>P13196</t>
  </si>
  <si>
    <t>P13284</t>
  </si>
  <si>
    <t>P13473</t>
  </si>
  <si>
    <t>P13489</t>
  </si>
  <si>
    <t>P13639</t>
  </si>
  <si>
    <t>P13640-2</t>
  </si>
  <si>
    <t>P13640</t>
  </si>
  <si>
    <t>P13647</t>
  </si>
  <si>
    <t>P13667</t>
  </si>
  <si>
    <t>P13671</t>
  </si>
  <si>
    <t>P13674-2</t>
  </si>
  <si>
    <t>P13693</t>
  </si>
  <si>
    <t>P13796</t>
  </si>
  <si>
    <t>P13797</t>
  </si>
  <si>
    <t>P13798</t>
  </si>
  <si>
    <t>P13804</t>
  </si>
  <si>
    <t>P13861</t>
  </si>
  <si>
    <t>P13929</t>
  </si>
  <si>
    <t>P13984</t>
  </si>
  <si>
    <t>P14174</t>
  </si>
  <si>
    <t>P14210-3</t>
  </si>
  <si>
    <t>P14317</t>
  </si>
  <si>
    <t>P14324-2</t>
  </si>
  <si>
    <t>P14543</t>
  </si>
  <si>
    <t>P14550</t>
  </si>
  <si>
    <t>P14618</t>
  </si>
  <si>
    <t>P14621</t>
  </si>
  <si>
    <t>P14625</t>
  </si>
  <si>
    <t>P14649</t>
  </si>
  <si>
    <t>P14735</t>
  </si>
  <si>
    <t>P14854</t>
  </si>
  <si>
    <t>P14866</t>
  </si>
  <si>
    <t>P14868</t>
  </si>
  <si>
    <t>P14920</t>
  </si>
  <si>
    <t>P14923</t>
  </si>
  <si>
    <t>P15104</t>
  </si>
  <si>
    <t>P15121</t>
  </si>
  <si>
    <t>P15144</t>
  </si>
  <si>
    <t>P15170-2</t>
  </si>
  <si>
    <t>P15289-2</t>
  </si>
  <si>
    <t>P15289</t>
  </si>
  <si>
    <t>P15311</t>
  </si>
  <si>
    <t>P15336-3</t>
  </si>
  <si>
    <t>P15374</t>
  </si>
  <si>
    <t>P15428</t>
  </si>
  <si>
    <t>P15529-16</t>
  </si>
  <si>
    <t>P15531</t>
  </si>
  <si>
    <t>P15735-2</t>
  </si>
  <si>
    <t>P15848</t>
  </si>
  <si>
    <t>P15907</t>
  </si>
  <si>
    <t>P15924</t>
  </si>
  <si>
    <t>P15927</t>
  </si>
  <si>
    <t>P16118</t>
  </si>
  <si>
    <t>P16152</t>
  </si>
  <si>
    <t>P16219</t>
  </si>
  <si>
    <t>P16278-3</t>
  </si>
  <si>
    <t>P16298-3</t>
  </si>
  <si>
    <t>P16333</t>
  </si>
  <si>
    <t>P16383-2</t>
  </si>
  <si>
    <t>P16401</t>
  </si>
  <si>
    <t>P16435</t>
  </si>
  <si>
    <t>P16455</t>
  </si>
  <si>
    <t>P16662</t>
  </si>
  <si>
    <t>P16885</t>
  </si>
  <si>
    <t>P16930</t>
  </si>
  <si>
    <t>P16949</t>
  </si>
  <si>
    <t>P17029</t>
  </si>
  <si>
    <t>P17050</t>
  </si>
  <si>
    <t>P17066</t>
  </si>
  <si>
    <t>P17174</t>
  </si>
  <si>
    <t>P17480-2</t>
  </si>
  <si>
    <t>P17516</t>
  </si>
  <si>
    <t>P17544-5</t>
  </si>
  <si>
    <t>P17612</t>
  </si>
  <si>
    <t>P17655</t>
  </si>
  <si>
    <t>P17676</t>
  </si>
  <si>
    <t>P17735</t>
  </si>
  <si>
    <t>P17812</t>
  </si>
  <si>
    <t>P17858</t>
  </si>
  <si>
    <t>P17900</t>
  </si>
  <si>
    <t>P17931</t>
  </si>
  <si>
    <t>P17987</t>
  </si>
  <si>
    <t>P18031</t>
  </si>
  <si>
    <t>P18054</t>
  </si>
  <si>
    <t>P18065</t>
  </si>
  <si>
    <t>P18085</t>
  </si>
  <si>
    <t>P18206-2</t>
  </si>
  <si>
    <t>P18283</t>
  </si>
  <si>
    <t>P18510-4</t>
  </si>
  <si>
    <t>P18583-6</t>
  </si>
  <si>
    <t>P18615</t>
  </si>
  <si>
    <t>P18669</t>
  </si>
  <si>
    <t>P18827</t>
  </si>
  <si>
    <t>P18859</t>
  </si>
  <si>
    <t>P19105</t>
  </si>
  <si>
    <t>P19174</t>
  </si>
  <si>
    <t>P19338</t>
  </si>
  <si>
    <t>P19388</t>
  </si>
  <si>
    <t>P19404</t>
  </si>
  <si>
    <t>P19525</t>
  </si>
  <si>
    <t>P19623</t>
  </si>
  <si>
    <t>P19652</t>
  </si>
  <si>
    <t>P19784</t>
  </si>
  <si>
    <t>P19827</t>
  </si>
  <si>
    <t>P19838</t>
  </si>
  <si>
    <t>P19971</t>
  </si>
  <si>
    <t>P20042</t>
  </si>
  <si>
    <t>P20132</t>
  </si>
  <si>
    <t>P20290</t>
  </si>
  <si>
    <t>P20338</t>
  </si>
  <si>
    <t>P20340-2</t>
  </si>
  <si>
    <t>P20585</t>
  </si>
  <si>
    <t>P20591</t>
  </si>
  <si>
    <t>P20618</t>
  </si>
  <si>
    <t>P20674</t>
  </si>
  <si>
    <t>P20700</t>
  </si>
  <si>
    <t>P20711</t>
  </si>
  <si>
    <t>P20742</t>
  </si>
  <si>
    <t>P20810-5</t>
  </si>
  <si>
    <t>P20810-6</t>
  </si>
  <si>
    <t>P20823-3</t>
  </si>
  <si>
    <t>P20908</t>
  </si>
  <si>
    <t>P20962</t>
  </si>
  <si>
    <t>P21127-8</t>
  </si>
  <si>
    <t>P21266</t>
  </si>
  <si>
    <t>P21281</t>
  </si>
  <si>
    <t>P21283</t>
  </si>
  <si>
    <t>P21291</t>
  </si>
  <si>
    <t>P21397-2</t>
  </si>
  <si>
    <t>P21399</t>
  </si>
  <si>
    <t>P21549</t>
  </si>
  <si>
    <t>P21589-2</t>
  </si>
  <si>
    <t>P21695-2</t>
  </si>
  <si>
    <t>P21912</t>
  </si>
  <si>
    <t>P21953</t>
  </si>
  <si>
    <t>P21964-2</t>
  </si>
  <si>
    <t>P21980</t>
  </si>
  <si>
    <t>P22033</t>
  </si>
  <si>
    <t>P22059</t>
  </si>
  <si>
    <t>P22061</t>
  </si>
  <si>
    <t>P22102</t>
  </si>
  <si>
    <t>P22234</t>
  </si>
  <si>
    <t>P22307-2</t>
  </si>
  <si>
    <t>P22307</t>
  </si>
  <si>
    <t>P22310</t>
  </si>
  <si>
    <t>P22314</t>
  </si>
  <si>
    <t>P22392-2</t>
  </si>
  <si>
    <t>P22570</t>
  </si>
  <si>
    <t>P22626</t>
  </si>
  <si>
    <t>P22694-4</t>
  </si>
  <si>
    <t>P22760</t>
  </si>
  <si>
    <t>P22830</t>
  </si>
  <si>
    <t>P23141</t>
  </si>
  <si>
    <t>P23142-3</t>
  </si>
  <si>
    <t>P23193</t>
  </si>
  <si>
    <t>P23246</t>
  </si>
  <si>
    <t>P23284</t>
  </si>
  <si>
    <t>P23368</t>
  </si>
  <si>
    <t>P23378</t>
  </si>
  <si>
    <t>P23381</t>
  </si>
  <si>
    <t>P23409</t>
  </si>
  <si>
    <t>P23434</t>
  </si>
  <si>
    <t>P23497</t>
  </si>
  <si>
    <t>P23508-2</t>
  </si>
  <si>
    <t>P23526</t>
  </si>
  <si>
    <t>P23528</t>
  </si>
  <si>
    <t>P23588</t>
  </si>
  <si>
    <t>P23786</t>
  </si>
  <si>
    <t>P23919</t>
  </si>
  <si>
    <t>P23921</t>
  </si>
  <si>
    <t>P24158</t>
  </si>
  <si>
    <t>P24298</t>
  </si>
  <si>
    <t>P24534</t>
  </si>
  <si>
    <t>P24666-2</t>
  </si>
  <si>
    <t>P24666</t>
  </si>
  <si>
    <t>P24752</t>
  </si>
  <si>
    <t>P24928</t>
  </si>
  <si>
    <t>P24941</t>
  </si>
  <si>
    <t>P25054-2</t>
  </si>
  <si>
    <t>P25098</t>
  </si>
  <si>
    <t>P25205</t>
  </si>
  <si>
    <t>P25311</t>
  </si>
  <si>
    <t>P25398</t>
  </si>
  <si>
    <t>P25440</t>
  </si>
  <si>
    <t>P25685</t>
  </si>
  <si>
    <t>P25686</t>
  </si>
  <si>
    <t>P25705</t>
  </si>
  <si>
    <t>P25774</t>
  </si>
  <si>
    <t>P25786</t>
  </si>
  <si>
    <t>P25787</t>
  </si>
  <si>
    <t>P25788-2</t>
  </si>
  <si>
    <t>P25789</t>
  </si>
  <si>
    <t>P26038</t>
  </si>
  <si>
    <t>P26196</t>
  </si>
  <si>
    <t>P26358</t>
  </si>
  <si>
    <t>P26368-2</t>
  </si>
  <si>
    <t>P26373</t>
  </si>
  <si>
    <t>P26440</t>
  </si>
  <si>
    <t>P26447</t>
  </si>
  <si>
    <t>P26583</t>
  </si>
  <si>
    <t>P26599</t>
  </si>
  <si>
    <t>P26639</t>
  </si>
  <si>
    <t>P26640</t>
  </si>
  <si>
    <t>P26641</t>
  </si>
  <si>
    <t>P26885</t>
  </si>
  <si>
    <t>P26927</t>
  </si>
  <si>
    <t>P27144</t>
  </si>
  <si>
    <t>P27169</t>
  </si>
  <si>
    <t>P27348</t>
  </si>
  <si>
    <t>P27540-2</t>
  </si>
  <si>
    <t>P27694</t>
  </si>
  <si>
    <t>P27695</t>
  </si>
  <si>
    <t>P27797</t>
  </si>
  <si>
    <t>P27816</t>
  </si>
  <si>
    <t>P27986</t>
  </si>
  <si>
    <t>P28062-2</t>
  </si>
  <si>
    <t>P28066</t>
  </si>
  <si>
    <t>P28070</t>
  </si>
  <si>
    <t>P28072</t>
  </si>
  <si>
    <t>P28074</t>
  </si>
  <si>
    <t>P28288-2</t>
  </si>
  <si>
    <t>P28330</t>
  </si>
  <si>
    <t>P28331</t>
  </si>
  <si>
    <t>P28332</t>
  </si>
  <si>
    <t>P28340</t>
  </si>
  <si>
    <t>P28482</t>
  </si>
  <si>
    <t>P28715</t>
  </si>
  <si>
    <t>P28799</t>
  </si>
  <si>
    <t>P28838-2</t>
  </si>
  <si>
    <t>P28845</t>
  </si>
  <si>
    <t>P29083</t>
  </si>
  <si>
    <t>P29084</t>
  </si>
  <si>
    <t>P29144</t>
  </si>
  <si>
    <t>P29218</t>
  </si>
  <si>
    <t>P29350</t>
  </si>
  <si>
    <t>P29353-7</t>
  </si>
  <si>
    <t>P29372-5</t>
  </si>
  <si>
    <t>P29374-3</t>
  </si>
  <si>
    <t>P29401</t>
  </si>
  <si>
    <t>P29590</t>
  </si>
  <si>
    <t>P29966</t>
  </si>
  <si>
    <t>P30038</t>
  </si>
  <si>
    <t>P30039</t>
  </si>
  <si>
    <t>P30040</t>
  </si>
  <si>
    <t>P30041</t>
  </si>
  <si>
    <t>P30042</t>
  </si>
  <si>
    <t>P30043</t>
  </si>
  <si>
    <t>P30044-2</t>
  </si>
  <si>
    <t>P30046</t>
  </si>
  <si>
    <t>P30047</t>
  </si>
  <si>
    <t>P30049</t>
  </si>
  <si>
    <t>P30050</t>
  </si>
  <si>
    <t>P30084</t>
  </si>
  <si>
    <t>P30085</t>
  </si>
  <si>
    <t>P30086</t>
  </si>
  <si>
    <t>P30153</t>
  </si>
  <si>
    <t>P30154</t>
  </si>
  <si>
    <t>P30405</t>
  </si>
  <si>
    <t>P30419</t>
  </si>
  <si>
    <t>P30519</t>
  </si>
  <si>
    <t>P30520</t>
  </si>
  <si>
    <t>P30533</t>
  </si>
  <si>
    <t>P30566</t>
  </si>
  <si>
    <t>P30613-2</t>
  </si>
  <si>
    <t>P30622-2</t>
  </si>
  <si>
    <t>P30711</t>
  </si>
  <si>
    <t>P30740</t>
  </si>
  <si>
    <t>P30793</t>
  </si>
  <si>
    <t>P30837</t>
  </si>
  <si>
    <t>P31040</t>
  </si>
  <si>
    <t>P31146</t>
  </si>
  <si>
    <t>P31150</t>
  </si>
  <si>
    <t>P31153</t>
  </si>
  <si>
    <t>P31327</t>
  </si>
  <si>
    <t>P31350</t>
  </si>
  <si>
    <t>P31513</t>
  </si>
  <si>
    <t>P31689</t>
  </si>
  <si>
    <t>P31749</t>
  </si>
  <si>
    <t>P31751</t>
  </si>
  <si>
    <t>P31930</t>
  </si>
  <si>
    <t>P31937</t>
  </si>
  <si>
    <t>P31939</t>
  </si>
  <si>
    <t>P31942-2</t>
  </si>
  <si>
    <t>P31946-2</t>
  </si>
  <si>
    <t>P31947-2</t>
  </si>
  <si>
    <t>P31948</t>
  </si>
  <si>
    <t>P31949</t>
  </si>
  <si>
    <t>P32119</t>
  </si>
  <si>
    <t>P32189-1</t>
  </si>
  <si>
    <t>P32320</t>
  </si>
  <si>
    <t>P32321</t>
  </si>
  <si>
    <t>P32455</t>
  </si>
  <si>
    <t>P32456</t>
  </si>
  <si>
    <t>P32519-2</t>
  </si>
  <si>
    <t>P32754-2</t>
  </si>
  <si>
    <t>P32754</t>
  </si>
  <si>
    <t>P32929</t>
  </si>
  <si>
    <t>P33121</t>
  </si>
  <si>
    <t>P33176</t>
  </si>
  <si>
    <t>P33240-2</t>
  </si>
  <si>
    <t>P33241</t>
  </si>
  <si>
    <t>P33261</t>
  </si>
  <si>
    <t>P33316</t>
  </si>
  <si>
    <t>P33908</t>
  </si>
  <si>
    <t>P33991</t>
  </si>
  <si>
    <t>P33992</t>
  </si>
  <si>
    <t>P33993</t>
  </si>
  <si>
    <t>P34059</t>
  </si>
  <si>
    <t>P34096</t>
  </si>
  <si>
    <t>P34896</t>
  </si>
  <si>
    <t>P34897-3</t>
  </si>
  <si>
    <t>P34913</t>
  </si>
  <si>
    <t>P34932</t>
  </si>
  <si>
    <t>P35030-2</t>
  </si>
  <si>
    <t>P35218</t>
  </si>
  <si>
    <t>P35221</t>
  </si>
  <si>
    <t>P35232</t>
  </si>
  <si>
    <t>P35237</t>
  </si>
  <si>
    <t>P35241</t>
  </si>
  <si>
    <t>P35268</t>
  </si>
  <si>
    <t>P35269</t>
  </si>
  <si>
    <t>P35270</t>
  </si>
  <si>
    <t>P35520</t>
  </si>
  <si>
    <t>P35555</t>
  </si>
  <si>
    <t>P35558</t>
  </si>
  <si>
    <t>P35568</t>
  </si>
  <si>
    <t>P35573</t>
  </si>
  <si>
    <t>P35579</t>
  </si>
  <si>
    <t>P35580</t>
  </si>
  <si>
    <t>P35606</t>
  </si>
  <si>
    <t>P35611-2</t>
  </si>
  <si>
    <t>P35637-2</t>
  </si>
  <si>
    <t>P35658-2</t>
  </si>
  <si>
    <t>P35659</t>
  </si>
  <si>
    <t>P35754</t>
  </si>
  <si>
    <t>P35813</t>
  </si>
  <si>
    <t>P35858</t>
  </si>
  <si>
    <t>P35914</t>
  </si>
  <si>
    <t>P35998</t>
  </si>
  <si>
    <t>P36405</t>
  </si>
  <si>
    <t>P36507</t>
  </si>
  <si>
    <t>P36543</t>
  </si>
  <si>
    <t>P36551</t>
  </si>
  <si>
    <t>P36578</t>
  </si>
  <si>
    <t>P36639-4</t>
  </si>
  <si>
    <t>P36871</t>
  </si>
  <si>
    <t>P36915</t>
  </si>
  <si>
    <t>P36954</t>
  </si>
  <si>
    <t>P36955</t>
  </si>
  <si>
    <t>P36957</t>
  </si>
  <si>
    <t>P36959</t>
  </si>
  <si>
    <t>P36969-2</t>
  </si>
  <si>
    <t>P36980-2</t>
  </si>
  <si>
    <t>P37059</t>
  </si>
  <si>
    <t>P37108</t>
  </si>
  <si>
    <t>P37198</t>
  </si>
  <si>
    <t>P37235</t>
  </si>
  <si>
    <t>P37802</t>
  </si>
  <si>
    <t>P37837</t>
  </si>
  <si>
    <t>P38117</t>
  </si>
  <si>
    <t>P38159</t>
  </si>
  <si>
    <t>P38432</t>
  </si>
  <si>
    <t>P38606</t>
  </si>
  <si>
    <t>P38646</t>
  </si>
  <si>
    <t>P38919</t>
  </si>
  <si>
    <t>P39687</t>
  </si>
  <si>
    <t>P39748</t>
  </si>
  <si>
    <t>P40123</t>
  </si>
  <si>
    <t>P40222</t>
  </si>
  <si>
    <t>P40227</t>
  </si>
  <si>
    <t>P40261</t>
  </si>
  <si>
    <t>P40306</t>
  </si>
  <si>
    <t>P40394</t>
  </si>
  <si>
    <t>P40763-2</t>
  </si>
  <si>
    <t>P40763</t>
  </si>
  <si>
    <t>P40818</t>
  </si>
  <si>
    <t>P40925</t>
  </si>
  <si>
    <t>P40926</t>
  </si>
  <si>
    <t>P40939</t>
  </si>
  <si>
    <t>P41091</t>
  </si>
  <si>
    <t>P41208</t>
  </si>
  <si>
    <t>P41223</t>
  </si>
  <si>
    <t>P41226</t>
  </si>
  <si>
    <t>P41227-2</t>
  </si>
  <si>
    <t>P41236</t>
  </si>
  <si>
    <t>P41240</t>
  </si>
  <si>
    <t>P41250</t>
  </si>
  <si>
    <t>P41252</t>
  </si>
  <si>
    <t>P41567</t>
  </si>
  <si>
    <t>P41743</t>
  </si>
  <si>
    <t>P42025</t>
  </si>
  <si>
    <t>P42126-2</t>
  </si>
  <si>
    <t>P42166</t>
  </si>
  <si>
    <t>P42224</t>
  </si>
  <si>
    <t>P42226</t>
  </si>
  <si>
    <t>P42285</t>
  </si>
  <si>
    <t>P42330</t>
  </si>
  <si>
    <t>P42336</t>
  </si>
  <si>
    <t>P42338</t>
  </si>
  <si>
    <t>P42357</t>
  </si>
  <si>
    <t>P42566</t>
  </si>
  <si>
    <t>P42574</t>
  </si>
  <si>
    <t>P42704</t>
  </si>
  <si>
    <t>P42765</t>
  </si>
  <si>
    <t>P42768</t>
  </si>
  <si>
    <t>P42773</t>
  </si>
  <si>
    <t>P42785</t>
  </si>
  <si>
    <t>P42858</t>
  </si>
  <si>
    <t>P43034</t>
  </si>
  <si>
    <t>P43155-2</t>
  </si>
  <si>
    <t>P43246</t>
  </si>
  <si>
    <t>P43487</t>
  </si>
  <si>
    <t>P43490</t>
  </si>
  <si>
    <t>P43652</t>
  </si>
  <si>
    <t>P43686</t>
  </si>
  <si>
    <t>P43694</t>
  </si>
  <si>
    <t>P43897</t>
  </si>
  <si>
    <t>P45381</t>
  </si>
  <si>
    <t>P45954</t>
  </si>
  <si>
    <t>P45973</t>
  </si>
  <si>
    <t>P45974-2</t>
  </si>
  <si>
    <t>P45983-3</t>
  </si>
  <si>
    <t>P45984-2</t>
  </si>
  <si>
    <t>P45985</t>
  </si>
  <si>
    <t>P46013-2</t>
  </si>
  <si>
    <t>P46019</t>
  </si>
  <si>
    <t>P46060</t>
  </si>
  <si>
    <t>P46063</t>
  </si>
  <si>
    <t>P46087-2</t>
  </si>
  <si>
    <t>P46100-2</t>
  </si>
  <si>
    <t>P46108</t>
  </si>
  <si>
    <t>P46109</t>
  </si>
  <si>
    <t>P46199</t>
  </si>
  <si>
    <t>P46527</t>
  </si>
  <si>
    <t>P46734-2</t>
  </si>
  <si>
    <t>P46736-2</t>
  </si>
  <si>
    <t>P46777</t>
  </si>
  <si>
    <t>P46779-4</t>
  </si>
  <si>
    <t>P46781</t>
  </si>
  <si>
    <t>P46783</t>
  </si>
  <si>
    <t>P46926</t>
  </si>
  <si>
    <t>P46934-4</t>
  </si>
  <si>
    <t>P46937</t>
  </si>
  <si>
    <t>P46939</t>
  </si>
  <si>
    <t>P46940</t>
  </si>
  <si>
    <t>P46952</t>
  </si>
  <si>
    <t>P46976-2</t>
  </si>
  <si>
    <t>P47224</t>
  </si>
  <si>
    <t>P47755</t>
  </si>
  <si>
    <t>P47813</t>
  </si>
  <si>
    <t>P47897</t>
  </si>
  <si>
    <t>P47914</t>
  </si>
  <si>
    <t>P47985</t>
  </si>
  <si>
    <t>P47989</t>
  </si>
  <si>
    <t>P48059</t>
  </si>
  <si>
    <t>P48147</t>
  </si>
  <si>
    <t>P48163</t>
  </si>
  <si>
    <t>P48200</t>
  </si>
  <si>
    <t>P48444</t>
  </si>
  <si>
    <t>P48449-3</t>
  </si>
  <si>
    <t>P48506</t>
  </si>
  <si>
    <t>P48507</t>
  </si>
  <si>
    <t>P48553</t>
  </si>
  <si>
    <t>P48634</t>
  </si>
  <si>
    <t>P48637</t>
  </si>
  <si>
    <t>P48643</t>
  </si>
  <si>
    <t>P48728</t>
  </si>
  <si>
    <t>P48735</t>
  </si>
  <si>
    <t>P48739</t>
  </si>
  <si>
    <t>P48775</t>
  </si>
  <si>
    <t>P49005</t>
  </si>
  <si>
    <t>P49006</t>
  </si>
  <si>
    <t>P49023-2</t>
  </si>
  <si>
    <t>P49189</t>
  </si>
  <si>
    <t>P49247</t>
  </si>
  <si>
    <t>P49321</t>
  </si>
  <si>
    <t>P49326</t>
  </si>
  <si>
    <t>P49327</t>
  </si>
  <si>
    <t>P49354</t>
  </si>
  <si>
    <t>P49366</t>
  </si>
  <si>
    <t>P49368</t>
  </si>
  <si>
    <t>P49407-2</t>
  </si>
  <si>
    <t>P49411</t>
  </si>
  <si>
    <t>P49419-2</t>
  </si>
  <si>
    <t>P49427</t>
  </si>
  <si>
    <t>P49441</t>
  </si>
  <si>
    <t>P49448</t>
  </si>
  <si>
    <t>P49458</t>
  </si>
  <si>
    <t>P49459</t>
  </si>
  <si>
    <t>P49585</t>
  </si>
  <si>
    <t>P49588</t>
  </si>
  <si>
    <t>P49589-3</t>
  </si>
  <si>
    <t>P49590</t>
  </si>
  <si>
    <t>P49591</t>
  </si>
  <si>
    <t>P49638</t>
  </si>
  <si>
    <t>P49662-2</t>
  </si>
  <si>
    <t>P49711</t>
  </si>
  <si>
    <t>P49720</t>
  </si>
  <si>
    <t>P49721</t>
  </si>
  <si>
    <t>P49736</t>
  </si>
  <si>
    <t>P49748</t>
  </si>
  <si>
    <t>P49750-4</t>
  </si>
  <si>
    <t>P49753</t>
  </si>
  <si>
    <t>P49755</t>
  </si>
  <si>
    <t>P49756</t>
  </si>
  <si>
    <t>P49757-3</t>
  </si>
  <si>
    <t>P49770</t>
  </si>
  <si>
    <t>P49773</t>
  </si>
  <si>
    <t>P49789</t>
  </si>
  <si>
    <t>P49790</t>
  </si>
  <si>
    <t>P49792</t>
  </si>
  <si>
    <t>P49821-2</t>
  </si>
  <si>
    <t>P49840</t>
  </si>
  <si>
    <t>P49841</t>
  </si>
  <si>
    <t>P49888</t>
  </si>
  <si>
    <t>P49902</t>
  </si>
  <si>
    <t>P49903</t>
  </si>
  <si>
    <t>P49914</t>
  </si>
  <si>
    <t>P49959</t>
  </si>
  <si>
    <t>P50053-2</t>
  </si>
  <si>
    <t>P50053</t>
  </si>
  <si>
    <t>P50135</t>
  </si>
  <si>
    <t>P50213</t>
  </si>
  <si>
    <t>P50224</t>
  </si>
  <si>
    <t>P50225</t>
  </si>
  <si>
    <t>P50226</t>
  </si>
  <si>
    <t>P50336</t>
  </si>
  <si>
    <t>P50395</t>
  </si>
  <si>
    <t>P50402</t>
  </si>
  <si>
    <t>P50416</t>
  </si>
  <si>
    <t>P50440-2</t>
  </si>
  <si>
    <t>P50440</t>
  </si>
  <si>
    <t>P50452</t>
  </si>
  <si>
    <t>P50453</t>
  </si>
  <si>
    <t>P50454</t>
  </si>
  <si>
    <t>P50502</t>
  </si>
  <si>
    <t>P50542-2</t>
  </si>
  <si>
    <t>P50552</t>
  </si>
  <si>
    <t>P50570</t>
  </si>
  <si>
    <t>P50579</t>
  </si>
  <si>
    <t>P50583</t>
  </si>
  <si>
    <t>P50747</t>
  </si>
  <si>
    <t>P50748</t>
  </si>
  <si>
    <t>P50897</t>
  </si>
  <si>
    <t>P50991</t>
  </si>
  <si>
    <t>P51003</t>
  </si>
  <si>
    <t>P51116</t>
  </si>
  <si>
    <t>P51148</t>
  </si>
  <si>
    <t>P51149</t>
  </si>
  <si>
    <t>P51151</t>
  </si>
  <si>
    <t>P51153</t>
  </si>
  <si>
    <t>P51178-2</t>
  </si>
  <si>
    <t>P51398-2</t>
  </si>
  <si>
    <t>P51452</t>
  </si>
  <si>
    <t>P51531-2</t>
  </si>
  <si>
    <t>P51532-5</t>
  </si>
  <si>
    <t>P51553</t>
  </si>
  <si>
    <t>P51570</t>
  </si>
  <si>
    <t>P51572</t>
  </si>
  <si>
    <t>P51580</t>
  </si>
  <si>
    <t>P51608</t>
  </si>
  <si>
    <t>P51610-4</t>
  </si>
  <si>
    <t>P51649</t>
  </si>
  <si>
    <t>P51659</t>
  </si>
  <si>
    <t>P51665</t>
  </si>
  <si>
    <t>P51687</t>
  </si>
  <si>
    <t>P51688</t>
  </si>
  <si>
    <t>P51692</t>
  </si>
  <si>
    <t>P51808</t>
  </si>
  <si>
    <t>P51857</t>
  </si>
  <si>
    <t>P51858</t>
  </si>
  <si>
    <t>P51948-2</t>
  </si>
  <si>
    <t>P51991</t>
  </si>
  <si>
    <t>P52272-2</t>
  </si>
  <si>
    <t>P52294</t>
  </si>
  <si>
    <t>P52306</t>
  </si>
  <si>
    <t>P52565</t>
  </si>
  <si>
    <t>P52594-2</t>
  </si>
  <si>
    <t>P52597</t>
  </si>
  <si>
    <t>P52630-4</t>
  </si>
  <si>
    <t>P52657</t>
  </si>
  <si>
    <t>P52701</t>
  </si>
  <si>
    <t>P52735-3</t>
  </si>
  <si>
    <t>P52758</t>
  </si>
  <si>
    <t>P52788</t>
  </si>
  <si>
    <t>P52790</t>
  </si>
  <si>
    <t>P52888</t>
  </si>
  <si>
    <t>P52895</t>
  </si>
  <si>
    <t>P52907</t>
  </si>
  <si>
    <t>P52943</t>
  </si>
  <si>
    <t>P52948-6</t>
  </si>
  <si>
    <t>P53004</t>
  </si>
  <si>
    <t>P53367</t>
  </si>
  <si>
    <t>P53370</t>
  </si>
  <si>
    <t>P53384-2</t>
  </si>
  <si>
    <t>P53396</t>
  </si>
  <si>
    <t>P53582</t>
  </si>
  <si>
    <t>P53597</t>
  </si>
  <si>
    <t>P53602</t>
  </si>
  <si>
    <t>P53609</t>
  </si>
  <si>
    <t>P53611</t>
  </si>
  <si>
    <t>P53618</t>
  </si>
  <si>
    <t>P53621</t>
  </si>
  <si>
    <t>P53634</t>
  </si>
  <si>
    <t>P53675-2</t>
  </si>
  <si>
    <t>P53680</t>
  </si>
  <si>
    <t>P53990-2</t>
  </si>
  <si>
    <t>P53992</t>
  </si>
  <si>
    <t>P53999</t>
  </si>
  <si>
    <t>P54098</t>
  </si>
  <si>
    <t>P54136</t>
  </si>
  <si>
    <t>P54253</t>
  </si>
  <si>
    <t>P54278-3</t>
  </si>
  <si>
    <t>P54577</t>
  </si>
  <si>
    <t>P54578-2</t>
  </si>
  <si>
    <t>P54619-2</t>
  </si>
  <si>
    <t>P54727</t>
  </si>
  <si>
    <t>P54802</t>
  </si>
  <si>
    <t>P54840</t>
  </si>
  <si>
    <t>P54855</t>
  </si>
  <si>
    <t>P54868</t>
  </si>
  <si>
    <t>P54886-2</t>
  </si>
  <si>
    <t>P54920</t>
  </si>
  <si>
    <t>P55008</t>
  </si>
  <si>
    <t>P55010</t>
  </si>
  <si>
    <t>P55036</t>
  </si>
  <si>
    <t>P55039</t>
  </si>
  <si>
    <t>P55058</t>
  </si>
  <si>
    <t>P55060-3</t>
  </si>
  <si>
    <t>P55072</t>
  </si>
  <si>
    <t>P55081</t>
  </si>
  <si>
    <t>P55084</t>
  </si>
  <si>
    <t>P55103</t>
  </si>
  <si>
    <t>P55145</t>
  </si>
  <si>
    <t>P55157</t>
  </si>
  <si>
    <t>P55196-3</t>
  </si>
  <si>
    <t>P55196</t>
  </si>
  <si>
    <t>P55199</t>
  </si>
  <si>
    <t>P55210</t>
  </si>
  <si>
    <t>P55212</t>
  </si>
  <si>
    <t>P55263</t>
  </si>
  <si>
    <t>P55265-3</t>
  </si>
  <si>
    <t>P55268</t>
  </si>
  <si>
    <t>P55327-2</t>
  </si>
  <si>
    <t>P55735</t>
  </si>
  <si>
    <t>P55769</t>
  </si>
  <si>
    <t>P55789</t>
  </si>
  <si>
    <t>P55795</t>
  </si>
  <si>
    <t>P55854</t>
  </si>
  <si>
    <t>P55884</t>
  </si>
  <si>
    <t>P56181-2</t>
  </si>
  <si>
    <t>P56181</t>
  </si>
  <si>
    <t>P56192</t>
  </si>
  <si>
    <t>P56199</t>
  </si>
  <si>
    <t>P56277</t>
  </si>
  <si>
    <t>P56470</t>
  </si>
  <si>
    <t>P56524</t>
  </si>
  <si>
    <t>P56537</t>
  </si>
  <si>
    <t>P56937-2</t>
  </si>
  <si>
    <t>P57060</t>
  </si>
  <si>
    <t>P57076</t>
  </si>
  <si>
    <t>P57081-2</t>
  </si>
  <si>
    <t>P57737-3</t>
  </si>
  <si>
    <t>P57764</t>
  </si>
  <si>
    <t>P57772</t>
  </si>
  <si>
    <t>P58546</t>
  </si>
  <si>
    <t>P59666</t>
  </si>
  <si>
    <t>P59998</t>
  </si>
  <si>
    <t>P60174-1</t>
  </si>
  <si>
    <t>P60228</t>
  </si>
  <si>
    <t>P60468</t>
  </si>
  <si>
    <t>P60842</t>
  </si>
  <si>
    <t>P60866</t>
  </si>
  <si>
    <t>P60891</t>
  </si>
  <si>
    <t>P60900</t>
  </si>
  <si>
    <t>P60903</t>
  </si>
  <si>
    <t>P60953</t>
  </si>
  <si>
    <t>P60981-2</t>
  </si>
  <si>
    <t>P60983</t>
  </si>
  <si>
    <t>P61006</t>
  </si>
  <si>
    <t>P61011</t>
  </si>
  <si>
    <t>P61019</t>
  </si>
  <si>
    <t>P61020</t>
  </si>
  <si>
    <t>P61026</t>
  </si>
  <si>
    <t>P61077</t>
  </si>
  <si>
    <t>P61081</t>
  </si>
  <si>
    <t>P61086</t>
  </si>
  <si>
    <t>P61088</t>
  </si>
  <si>
    <t>P61106</t>
  </si>
  <si>
    <t>P61158</t>
  </si>
  <si>
    <t>P61160</t>
  </si>
  <si>
    <t>P61163</t>
  </si>
  <si>
    <t>P61201</t>
  </si>
  <si>
    <t>P61218</t>
  </si>
  <si>
    <t>P61221</t>
  </si>
  <si>
    <t>P61224-3</t>
  </si>
  <si>
    <t>P61247</t>
  </si>
  <si>
    <t>P61289</t>
  </si>
  <si>
    <t>P61326</t>
  </si>
  <si>
    <t>P61457</t>
  </si>
  <si>
    <t>P61586</t>
  </si>
  <si>
    <t>P61604</t>
  </si>
  <si>
    <t>P61758</t>
  </si>
  <si>
    <t>P61923</t>
  </si>
  <si>
    <t>P61956-2</t>
  </si>
  <si>
    <t>P61964</t>
  </si>
  <si>
    <t>P61966</t>
  </si>
  <si>
    <t>P61970</t>
  </si>
  <si>
    <t>P61978-3</t>
  </si>
  <si>
    <t>P61981</t>
  </si>
  <si>
    <t>P62070</t>
  </si>
  <si>
    <t>P62072</t>
  </si>
  <si>
    <t>P62136</t>
  </si>
  <si>
    <t>P62140</t>
  </si>
  <si>
    <t>P62158</t>
  </si>
  <si>
    <t>P62191</t>
  </si>
  <si>
    <t>P62195-2</t>
  </si>
  <si>
    <t>P62241</t>
  </si>
  <si>
    <t>P62258</t>
  </si>
  <si>
    <t>P62277</t>
  </si>
  <si>
    <t>P62280</t>
  </si>
  <si>
    <t>P62304</t>
  </si>
  <si>
    <t>P62308</t>
  </si>
  <si>
    <t>P62310</t>
  </si>
  <si>
    <t>P62312</t>
  </si>
  <si>
    <t>P62314</t>
  </si>
  <si>
    <t>P62316</t>
  </si>
  <si>
    <t>P62328</t>
  </si>
  <si>
    <t>P62330</t>
  </si>
  <si>
    <t>P62333</t>
  </si>
  <si>
    <t>P62424</t>
  </si>
  <si>
    <t>P62495</t>
  </si>
  <si>
    <t>P62633-2</t>
  </si>
  <si>
    <t>P62701</t>
  </si>
  <si>
    <t>P62714</t>
  </si>
  <si>
    <t>P62745</t>
  </si>
  <si>
    <t>P62750</t>
  </si>
  <si>
    <t>P62753</t>
  </si>
  <si>
    <t>P62760</t>
  </si>
  <si>
    <t>P62805</t>
  </si>
  <si>
    <t>P62807</t>
  </si>
  <si>
    <t>P62820</t>
  </si>
  <si>
    <t>P62826</t>
  </si>
  <si>
    <t>P62829</t>
  </si>
  <si>
    <t>P62834</t>
  </si>
  <si>
    <t>P62851</t>
  </si>
  <si>
    <t>P62854</t>
  </si>
  <si>
    <t>P62873</t>
  </si>
  <si>
    <t>P62877</t>
  </si>
  <si>
    <t>P62879</t>
  </si>
  <si>
    <t>P62942</t>
  </si>
  <si>
    <t>P62993</t>
  </si>
  <si>
    <t>P62995-3</t>
  </si>
  <si>
    <t>P63000</t>
  </si>
  <si>
    <t>P63010</t>
  </si>
  <si>
    <t>P63104</t>
  </si>
  <si>
    <t>P63151</t>
  </si>
  <si>
    <t>P63167</t>
  </si>
  <si>
    <t>P63244</t>
  </si>
  <si>
    <t>P63261</t>
  </si>
  <si>
    <t>P63313</t>
  </si>
  <si>
    <t>P67775</t>
  </si>
  <si>
    <t>P67809</t>
  </si>
  <si>
    <t>P67870</t>
  </si>
  <si>
    <t>P67936</t>
  </si>
  <si>
    <t>P68036</t>
  </si>
  <si>
    <t>P68133</t>
  </si>
  <si>
    <t>P68363</t>
  </si>
  <si>
    <t>P68371</t>
  </si>
  <si>
    <t>P68402</t>
  </si>
  <si>
    <t>P78314</t>
  </si>
  <si>
    <t>P78318</t>
  </si>
  <si>
    <t>P78329</t>
  </si>
  <si>
    <t>P78332</t>
  </si>
  <si>
    <t>P78345</t>
  </si>
  <si>
    <t>P78346</t>
  </si>
  <si>
    <t>P78347-2</t>
  </si>
  <si>
    <t>P78356</t>
  </si>
  <si>
    <t>P78362</t>
  </si>
  <si>
    <t>P78371</t>
  </si>
  <si>
    <t>P78406</t>
  </si>
  <si>
    <t>P78417</t>
  </si>
  <si>
    <t>P78524</t>
  </si>
  <si>
    <t>P78560</t>
  </si>
  <si>
    <t>P80188-2</t>
  </si>
  <si>
    <t>P80217</t>
  </si>
  <si>
    <t>P80294</t>
  </si>
  <si>
    <t>P80297</t>
  </si>
  <si>
    <t>P80303</t>
  </si>
  <si>
    <t>P80404</t>
  </si>
  <si>
    <t>P80723</t>
  </si>
  <si>
    <t>P81605</t>
  </si>
  <si>
    <t>P82094</t>
  </si>
  <si>
    <t>P82664</t>
  </si>
  <si>
    <t>P82675</t>
  </si>
  <si>
    <t>P82909</t>
  </si>
  <si>
    <t>P82914</t>
  </si>
  <si>
    <t>P82930</t>
  </si>
  <si>
    <t>P82932</t>
  </si>
  <si>
    <t>P82979</t>
  </si>
  <si>
    <t>P82980</t>
  </si>
  <si>
    <t>P83111</t>
  </si>
  <si>
    <t>P83436</t>
  </si>
  <si>
    <t>P83876</t>
  </si>
  <si>
    <t>P84077</t>
  </si>
  <si>
    <t>P84085</t>
  </si>
  <si>
    <t>P84090</t>
  </si>
  <si>
    <t>P85037</t>
  </si>
  <si>
    <t>P86791</t>
  </si>
  <si>
    <t>P98082-2</t>
  </si>
  <si>
    <t>P98160</t>
  </si>
  <si>
    <t>P98170</t>
  </si>
  <si>
    <t>P98175-2</t>
  </si>
  <si>
    <t>P98179</t>
  </si>
  <si>
    <t>Q00059</t>
  </si>
  <si>
    <t>Q00169</t>
  </si>
  <si>
    <t>Q00266</t>
  </si>
  <si>
    <t>Q00341</t>
  </si>
  <si>
    <t>Q00403</t>
  </si>
  <si>
    <t>Q00534</t>
  </si>
  <si>
    <t>Q00535</t>
  </si>
  <si>
    <t>Q00577</t>
  </si>
  <si>
    <t>Q00587-2</t>
  </si>
  <si>
    <t>Q00610-2</t>
  </si>
  <si>
    <t>Q00653</t>
  </si>
  <si>
    <t>Q00688</t>
  </si>
  <si>
    <t>Q00796</t>
  </si>
  <si>
    <t>Q00839</t>
  </si>
  <si>
    <t>Q00G26</t>
  </si>
  <si>
    <t>Q01081</t>
  </si>
  <si>
    <t>Q01082-3</t>
  </si>
  <si>
    <t>Q01082</t>
  </si>
  <si>
    <t>Q01085-2</t>
  </si>
  <si>
    <t>Q01105</t>
  </si>
  <si>
    <t>Q01433-2</t>
  </si>
  <si>
    <t>Q01459</t>
  </si>
  <si>
    <t>Q01469</t>
  </si>
  <si>
    <t>Q01518-2</t>
  </si>
  <si>
    <t>Q01581</t>
  </si>
  <si>
    <t>Q01658</t>
  </si>
  <si>
    <t>Q01804</t>
  </si>
  <si>
    <t>Q01831-2</t>
  </si>
  <si>
    <t>Q01844-6</t>
  </si>
  <si>
    <t>Q01968-2</t>
  </si>
  <si>
    <t>Q02083-2</t>
  </si>
  <si>
    <t>Q02086-2</t>
  </si>
  <si>
    <t>Q02252</t>
  </si>
  <si>
    <t>Q02318</t>
  </si>
  <si>
    <t>Q02325</t>
  </si>
  <si>
    <t>Q02410</t>
  </si>
  <si>
    <t>Q02487-2</t>
  </si>
  <si>
    <t>Q02487</t>
  </si>
  <si>
    <t>Q02750</t>
  </si>
  <si>
    <t>Q02790</t>
  </si>
  <si>
    <t>Q02818</t>
  </si>
  <si>
    <t>Q02928</t>
  </si>
  <si>
    <t>Q02952-3</t>
  </si>
  <si>
    <t>Q02985-2</t>
  </si>
  <si>
    <t>Q03001-8</t>
  </si>
  <si>
    <t>Q03013-2</t>
  </si>
  <si>
    <t>Q03154</t>
  </si>
  <si>
    <t>Q03252</t>
  </si>
  <si>
    <t>Q03591</t>
  </si>
  <si>
    <t>Q04446</t>
  </si>
  <si>
    <t>Q04637-5</t>
  </si>
  <si>
    <t>Q04721</t>
  </si>
  <si>
    <t>Q04724</t>
  </si>
  <si>
    <t>Q04726-2</t>
  </si>
  <si>
    <t>Q04756</t>
  </si>
  <si>
    <t>Q04760</t>
  </si>
  <si>
    <t>Q04828</t>
  </si>
  <si>
    <t>Q04837</t>
  </si>
  <si>
    <t>Q04917</t>
  </si>
  <si>
    <t>Q05048</t>
  </si>
  <si>
    <t>Q05086-3</t>
  </si>
  <si>
    <t>Q05209</t>
  </si>
  <si>
    <t>Q05519-2</t>
  </si>
  <si>
    <t>Q05639</t>
  </si>
  <si>
    <t>Q05682-5</t>
  </si>
  <si>
    <t>Q05682</t>
  </si>
  <si>
    <t>Q06033-2</t>
  </si>
  <si>
    <t>Q06124-2</t>
  </si>
  <si>
    <t>Q06203</t>
  </si>
  <si>
    <t>Q06210-2</t>
  </si>
  <si>
    <t>Q06265</t>
  </si>
  <si>
    <t>Q06278</t>
  </si>
  <si>
    <t>Q06323</t>
  </si>
  <si>
    <t>Q06330-5</t>
  </si>
  <si>
    <t>Q06520</t>
  </si>
  <si>
    <t>Q06546</t>
  </si>
  <si>
    <t>Q06587</t>
  </si>
  <si>
    <t>Q07021</t>
  </si>
  <si>
    <t>Q07065</t>
  </si>
  <si>
    <t>Q07075</t>
  </si>
  <si>
    <t>Q07157</t>
  </si>
  <si>
    <t>Q07283</t>
  </si>
  <si>
    <t>Q07666</t>
  </si>
  <si>
    <t>Q07812-5</t>
  </si>
  <si>
    <t>Q07912</t>
  </si>
  <si>
    <t>Q07954</t>
  </si>
  <si>
    <t>Q07955</t>
  </si>
  <si>
    <t>Q07960</t>
  </si>
  <si>
    <t>Q08170</t>
  </si>
  <si>
    <t>Q08209-2</t>
  </si>
  <si>
    <t>Q08211</t>
  </si>
  <si>
    <t>Q08257</t>
  </si>
  <si>
    <t>Q08378</t>
  </si>
  <si>
    <t>Q08379</t>
  </si>
  <si>
    <t>Q08380</t>
  </si>
  <si>
    <t>Q08426</t>
  </si>
  <si>
    <t>Q08477-2</t>
  </si>
  <si>
    <t>Q08495-2</t>
  </si>
  <si>
    <t>Q08752</t>
  </si>
  <si>
    <t>Q08830</t>
  </si>
  <si>
    <t>Q08999</t>
  </si>
  <si>
    <t>Q08AG7</t>
  </si>
  <si>
    <t>Q08AH3</t>
  </si>
  <si>
    <t>Q08AM6</t>
  </si>
  <si>
    <t>Q08J23</t>
  </si>
  <si>
    <t>Q09028-3</t>
  </si>
  <si>
    <t>Q09472</t>
  </si>
  <si>
    <t>Q09666</t>
  </si>
  <si>
    <t>Q0JRZ9</t>
  </si>
  <si>
    <t>Q0VDF9</t>
  </si>
  <si>
    <t>Q0VDG4</t>
  </si>
  <si>
    <t>Q0VF96</t>
  </si>
  <si>
    <t>Q10567-2</t>
  </si>
  <si>
    <t>Q10567-3</t>
  </si>
  <si>
    <t>Q10570</t>
  </si>
  <si>
    <t>Q10713</t>
  </si>
  <si>
    <t>Q12768</t>
  </si>
  <si>
    <t>Q12769</t>
  </si>
  <si>
    <t>Q12774</t>
  </si>
  <si>
    <t>Q12792</t>
  </si>
  <si>
    <t>Q12794-7</t>
  </si>
  <si>
    <t>Q12802-4</t>
  </si>
  <si>
    <t>Q12849-5</t>
  </si>
  <si>
    <t>Q12874</t>
  </si>
  <si>
    <t>Q12882</t>
  </si>
  <si>
    <t>Q12888</t>
  </si>
  <si>
    <t>Q12899</t>
  </si>
  <si>
    <t>Q12904</t>
  </si>
  <si>
    <t>Q12905</t>
  </si>
  <si>
    <t>Q12906-4</t>
  </si>
  <si>
    <t>Q12929</t>
  </si>
  <si>
    <t>Q12933-4</t>
  </si>
  <si>
    <t>Q12959-5</t>
  </si>
  <si>
    <t>Q12962</t>
  </si>
  <si>
    <t>Q12965</t>
  </si>
  <si>
    <t>Q12972</t>
  </si>
  <si>
    <t>Q12986-3</t>
  </si>
  <si>
    <t>Q12996</t>
  </si>
  <si>
    <t>Q13011</t>
  </si>
  <si>
    <t>Q13017-2</t>
  </si>
  <si>
    <t>Q13033-2</t>
  </si>
  <si>
    <t>Q13045-2</t>
  </si>
  <si>
    <t>Q13045</t>
  </si>
  <si>
    <t>Q13057</t>
  </si>
  <si>
    <t>Q13085</t>
  </si>
  <si>
    <t>Q13107-2</t>
  </si>
  <si>
    <t>Q13123</t>
  </si>
  <si>
    <t>Q13126</t>
  </si>
  <si>
    <t>Q13131</t>
  </si>
  <si>
    <t>Q13136-2</t>
  </si>
  <si>
    <t>Q13148</t>
  </si>
  <si>
    <t>Q13151</t>
  </si>
  <si>
    <t>Q13153</t>
  </si>
  <si>
    <t>Q13155</t>
  </si>
  <si>
    <t>Q13162</t>
  </si>
  <si>
    <t>Q13177</t>
  </si>
  <si>
    <t>Q13185</t>
  </si>
  <si>
    <t>Q13188</t>
  </si>
  <si>
    <t>Q13200</t>
  </si>
  <si>
    <t>Q13206</t>
  </si>
  <si>
    <t>Q13217</t>
  </si>
  <si>
    <t>Q13228</t>
  </si>
  <si>
    <t>Q13232</t>
  </si>
  <si>
    <t>Q13243-3</t>
  </si>
  <si>
    <t>Q13247-3</t>
  </si>
  <si>
    <t>Q13257</t>
  </si>
  <si>
    <t>Q13263</t>
  </si>
  <si>
    <t>Q13283</t>
  </si>
  <si>
    <t>Q13287</t>
  </si>
  <si>
    <t>Q13310-3</t>
  </si>
  <si>
    <t>Q13310</t>
  </si>
  <si>
    <t>Q13325</t>
  </si>
  <si>
    <t>Q13330-3</t>
  </si>
  <si>
    <t>Q13347</t>
  </si>
  <si>
    <t>Q13362-4</t>
  </si>
  <si>
    <t>Q13363-2</t>
  </si>
  <si>
    <t>Q13404</t>
  </si>
  <si>
    <t>Q13409-6</t>
  </si>
  <si>
    <t>Q13418</t>
  </si>
  <si>
    <t>Q13423</t>
  </si>
  <si>
    <t>Q13424</t>
  </si>
  <si>
    <t>Q13426-2</t>
  </si>
  <si>
    <t>Q13427-2</t>
  </si>
  <si>
    <t>Q13428-4</t>
  </si>
  <si>
    <t>Q13435</t>
  </si>
  <si>
    <t>Q13442</t>
  </si>
  <si>
    <t>Q13451</t>
  </si>
  <si>
    <t>Q13459-2</t>
  </si>
  <si>
    <t>Q13464</t>
  </si>
  <si>
    <t>Q13492-3</t>
  </si>
  <si>
    <t>Q13496</t>
  </si>
  <si>
    <t>Q13501-2</t>
  </si>
  <si>
    <t>Q13526</t>
  </si>
  <si>
    <t>Q13541</t>
  </si>
  <si>
    <t>Q13542</t>
  </si>
  <si>
    <t>Q13546</t>
  </si>
  <si>
    <t>Q13547</t>
  </si>
  <si>
    <t>Q13555-10</t>
  </si>
  <si>
    <t>Q13557-8</t>
  </si>
  <si>
    <t>Q13561</t>
  </si>
  <si>
    <t>Q13572</t>
  </si>
  <si>
    <t>Q13573</t>
  </si>
  <si>
    <t>Q13576</t>
  </si>
  <si>
    <t>Q13586</t>
  </si>
  <si>
    <t>Q13596</t>
  </si>
  <si>
    <t>Q13610</t>
  </si>
  <si>
    <t>Q13616</t>
  </si>
  <si>
    <t>Q13617</t>
  </si>
  <si>
    <t>Q13618</t>
  </si>
  <si>
    <t>Q13619</t>
  </si>
  <si>
    <t>Q13620-1</t>
  </si>
  <si>
    <t>Q13630</t>
  </si>
  <si>
    <t>Q13642-1</t>
  </si>
  <si>
    <t>Q13686</t>
  </si>
  <si>
    <t>Q13796</t>
  </si>
  <si>
    <t>Q13813-2</t>
  </si>
  <si>
    <t>Q13813</t>
  </si>
  <si>
    <t>Q13825</t>
  </si>
  <si>
    <t>Q13838</t>
  </si>
  <si>
    <t>Q13867</t>
  </si>
  <si>
    <t>Q13868</t>
  </si>
  <si>
    <t>Q13884</t>
  </si>
  <si>
    <t>Q13885</t>
  </si>
  <si>
    <t>Q13907</t>
  </si>
  <si>
    <t>Q13951-2</t>
  </si>
  <si>
    <t>Q14008-2</t>
  </si>
  <si>
    <t>Q14011</t>
  </si>
  <si>
    <t>Q14012</t>
  </si>
  <si>
    <t>Q14019</t>
  </si>
  <si>
    <t>Q14032</t>
  </si>
  <si>
    <t>Q14061</t>
  </si>
  <si>
    <t>Q14103-3</t>
  </si>
  <si>
    <t>Q14116-2</t>
  </si>
  <si>
    <t>Q14117</t>
  </si>
  <si>
    <t>Q14118</t>
  </si>
  <si>
    <t>Q14126</t>
  </si>
  <si>
    <t>Q14139</t>
  </si>
  <si>
    <t>Q14141-2</t>
  </si>
  <si>
    <t>Q14155-1</t>
  </si>
  <si>
    <t>Q14157</t>
  </si>
  <si>
    <t>Q14160</t>
  </si>
  <si>
    <t>Q14161</t>
  </si>
  <si>
    <t>Q14166</t>
  </si>
  <si>
    <t>Q14185</t>
  </si>
  <si>
    <t>Q14192</t>
  </si>
  <si>
    <t>Q14203-6</t>
  </si>
  <si>
    <t>Q14204</t>
  </si>
  <si>
    <t>Q14232</t>
  </si>
  <si>
    <t>Q14240</t>
  </si>
  <si>
    <t>Q14241</t>
  </si>
  <si>
    <t>Q14244-2</t>
  </si>
  <si>
    <t>Q14247-3</t>
  </si>
  <si>
    <t>Q14247</t>
  </si>
  <si>
    <t>Q14249</t>
  </si>
  <si>
    <t>Q14258</t>
  </si>
  <si>
    <t>Q14289-2</t>
  </si>
  <si>
    <t>Q14318-2</t>
  </si>
  <si>
    <t>Q14320</t>
  </si>
  <si>
    <t>Q14353</t>
  </si>
  <si>
    <t>Q14376</t>
  </si>
  <si>
    <t>Q14397</t>
  </si>
  <si>
    <t>Q14410</t>
  </si>
  <si>
    <t>Q14444-2</t>
  </si>
  <si>
    <t>Q14498-2</t>
  </si>
  <si>
    <t>Q14520-2</t>
  </si>
  <si>
    <t>Q14527</t>
  </si>
  <si>
    <t>Q14554</t>
  </si>
  <si>
    <t>Q14558</t>
  </si>
  <si>
    <t>Q14566</t>
  </si>
  <si>
    <t>Q14624</t>
  </si>
  <si>
    <t>Q14651</t>
  </si>
  <si>
    <t>Q14653</t>
  </si>
  <si>
    <t>Q14657</t>
  </si>
  <si>
    <t>Q14669</t>
  </si>
  <si>
    <t>Q14676-3</t>
  </si>
  <si>
    <t>Q14677</t>
  </si>
  <si>
    <t>Q14678-2</t>
  </si>
  <si>
    <t>Q14683</t>
  </si>
  <si>
    <t>Q14684-2</t>
  </si>
  <si>
    <t>Q14687-2</t>
  </si>
  <si>
    <t>Q14689-6</t>
  </si>
  <si>
    <t>Q14694</t>
  </si>
  <si>
    <t>Q14696</t>
  </si>
  <si>
    <t>Q14697</t>
  </si>
  <si>
    <t>Q14749</t>
  </si>
  <si>
    <t>Q14789</t>
  </si>
  <si>
    <t>Q147X3</t>
  </si>
  <si>
    <t>Q14847</t>
  </si>
  <si>
    <t>Q14894</t>
  </si>
  <si>
    <t>Q14914-2</t>
  </si>
  <si>
    <t>Q14938-5</t>
  </si>
  <si>
    <t>Q14966</t>
  </si>
  <si>
    <t>Q14974</t>
  </si>
  <si>
    <t>Q14978</t>
  </si>
  <si>
    <t>Q14980</t>
  </si>
  <si>
    <t>Q14997</t>
  </si>
  <si>
    <t>Q14C86-4</t>
  </si>
  <si>
    <t>Q14CX7-2</t>
  </si>
  <si>
    <t>Q15008</t>
  </si>
  <si>
    <t>Q15018</t>
  </si>
  <si>
    <t>Q15019</t>
  </si>
  <si>
    <t>Q15020</t>
  </si>
  <si>
    <t>Q15024</t>
  </si>
  <si>
    <t>Q15029-2</t>
  </si>
  <si>
    <t>Q15036-2</t>
  </si>
  <si>
    <t>Q15043-2</t>
  </si>
  <si>
    <t>Q15046</t>
  </si>
  <si>
    <t>Q15056-2</t>
  </si>
  <si>
    <t>Q15057</t>
  </si>
  <si>
    <t>Q15059</t>
  </si>
  <si>
    <t>Q15067-2</t>
  </si>
  <si>
    <t>Q15067</t>
  </si>
  <si>
    <t>Q15075</t>
  </si>
  <si>
    <t>Q15102</t>
  </si>
  <si>
    <t>Q15118</t>
  </si>
  <si>
    <t>Q15119</t>
  </si>
  <si>
    <t>Q15120</t>
  </si>
  <si>
    <t>Q15124-2</t>
  </si>
  <si>
    <t>Q15126</t>
  </si>
  <si>
    <t>Q15149-8</t>
  </si>
  <si>
    <t>Q15166</t>
  </si>
  <si>
    <t>Q15172</t>
  </si>
  <si>
    <t>Q15181</t>
  </si>
  <si>
    <t>Q15208</t>
  </si>
  <si>
    <t>Q15233</t>
  </si>
  <si>
    <t>Q15257-2</t>
  </si>
  <si>
    <t>Q15257</t>
  </si>
  <si>
    <t>Q15274</t>
  </si>
  <si>
    <t>Q15276</t>
  </si>
  <si>
    <t>Q15291</t>
  </si>
  <si>
    <t>Q15293</t>
  </si>
  <si>
    <t>Q15311</t>
  </si>
  <si>
    <t>Q15345</t>
  </si>
  <si>
    <t>Q15365</t>
  </si>
  <si>
    <t>Q15382</t>
  </si>
  <si>
    <t>Q15386</t>
  </si>
  <si>
    <t>Q15393</t>
  </si>
  <si>
    <t>Q15404</t>
  </si>
  <si>
    <t>Q15417</t>
  </si>
  <si>
    <t>Q15424</t>
  </si>
  <si>
    <t>Q15427</t>
  </si>
  <si>
    <t>Q15435</t>
  </si>
  <si>
    <t>Q15437</t>
  </si>
  <si>
    <t>Q15459</t>
  </si>
  <si>
    <t>Q15464</t>
  </si>
  <si>
    <t>Q15477</t>
  </si>
  <si>
    <t>Q15493</t>
  </si>
  <si>
    <t>Q15526-2</t>
  </si>
  <si>
    <t>Q15554</t>
  </si>
  <si>
    <t>Q15555-4</t>
  </si>
  <si>
    <t>Q15596</t>
  </si>
  <si>
    <t>Q15599</t>
  </si>
  <si>
    <t>Q15628</t>
  </si>
  <si>
    <t>Q15633-2</t>
  </si>
  <si>
    <t>Q15637-5</t>
  </si>
  <si>
    <t>Q15642</t>
  </si>
  <si>
    <t>Q15643</t>
  </si>
  <si>
    <t>Q15650</t>
  </si>
  <si>
    <t>Q15652</t>
  </si>
  <si>
    <t>Q15654</t>
  </si>
  <si>
    <t>Q15691</t>
  </si>
  <si>
    <t>Q15717</t>
  </si>
  <si>
    <t>Q15746-2</t>
  </si>
  <si>
    <t>Q15746-6</t>
  </si>
  <si>
    <t>Q15750-2</t>
  </si>
  <si>
    <t>Q15785</t>
  </si>
  <si>
    <t>Q15813</t>
  </si>
  <si>
    <t>Q15814</t>
  </si>
  <si>
    <t>Q15819</t>
  </si>
  <si>
    <t>Q15833</t>
  </si>
  <si>
    <t>Q15847</t>
  </si>
  <si>
    <t>Q15907</t>
  </si>
  <si>
    <t>Q15942</t>
  </si>
  <si>
    <t>Q16134</t>
  </si>
  <si>
    <t>Q16181</t>
  </si>
  <si>
    <t>Q16186</t>
  </si>
  <si>
    <t>Q16204</t>
  </si>
  <si>
    <t>Q16222-2</t>
  </si>
  <si>
    <t>Q16254</t>
  </si>
  <si>
    <t>Q16270-2</t>
  </si>
  <si>
    <t>Q16401-2</t>
  </si>
  <si>
    <t>Q16531</t>
  </si>
  <si>
    <t>Q16539</t>
  </si>
  <si>
    <t>Q16543</t>
  </si>
  <si>
    <t>Q16555-2</t>
  </si>
  <si>
    <t>Q16576</t>
  </si>
  <si>
    <t>Q16625-5</t>
  </si>
  <si>
    <t>Q16626</t>
  </si>
  <si>
    <t>Q16644</t>
  </si>
  <si>
    <t>Q16654</t>
  </si>
  <si>
    <t>Q16658</t>
  </si>
  <si>
    <t>Q16719</t>
  </si>
  <si>
    <t>Q16740</t>
  </si>
  <si>
    <t>Q16762</t>
  </si>
  <si>
    <t>Q16773</t>
  </si>
  <si>
    <t>Q16775</t>
  </si>
  <si>
    <t>Q16822</t>
  </si>
  <si>
    <t>Q16825</t>
  </si>
  <si>
    <t>Q16831</t>
  </si>
  <si>
    <t>Q16836</t>
  </si>
  <si>
    <t>Q16851-2</t>
  </si>
  <si>
    <t>Q16851</t>
  </si>
  <si>
    <t>Q16854</t>
  </si>
  <si>
    <t>Q16864</t>
  </si>
  <si>
    <t>Q16878</t>
  </si>
  <si>
    <t>Q17R31-5</t>
  </si>
  <si>
    <t>Q17RC7</t>
  </si>
  <si>
    <t>Q17RN3</t>
  </si>
  <si>
    <t>Q1W6H9</t>
  </si>
  <si>
    <t>Q27J81</t>
  </si>
  <si>
    <t>Q29RF7</t>
  </si>
  <si>
    <t>Q2KHT3</t>
  </si>
  <si>
    <t>Q2M389</t>
  </si>
  <si>
    <t>Q2PPJ7-3</t>
  </si>
  <si>
    <t>Q2T9J0</t>
  </si>
  <si>
    <t>Q2TAL8</t>
  </si>
  <si>
    <t>Q2TAY7</t>
  </si>
  <si>
    <t>Q32M88</t>
  </si>
  <si>
    <t>Q32MZ4-2</t>
  </si>
  <si>
    <t>Q32MZ4-3</t>
  </si>
  <si>
    <t>Q32MZ4-4</t>
  </si>
  <si>
    <t>Q32P28</t>
  </si>
  <si>
    <t>Q32P44</t>
  </si>
  <si>
    <t>Q3B7J2</t>
  </si>
  <si>
    <t>Q3LXA3</t>
  </si>
  <si>
    <t>Q3MHD2</t>
  </si>
  <si>
    <t>Q3MIT2</t>
  </si>
  <si>
    <t>Q3YEC7</t>
  </si>
  <si>
    <t>Q3ZCM7</t>
  </si>
  <si>
    <t>Q49A26-5</t>
  </si>
  <si>
    <t>Q49AH0</t>
  </si>
  <si>
    <t>Q49AN0</t>
  </si>
  <si>
    <t>Q49AR2-2</t>
  </si>
  <si>
    <t>Q49B96</t>
  </si>
  <si>
    <t>Q4G0F5</t>
  </si>
  <si>
    <t>Q4G0J3</t>
  </si>
  <si>
    <t>Q4G0N4</t>
  </si>
  <si>
    <t>Q4G0X4</t>
  </si>
  <si>
    <t>Q4G148-2</t>
  </si>
  <si>
    <t>Q4G176</t>
  </si>
  <si>
    <t>Q4J6C6-4</t>
  </si>
  <si>
    <t>Q4KMQ1-2</t>
  </si>
  <si>
    <t>Q4KWH8-3</t>
  </si>
  <si>
    <t>Q4LE39-3</t>
  </si>
  <si>
    <t>Q4V328</t>
  </si>
  <si>
    <t>Q4V348</t>
  </si>
  <si>
    <t>Q52LJ0-2</t>
  </si>
  <si>
    <t>Q52LW3</t>
  </si>
  <si>
    <t>Q53F19</t>
  </si>
  <si>
    <t>Q53FA7</t>
  </si>
  <si>
    <t>Q53FZ2</t>
  </si>
  <si>
    <t>Q53GQ0</t>
  </si>
  <si>
    <t>Q53H82</t>
  </si>
  <si>
    <t>Q53HC9</t>
  </si>
  <si>
    <t>Q53LP3</t>
  </si>
  <si>
    <t>Q53S33</t>
  </si>
  <si>
    <t>Q53SF7-4</t>
  </si>
  <si>
    <t>Q53T59</t>
  </si>
  <si>
    <t>Q562E7</t>
  </si>
  <si>
    <t>Q58FF8</t>
  </si>
  <si>
    <t>Q58WW2</t>
  </si>
  <si>
    <t>Q5BKU9</t>
  </si>
  <si>
    <t>Q5EBL4-2</t>
  </si>
  <si>
    <t>Q5EBL8</t>
  </si>
  <si>
    <t>Q5EBM0</t>
  </si>
  <si>
    <t>Q5GLZ8-3</t>
  </si>
  <si>
    <t>Q5HYK7-3</t>
  </si>
  <si>
    <t>Q5I0X7</t>
  </si>
  <si>
    <t>Q5JR59</t>
  </si>
  <si>
    <t>Q5JRX3</t>
  </si>
  <si>
    <t>Q5JS37</t>
  </si>
  <si>
    <t>Q5JSH3-2</t>
  </si>
  <si>
    <t>Q5JSZ5-5</t>
  </si>
  <si>
    <t>Q5JTD0-2</t>
  </si>
  <si>
    <t>Q5JTJ3-3</t>
  </si>
  <si>
    <t>Q5JTV8</t>
  </si>
  <si>
    <t>Q5JTZ9</t>
  </si>
  <si>
    <t>Q5JVF3-3</t>
  </si>
  <si>
    <t>Q5JVS0</t>
  </si>
  <si>
    <t>Q5KU26</t>
  </si>
  <si>
    <t>Q5MIZ7-3</t>
  </si>
  <si>
    <t>Q5MNZ6</t>
  </si>
  <si>
    <t>Q5MNZ9-2</t>
  </si>
  <si>
    <t>Q5NDL2</t>
  </si>
  <si>
    <t>Q5QJ74</t>
  </si>
  <si>
    <t>Q5R3I4</t>
  </si>
  <si>
    <t>Q5RHP9</t>
  </si>
  <si>
    <t>Q5RKV6</t>
  </si>
  <si>
    <t>Q5SNT6</t>
  </si>
  <si>
    <t>Q5SRE7</t>
  </si>
  <si>
    <t>Q5SSJ5</t>
  </si>
  <si>
    <t>Q5ST30</t>
  </si>
  <si>
    <t>Q5SW79-2</t>
  </si>
  <si>
    <t>Q5SW96</t>
  </si>
  <si>
    <t>Q5SXM8</t>
  </si>
  <si>
    <t>Q5SYE7-2</t>
  </si>
  <si>
    <t>Q5T0N5-3</t>
  </si>
  <si>
    <t>Q5T160</t>
  </si>
  <si>
    <t>Q5T1C6</t>
  </si>
  <si>
    <t>Q5T1M5</t>
  </si>
  <si>
    <t>Q5T200</t>
  </si>
  <si>
    <t>Q5T2E6</t>
  </si>
  <si>
    <t>Q5T2W1</t>
  </si>
  <si>
    <t>Q5T440</t>
  </si>
  <si>
    <t>Q5T4F4-6</t>
  </si>
  <si>
    <t>Q5T4S7-3</t>
  </si>
  <si>
    <t>Q5T5P2</t>
  </si>
  <si>
    <t>Q5T5U3</t>
  </si>
  <si>
    <t>Q5T6J7</t>
  </si>
  <si>
    <t>Q5T6V5</t>
  </si>
  <si>
    <t>Q5T7V8</t>
  </si>
  <si>
    <t>Q5T8D3-2</t>
  </si>
  <si>
    <t>Q5T8D3</t>
  </si>
  <si>
    <t>Q5T8P6-2</t>
  </si>
  <si>
    <t>Q5TA50</t>
  </si>
  <si>
    <t>Q5TBA9</t>
  </si>
  <si>
    <t>Q5TC12</t>
  </si>
  <si>
    <t>Q5TCQ9-4</t>
  </si>
  <si>
    <t>Q5TDH0</t>
  </si>
  <si>
    <t>Q5TEU4</t>
  </si>
  <si>
    <t>Q5TFE4</t>
  </si>
  <si>
    <t>Q5TFQ8</t>
  </si>
  <si>
    <t>Q5TZA2</t>
  </si>
  <si>
    <t>Q5U5X0</t>
  </si>
  <si>
    <t>Q5UIP0-2</t>
  </si>
  <si>
    <t>Q5VIR6-4</t>
  </si>
  <si>
    <t>Q5VSL9</t>
  </si>
  <si>
    <t>Q5VSP4</t>
  </si>
  <si>
    <t>Q5VT06</t>
  </si>
  <si>
    <t>Q5VT52</t>
  </si>
  <si>
    <t>Q5VTE0</t>
  </si>
  <si>
    <t>Q5VTQ0-5</t>
  </si>
  <si>
    <t>Q5VTR2</t>
  </si>
  <si>
    <t>Q5VTU8</t>
  </si>
  <si>
    <t>Q5VUA4</t>
  </si>
  <si>
    <t>Q5VUE5</t>
  </si>
  <si>
    <t>Q5VVQ6-2</t>
  </si>
  <si>
    <t>Q5VW32</t>
  </si>
  <si>
    <t>Q5VW36</t>
  </si>
  <si>
    <t>Q5VWP3</t>
  </si>
  <si>
    <t>Q5VWQ8-3</t>
  </si>
  <si>
    <t>Q5VWZ2</t>
  </si>
  <si>
    <t>Q5VYK3</t>
  </si>
  <si>
    <t>Q5VYX0-2</t>
  </si>
  <si>
    <t>Q5VZK9</t>
  </si>
  <si>
    <t>Q5W0V3</t>
  </si>
  <si>
    <t>Q5W111</t>
  </si>
  <si>
    <t>Q5XPI4</t>
  </si>
  <si>
    <t>Q63HM1</t>
  </si>
  <si>
    <t>Q63HN8</t>
  </si>
  <si>
    <t>Q63ZY3-3</t>
  </si>
  <si>
    <t>Q658Y4</t>
  </si>
  <si>
    <t>Q66K14-2</t>
  </si>
  <si>
    <t>Q66PJ3-5</t>
  </si>
  <si>
    <t>Q66PJ3</t>
  </si>
  <si>
    <t>Q676U5-2</t>
  </si>
  <si>
    <t>Q68CK6</t>
  </si>
  <si>
    <t>Q68CZ2</t>
  </si>
  <si>
    <t>Q68E01-2</t>
  </si>
  <si>
    <t>Q68EM7-6</t>
  </si>
  <si>
    <t>Q69YN2</t>
  </si>
  <si>
    <t>Q69YN4-3</t>
  </si>
  <si>
    <t>Q69YQ0-2</t>
  </si>
  <si>
    <t>Q6A1A2</t>
  </si>
  <si>
    <t>Q6DD87</t>
  </si>
  <si>
    <t>Q6DD88</t>
  </si>
  <si>
    <t>Q6DHV7-2</t>
  </si>
  <si>
    <t>Q6DKK2</t>
  </si>
  <si>
    <t>Q6DN90-2</t>
  </si>
  <si>
    <t>Q6EMK4</t>
  </si>
  <si>
    <t>Q6FI81-3</t>
  </si>
  <si>
    <t>Q6FIF0-2</t>
  </si>
  <si>
    <t>Q6GMV2</t>
  </si>
  <si>
    <t>Q6GMV3</t>
  </si>
  <si>
    <t>Q6GQQ9-2</t>
  </si>
  <si>
    <t>Q6GYQ0-4</t>
  </si>
  <si>
    <t>Q6IA69</t>
  </si>
  <si>
    <t>Q6IA86-2</t>
  </si>
  <si>
    <t>Q6IB77</t>
  </si>
  <si>
    <t>Q6IBS0</t>
  </si>
  <si>
    <t>Q6ICG6-3</t>
  </si>
  <si>
    <t>Q6IN85-2</t>
  </si>
  <si>
    <t>Q6IPR1</t>
  </si>
  <si>
    <t>Q6JQN1</t>
  </si>
  <si>
    <t>Q6KC79-2</t>
  </si>
  <si>
    <t>Q6N043-2</t>
  </si>
  <si>
    <t>Q6N063</t>
  </si>
  <si>
    <t>Q6NUM9</t>
  </si>
  <si>
    <t>Q6NUN0</t>
  </si>
  <si>
    <t>Q6NUQ1</t>
  </si>
  <si>
    <t>Q6NUQ4-2</t>
  </si>
  <si>
    <t>Q6NVY1</t>
  </si>
  <si>
    <t>Q6NYC8</t>
  </si>
  <si>
    <t>Q6NZY4</t>
  </si>
  <si>
    <t>Q6P1J9</t>
  </si>
  <si>
    <t>Q6P1M3-2</t>
  </si>
  <si>
    <t>Q6P1N0-2</t>
  </si>
  <si>
    <t>Q6P1N9</t>
  </si>
  <si>
    <t>Q6P1R4</t>
  </si>
  <si>
    <t>Q6P1X6</t>
  </si>
  <si>
    <t>Q6P2E9</t>
  </si>
  <si>
    <t>Q6P2P2</t>
  </si>
  <si>
    <t>Q6P2Q9</t>
  </si>
  <si>
    <t>Q6P3W7</t>
  </si>
  <si>
    <t>Q6P3X3</t>
  </si>
  <si>
    <t>Q6P4A8</t>
  </si>
  <si>
    <t>Q6P4F2</t>
  </si>
  <si>
    <t>Q6P4R8-3</t>
  </si>
  <si>
    <t>Q6P587</t>
  </si>
  <si>
    <t>Q6P6B1</t>
  </si>
  <si>
    <t>Q6PCB5</t>
  </si>
  <si>
    <t>Q6PD62</t>
  </si>
  <si>
    <t>Q6PD74</t>
  </si>
  <si>
    <t>Q6PGP7</t>
  </si>
  <si>
    <t>Q6PH81</t>
  </si>
  <si>
    <t>Q6PI48</t>
  </si>
  <si>
    <t>Q6PIJ6-2</t>
  </si>
  <si>
    <t>Q6PJT7-4</t>
  </si>
  <si>
    <t>Q6PJW8-2</t>
  </si>
  <si>
    <t>Q6PK81-2</t>
  </si>
  <si>
    <t>Q6PKG0</t>
  </si>
  <si>
    <t>Q6PL24</t>
  </si>
  <si>
    <t>Q6QHF9-3</t>
  </si>
  <si>
    <t>Q6QNY0</t>
  </si>
  <si>
    <t>Q6SPF0</t>
  </si>
  <si>
    <t>Q6UB28</t>
  </si>
  <si>
    <t>Q6ULP2-5</t>
  </si>
  <si>
    <t>Q6UN15-4</t>
  </si>
  <si>
    <t>Q6UWE0</t>
  </si>
  <si>
    <t>Q6UWP2</t>
  </si>
  <si>
    <t>Q6UWW8</t>
  </si>
  <si>
    <t>Q6UX53</t>
  </si>
  <si>
    <t>Q6UXH1-4</t>
  </si>
  <si>
    <t>Q6UXN9</t>
  </si>
  <si>
    <t>Q6UXV4</t>
  </si>
  <si>
    <t>Q6VY07</t>
  </si>
  <si>
    <t>Q6WCQ1</t>
  </si>
  <si>
    <t>Q6WKZ4-3</t>
  </si>
  <si>
    <t>Q6XQN6</t>
  </si>
  <si>
    <t>Q6XZF7</t>
  </si>
  <si>
    <t>Q6Y7W6-4</t>
  </si>
  <si>
    <t>Q6YN16</t>
  </si>
  <si>
    <t>Q6YP21-3</t>
  </si>
  <si>
    <t>Q6ZMI0</t>
  </si>
  <si>
    <t>Q6ZNW5</t>
  </si>
  <si>
    <t>Q6ZS30</t>
  </si>
  <si>
    <t>Q6ZSZ5-2</t>
  </si>
  <si>
    <t>Q6ZT12</t>
  </si>
  <si>
    <t>Q6ZUJ8</t>
  </si>
  <si>
    <t>Q6ZVK8-2</t>
  </si>
  <si>
    <t>Q6ZVM7</t>
  </si>
  <si>
    <t>Q709C8-3</t>
  </si>
  <si>
    <t>Q709F0</t>
  </si>
  <si>
    <t>Q70E73</t>
  </si>
  <si>
    <t>Q712K3</t>
  </si>
  <si>
    <t>Q71RC2-6</t>
  </si>
  <si>
    <t>Q71U36-2</t>
  </si>
  <si>
    <t>Q765P7</t>
  </si>
  <si>
    <t>Q76FK4-3</t>
  </si>
  <si>
    <t>Q7KZ85</t>
  </si>
  <si>
    <t>Q7KZF4</t>
  </si>
  <si>
    <t>Q7KZI7-12</t>
  </si>
  <si>
    <t>Q7L014</t>
  </si>
  <si>
    <t>Q7L099-2</t>
  </si>
  <si>
    <t>Q7L099-4</t>
  </si>
  <si>
    <t>Q7L0Y3</t>
  </si>
  <si>
    <t>Q7L1Q6</t>
  </si>
  <si>
    <t>Q7L266</t>
  </si>
  <si>
    <t>Q7L2J0</t>
  </si>
  <si>
    <t>Q7L3T8</t>
  </si>
  <si>
    <t>Q7L4I2</t>
  </si>
  <si>
    <t>Q7L576</t>
  </si>
  <si>
    <t>Q7L592</t>
  </si>
  <si>
    <t>Q7L5D6</t>
  </si>
  <si>
    <t>Q7L5Y1</t>
  </si>
  <si>
    <t>Q7L775</t>
  </si>
  <si>
    <t>Q7L8L6</t>
  </si>
  <si>
    <t>Q7LBC6</t>
  </si>
  <si>
    <t>Q7LBR1</t>
  </si>
  <si>
    <t>Q7LG56</t>
  </si>
  <si>
    <t>Q7RTP6</t>
  </si>
  <si>
    <t>Q7RTV0</t>
  </si>
  <si>
    <t>Q7Z2W4</t>
  </si>
  <si>
    <t>Q7Z2Z2</t>
  </si>
  <si>
    <t>Q7Z392-3</t>
  </si>
  <si>
    <t>Q7Z3E2</t>
  </si>
  <si>
    <t>Q7Z3J2</t>
  </si>
  <si>
    <t>Q7Z3T8</t>
  </si>
  <si>
    <t>Q7Z406</t>
  </si>
  <si>
    <t>Q7Z417</t>
  </si>
  <si>
    <t>Q7Z422-2</t>
  </si>
  <si>
    <t>Q7Z434</t>
  </si>
  <si>
    <t>Q7Z460-2</t>
  </si>
  <si>
    <t>Q7Z478</t>
  </si>
  <si>
    <t>Q7Z4G1</t>
  </si>
  <si>
    <t>Q7Z4G4-2</t>
  </si>
  <si>
    <t>Q7Z4H8</t>
  </si>
  <si>
    <t>Q7Z4I7-3</t>
  </si>
  <si>
    <t>Q7Z4Q2</t>
  </si>
  <si>
    <t>Q7Z4S6-3</t>
  </si>
  <si>
    <t>Q7Z4V5</t>
  </si>
  <si>
    <t>Q7Z4W1</t>
  </si>
  <si>
    <t>Q7Z5K2</t>
  </si>
  <si>
    <t>Q7Z5L9-2</t>
  </si>
  <si>
    <t>Q7Z5P4</t>
  </si>
  <si>
    <t>Q7Z5Q1-7</t>
  </si>
  <si>
    <t>Q7Z5R6</t>
  </si>
  <si>
    <t>Q7Z6E9-4</t>
  </si>
  <si>
    <t>Q7Z6K3</t>
  </si>
  <si>
    <t>Q7Z6M1</t>
  </si>
  <si>
    <t>Q7Z6Z7-2</t>
  </si>
  <si>
    <t>Q7Z7G8-2</t>
  </si>
  <si>
    <t>Q7Z7K0</t>
  </si>
  <si>
    <t>Q7Z7K6-3</t>
  </si>
  <si>
    <t>Q86SQ0-3</t>
  </si>
  <si>
    <t>Q86SQ0</t>
  </si>
  <si>
    <t>Q86SX6</t>
  </si>
  <si>
    <t>Q86SZ2</t>
  </si>
  <si>
    <t>Q86TB9-4</t>
  </si>
  <si>
    <t>Q86TI2</t>
  </si>
  <si>
    <t>Q86TP1</t>
  </si>
  <si>
    <t>Q86TU7</t>
  </si>
  <si>
    <t>Q86TX2</t>
  </si>
  <si>
    <t>Q86U17</t>
  </si>
  <si>
    <t>Q86U28</t>
  </si>
  <si>
    <t>Q86U42-2</t>
  </si>
  <si>
    <t>Q86U44</t>
  </si>
  <si>
    <t>Q86U90</t>
  </si>
  <si>
    <t>Q86UA1</t>
  </si>
  <si>
    <t>Q86UE4</t>
  </si>
  <si>
    <t>Q86UK7-2</t>
  </si>
  <si>
    <t>Q86UP2</t>
  </si>
  <si>
    <t>Q86US8</t>
  </si>
  <si>
    <t>Q86UU0-4</t>
  </si>
  <si>
    <t>Q86UW7-3</t>
  </si>
  <si>
    <t>Q86UX7-2</t>
  </si>
  <si>
    <t>Q86UY8-2</t>
  </si>
  <si>
    <t>Q86V48-2</t>
  </si>
  <si>
    <t>Q86V81</t>
  </si>
  <si>
    <t>Q86VM9</t>
  </si>
  <si>
    <t>Q86VN1-2</t>
  </si>
  <si>
    <t>Q86VP6</t>
  </si>
  <si>
    <t>Q86VQ6</t>
  </si>
  <si>
    <t>Q86VR2</t>
  </si>
  <si>
    <t>Q86VS8</t>
  </si>
  <si>
    <t>Q86VX2-2</t>
  </si>
  <si>
    <t>Q86W92-4</t>
  </si>
  <si>
    <t>Q86WA6</t>
  </si>
  <si>
    <t>Q86WA8</t>
  </si>
  <si>
    <t>Q86WR0</t>
  </si>
  <si>
    <t>Q86WR7</t>
  </si>
  <si>
    <t>Q86WU2-2</t>
  </si>
  <si>
    <t>Q86X10-3</t>
  </si>
  <si>
    <t>Q86X27</t>
  </si>
  <si>
    <t>Q86X55-1</t>
  </si>
  <si>
    <t>Q86X76-2</t>
  </si>
  <si>
    <t>Q86X83</t>
  </si>
  <si>
    <t>Q86XE5</t>
  </si>
  <si>
    <t>Q86XP3</t>
  </si>
  <si>
    <t>Q86Y07-4</t>
  </si>
  <si>
    <t>Q86Y56-2</t>
  </si>
  <si>
    <t>Q86Y82</t>
  </si>
  <si>
    <t>Q86YB7</t>
  </si>
  <si>
    <t>Q86YB8</t>
  </si>
  <si>
    <t>Q86YH6</t>
  </si>
  <si>
    <t>Q86YJ6-4</t>
  </si>
  <si>
    <t>Q86YP4-2</t>
  </si>
  <si>
    <t>Q86YS6</t>
  </si>
  <si>
    <t>Q86YS7</t>
  </si>
  <si>
    <t>Q8IU81</t>
  </si>
  <si>
    <t>Q8IU85-2</t>
  </si>
  <si>
    <t>Q8IUC4</t>
  </si>
  <si>
    <t>Q8IUD2</t>
  </si>
  <si>
    <t>Q8IUZ5</t>
  </si>
  <si>
    <t>Q8IV08</t>
  </si>
  <si>
    <t>Q8IV20</t>
  </si>
  <si>
    <t>Q8IV38</t>
  </si>
  <si>
    <t>Q8IV50</t>
  </si>
  <si>
    <t>Q8IVD9</t>
  </si>
  <si>
    <t>Q8IVH4</t>
  </si>
  <si>
    <t>Q8IVM0-2</t>
  </si>
  <si>
    <t>Q8IVS2</t>
  </si>
  <si>
    <t>Q8IVS8</t>
  </si>
  <si>
    <t>Q8IW45</t>
  </si>
  <si>
    <t>Q8IWB7</t>
  </si>
  <si>
    <t>Q8IWB9</t>
  </si>
  <si>
    <t>Q8IWE2</t>
  </si>
  <si>
    <t>Q8IWJ2</t>
  </si>
  <si>
    <t>Q8IWL3</t>
  </si>
  <si>
    <t>Q8IWU2</t>
  </si>
  <si>
    <t>Q8IWV7</t>
  </si>
  <si>
    <t>Q8IWV8-4</t>
  </si>
  <si>
    <t>Q8IWW6-2</t>
  </si>
  <si>
    <t>Q8IWW8</t>
  </si>
  <si>
    <t>Q8IWX8</t>
  </si>
  <si>
    <t>Q8IWZ3</t>
  </si>
  <si>
    <t>Q8IWZ8</t>
  </si>
  <si>
    <t>Q8IX04-6</t>
  </si>
  <si>
    <t>Q8IX07</t>
  </si>
  <si>
    <t>Q8IX12-2</t>
  </si>
  <si>
    <t>Q8IXH7-4</t>
  </si>
  <si>
    <t>Q8IXJ6-2</t>
  </si>
  <si>
    <t>Q8IXK0-2</t>
  </si>
  <si>
    <t>Q8IXQ4</t>
  </si>
  <si>
    <t>Q8IXQ6-2</t>
  </si>
  <si>
    <t>Q8IY81</t>
  </si>
  <si>
    <t>Q8IYB5-3</t>
  </si>
  <si>
    <t>Q8IYB7</t>
  </si>
  <si>
    <t>Q8IYB8</t>
  </si>
  <si>
    <t>Q8IYD1</t>
  </si>
  <si>
    <t>Q8IYI6</t>
  </si>
  <si>
    <t>Q8IYL3</t>
  </si>
  <si>
    <t>Q8IYQ7</t>
  </si>
  <si>
    <t>Q8IYS1</t>
  </si>
  <si>
    <t>Q8IYT2</t>
  </si>
  <si>
    <t>Q8IZ07</t>
  </si>
  <si>
    <t>Q8IZ21-3</t>
  </si>
  <si>
    <t>Q8IZ69</t>
  </si>
  <si>
    <t>Q8IZ83</t>
  </si>
  <si>
    <t>Q8IZD4</t>
  </si>
  <si>
    <t>Q8IZH2-2</t>
  </si>
  <si>
    <t>Q8IZP0-10</t>
  </si>
  <si>
    <t>Q8IZV5</t>
  </si>
  <si>
    <t>Q8N0U4</t>
  </si>
  <si>
    <t>Q8N0W3</t>
  </si>
  <si>
    <t>Q8N0X4</t>
  </si>
  <si>
    <t>Q8N0X7</t>
  </si>
  <si>
    <t>Q8N108-17</t>
  </si>
  <si>
    <t>Q8N129</t>
  </si>
  <si>
    <t>Q8N142</t>
  </si>
  <si>
    <t>Q8N163</t>
  </si>
  <si>
    <t>Q8N1B4</t>
  </si>
  <si>
    <t>Q8N1F7</t>
  </si>
  <si>
    <t>Q8N1G2</t>
  </si>
  <si>
    <t>Q8N1G4</t>
  </si>
  <si>
    <t>Q8N1I0</t>
  </si>
  <si>
    <t>Q8N201</t>
  </si>
  <si>
    <t>Q8N283</t>
  </si>
  <si>
    <t>Q8N2H3</t>
  </si>
  <si>
    <t>Q8N371</t>
  </si>
  <si>
    <t>Q8N3F8</t>
  </si>
  <si>
    <t>Q8N3V7-2</t>
  </si>
  <si>
    <t>Q8N3X1</t>
  </si>
  <si>
    <t>Q8N465</t>
  </si>
  <si>
    <t>Q8N490-4</t>
  </si>
  <si>
    <t>Q8N4C8-4</t>
  </si>
  <si>
    <t>Q8N4J0</t>
  </si>
  <si>
    <t>Q8N4P3</t>
  </si>
  <si>
    <t>Q8N4Q0</t>
  </si>
  <si>
    <t>Q8N4Q1</t>
  </si>
  <si>
    <t>Q8N4T8</t>
  </si>
  <si>
    <t>Q8N573-8</t>
  </si>
  <si>
    <t>Q8N584</t>
  </si>
  <si>
    <t>Q8N5G2</t>
  </si>
  <si>
    <t>Q8N5J2</t>
  </si>
  <si>
    <t>Q8N5L8</t>
  </si>
  <si>
    <t>Q8N5M1</t>
  </si>
  <si>
    <t>Q8N5N7</t>
  </si>
  <si>
    <t>Q8N5P1</t>
  </si>
  <si>
    <t>Q8N5V2</t>
  </si>
  <si>
    <t>Q8N5Z0</t>
  </si>
  <si>
    <t>Q8N612</t>
  </si>
  <si>
    <t>Q8N684-2</t>
  </si>
  <si>
    <t>Q8N6H7</t>
  </si>
  <si>
    <t>Q8N6N3-2</t>
  </si>
  <si>
    <t>Q8N8N7</t>
  </si>
  <si>
    <t>Q8N8R5</t>
  </si>
  <si>
    <t>Q8N8S7</t>
  </si>
  <si>
    <t>Q8N8V2</t>
  </si>
  <si>
    <t>Q8N954</t>
  </si>
  <si>
    <t>Q8N9L9</t>
  </si>
  <si>
    <t>Q8N9N7</t>
  </si>
  <si>
    <t>Q8N9V3-2</t>
  </si>
  <si>
    <t>Q8NB15-2</t>
  </si>
  <si>
    <t>Q8NB37</t>
  </si>
  <si>
    <t>Q8NBF2</t>
  </si>
  <si>
    <t>Q8NBJ4-2</t>
  </si>
  <si>
    <t>Q8NBJ7</t>
  </si>
  <si>
    <t>Q8NBK3-4</t>
  </si>
  <si>
    <t>Q8NBL1</t>
  </si>
  <si>
    <t>Q8NBN7-2</t>
  </si>
  <si>
    <t>Q8NBX0</t>
  </si>
  <si>
    <t>Q8NC06</t>
  </si>
  <si>
    <t>Q8NC51-4</t>
  </si>
  <si>
    <t>Q8NC96</t>
  </si>
  <si>
    <t>Q8NCA5-2</t>
  </si>
  <si>
    <t>Q8NCC3</t>
  </si>
  <si>
    <t>Q8NCE2-3</t>
  </si>
  <si>
    <t>Q8NCN4</t>
  </si>
  <si>
    <t>Q8NCN5</t>
  </si>
  <si>
    <t>Q8NCW5</t>
  </si>
  <si>
    <t>Q8ND23-2</t>
  </si>
  <si>
    <t>Q8ND24</t>
  </si>
  <si>
    <t>Q8ND30</t>
  </si>
  <si>
    <t>Q8ND76-3</t>
  </si>
  <si>
    <t>Q8NDH3</t>
  </si>
  <si>
    <t>Q8NDI1-3</t>
  </si>
  <si>
    <t>Q8NDX1-2</t>
  </si>
  <si>
    <t>Q8NDX5-2</t>
  </si>
  <si>
    <t>Q8NE62</t>
  </si>
  <si>
    <t>Q8NE71</t>
  </si>
  <si>
    <t>Q8NEB9</t>
  </si>
  <si>
    <t>Q8NEN9</t>
  </si>
  <si>
    <t>Q8NEU8</t>
  </si>
  <si>
    <t>Q8NEY8-6</t>
  </si>
  <si>
    <t>Q8NEZ2-2</t>
  </si>
  <si>
    <t>Q8NEZ5</t>
  </si>
  <si>
    <t>Q8NFC6</t>
  </si>
  <si>
    <t>Q8NFF5-2</t>
  </si>
  <si>
    <t>Q8NFH3</t>
  </si>
  <si>
    <t>Q8NFH4</t>
  </si>
  <si>
    <t>Q8NFH8-4</t>
  </si>
  <si>
    <t>Q8NFI3</t>
  </si>
  <si>
    <t>Q8NFQ8</t>
  </si>
  <si>
    <t>Q8NFU3-4</t>
  </si>
  <si>
    <t>Q8NFU3</t>
  </si>
  <si>
    <t>Q8NFV4</t>
  </si>
  <si>
    <t>Q8NFW8</t>
  </si>
  <si>
    <t>Q8NFW9-5</t>
  </si>
  <si>
    <t>Q8NHG8</t>
  </si>
  <si>
    <t>Q8NHM4</t>
  </si>
  <si>
    <t>Q8NI35</t>
  </si>
  <si>
    <t>Q8TAP9</t>
  </si>
  <si>
    <t>Q8TAQ2-2</t>
  </si>
  <si>
    <t>Q8TAT6</t>
  </si>
  <si>
    <t>Q8TAV0-5</t>
  </si>
  <si>
    <t>Q8TB03</t>
  </si>
  <si>
    <t>Q8TB22</t>
  </si>
  <si>
    <t>Q8TB24</t>
  </si>
  <si>
    <t>Q8TB37</t>
  </si>
  <si>
    <t>Q8TB45</t>
  </si>
  <si>
    <t>Q8TBA6-2</t>
  </si>
  <si>
    <t>Q8TBC4</t>
  </si>
  <si>
    <t>Q8TBC5</t>
  </si>
  <si>
    <t>Q8TBF2-4</t>
  </si>
  <si>
    <t>Q8TBG4-3</t>
  </si>
  <si>
    <t>Q8TBX8</t>
  </si>
  <si>
    <t>Q8TC07-2</t>
  </si>
  <si>
    <t>Q8TC12</t>
  </si>
  <si>
    <t>Q8TCA0</t>
  </si>
  <si>
    <t>Q8TCD5</t>
  </si>
  <si>
    <t>Q8TCE6-2</t>
  </si>
  <si>
    <t>Q8TCS8</t>
  </si>
  <si>
    <t>Q8TD16</t>
  </si>
  <si>
    <t>Q8TD19</t>
  </si>
  <si>
    <t>Q8TD30</t>
  </si>
  <si>
    <t>Q8TDB6</t>
  </si>
  <si>
    <t>Q8TDD1-2</t>
  </si>
  <si>
    <t>Q8TDH9-2</t>
  </si>
  <si>
    <t>Q8TDX5</t>
  </si>
  <si>
    <t>Q8TE04-2</t>
  </si>
  <si>
    <t>Q8TE77</t>
  </si>
  <si>
    <t>Q8TEA1</t>
  </si>
  <si>
    <t>Q8TEA7-3</t>
  </si>
  <si>
    <t>Q8TEB1-2</t>
  </si>
  <si>
    <t>Q8TEH3</t>
  </si>
  <si>
    <t>Q8TEQ6</t>
  </si>
  <si>
    <t>Q8TER0-5</t>
  </si>
  <si>
    <t>Q8TER5</t>
  </si>
  <si>
    <t>Q8TEW0-5</t>
  </si>
  <si>
    <t>Q8TEW8-5</t>
  </si>
  <si>
    <t>Q8TEX9</t>
  </si>
  <si>
    <t>Q8TF05-2</t>
  </si>
  <si>
    <t>Q8TF46-2</t>
  </si>
  <si>
    <t>Q8TF65</t>
  </si>
  <si>
    <t>Q8TF72</t>
  </si>
  <si>
    <t>Q8TF74</t>
  </si>
  <si>
    <t>Q8WTS6</t>
  </si>
  <si>
    <t>Q8WU76-2</t>
  </si>
  <si>
    <t>Q8WU79-2</t>
  </si>
  <si>
    <t>Q8WU90</t>
  </si>
  <si>
    <t>Q8WUA2</t>
  </si>
  <si>
    <t>Q8WUA7-3</t>
  </si>
  <si>
    <t>Q8WUD4</t>
  </si>
  <si>
    <t>Q8WUF5</t>
  </si>
  <si>
    <t>Q8WUM4</t>
  </si>
  <si>
    <t>Q8WUN7</t>
  </si>
  <si>
    <t>Q8WUR7</t>
  </si>
  <si>
    <t>Q8WUW1</t>
  </si>
  <si>
    <t>Q8WV28</t>
  </si>
  <si>
    <t>Q8WV74</t>
  </si>
  <si>
    <t>Q8WVC0</t>
  </si>
  <si>
    <t>Q8WVJ2</t>
  </si>
  <si>
    <t>Q8WVM8</t>
  </si>
  <si>
    <t>Q8WVP5</t>
  </si>
  <si>
    <t>Q8WVT3</t>
  </si>
  <si>
    <t>Q8WVY7</t>
  </si>
  <si>
    <t>Q8WW12</t>
  </si>
  <si>
    <t>Q8WW59</t>
  </si>
  <si>
    <t>Q8WWM7</t>
  </si>
  <si>
    <t>Q8WWV3</t>
  </si>
  <si>
    <t>Q8WWY3</t>
  </si>
  <si>
    <t>Q8WX92</t>
  </si>
  <si>
    <t>Q8WXA2-2</t>
  </si>
  <si>
    <t>Q8WXA3-2</t>
  </si>
  <si>
    <t>Q8WXA9-2</t>
  </si>
  <si>
    <t>Q8WXE0</t>
  </si>
  <si>
    <t>Q8WXE1-2</t>
  </si>
  <si>
    <t>Q8WXF1</t>
  </si>
  <si>
    <t>Q8WXH0</t>
  </si>
  <si>
    <t>Q8WXI4-2</t>
  </si>
  <si>
    <t>Q8WXI9</t>
  </si>
  <si>
    <t>Q8WY91-2</t>
  </si>
  <si>
    <t>Q8WYK0</t>
  </si>
  <si>
    <t>Q8WYN0-3</t>
  </si>
  <si>
    <t>Q8WYP5</t>
  </si>
  <si>
    <t>Q8WYQ3</t>
  </si>
  <si>
    <t>Q8WZ42-3</t>
  </si>
  <si>
    <t>Q8WZ82</t>
  </si>
  <si>
    <t>Q8WZA0</t>
  </si>
  <si>
    <t>Q8WZA9</t>
  </si>
  <si>
    <t>Q92466</t>
  </si>
  <si>
    <t>Q92499</t>
  </si>
  <si>
    <t>Q92506</t>
  </si>
  <si>
    <t>Q92520</t>
  </si>
  <si>
    <t>Q92522</t>
  </si>
  <si>
    <t>Q92538</t>
  </si>
  <si>
    <t>Q92541</t>
  </si>
  <si>
    <t>Q92546</t>
  </si>
  <si>
    <t>Q92552</t>
  </si>
  <si>
    <t>Q92556</t>
  </si>
  <si>
    <t>Q92572</t>
  </si>
  <si>
    <t>Q92575</t>
  </si>
  <si>
    <t>Q92576-2</t>
  </si>
  <si>
    <t>Q92597</t>
  </si>
  <si>
    <t>Q92598-2</t>
  </si>
  <si>
    <t>Q92599-2</t>
  </si>
  <si>
    <t>Q92600</t>
  </si>
  <si>
    <t>Q92609</t>
  </si>
  <si>
    <t>Q92614-4</t>
  </si>
  <si>
    <t>Q92616</t>
  </si>
  <si>
    <t>Q92620</t>
  </si>
  <si>
    <t>Q92621</t>
  </si>
  <si>
    <t>Q92665</t>
  </si>
  <si>
    <t>Q92667</t>
  </si>
  <si>
    <t>Q92688-2</t>
  </si>
  <si>
    <t>Q92696</t>
  </si>
  <si>
    <t>Q92734-2</t>
  </si>
  <si>
    <t>Q92738</t>
  </si>
  <si>
    <t>Q92747</t>
  </si>
  <si>
    <t>Q92748</t>
  </si>
  <si>
    <t>Q92766</t>
  </si>
  <si>
    <t>Q92783-2</t>
  </si>
  <si>
    <t>Q92785</t>
  </si>
  <si>
    <t>Q92786</t>
  </si>
  <si>
    <t>Q92793-2</t>
  </si>
  <si>
    <t>Q92797</t>
  </si>
  <si>
    <t>Q92805</t>
  </si>
  <si>
    <t>Q92817</t>
  </si>
  <si>
    <t>Q92820</t>
  </si>
  <si>
    <t>Q92841</t>
  </si>
  <si>
    <t>Q92878</t>
  </si>
  <si>
    <t>Q92879-5</t>
  </si>
  <si>
    <t>Q92882</t>
  </si>
  <si>
    <t>Q92888-2</t>
  </si>
  <si>
    <t>Q92890</t>
  </si>
  <si>
    <t>Q92896</t>
  </si>
  <si>
    <t>Q92900-2</t>
  </si>
  <si>
    <t>Q92905</t>
  </si>
  <si>
    <t>Q92917</t>
  </si>
  <si>
    <t>Q92934</t>
  </si>
  <si>
    <t>Q92945</t>
  </si>
  <si>
    <t>Q92947</t>
  </si>
  <si>
    <t>Q92954-3</t>
  </si>
  <si>
    <t>Q92973-2</t>
  </si>
  <si>
    <t>Q92979</t>
  </si>
  <si>
    <t>Q92989-2</t>
  </si>
  <si>
    <t>Q92990</t>
  </si>
  <si>
    <t>Q93008</t>
  </si>
  <si>
    <t>Q93015</t>
  </si>
  <si>
    <t>Q93034</t>
  </si>
  <si>
    <t>Q93052</t>
  </si>
  <si>
    <t>Q93062-4</t>
  </si>
  <si>
    <t>Q93073-2</t>
  </si>
  <si>
    <t>Q93077</t>
  </si>
  <si>
    <t>Q93088</t>
  </si>
  <si>
    <t>Q93096</t>
  </si>
  <si>
    <t>Q93099</t>
  </si>
  <si>
    <t>Q93100-4</t>
  </si>
  <si>
    <t>Q969E8</t>
  </si>
  <si>
    <t>Q969G6</t>
  </si>
  <si>
    <t>Q969H8</t>
  </si>
  <si>
    <t>Q969I3</t>
  </si>
  <si>
    <t>Q969M3</t>
  </si>
  <si>
    <t>Q969Q0</t>
  </si>
  <si>
    <t>Q969S3</t>
  </si>
  <si>
    <t>Q969S9-2</t>
  </si>
  <si>
    <t>Q969T7-2</t>
  </si>
  <si>
    <t>Q969Y2-3</t>
  </si>
  <si>
    <t>Q969Z0</t>
  </si>
  <si>
    <t>Q969Z3</t>
  </si>
  <si>
    <t>Q96A49</t>
  </si>
  <si>
    <t>Q96A65</t>
  </si>
  <si>
    <t>Q96AB3</t>
  </si>
  <si>
    <t>Q96AB6</t>
  </si>
  <si>
    <t>Q96AC1</t>
  </si>
  <si>
    <t>Q96AE4-2</t>
  </si>
  <si>
    <t>Q96AE4</t>
  </si>
  <si>
    <t>Q96AG4</t>
  </si>
  <si>
    <t>Q96AT1</t>
  </si>
  <si>
    <t>Q96AT9</t>
  </si>
  <si>
    <t>Q96B23-2</t>
  </si>
  <si>
    <t>Q96B26</t>
  </si>
  <si>
    <t>Q96B36</t>
  </si>
  <si>
    <t>Q96B45</t>
  </si>
  <si>
    <t>Q96B54</t>
  </si>
  <si>
    <t>Q96B70</t>
  </si>
  <si>
    <t>Q96B97</t>
  </si>
  <si>
    <t>Q96BJ3</t>
  </si>
  <si>
    <t>Q96BN8</t>
  </si>
  <si>
    <t>Q96BP3</t>
  </si>
  <si>
    <t>Q96BR5</t>
  </si>
  <si>
    <t>Q96BW5-2</t>
  </si>
  <si>
    <t>Q96BY7</t>
  </si>
  <si>
    <t>Q96BZ8</t>
  </si>
  <si>
    <t>Q96C01</t>
  </si>
  <si>
    <t>Q96C11</t>
  </si>
  <si>
    <t>Q96C19</t>
  </si>
  <si>
    <t>Q96C23</t>
  </si>
  <si>
    <t>Q96C24</t>
  </si>
  <si>
    <t>Q96C86</t>
  </si>
  <si>
    <t>Q96CB8</t>
  </si>
  <si>
    <t>Q96CD0</t>
  </si>
  <si>
    <t>Q96CF2</t>
  </si>
  <si>
    <t>Q96CN7</t>
  </si>
  <si>
    <t>Q96CN9</t>
  </si>
  <si>
    <t>Q96CP2</t>
  </si>
  <si>
    <t>Q96CS3</t>
  </si>
  <si>
    <t>Q96CT7</t>
  </si>
  <si>
    <t>Q96CU9-3</t>
  </si>
  <si>
    <t>Q96CV9</t>
  </si>
  <si>
    <t>Q96CW1-2</t>
  </si>
  <si>
    <t>Q96CX2</t>
  </si>
  <si>
    <t>Q96D46</t>
  </si>
  <si>
    <t>Q96D71-2</t>
  </si>
  <si>
    <t>Q96DC8</t>
  </si>
  <si>
    <t>Q96DE0</t>
  </si>
  <si>
    <t>Q96DG6</t>
  </si>
  <si>
    <t>Q96DH6-2</t>
  </si>
  <si>
    <t>Q96DI7</t>
  </si>
  <si>
    <t>Q96DR7</t>
  </si>
  <si>
    <t>Q96DT5</t>
  </si>
  <si>
    <t>Q96DX5</t>
  </si>
  <si>
    <t>Q96E09</t>
  </si>
  <si>
    <t>Q96E11-3</t>
  </si>
  <si>
    <t>Q96E39</t>
  </si>
  <si>
    <t>Q96EB1</t>
  </si>
  <si>
    <t>Q96ED9-2</t>
  </si>
  <si>
    <t>Q96EE3</t>
  </si>
  <si>
    <t>Q96EI5</t>
  </si>
  <si>
    <t>Q96EK6</t>
  </si>
  <si>
    <t>Q96EM0</t>
  </si>
  <si>
    <t>Q96EN8</t>
  </si>
  <si>
    <t>Q96EP5-2</t>
  </si>
  <si>
    <t>Q96EV2</t>
  </si>
  <si>
    <t>Q96EV8</t>
  </si>
  <si>
    <t>Q96EY1-2</t>
  </si>
  <si>
    <t>Q96EY4</t>
  </si>
  <si>
    <t>Q96EY7</t>
  </si>
  <si>
    <t>Q96EY8</t>
  </si>
  <si>
    <t>Q96F10</t>
  </si>
  <si>
    <t>Q96F24-2</t>
  </si>
  <si>
    <t>Q96F63</t>
  </si>
  <si>
    <t>Q96FJ2</t>
  </si>
  <si>
    <t>Q96FV2</t>
  </si>
  <si>
    <t>Q96FX7</t>
  </si>
  <si>
    <t>Q96G03</t>
  </si>
  <si>
    <t>Q96G46</t>
  </si>
  <si>
    <t>Q96GA7</t>
  </si>
  <si>
    <t>Q96GD0</t>
  </si>
  <si>
    <t>Q96GE6-2</t>
  </si>
  <si>
    <t>Q96GF1</t>
  </si>
  <si>
    <t>Q96GG9</t>
  </si>
  <si>
    <t>Q96GK7</t>
  </si>
  <si>
    <t>Q96GS4</t>
  </si>
  <si>
    <t>Q96GW9</t>
  </si>
  <si>
    <t>Q96GX9</t>
  </si>
  <si>
    <t>Q96H20</t>
  </si>
  <si>
    <t>Q96HC4</t>
  </si>
  <si>
    <t>Q96HD9</t>
  </si>
  <si>
    <t>Q96HE7</t>
  </si>
  <si>
    <t>Q96HJ9-2</t>
  </si>
  <si>
    <t>Q96HJ9</t>
  </si>
  <si>
    <t>Q96HP4</t>
  </si>
  <si>
    <t>Q96HQ2-2</t>
  </si>
  <si>
    <t>Q96HR9</t>
  </si>
  <si>
    <t>Q96HS1</t>
  </si>
  <si>
    <t>Q96HY6</t>
  </si>
  <si>
    <t>Q96HY7</t>
  </si>
  <si>
    <t>Q96I15</t>
  </si>
  <si>
    <t>Q96I23</t>
  </si>
  <si>
    <t>Q96I24</t>
  </si>
  <si>
    <t>Q96I25</t>
  </si>
  <si>
    <t>Q96I51</t>
  </si>
  <si>
    <t>Q96I59</t>
  </si>
  <si>
    <t>Q96I99</t>
  </si>
  <si>
    <t>Q96IF1</t>
  </si>
  <si>
    <t>Q96II8-3</t>
  </si>
  <si>
    <t>Q96IJ6</t>
  </si>
  <si>
    <t>Q96IQ9-2</t>
  </si>
  <si>
    <t>Q96IU4</t>
  </si>
  <si>
    <t>Q96IV0-2</t>
  </si>
  <si>
    <t>Q96IY4</t>
  </si>
  <si>
    <t>Q96IZ0</t>
  </si>
  <si>
    <t>Q96J02-2</t>
  </si>
  <si>
    <t>Q96JB2</t>
  </si>
  <si>
    <t>Q96JB5</t>
  </si>
  <si>
    <t>Q96JE7</t>
  </si>
  <si>
    <t>Q96JG6-3</t>
  </si>
  <si>
    <t>Q96JH7</t>
  </si>
  <si>
    <t>Q96JM3</t>
  </si>
  <si>
    <t>Q96JP2</t>
  </si>
  <si>
    <t>Q96JP5-2</t>
  </si>
  <si>
    <t>Q96JQ2</t>
  </si>
  <si>
    <t>Q96JY6</t>
  </si>
  <si>
    <t>Q96K17-2</t>
  </si>
  <si>
    <t>Q96KC8</t>
  </si>
  <si>
    <t>Q96KG9-3</t>
  </si>
  <si>
    <t>Q96KM6</t>
  </si>
  <si>
    <t>Q96KP1</t>
  </si>
  <si>
    <t>Q96KP4</t>
  </si>
  <si>
    <t>Q96KR1</t>
  </si>
  <si>
    <t>Q96L91-3</t>
  </si>
  <si>
    <t>Q96L92-3</t>
  </si>
  <si>
    <t>Q96LD4</t>
  </si>
  <si>
    <t>Q96LD8</t>
  </si>
  <si>
    <t>Q96LJ7</t>
  </si>
  <si>
    <t>Q96M27</t>
  </si>
  <si>
    <t>Q96ME1-4</t>
  </si>
  <si>
    <t>Q96MG8</t>
  </si>
  <si>
    <t>Q96MH2</t>
  </si>
  <si>
    <t>Q96MU7-2</t>
  </si>
  <si>
    <t>Q96MW1</t>
  </si>
  <si>
    <t>Q96MX6</t>
  </si>
  <si>
    <t>Q96N67-4</t>
  </si>
  <si>
    <t>Q96N76</t>
  </si>
  <si>
    <t>Q96NA2</t>
  </si>
  <si>
    <t>Q96NB3</t>
  </si>
  <si>
    <t>Q96NC0</t>
  </si>
  <si>
    <t>Q96NL8</t>
  </si>
  <si>
    <t>Q96NT1</t>
  </si>
  <si>
    <t>Q96NU7</t>
  </si>
  <si>
    <t>Q96NZ9</t>
  </si>
  <si>
    <t>Q96P16-3</t>
  </si>
  <si>
    <t>Q96P47</t>
  </si>
  <si>
    <t>Q96P48-7</t>
  </si>
  <si>
    <t>Q96P70</t>
  </si>
  <si>
    <t>Q96PD5</t>
  </si>
  <si>
    <t>Q96PE7</t>
  </si>
  <si>
    <t>Q96PK6</t>
  </si>
  <si>
    <t>Q96PM5-3</t>
  </si>
  <si>
    <t>Q96PU8-5</t>
  </si>
  <si>
    <t>Q96PU8-9</t>
  </si>
  <si>
    <t>Q96PV6</t>
  </si>
  <si>
    <t>Q96PZ0</t>
  </si>
  <si>
    <t>Q96Q05-3</t>
  </si>
  <si>
    <t>Q96Q06-2</t>
  </si>
  <si>
    <t>Q96Q11-2</t>
  </si>
  <si>
    <t>Q96Q42</t>
  </si>
  <si>
    <t>Q96Q83</t>
  </si>
  <si>
    <t>Q96Q89-4</t>
  </si>
  <si>
    <t>Q96QC0</t>
  </si>
  <si>
    <t>Q96QK1</t>
  </si>
  <si>
    <t>Q96QR8</t>
  </si>
  <si>
    <t>Q96QZ7-3</t>
  </si>
  <si>
    <t>Q96R06</t>
  </si>
  <si>
    <t>Q96RE7</t>
  </si>
  <si>
    <t>Q96RF0-2</t>
  </si>
  <si>
    <t>Q96RL7-4</t>
  </si>
  <si>
    <t>Q96RN5-3</t>
  </si>
  <si>
    <t>Q96RP9</t>
  </si>
  <si>
    <t>Q96RQ3</t>
  </si>
  <si>
    <t>Q96RS6-3</t>
  </si>
  <si>
    <t>Q96RT1-9</t>
  </si>
  <si>
    <t>Q96RU2-2</t>
  </si>
  <si>
    <t>Q96RU3-4</t>
  </si>
  <si>
    <t>Q96RW7-2</t>
  </si>
  <si>
    <t>Q96S19</t>
  </si>
  <si>
    <t>Q96S44</t>
  </si>
  <si>
    <t>Q96S55-2</t>
  </si>
  <si>
    <t>Q96S59-2</t>
  </si>
  <si>
    <t>Q96S66-4</t>
  </si>
  <si>
    <t>Q96SB3</t>
  </si>
  <si>
    <t>Q96ST2</t>
  </si>
  <si>
    <t>Q96ST3</t>
  </si>
  <si>
    <t>Q96SU4-7</t>
  </si>
  <si>
    <t>Q96SZ5</t>
  </si>
  <si>
    <t>Q96T37-2</t>
  </si>
  <si>
    <t>Q96T51</t>
  </si>
  <si>
    <t>Q96T58</t>
  </si>
  <si>
    <t>Q96T76</t>
  </si>
  <si>
    <t>Q99417</t>
  </si>
  <si>
    <t>Q99424</t>
  </si>
  <si>
    <t>Q99426</t>
  </si>
  <si>
    <t>Q99436</t>
  </si>
  <si>
    <t>Q99447-3</t>
  </si>
  <si>
    <t>Q99459</t>
  </si>
  <si>
    <t>Q99460</t>
  </si>
  <si>
    <t>Q99470</t>
  </si>
  <si>
    <t>Q99471</t>
  </si>
  <si>
    <t>Q99487</t>
  </si>
  <si>
    <t>Q99489</t>
  </si>
  <si>
    <t>Q99497</t>
  </si>
  <si>
    <t>Q99519</t>
  </si>
  <si>
    <t>Q99536</t>
  </si>
  <si>
    <t>Q99538</t>
  </si>
  <si>
    <t>Q99543</t>
  </si>
  <si>
    <t>Q99549</t>
  </si>
  <si>
    <t>Q99567</t>
  </si>
  <si>
    <t>Q99569-2</t>
  </si>
  <si>
    <t>Q99570</t>
  </si>
  <si>
    <t>Q99575</t>
  </si>
  <si>
    <t>Q99584</t>
  </si>
  <si>
    <t>Q99590-2</t>
  </si>
  <si>
    <t>Q99598</t>
  </si>
  <si>
    <t>Q99611</t>
  </si>
  <si>
    <t>Q99614</t>
  </si>
  <si>
    <t>Q99615</t>
  </si>
  <si>
    <t>Q99622</t>
  </si>
  <si>
    <t>Q99624</t>
  </si>
  <si>
    <t>Q99627-2</t>
  </si>
  <si>
    <t>Q99685</t>
  </si>
  <si>
    <t>Q99700-4</t>
  </si>
  <si>
    <t>Q99707</t>
  </si>
  <si>
    <t>Q99714</t>
  </si>
  <si>
    <t>Q99733</t>
  </si>
  <si>
    <t>Q99735-2</t>
  </si>
  <si>
    <t>Q99747</t>
  </si>
  <si>
    <t>Q99757</t>
  </si>
  <si>
    <t>Q99766</t>
  </si>
  <si>
    <t>Q99797</t>
  </si>
  <si>
    <t>Q99798</t>
  </si>
  <si>
    <t>Q99807-2</t>
  </si>
  <si>
    <t>Q99832</t>
  </si>
  <si>
    <t>Q99836</t>
  </si>
  <si>
    <t>Q99878</t>
  </si>
  <si>
    <t>Q99952</t>
  </si>
  <si>
    <t>Q99959-2</t>
  </si>
  <si>
    <t>Q99961</t>
  </si>
  <si>
    <t>Q99996-5</t>
  </si>
  <si>
    <t>Q9BPW8</t>
  </si>
  <si>
    <t>Q9BPX5</t>
  </si>
  <si>
    <t>Q9BPZ3</t>
  </si>
  <si>
    <t>Q9BQ24</t>
  </si>
  <si>
    <t>Q9BQ52</t>
  </si>
  <si>
    <t>Q9BQ61</t>
  </si>
  <si>
    <t>Q9BQ67</t>
  </si>
  <si>
    <t>Q9BQ69</t>
  </si>
  <si>
    <t>Q9BQA1</t>
  </si>
  <si>
    <t>Q9BQB6-3</t>
  </si>
  <si>
    <t>Q9BQE3</t>
  </si>
  <si>
    <t>Q9BQE5</t>
  </si>
  <si>
    <t>Q9BQG0</t>
  </si>
  <si>
    <t>Q9BQG2</t>
  </si>
  <si>
    <t>Q9BQK8-2</t>
  </si>
  <si>
    <t>Q9BQP7</t>
  </si>
  <si>
    <t>Q9BQS8</t>
  </si>
  <si>
    <t>Q9BR61</t>
  </si>
  <si>
    <t>Q9BR76</t>
  </si>
  <si>
    <t>Q9BRA2</t>
  </si>
  <si>
    <t>Q9BRF8</t>
  </si>
  <si>
    <t>Q9BRG1</t>
  </si>
  <si>
    <t>Q9BRK5</t>
  </si>
  <si>
    <t>Q9BRP4</t>
  </si>
  <si>
    <t>Q9BRP8-2</t>
  </si>
  <si>
    <t>Q9BRT3</t>
  </si>
  <si>
    <t>Q9BRX2</t>
  </si>
  <si>
    <t>Q9BRZ2</t>
  </si>
  <si>
    <t>Q9BS26</t>
  </si>
  <si>
    <t>Q9BSE5</t>
  </si>
  <si>
    <t>Q9BSH4</t>
  </si>
  <si>
    <t>Q9BSH5</t>
  </si>
  <si>
    <t>Q9BSJ5-3</t>
  </si>
  <si>
    <t>Q9BSJ8</t>
  </si>
  <si>
    <t>Q9BSL1</t>
  </si>
  <si>
    <t>Q9BST9</t>
  </si>
  <si>
    <t>Q9BSU1</t>
  </si>
  <si>
    <t>Q9BSY4</t>
  </si>
  <si>
    <t>Q9BT09</t>
  </si>
  <si>
    <t>Q9BT30</t>
  </si>
  <si>
    <t>Q9BT73</t>
  </si>
  <si>
    <t>Q9BT78</t>
  </si>
  <si>
    <t>Q9BTA9-2</t>
  </si>
  <si>
    <t>Q9BTC0</t>
  </si>
  <si>
    <t>Q9BTE1-2</t>
  </si>
  <si>
    <t>Q9BTE3-2</t>
  </si>
  <si>
    <t>Q9BTE6</t>
  </si>
  <si>
    <t>Q9BTL3</t>
  </si>
  <si>
    <t>Q9BTT0</t>
  </si>
  <si>
    <t>Q9BTW9</t>
  </si>
  <si>
    <t>Q9BTX7</t>
  </si>
  <si>
    <t>Q9BTY2</t>
  </si>
  <si>
    <t>Q9BTY7</t>
  </si>
  <si>
    <t>Q9BTZ2</t>
  </si>
  <si>
    <t>Q9BU02</t>
  </si>
  <si>
    <t>Q9BU89</t>
  </si>
  <si>
    <t>Q9BUE6</t>
  </si>
  <si>
    <t>Q9BUH6</t>
  </si>
  <si>
    <t>Q9BUJ2-2</t>
  </si>
  <si>
    <t>Q9BUK6-4</t>
  </si>
  <si>
    <t>Q9BUP0</t>
  </si>
  <si>
    <t>Q9BUP3</t>
  </si>
  <si>
    <t>Q9BUQ8</t>
  </si>
  <si>
    <t>Q9BUT1</t>
  </si>
  <si>
    <t>Q9BUT9</t>
  </si>
  <si>
    <t>Q9BV19</t>
  </si>
  <si>
    <t>Q9BV20</t>
  </si>
  <si>
    <t>Q9BV44</t>
  </si>
  <si>
    <t>Q9BV57</t>
  </si>
  <si>
    <t>Q9BV79</t>
  </si>
  <si>
    <t>Q9BV86</t>
  </si>
  <si>
    <t>Q9BVG4</t>
  </si>
  <si>
    <t>Q9BVJ7</t>
  </si>
  <si>
    <t>Q9BVL4</t>
  </si>
  <si>
    <t>Q9BVM4</t>
  </si>
  <si>
    <t>Q9BVS5</t>
  </si>
  <si>
    <t>Q9BW27</t>
  </si>
  <si>
    <t>Q9BW61</t>
  </si>
  <si>
    <t>Q9BW71</t>
  </si>
  <si>
    <t>Q9BW83-2</t>
  </si>
  <si>
    <t>Q9BW85</t>
  </si>
  <si>
    <t>Q9BW91-2</t>
  </si>
  <si>
    <t>Q9BW92</t>
  </si>
  <si>
    <t>Q9BWD1</t>
  </si>
  <si>
    <t>Q9BWE0</t>
  </si>
  <si>
    <t>Q9BWJ5</t>
  </si>
  <si>
    <t>Q9BWS9-3</t>
  </si>
  <si>
    <t>Q9BWU0</t>
  </si>
  <si>
    <t>Q9BX66-5</t>
  </si>
  <si>
    <t>Q9BX66-9</t>
  </si>
  <si>
    <t>Q9BX68</t>
  </si>
  <si>
    <t>Q9BX95</t>
  </si>
  <si>
    <t>Q9BXB4</t>
  </si>
  <si>
    <t>Q9BXI6</t>
  </si>
  <si>
    <t>Q9BXJ9</t>
  </si>
  <si>
    <t>Q9BXK5</t>
  </si>
  <si>
    <t>Q9BXP5-5</t>
  </si>
  <si>
    <t>Q9BXR0</t>
  </si>
  <si>
    <t>Q9BXS5</t>
  </si>
  <si>
    <t>Q9BXS6-7</t>
  </si>
  <si>
    <t>Q9BXV9</t>
  </si>
  <si>
    <t>Q9BXW6</t>
  </si>
  <si>
    <t>Q9BXW7-2</t>
  </si>
  <si>
    <t>Q9BY32</t>
  </si>
  <si>
    <t>Q9BY42</t>
  </si>
  <si>
    <t>Q9BY43</t>
  </si>
  <si>
    <t>Q9BY49</t>
  </si>
  <si>
    <t>Q9BY67-2</t>
  </si>
  <si>
    <t>Q9BY77</t>
  </si>
  <si>
    <t>Q9BY89</t>
  </si>
  <si>
    <t>Q9BYM8</t>
  </si>
  <si>
    <t>Q9BYN0</t>
  </si>
  <si>
    <t>Q9BYP7-3</t>
  </si>
  <si>
    <t>Q9BYT8</t>
  </si>
  <si>
    <t>Q9BYV1</t>
  </si>
  <si>
    <t>Q9BYV7-4</t>
  </si>
  <si>
    <t>Q9BYW2</t>
  </si>
  <si>
    <t>Q9BYX4</t>
  </si>
  <si>
    <t>Q9BZ29-3</t>
  </si>
  <si>
    <t>Q9BZE2</t>
  </si>
  <si>
    <t>Q9BZE9</t>
  </si>
  <si>
    <t>Q9BZF1-3</t>
  </si>
  <si>
    <t>Q9BZH6</t>
  </si>
  <si>
    <t>Q9BZI7-2</t>
  </si>
  <si>
    <t>Q9BZJ0-2</t>
  </si>
  <si>
    <t>Q9BZK7</t>
  </si>
  <si>
    <t>Q9BZL1</t>
  </si>
  <si>
    <t>Q9BZL4</t>
  </si>
  <si>
    <t>Q9BZM1</t>
  </si>
  <si>
    <t>Q9BZZ5-2</t>
  </si>
  <si>
    <t>Q9C005</t>
  </si>
  <si>
    <t>Q9C0B0</t>
  </si>
  <si>
    <t>Q9C0B1</t>
  </si>
  <si>
    <t>Q9C0B5-2</t>
  </si>
  <si>
    <t>Q9C0C2</t>
  </si>
  <si>
    <t>Q9C0C9</t>
  </si>
  <si>
    <t>Q9C0H9-5</t>
  </si>
  <si>
    <t>Q9C0I1</t>
  </si>
  <si>
    <t>Q9C0J8</t>
  </si>
  <si>
    <t>Q9GZM5</t>
  </si>
  <si>
    <t>Q9GZM7-3</t>
  </si>
  <si>
    <t>Q9GZN8</t>
  </si>
  <si>
    <t>Q9GZP4</t>
  </si>
  <si>
    <t>Q9GZQ3</t>
  </si>
  <si>
    <t>Q9GZT3-2</t>
  </si>
  <si>
    <t>Q9GZT8-2</t>
  </si>
  <si>
    <t>Q9GZT9</t>
  </si>
  <si>
    <t>Q9GZU8</t>
  </si>
  <si>
    <t>Q9GZY8-2</t>
  </si>
  <si>
    <t>Q9GZZ9</t>
  </si>
  <si>
    <t>Q9H008</t>
  </si>
  <si>
    <t>Q9H074</t>
  </si>
  <si>
    <t>Q9H098</t>
  </si>
  <si>
    <t>Q9H0A8</t>
  </si>
  <si>
    <t>Q9H0C8</t>
  </si>
  <si>
    <t>Q9H0D6</t>
  </si>
  <si>
    <t>Q9H0E2</t>
  </si>
  <si>
    <t>Q9H0F6</t>
  </si>
  <si>
    <t>Q9H0G5</t>
  </si>
  <si>
    <t>Q9H0K1</t>
  </si>
  <si>
    <t>Q9H0L4</t>
  </si>
  <si>
    <t>Q9H0P0-1</t>
  </si>
  <si>
    <t>Q9H0R4</t>
  </si>
  <si>
    <t>Q9H0R6</t>
  </si>
  <si>
    <t>Q9H0U4</t>
  </si>
  <si>
    <t>Q9H0W9</t>
  </si>
  <si>
    <t>Q9H173</t>
  </si>
  <si>
    <t>Q9H1B7</t>
  </si>
  <si>
    <t>Q9H1E3</t>
  </si>
  <si>
    <t>Q9H1H9-3</t>
  </si>
  <si>
    <t>Q9H1J1</t>
  </si>
  <si>
    <t>Q9H1K0</t>
  </si>
  <si>
    <t>Q9H1K1</t>
  </si>
  <si>
    <t>Q9H1P3-2</t>
  </si>
  <si>
    <t>Q9H1Y0</t>
  </si>
  <si>
    <t>Q9H1Z4</t>
  </si>
  <si>
    <t>Q9H223</t>
  </si>
  <si>
    <t>Q9H227</t>
  </si>
  <si>
    <t>Q9H270</t>
  </si>
  <si>
    <t>Q9H2A2</t>
  </si>
  <si>
    <t>Q9H2D6-3</t>
  </si>
  <si>
    <t>Q9H2G2</t>
  </si>
  <si>
    <t>Q9H2H8</t>
  </si>
  <si>
    <t>Q9H2K8</t>
  </si>
  <si>
    <t>Q9H2M3</t>
  </si>
  <si>
    <t>Q9H2M9</t>
  </si>
  <si>
    <t>Q9H2P0</t>
  </si>
  <si>
    <t>Q9H2P9-3</t>
  </si>
  <si>
    <t>Q9H2U1-3</t>
  </si>
  <si>
    <t>Q9H2U2</t>
  </si>
  <si>
    <t>Q9H2W6</t>
  </si>
  <si>
    <t>Q9H307</t>
  </si>
  <si>
    <t>Q9H329-2</t>
  </si>
  <si>
    <t>Q9H3G5</t>
  </si>
  <si>
    <t>Q9H3H3</t>
  </si>
  <si>
    <t>Q9H3K6</t>
  </si>
  <si>
    <t>Q9H3N1</t>
  </si>
  <si>
    <t>Q9H3P2</t>
  </si>
  <si>
    <t>Q9H3P7</t>
  </si>
  <si>
    <t>Q9H3Q1</t>
  </si>
  <si>
    <t>Q9H3S7</t>
  </si>
  <si>
    <t>Q9H3U1-2</t>
  </si>
  <si>
    <t>Q9H444</t>
  </si>
  <si>
    <t>Q9H477</t>
  </si>
  <si>
    <t>Q9H479</t>
  </si>
  <si>
    <t>Q9H488</t>
  </si>
  <si>
    <t>Q9H4A4</t>
  </si>
  <si>
    <t>Q9H4A6</t>
  </si>
  <si>
    <t>Q9H4B0</t>
  </si>
  <si>
    <t>Q9H4I2</t>
  </si>
  <si>
    <t>Q9H4L7</t>
  </si>
  <si>
    <t>Q9H4M9</t>
  </si>
  <si>
    <t>Q9H4Z3</t>
  </si>
  <si>
    <t>Q9H5N1</t>
  </si>
  <si>
    <t>Q9H5Q4</t>
  </si>
  <si>
    <t>Q9H5V9-2</t>
  </si>
  <si>
    <t>Q9H6E5</t>
  </si>
  <si>
    <t>Q9H6Q4</t>
  </si>
  <si>
    <t>Q9H6R3</t>
  </si>
  <si>
    <t>Q9H6S0</t>
  </si>
  <si>
    <t>Q9H6S3</t>
  </si>
  <si>
    <t>Q9H6T0-2</t>
  </si>
  <si>
    <t>Q9H6U6-2</t>
  </si>
  <si>
    <t>Q9H773</t>
  </si>
  <si>
    <t>Q9H777</t>
  </si>
  <si>
    <t>Q9H788</t>
  </si>
  <si>
    <t>Q9H7C9</t>
  </si>
  <si>
    <t>Q9H7D0</t>
  </si>
  <si>
    <t>Q9H7E2-3</t>
  </si>
  <si>
    <t>Q9H7N4</t>
  </si>
  <si>
    <t>Q9H7Z6</t>
  </si>
  <si>
    <t>Q9H7Z7</t>
  </si>
  <si>
    <t>Q9H832</t>
  </si>
  <si>
    <t>Q9H845</t>
  </si>
  <si>
    <t>Q9H8M7</t>
  </si>
  <si>
    <t>Q9H8S9</t>
  </si>
  <si>
    <t>Q9H8T0</t>
  </si>
  <si>
    <t>Q9H8W4</t>
  </si>
  <si>
    <t>Q9H8Y8</t>
  </si>
  <si>
    <t>Q9H939</t>
  </si>
  <si>
    <t>Q9H974</t>
  </si>
  <si>
    <t>Q9H993</t>
  </si>
  <si>
    <t>Q9H9A5-2</t>
  </si>
  <si>
    <t>Q9H9A6</t>
  </si>
  <si>
    <t>Q9H9B1-3</t>
  </si>
  <si>
    <t>Q9H9B4</t>
  </si>
  <si>
    <t>Q9H9C1-2</t>
  </si>
  <si>
    <t>Q9H9E3</t>
  </si>
  <si>
    <t>Q9H9G7</t>
  </si>
  <si>
    <t>Q9H9J2</t>
  </si>
  <si>
    <t>Q9H9L3</t>
  </si>
  <si>
    <t>Q9H9T3-2</t>
  </si>
  <si>
    <t>Q9HA47-3</t>
  </si>
  <si>
    <t>Q9HA64</t>
  </si>
  <si>
    <t>Q9HA65</t>
  </si>
  <si>
    <t>Q9HA77</t>
  </si>
  <si>
    <t>Q9HAB8</t>
  </si>
  <si>
    <t>Q9HAC7-4</t>
  </si>
  <si>
    <t>Q9HAJ7-2</t>
  </si>
  <si>
    <t>Q9HAN9</t>
  </si>
  <si>
    <t>Q9HAT2-2</t>
  </si>
  <si>
    <t>Q9HAU0</t>
  </si>
  <si>
    <t>Q9HAU5</t>
  </si>
  <si>
    <t>Q9HAV4</t>
  </si>
  <si>
    <t>Q9HAV7</t>
  </si>
  <si>
    <t>Q9HB07</t>
  </si>
  <si>
    <t>Q9HB21</t>
  </si>
  <si>
    <t>Q9HB71</t>
  </si>
  <si>
    <t>Q9HB90</t>
  </si>
  <si>
    <t>Q9HBF4-2</t>
  </si>
  <si>
    <t>Q9HBH1</t>
  </si>
  <si>
    <t>Q9HBK9</t>
  </si>
  <si>
    <t>Q9HBL8</t>
  </si>
  <si>
    <t>Q9HBY8-2</t>
  </si>
  <si>
    <t>Q9HC35</t>
  </si>
  <si>
    <t>Q9HC38-2</t>
  </si>
  <si>
    <t>Q9HC52</t>
  </si>
  <si>
    <t>Q9HCB6</t>
  </si>
  <si>
    <t>Q9HCC0</t>
  </si>
  <si>
    <t>Q9HCC9-5</t>
  </si>
  <si>
    <t>Q9HCE1</t>
  </si>
  <si>
    <t>Q9HCE5</t>
  </si>
  <si>
    <t>Q9HCE6-3</t>
  </si>
  <si>
    <t>Q9HCL3</t>
  </si>
  <si>
    <t>Q9HCM4-2</t>
  </si>
  <si>
    <t>Q9HCN4-3</t>
  </si>
  <si>
    <t>Q9HCN8</t>
  </si>
  <si>
    <t>Q9HD15</t>
  </si>
  <si>
    <t>Q9HD26-2</t>
  </si>
  <si>
    <t>Q9HD34</t>
  </si>
  <si>
    <t>Q9HD40</t>
  </si>
  <si>
    <t>Q9HD42</t>
  </si>
  <si>
    <t>Q9HD47-4</t>
  </si>
  <si>
    <t>Q9HD89</t>
  </si>
  <si>
    <t>Q9HDC9-2</t>
  </si>
  <si>
    <t>Q9NP61</t>
  </si>
  <si>
    <t>Q9NP71-4</t>
  </si>
  <si>
    <t>Q9NP72</t>
  </si>
  <si>
    <t>Q9NP73-2</t>
  </si>
  <si>
    <t>Q9NP74</t>
  </si>
  <si>
    <t>Q9NP77</t>
  </si>
  <si>
    <t>Q9NP79</t>
  </si>
  <si>
    <t>Q9NP97</t>
  </si>
  <si>
    <t>Q9NPA8-2</t>
  </si>
  <si>
    <t>Q9NPD3</t>
  </si>
  <si>
    <t>Q9NPE3</t>
  </si>
  <si>
    <t>Q9NPF4</t>
  </si>
  <si>
    <t>Q9NPG3-2</t>
  </si>
  <si>
    <t>Q9NPH0</t>
  </si>
  <si>
    <t>Q9NPJ3</t>
  </si>
  <si>
    <t>Q9NPQ8-4</t>
  </si>
  <si>
    <t>Q9NQ88</t>
  </si>
  <si>
    <t>Q9NQ94-2</t>
  </si>
  <si>
    <t>Q9NQG5</t>
  </si>
  <si>
    <t>Q9NQH7-2</t>
  </si>
  <si>
    <t>Q9NQP4</t>
  </si>
  <si>
    <t>Q9NQR4</t>
  </si>
  <si>
    <t>Q9NQS1</t>
  </si>
  <si>
    <t>Q9NQT4</t>
  </si>
  <si>
    <t>Q9NQT8</t>
  </si>
  <si>
    <t>Q9NQW7-3</t>
  </si>
  <si>
    <t>Q9NQX3</t>
  </si>
  <si>
    <t>Q9NQZ2</t>
  </si>
  <si>
    <t>Q9NR12-3</t>
  </si>
  <si>
    <t>Q9NR19</t>
  </si>
  <si>
    <t>Q9NR28-2</t>
  </si>
  <si>
    <t>Q9NR30</t>
  </si>
  <si>
    <t>Q9NR31</t>
  </si>
  <si>
    <t>Q9NR45</t>
  </si>
  <si>
    <t>Q9NR50-3</t>
  </si>
  <si>
    <t>Q9NRF8</t>
  </si>
  <si>
    <t>Q9NRG7-2</t>
  </si>
  <si>
    <t>Q9NRN7</t>
  </si>
  <si>
    <t>Q9NRP4</t>
  </si>
  <si>
    <t>Q9NRR5</t>
  </si>
  <si>
    <t>Q9NRS6-2</t>
  </si>
  <si>
    <t>Q9NRV9</t>
  </si>
  <si>
    <t>Q9NRW7</t>
  </si>
  <si>
    <t>Q9NRX4</t>
  </si>
  <si>
    <t>Q9NRY2</t>
  </si>
  <si>
    <t>Q9NRY4</t>
  </si>
  <si>
    <t>Q9NRY5</t>
  </si>
  <si>
    <t>Q9NS86</t>
  </si>
  <si>
    <t>Q9NSA3</t>
  </si>
  <si>
    <t>Q9NSB8-2</t>
  </si>
  <si>
    <t>Q9NSE4</t>
  </si>
  <si>
    <t>Q9NSK0</t>
  </si>
  <si>
    <t>Q9NSY0</t>
  </si>
  <si>
    <t>Q9NSY2</t>
  </si>
  <si>
    <t>Q9NT62</t>
  </si>
  <si>
    <t>Q9NTG7</t>
  </si>
  <si>
    <t>Q9NTI5-2</t>
  </si>
  <si>
    <t>Q9NTJ4-3</t>
  </si>
  <si>
    <t>Q9NTK5</t>
  </si>
  <si>
    <t>Q9NTM9</t>
  </si>
  <si>
    <t>Q9NTN9</t>
  </si>
  <si>
    <t>Q9NTX5-6</t>
  </si>
  <si>
    <t>Q9NTZ6</t>
  </si>
  <si>
    <t>Q9NU23</t>
  </si>
  <si>
    <t>Q9NUI1</t>
  </si>
  <si>
    <t>Q9NUJ1</t>
  </si>
  <si>
    <t>Q9NUL5-4</t>
  </si>
  <si>
    <t>Q9NUP1</t>
  </si>
  <si>
    <t>Q9NUP9</t>
  </si>
  <si>
    <t>Q9NUQ3</t>
  </si>
  <si>
    <t>Q9NUQ6</t>
  </si>
  <si>
    <t>Q9NUQ8-2</t>
  </si>
  <si>
    <t>Q9NUQ9</t>
  </si>
  <si>
    <t>Q9NUV9</t>
  </si>
  <si>
    <t>Q9NUY8-2</t>
  </si>
  <si>
    <t>Q9NV35</t>
  </si>
  <si>
    <t>Q9NV56</t>
  </si>
  <si>
    <t>Q9NV70-2</t>
  </si>
  <si>
    <t>Q9NVD7</t>
  </si>
  <si>
    <t>Q9NVE7</t>
  </si>
  <si>
    <t>Q9NVF9</t>
  </si>
  <si>
    <t>Q9NVG8</t>
  </si>
  <si>
    <t>Q9NVH0-2</t>
  </si>
  <si>
    <t>Q9NVH6</t>
  </si>
  <si>
    <t>Q9NVM4-3</t>
  </si>
  <si>
    <t>Q9NVM6</t>
  </si>
  <si>
    <t>Q9NVS9</t>
  </si>
  <si>
    <t>Q9NVT9</t>
  </si>
  <si>
    <t>Q9NVU7-2</t>
  </si>
  <si>
    <t>Q9NVX2</t>
  </si>
  <si>
    <t>Q9NVZ3</t>
  </si>
  <si>
    <t>Q9NW13</t>
  </si>
  <si>
    <t>Q9NW64</t>
  </si>
  <si>
    <t>Q9NW68-4</t>
  </si>
  <si>
    <t>Q9NW82</t>
  </si>
  <si>
    <t>Q9NWB6</t>
  </si>
  <si>
    <t>Q9NWH9</t>
  </si>
  <si>
    <t>Q9NWK9-2</t>
  </si>
  <si>
    <t>Q9NWT8</t>
  </si>
  <si>
    <t>Q9NWU1</t>
  </si>
  <si>
    <t>Q9NWV4</t>
  </si>
  <si>
    <t>Q9NWX6</t>
  </si>
  <si>
    <t>Q9NWY4</t>
  </si>
  <si>
    <t>Q9NWZ3</t>
  </si>
  <si>
    <t>Q9NX01</t>
  </si>
  <si>
    <t>Q9NX07-2</t>
  </si>
  <si>
    <t>Q9NX08</t>
  </si>
  <si>
    <t>Q9NX14</t>
  </si>
  <si>
    <t>Q9NX38</t>
  </si>
  <si>
    <t>Q9NX46</t>
  </si>
  <si>
    <t>Q9NX55</t>
  </si>
  <si>
    <t>Q9NX74</t>
  </si>
  <si>
    <t>Q9NXA8</t>
  </si>
  <si>
    <t>Q9NXD2</t>
  </si>
  <si>
    <t>Q9NXG2</t>
  </si>
  <si>
    <t>Q9NXH9</t>
  </si>
  <si>
    <t>Q9NXR7-4</t>
  </si>
  <si>
    <t>Q9NXU5</t>
  </si>
  <si>
    <t>Q9NXV6</t>
  </si>
  <si>
    <t>Q9NXW2</t>
  </si>
  <si>
    <t>Q9NXW9</t>
  </si>
  <si>
    <t>Q9NY27</t>
  </si>
  <si>
    <t>Q9NY33</t>
  </si>
  <si>
    <t>Q9NYB0</t>
  </si>
  <si>
    <t>Q9NYF8-2</t>
  </si>
  <si>
    <t>Q9NYJ1</t>
  </si>
  <si>
    <t>Q9NYJ8</t>
  </si>
  <si>
    <t>Q9NYL2</t>
  </si>
  <si>
    <t>Q9NYL9</t>
  </si>
  <si>
    <t>Q9NYQ3</t>
  </si>
  <si>
    <t>Q9NYU2-2</t>
  </si>
  <si>
    <t>Q9NYV4-2</t>
  </si>
  <si>
    <t>Q9NYY8-2</t>
  </si>
  <si>
    <t>Q9NZ08</t>
  </si>
  <si>
    <t>Q9NZ32</t>
  </si>
  <si>
    <t>Q9NZ63</t>
  </si>
  <si>
    <t>Q9NZB2</t>
  </si>
  <si>
    <t>Q9NZB8-2</t>
  </si>
  <si>
    <t>Q9NZD2</t>
  </si>
  <si>
    <t>Q9NZD8-2</t>
  </si>
  <si>
    <t>Q9NZJ4-2</t>
  </si>
  <si>
    <t>Q9NZJ6</t>
  </si>
  <si>
    <t>Q9NZJ9</t>
  </si>
  <si>
    <t>Q9NZL4</t>
  </si>
  <si>
    <t>Q9NZL9</t>
  </si>
  <si>
    <t>Q9NZM3-2</t>
  </si>
  <si>
    <t>Q9NZN5-2</t>
  </si>
  <si>
    <t>Q9NZN8-4</t>
  </si>
  <si>
    <t>Q9NZP8</t>
  </si>
  <si>
    <t>Q9NZT2-2</t>
  </si>
  <si>
    <t>Q9NZU5</t>
  </si>
  <si>
    <t>Q9NZZ3</t>
  </si>
  <si>
    <t>Q9P000</t>
  </si>
  <si>
    <t>Q9P013</t>
  </si>
  <si>
    <t>Q9P016</t>
  </si>
  <si>
    <t>Q9P032</t>
  </si>
  <si>
    <t>Q9P0J1</t>
  </si>
  <si>
    <t>Q9P0K7-3</t>
  </si>
  <si>
    <t>Q9P0L0</t>
  </si>
  <si>
    <t>Q9P0M2</t>
  </si>
  <si>
    <t>Q9P0P8</t>
  </si>
  <si>
    <t>Q9P0R6</t>
  </si>
  <si>
    <t>Q9P0Z9</t>
  </si>
  <si>
    <t>Q9P1F3</t>
  </si>
  <si>
    <t>Q9P1Y5</t>
  </si>
  <si>
    <t>Q9P1Z2-2</t>
  </si>
  <si>
    <t>Q9P206-2</t>
  </si>
  <si>
    <t>Q9P253</t>
  </si>
  <si>
    <t>Q9P258</t>
  </si>
  <si>
    <t>Q9P260-2</t>
  </si>
  <si>
    <t>Q9P265</t>
  </si>
  <si>
    <t>Q9P266</t>
  </si>
  <si>
    <t>Q9P270</t>
  </si>
  <si>
    <t>Q9P287</t>
  </si>
  <si>
    <t>Q9P299</t>
  </si>
  <si>
    <t>Q9P2D0-2</t>
  </si>
  <si>
    <t>Q9P2D3-3</t>
  </si>
  <si>
    <t>Q9P2E9-2</t>
  </si>
  <si>
    <t>Q9P2E9</t>
  </si>
  <si>
    <t>Q9P2I0</t>
  </si>
  <si>
    <t>Q9P2K8-2</t>
  </si>
  <si>
    <t>Q9P2M7</t>
  </si>
  <si>
    <t>Q9P2N5</t>
  </si>
  <si>
    <t>Q9P2R3</t>
  </si>
  <si>
    <t>Q9P2R6-2</t>
  </si>
  <si>
    <t>Q9P2X3</t>
  </si>
  <si>
    <t>Q9UBB4</t>
  </si>
  <si>
    <t>Q9UBB5</t>
  </si>
  <si>
    <t>Q9UBC2-3</t>
  </si>
  <si>
    <t>Q9UBE0</t>
  </si>
  <si>
    <t>Q9UBF2</t>
  </si>
  <si>
    <t>Q9UBF6</t>
  </si>
  <si>
    <t>Q9UBI1</t>
  </si>
  <si>
    <t>Q9UBI6</t>
  </si>
  <si>
    <t>Q9UBK8-2</t>
  </si>
  <si>
    <t>Q9UBM7</t>
  </si>
  <si>
    <t>Q9UBN7</t>
  </si>
  <si>
    <t>Q9UBP0-3</t>
  </si>
  <si>
    <t>Q9UBP6</t>
  </si>
  <si>
    <t>Q9UBQ0</t>
  </si>
  <si>
    <t>Q9UBQ7</t>
  </si>
  <si>
    <t>Q9UBR1</t>
  </si>
  <si>
    <t>Q9UBR2</t>
  </si>
  <si>
    <t>Q9UBS4</t>
  </si>
  <si>
    <t>Q9UBS8</t>
  </si>
  <si>
    <t>Q9UBT2</t>
  </si>
  <si>
    <t>Q9UBV8</t>
  </si>
  <si>
    <t>Q9UBW7-2</t>
  </si>
  <si>
    <t>Q9UBW8</t>
  </si>
  <si>
    <t>Q9UBX1</t>
  </si>
  <si>
    <t>Q9UDR5</t>
  </si>
  <si>
    <t>Q9UDX3</t>
  </si>
  <si>
    <t>Q9UDY2</t>
  </si>
  <si>
    <t>Q9UDY8-2</t>
  </si>
  <si>
    <t>Q9UEU0</t>
  </si>
  <si>
    <t>Q9UEY8-2</t>
  </si>
  <si>
    <t>Q9UFG5</t>
  </si>
  <si>
    <t>Q9UFN0</t>
  </si>
  <si>
    <t>Q9UFW8</t>
  </si>
  <si>
    <t>Q9UGC7</t>
  </si>
  <si>
    <t>Q9UGI8</t>
  </si>
  <si>
    <t>Q9UGJ0-2</t>
  </si>
  <si>
    <t>Q9UGK3</t>
  </si>
  <si>
    <t>Q9UGP4</t>
  </si>
  <si>
    <t>Q9UH62</t>
  </si>
  <si>
    <t>Q9UH65</t>
  </si>
  <si>
    <t>Q9UHA4</t>
  </si>
  <si>
    <t>Q9UHB6</t>
  </si>
  <si>
    <t>Q9UHB7-2</t>
  </si>
  <si>
    <t>Q9UHB9</t>
  </si>
  <si>
    <t>Q9UHD1</t>
  </si>
  <si>
    <t>Q9UHD2</t>
  </si>
  <si>
    <t>Q9UHD8</t>
  </si>
  <si>
    <t>Q9UHD9</t>
  </si>
  <si>
    <t>Q9UHG3</t>
  </si>
  <si>
    <t>Q9UHJ6</t>
  </si>
  <si>
    <t>Q9UHL4</t>
  </si>
  <si>
    <t>Q9UHR4</t>
  </si>
  <si>
    <t>Q9UHV9</t>
  </si>
  <si>
    <t>Q9UHX1-4</t>
  </si>
  <si>
    <t>Q9UHY7</t>
  </si>
  <si>
    <t>Q9UI08</t>
  </si>
  <si>
    <t>Q9UI10-3</t>
  </si>
  <si>
    <t>Q9UI10</t>
  </si>
  <si>
    <t>Q9UI12-2</t>
  </si>
  <si>
    <t>Q9UI17</t>
  </si>
  <si>
    <t>Q9UI32</t>
  </si>
  <si>
    <t>Q9UIA9</t>
  </si>
  <si>
    <t>Q9UID3</t>
  </si>
  <si>
    <t>Q9UII2</t>
  </si>
  <si>
    <t>Q9UIJ7</t>
  </si>
  <si>
    <t>Q9UIL1-3</t>
  </si>
  <si>
    <t>Q9UJ41-2</t>
  </si>
  <si>
    <t>Q9UJ68-5</t>
  </si>
  <si>
    <t>Q9UJ70</t>
  </si>
  <si>
    <t>Q9UJA5</t>
  </si>
  <si>
    <t>Q9UJC5</t>
  </si>
  <si>
    <t>Q9UJM3</t>
  </si>
  <si>
    <t>Q9UJM8</t>
  </si>
  <si>
    <t>Q9UJS0</t>
  </si>
  <si>
    <t>Q9UJU6-2</t>
  </si>
  <si>
    <t>Q9UJU6</t>
  </si>
  <si>
    <t>Q9UJW0</t>
  </si>
  <si>
    <t>Q9UJY5-4</t>
  </si>
  <si>
    <t>Q9UK22</t>
  </si>
  <si>
    <t>Q9UK45</t>
  </si>
  <si>
    <t>Q9UK55</t>
  </si>
  <si>
    <t>Q9UK59</t>
  </si>
  <si>
    <t>Q9UK99</t>
  </si>
  <si>
    <t>Q9UKA4</t>
  </si>
  <si>
    <t>Q9UKB3</t>
  </si>
  <si>
    <t>Q9UKE5-8</t>
  </si>
  <si>
    <t>Q9UKF6</t>
  </si>
  <si>
    <t>Q9UKG1</t>
  </si>
  <si>
    <t>Q9UKG9</t>
  </si>
  <si>
    <t>Q9UKI8-5</t>
  </si>
  <si>
    <t>Q9UKJ3</t>
  </si>
  <si>
    <t>Q9UKK9</t>
  </si>
  <si>
    <t>Q9UKL0</t>
  </si>
  <si>
    <t>Q9UKL6</t>
  </si>
  <si>
    <t>Q9UKN8</t>
  </si>
  <si>
    <t>Q9UKS6</t>
  </si>
  <si>
    <t>Q9UKT5</t>
  </si>
  <si>
    <t>Q9UKU7</t>
  </si>
  <si>
    <t>Q9UKV8</t>
  </si>
  <si>
    <t>Q9UKX7</t>
  </si>
  <si>
    <t>Q9UKY7-2</t>
  </si>
  <si>
    <t>Q9UL12</t>
  </si>
  <si>
    <t>Q9UL25</t>
  </si>
  <si>
    <t>Q9UL26</t>
  </si>
  <si>
    <t>Q9UL42</t>
  </si>
  <si>
    <t>Q9UL46</t>
  </si>
  <si>
    <t>Q9ULA0</t>
  </si>
  <si>
    <t>Q9ULC4</t>
  </si>
  <si>
    <t>Q9ULC5</t>
  </si>
  <si>
    <t>Q9ULD0</t>
  </si>
  <si>
    <t>Q9ULD2-2</t>
  </si>
  <si>
    <t>Q9ULH7-4</t>
  </si>
  <si>
    <t>Q9ULJ3-2</t>
  </si>
  <si>
    <t>Q9ULJ6</t>
  </si>
  <si>
    <t>Q9ULP9-2</t>
  </si>
  <si>
    <t>Q9ULT8</t>
  </si>
  <si>
    <t>Q9ULV4</t>
  </si>
  <si>
    <t>Q9ULZ3-2</t>
  </si>
  <si>
    <t>Q9UM22-2</t>
  </si>
  <si>
    <t>Q9UMS0-3</t>
  </si>
  <si>
    <t>Q9UMS4</t>
  </si>
  <si>
    <t>Q9UMX0-2</t>
  </si>
  <si>
    <t>Q9UMX5</t>
  </si>
  <si>
    <t>Q9UMY4-2</t>
  </si>
  <si>
    <t>Q9UMZ2-6</t>
  </si>
  <si>
    <t>Q9UN36-2</t>
  </si>
  <si>
    <t>Q9UN36</t>
  </si>
  <si>
    <t>Q9UN86-2</t>
  </si>
  <si>
    <t>Q9UNE7</t>
  </si>
  <si>
    <t>Q9UNF0</t>
  </si>
  <si>
    <t>Q9UNH7</t>
  </si>
  <si>
    <t>Q9UNM6</t>
  </si>
  <si>
    <t>Q9UNN5</t>
  </si>
  <si>
    <t>Q9UNS2</t>
  </si>
  <si>
    <t>Q9UNW1</t>
  </si>
  <si>
    <t>Q9UNZ2</t>
  </si>
  <si>
    <t>Q9UP83</t>
  </si>
  <si>
    <t>Q9UPN6</t>
  </si>
  <si>
    <t>Q9UPN7</t>
  </si>
  <si>
    <t>Q9UPP1-4</t>
  </si>
  <si>
    <t>Q9UPQ3-2</t>
  </si>
  <si>
    <t>Q9UPQ9-1</t>
  </si>
  <si>
    <t>Q9UPR0</t>
  </si>
  <si>
    <t>Q9UPT5-2</t>
  </si>
  <si>
    <t>Q9UPT8</t>
  </si>
  <si>
    <t>Q9UPU5</t>
  </si>
  <si>
    <t>Q9UPU7</t>
  </si>
  <si>
    <t>Q9UPX8-3</t>
  </si>
  <si>
    <t>Q9UPY3</t>
  </si>
  <si>
    <t>Q9UPY8-2</t>
  </si>
  <si>
    <t>Q9UQ35</t>
  </si>
  <si>
    <t>Q9UQ80</t>
  </si>
  <si>
    <t>Q9UQB8-5</t>
  </si>
  <si>
    <t>Q9UQE7</t>
  </si>
  <si>
    <t>Q9Y217</t>
  </si>
  <si>
    <t>Q9Y223-2</t>
  </si>
  <si>
    <t>Q9Y224</t>
  </si>
  <si>
    <t>Q9Y230</t>
  </si>
  <si>
    <t>Q9Y237</t>
  </si>
  <si>
    <t>Q9Y259</t>
  </si>
  <si>
    <t>Q9Y262</t>
  </si>
  <si>
    <t>Q9Y263</t>
  </si>
  <si>
    <t>Q9Y265</t>
  </si>
  <si>
    <t>Q9Y266</t>
  </si>
  <si>
    <t>Q9Y281</t>
  </si>
  <si>
    <t>Q9Y295</t>
  </si>
  <si>
    <t>Q9Y296</t>
  </si>
  <si>
    <t>Q9Y2A7</t>
  </si>
  <si>
    <t>Q9Y2B0</t>
  </si>
  <si>
    <t>Q9Y2D4</t>
  </si>
  <si>
    <t>Q9Y2D5-6</t>
  </si>
  <si>
    <t>Q9Y2E4</t>
  </si>
  <si>
    <t>Q9Y2G5</t>
  </si>
  <si>
    <t>Q9Y2I1-4</t>
  </si>
  <si>
    <t>Q9Y2J2-2</t>
  </si>
  <si>
    <t>Q9Y2K7-4</t>
  </si>
  <si>
    <t>Q9Y2L1</t>
  </si>
  <si>
    <t>Q9Y2L9-2</t>
  </si>
  <si>
    <t>Q9Y2P5</t>
  </si>
  <si>
    <t>Q9Y2Q3</t>
  </si>
  <si>
    <t>Q9Y2Q5</t>
  </si>
  <si>
    <t>Q9Y2R9</t>
  </si>
  <si>
    <t>Q9Y2S2</t>
  </si>
  <si>
    <t>Q9Y2S6</t>
  </si>
  <si>
    <t>Q9Y2S7</t>
  </si>
  <si>
    <t>Q9Y2T2</t>
  </si>
  <si>
    <t>Q9Y2T3-3</t>
  </si>
  <si>
    <t>Q9Y2U5</t>
  </si>
  <si>
    <t>Q9Y2U8</t>
  </si>
  <si>
    <t>Q9Y2V2</t>
  </si>
  <si>
    <t>Q9Y2V7</t>
  </si>
  <si>
    <t>Q9Y2W1</t>
  </si>
  <si>
    <t>Q9Y2X3</t>
  </si>
  <si>
    <t>Q9Y2Z0</t>
  </si>
  <si>
    <t>Q9Y2Z2-5</t>
  </si>
  <si>
    <t>Q9Y2Z4</t>
  </si>
  <si>
    <t>Q9Y2Z9-3</t>
  </si>
  <si>
    <t>Q9Y303</t>
  </si>
  <si>
    <t>Q9Y305</t>
  </si>
  <si>
    <t>Q9Y312</t>
  </si>
  <si>
    <t>Q9Y314</t>
  </si>
  <si>
    <t>Q9Y315</t>
  </si>
  <si>
    <t>Q9Y316</t>
  </si>
  <si>
    <t>Q9Y333</t>
  </si>
  <si>
    <t>Q9Y371</t>
  </si>
  <si>
    <t>Q9Y376</t>
  </si>
  <si>
    <t>Q9Y383</t>
  </si>
  <si>
    <t>Q9Y385</t>
  </si>
  <si>
    <t>Q9Y3A3-2</t>
  </si>
  <si>
    <t>Q9Y3A5</t>
  </si>
  <si>
    <t>Q9Y3B9</t>
  </si>
  <si>
    <t>Q9Y3C1</t>
  </si>
  <si>
    <t>Q9Y3C4-2</t>
  </si>
  <si>
    <t>Q9Y3C6</t>
  </si>
  <si>
    <t>Q9Y3C8</t>
  </si>
  <si>
    <t>Q9Y3D0</t>
  </si>
  <si>
    <t>Q9Y3D2</t>
  </si>
  <si>
    <t>Q9Y3D6</t>
  </si>
  <si>
    <t>Q9Y3D8-2</t>
  </si>
  <si>
    <t>Q9Y3D9</t>
  </si>
  <si>
    <t>Q9Y3E2</t>
  </si>
  <si>
    <t>Q9Y3F4</t>
  </si>
  <si>
    <t>Q9Y3I0</t>
  </si>
  <si>
    <t>Q9Y3I1</t>
  </si>
  <si>
    <t>Q9Y3L5</t>
  </si>
  <si>
    <t>Q9Y3P9</t>
  </si>
  <si>
    <t>Q9Y3S2</t>
  </si>
  <si>
    <t>Q9Y3X0</t>
  </si>
  <si>
    <t>Q9Y3Y2-4</t>
  </si>
  <si>
    <t>Q9Y3Z3</t>
  </si>
  <si>
    <t>Q9Y450-4</t>
  </si>
  <si>
    <t>Q9Y490</t>
  </si>
  <si>
    <t>Q9Y4B6-3</t>
  </si>
  <si>
    <t>Q9Y4C2-2</t>
  </si>
  <si>
    <t>Q9Y4E8-2</t>
  </si>
  <si>
    <t>Q9Y4F1</t>
  </si>
  <si>
    <t>Q9Y4G6</t>
  </si>
  <si>
    <t>Q9Y4H2</t>
  </si>
  <si>
    <t>Q9Y4I1-2</t>
  </si>
  <si>
    <t>Q9Y4K1</t>
  </si>
  <si>
    <t>Q9Y4K3</t>
  </si>
  <si>
    <t>Q9Y4P8-4</t>
  </si>
  <si>
    <t>Q9Y4U1</t>
  </si>
  <si>
    <t>Q9Y4W6</t>
  </si>
  <si>
    <t>Q9Y4X5</t>
  </si>
  <si>
    <t>Q9Y4Z0</t>
  </si>
  <si>
    <t>Q9Y508</t>
  </si>
  <si>
    <t>Q9Y520-4</t>
  </si>
  <si>
    <t>Q9Y547</t>
  </si>
  <si>
    <t>Q9Y570</t>
  </si>
  <si>
    <t>Q9Y597-2</t>
  </si>
  <si>
    <t>Q9Y5A7-2</t>
  </si>
  <si>
    <t>Q9Y5A9-2</t>
  </si>
  <si>
    <t>Q9Y5B0</t>
  </si>
  <si>
    <t>Q9Y5B9</t>
  </si>
  <si>
    <t>Q9Y5J7</t>
  </si>
  <si>
    <t>Q9Y5K5-2</t>
  </si>
  <si>
    <t>Q9Y5K6</t>
  </si>
  <si>
    <t>Q9Y5K8</t>
  </si>
  <si>
    <t>Q9Y5L0</t>
  </si>
  <si>
    <t>Q9Y5L4</t>
  </si>
  <si>
    <t>Q9Y5P4-2</t>
  </si>
  <si>
    <t>Q9Y5P6</t>
  </si>
  <si>
    <t>Q9Y5S2</t>
  </si>
  <si>
    <t>Q9Y5S9</t>
  </si>
  <si>
    <t>Q9Y5U2-2</t>
  </si>
  <si>
    <t>Q9Y5V0</t>
  </si>
  <si>
    <t>Q9Y5X1</t>
  </si>
  <si>
    <t>Q9Y5X3</t>
  </si>
  <si>
    <t>Q9Y5Y2</t>
  </si>
  <si>
    <t>Q9Y5Z4</t>
  </si>
  <si>
    <t>Q9Y608-4</t>
  </si>
  <si>
    <t>Q9Y617</t>
  </si>
  <si>
    <t>Q9Y646</t>
  </si>
  <si>
    <t>Q9Y678</t>
  </si>
  <si>
    <t>Q9Y680-3</t>
  </si>
  <si>
    <t>Q9Y696</t>
  </si>
  <si>
    <t>Q9Y697-2</t>
  </si>
  <si>
    <t>Q9Y6A4</t>
  </si>
  <si>
    <t>Q9Y6B6</t>
  </si>
  <si>
    <t>Q9Y6D5</t>
  </si>
  <si>
    <t>Q9Y6D6</t>
  </si>
  <si>
    <t>Q9Y6G5</t>
  </si>
  <si>
    <t>Q9Y6G9</t>
  </si>
  <si>
    <t>Q9Y6H1</t>
  </si>
  <si>
    <t>Q9Y6I3-3</t>
  </si>
  <si>
    <t>Q9Y6I9</t>
  </si>
  <si>
    <t>Q9Y6K5</t>
  </si>
  <si>
    <t>Q9Y6K9</t>
  </si>
  <si>
    <t>Q9Y6N5</t>
  </si>
  <si>
    <t>Q9Y6W3</t>
  </si>
  <si>
    <t>Q9Y6W5</t>
  </si>
  <si>
    <t>Q9Y6X5</t>
  </si>
  <si>
    <t>Q9Y6X8</t>
  </si>
  <si>
    <t>A1A5A8</t>
  </si>
  <si>
    <t>A2ACR1</t>
  </si>
  <si>
    <t>A6H8Z3</t>
  </si>
  <si>
    <t>A6ND22</t>
  </si>
  <si>
    <t>A6NDT1</t>
  </si>
  <si>
    <t>A6NG64</t>
  </si>
  <si>
    <t>A6NGP5</t>
  </si>
  <si>
    <t>A6NJX6</t>
  </si>
  <si>
    <t>A6NKZ2</t>
  </si>
  <si>
    <t>A6NML8</t>
  </si>
  <si>
    <t>A6NN40</t>
  </si>
  <si>
    <t>A8CTX8</t>
  </si>
  <si>
    <t>A8K7Q2</t>
  </si>
  <si>
    <t>A8MQB8</t>
  </si>
  <si>
    <t>A8MTY9</t>
  </si>
  <si>
    <t>A8MU28</t>
  </si>
  <si>
    <t>A8MU44</t>
  </si>
  <si>
    <t>A8MUB1</t>
  </si>
  <si>
    <t>A8MWR6</t>
  </si>
  <si>
    <t>A8MXP9</t>
  </si>
  <si>
    <t>A8MYC1</t>
  </si>
  <si>
    <t>A9Z1X7</t>
  </si>
  <si>
    <t>B0FLL2</t>
  </si>
  <si>
    <t>B0UX83</t>
  </si>
  <si>
    <t>B1AK87</t>
  </si>
  <si>
    <t>B1AKL4</t>
  </si>
  <si>
    <t>B1AKN7</t>
  </si>
  <si>
    <t>B1AKV3</t>
  </si>
  <si>
    <t>B1AKZ5</t>
  </si>
  <si>
    <t>B1AL69</t>
  </si>
  <si>
    <t>B1ALY0</t>
  </si>
  <si>
    <t>B1ANH0</t>
  </si>
  <si>
    <t>B1AT46</t>
  </si>
  <si>
    <t>B3KRS5</t>
  </si>
  <si>
    <t>B3KSI9</t>
  </si>
  <si>
    <t>B3KVH8</t>
  </si>
  <si>
    <t>B3KY83</t>
  </si>
  <si>
    <t>B4DDD1</t>
  </si>
  <si>
    <t>B4DDF4</t>
  </si>
  <si>
    <t>B4DDZ0</t>
  </si>
  <si>
    <t>B4DE16</t>
  </si>
  <si>
    <t>B4DEM7</t>
  </si>
  <si>
    <t>B4DEW9</t>
  </si>
  <si>
    <t>B4DFA2</t>
  </si>
  <si>
    <t>B4DFG6</t>
  </si>
  <si>
    <t>B4DFI9</t>
  </si>
  <si>
    <t>B4DFQ4</t>
  </si>
  <si>
    <t>B4DGU4</t>
  </si>
  <si>
    <t>B4DH21</t>
  </si>
  <si>
    <t>B4DH53</t>
  </si>
  <si>
    <t>B4DHJ7</t>
  </si>
  <si>
    <t>B4DHT5</t>
  </si>
  <si>
    <t>B4DJA5</t>
  </si>
  <si>
    <t>B4DJP7</t>
  </si>
  <si>
    <t>B4DJV2</t>
  </si>
  <si>
    <t>B4DKG8</t>
  </si>
  <si>
    <t>B4DKJ3</t>
  </si>
  <si>
    <t>B4DKL4</t>
  </si>
  <si>
    <t>B4DL14</t>
  </si>
  <si>
    <t>B4DL54</t>
  </si>
  <si>
    <t>B4DL80</t>
  </si>
  <si>
    <t>B4DLN1</t>
  </si>
  <si>
    <t>B4DLW8</t>
  </si>
  <si>
    <t>B4DMX0</t>
  </si>
  <si>
    <t>B4DNC9</t>
  </si>
  <si>
    <t>B4DNK1</t>
  </si>
  <si>
    <t>B4DP21</t>
  </si>
  <si>
    <t>B4DPR4</t>
  </si>
  <si>
    <t>B4DPY8</t>
  </si>
  <si>
    <t>B4DQ14</t>
  </si>
  <si>
    <t>B4DQA8</t>
  </si>
  <si>
    <t>B4DQJ8</t>
  </si>
  <si>
    <t>B4DR80</t>
  </si>
  <si>
    <t>B4DRL9</t>
  </si>
  <si>
    <t>B4DTG6</t>
  </si>
  <si>
    <t>B4DTU4</t>
  </si>
  <si>
    <t>B4DUS9</t>
  </si>
  <si>
    <t>B4DVY1</t>
  </si>
  <si>
    <t>B4DWI1</t>
  </si>
  <si>
    <t>B4DXK4</t>
  </si>
  <si>
    <t>B4DXZ6</t>
  </si>
  <si>
    <t>B4DYB4</t>
  </si>
  <si>
    <t>B4DZ67</t>
  </si>
  <si>
    <t>B4DZW6</t>
  </si>
  <si>
    <t>B4E072</t>
  </si>
  <si>
    <t>B4E107</t>
  </si>
  <si>
    <t>B4E1J0</t>
  </si>
  <si>
    <t>B4E1K7</t>
  </si>
  <si>
    <t>B4E1Z4</t>
  </si>
  <si>
    <t>B4E241</t>
  </si>
  <si>
    <t>B4E351</t>
  </si>
  <si>
    <t>B4E3Q4</t>
  </si>
  <si>
    <t>B5MC59</t>
  </si>
  <si>
    <t>B5MCF9</t>
  </si>
  <si>
    <t>B5MCK8</t>
  </si>
  <si>
    <t>B5MCP9</t>
  </si>
  <si>
    <t>B5MCQ5</t>
  </si>
  <si>
    <t>B5MCT7</t>
  </si>
  <si>
    <t>B5MCU0</t>
  </si>
  <si>
    <t>B5MEB3</t>
  </si>
  <si>
    <t>B7WP27</t>
  </si>
  <si>
    <t>B7Z1T4</t>
  </si>
  <si>
    <t>B7Z1W9</t>
  </si>
  <si>
    <t>B7Z242</t>
  </si>
  <si>
    <t>B7Z291</t>
  </si>
  <si>
    <t>B7Z2Y2</t>
  </si>
  <si>
    <t>B7Z341</t>
  </si>
  <si>
    <t>B7Z3B9</t>
  </si>
  <si>
    <t>B7Z3I9</t>
  </si>
  <si>
    <t>B7Z4K6</t>
  </si>
  <si>
    <t>B7Z4M2</t>
  </si>
  <si>
    <t>B7Z4R0</t>
  </si>
  <si>
    <t>B7Z583</t>
  </si>
  <si>
    <t>B7Z637</t>
  </si>
  <si>
    <t>B7Z6B8</t>
  </si>
  <si>
    <t>B7Z729</t>
  </si>
  <si>
    <t>B7Z7F3</t>
  </si>
  <si>
    <t>B7Z7F9</t>
  </si>
  <si>
    <t>B7Z7X8</t>
  </si>
  <si>
    <t>B7Z815</t>
  </si>
  <si>
    <t>B7Z817</t>
  </si>
  <si>
    <t>B7Z8K9</t>
  </si>
  <si>
    <t>B7Z8V7</t>
  </si>
  <si>
    <t>B7Z941</t>
  </si>
  <si>
    <t>B7Z9S8</t>
  </si>
  <si>
    <t>B7ZAX5</t>
  </si>
  <si>
    <t>B7ZBQ3</t>
  </si>
  <si>
    <t>B7ZC39</t>
  </si>
  <si>
    <t>B7ZKK9</t>
  </si>
  <si>
    <t>B7ZLP8</t>
  </si>
  <si>
    <t>B7ZLZ2</t>
  </si>
  <si>
    <t>B7ZM82</t>
  </si>
  <si>
    <t>B8ZZC8</t>
  </si>
  <si>
    <t>B8ZZG1</t>
  </si>
  <si>
    <t>B8ZZK4</t>
  </si>
  <si>
    <t>B8ZZQ6</t>
  </si>
  <si>
    <t>B8ZZU8</t>
  </si>
  <si>
    <t>B9A057</t>
  </si>
  <si>
    <t>B9A058</t>
  </si>
  <si>
    <t>B9ZVN9</t>
  </si>
  <si>
    <t>C9IZA5</t>
  </si>
  <si>
    <t>C9J060</t>
  </si>
  <si>
    <t>C9J0A7</t>
  </si>
  <si>
    <t>C9J0K6</t>
  </si>
  <si>
    <t>C9J1C6</t>
  </si>
  <si>
    <t>C9J212</t>
  </si>
  <si>
    <t>C9J3Q2</t>
  </si>
  <si>
    <t>C9J406</t>
  </si>
  <si>
    <t>C9J5C3</t>
  </si>
  <si>
    <t>C9J6H2</t>
  </si>
  <si>
    <t>C9J712</t>
  </si>
  <si>
    <t>C9J8B8</t>
  </si>
  <si>
    <t>C9J9K3</t>
  </si>
  <si>
    <t>C9JAX1</t>
  </si>
  <si>
    <t>C9JB56</t>
  </si>
  <si>
    <t>C9JBI3</t>
  </si>
  <si>
    <t>C9JBJ6</t>
  </si>
  <si>
    <t>C9JE98</t>
  </si>
  <si>
    <t>C9JEL3</t>
  </si>
  <si>
    <t>C9JFE4</t>
  </si>
  <si>
    <t>C9JFR9</t>
  </si>
  <si>
    <t>C9JG97</t>
  </si>
  <si>
    <t>C9JGB2</t>
  </si>
  <si>
    <t>C9JIK8</t>
  </si>
  <si>
    <t>C9JNE2</t>
  </si>
  <si>
    <t>C9JP32</t>
  </si>
  <si>
    <t>C9JQ41</t>
  </si>
  <si>
    <t>C9JQB1</t>
  </si>
  <si>
    <t>C9JQD1</t>
  </si>
  <si>
    <t>C9JQD4</t>
  </si>
  <si>
    <t>C9JQV3</t>
  </si>
  <si>
    <t>C9JTW6</t>
  </si>
  <si>
    <t>C9JVN9</t>
  </si>
  <si>
    <t>C9JVR1</t>
  </si>
  <si>
    <t>C9JW69</t>
  </si>
  <si>
    <t>C9JXB8</t>
  </si>
  <si>
    <t>C9JXK0</t>
  </si>
  <si>
    <t>C9JXK9</t>
  </si>
  <si>
    <t>C9JZP6</t>
  </si>
  <si>
    <t>C9JZY6</t>
  </si>
  <si>
    <t>D3DR31</t>
  </si>
  <si>
    <t>D3DTZ5</t>
  </si>
  <si>
    <t>D3YHP0</t>
  </si>
  <si>
    <t>D3YTE0</t>
  </si>
  <si>
    <t>D6R9D6</t>
  </si>
  <si>
    <t>D6R9G1</t>
  </si>
  <si>
    <t>D6R9P3</t>
  </si>
  <si>
    <t>D6RAL3</t>
  </si>
  <si>
    <t>D6RB81</t>
  </si>
  <si>
    <t>D6RBN5</t>
  </si>
  <si>
    <t>D6RBV0</t>
  </si>
  <si>
    <t>D6RCD0</t>
  </si>
  <si>
    <t>D6RD47</t>
  </si>
  <si>
    <t>D6REA0</t>
  </si>
  <si>
    <t>D6REB0</t>
  </si>
  <si>
    <t>D6RF92</t>
  </si>
  <si>
    <t>D6RGI3</t>
  </si>
  <si>
    <t>D6RHI9</t>
  </si>
  <si>
    <t>E2QRD5</t>
  </si>
  <si>
    <t>E5RFY9</t>
  </si>
  <si>
    <t>E5RGS9</t>
  </si>
  <si>
    <t>E5RGX5</t>
  </si>
  <si>
    <t>E5RHG8</t>
  </si>
  <si>
    <t>E5RJ68</t>
  </si>
  <si>
    <t>E5RJD2</t>
  </si>
  <si>
    <t>E5RJR5</t>
  </si>
  <si>
    <t>E7EM64</t>
  </si>
  <si>
    <t>E7EMM4</t>
  </si>
  <si>
    <t>E7EMV7</t>
  </si>
  <si>
    <t>E7EMZ9</t>
  </si>
  <si>
    <t>E7EN68</t>
  </si>
  <si>
    <t>E7END2</t>
  </si>
  <si>
    <t>E7ENN3</t>
  </si>
  <si>
    <t>E7ENY8</t>
  </si>
  <si>
    <t>E7EPD0</t>
  </si>
  <si>
    <t>E7EPL4</t>
  </si>
  <si>
    <t>E7EQ69</t>
  </si>
  <si>
    <t>E7EQA9</t>
  </si>
  <si>
    <t>E7EQB9</t>
  </si>
  <si>
    <t>E7EQT4</t>
  </si>
  <si>
    <t>E7EQV9</t>
  </si>
  <si>
    <t>E7ES08</t>
  </si>
  <si>
    <t>E7ESU4</t>
  </si>
  <si>
    <t>E7ESY6</t>
  </si>
  <si>
    <t>E7ET15</t>
  </si>
  <si>
    <t>E7ETA6</t>
  </si>
  <si>
    <t>E7ETD6</t>
  </si>
  <si>
    <t>E7ETZ4</t>
  </si>
  <si>
    <t>E7EU96</t>
  </si>
  <si>
    <t>E7EUY0</t>
  </si>
  <si>
    <t>E7EV62</t>
  </si>
  <si>
    <t>E7EVD1</t>
  </si>
  <si>
    <t>E7EVG2</t>
  </si>
  <si>
    <t>E7EVJ5</t>
  </si>
  <si>
    <t>E7EVX9</t>
  </si>
  <si>
    <t>E7EW69</t>
  </si>
  <si>
    <t>E7EWG4</t>
  </si>
  <si>
    <t>E7EX83</t>
  </si>
  <si>
    <t>E9PB09</t>
  </si>
  <si>
    <t>E9PB14</t>
  </si>
  <si>
    <t>E9PBL8</t>
  </si>
  <si>
    <t>E9PCG9</t>
  </si>
  <si>
    <t>E9PCJ7</t>
  </si>
  <si>
    <t>E9PCY7</t>
  </si>
  <si>
    <t>E9PDC3</t>
  </si>
  <si>
    <t>E9PEG3</t>
  </si>
  <si>
    <t>E9PEZ3</t>
  </si>
  <si>
    <t>E9PF10</t>
  </si>
  <si>
    <t>E9PF19</t>
  </si>
  <si>
    <t>E9PFC1</t>
  </si>
  <si>
    <t>E9PFD7</t>
  </si>
  <si>
    <t>E9PFR3</t>
  </si>
  <si>
    <t>E9PG46</t>
  </si>
  <si>
    <t>E9PGF5</t>
  </si>
  <si>
    <t>E9PGF9</t>
  </si>
  <si>
    <t>E9PGM7</t>
  </si>
  <si>
    <t>E9PGT1</t>
  </si>
  <si>
    <t>E9PH29</t>
  </si>
  <si>
    <t>E9PHK0</t>
  </si>
  <si>
    <t>E9PHM2</t>
  </si>
  <si>
    <t>E9PHY8</t>
  </si>
  <si>
    <t>E9PIB9</t>
  </si>
  <si>
    <t>E9PIC2</t>
  </si>
  <si>
    <t>E9PIR7</t>
  </si>
  <si>
    <t>E9PJ24</t>
  </si>
  <si>
    <t>E9PJ81</t>
  </si>
  <si>
    <t>E9PJB2</t>
  </si>
  <si>
    <t>E9PJD7</t>
  </si>
  <si>
    <t>E9PJH1</t>
  </si>
  <si>
    <t>E9PK01</t>
  </si>
  <si>
    <t>E9PK67</t>
  </si>
  <si>
    <t>E9PKB0</t>
  </si>
  <si>
    <t>E9PKC0</t>
  </si>
  <si>
    <t>E9PKF3</t>
  </si>
  <si>
    <t>E9PKG1</t>
  </si>
  <si>
    <t>E9PKV8</t>
  </si>
  <si>
    <t>E9PKY5</t>
  </si>
  <si>
    <t>E9PL22</t>
  </si>
  <si>
    <t>E9PL24</t>
  </si>
  <si>
    <t>E9PL57</t>
  </si>
  <si>
    <t>E9PLK3</t>
  </si>
  <si>
    <t>E9PM46</t>
  </si>
  <si>
    <t>E9PM92</t>
  </si>
  <si>
    <t>E9PMI6</t>
  </si>
  <si>
    <t>E9PMJ2</t>
  </si>
  <si>
    <t>E9PMS6</t>
  </si>
  <si>
    <t>E9PN48</t>
  </si>
  <si>
    <t>E9PNK6</t>
  </si>
  <si>
    <t>E9PNN3</t>
  </si>
  <si>
    <t>E9PNU4</t>
  </si>
  <si>
    <t>E9PNW4</t>
  </si>
  <si>
    <t>E9PP36</t>
  </si>
  <si>
    <t>E9PPR2</t>
  </si>
  <si>
    <t>E9PQ74</t>
  </si>
  <si>
    <t>E9PQR7</t>
  </si>
  <si>
    <t>E9PQW4</t>
  </si>
  <si>
    <t>E9PQY3</t>
  </si>
  <si>
    <t>E9PR54</t>
  </si>
  <si>
    <t>E9PRD9</t>
  </si>
  <si>
    <t>E9PRE7</t>
  </si>
  <si>
    <t>E9PRI4</t>
  </si>
  <si>
    <t>F2Z2E1</t>
  </si>
  <si>
    <t>F2Z2V0</t>
  </si>
  <si>
    <t>F2Z2X4</t>
  </si>
  <si>
    <t>F2Z3K9</t>
  </si>
  <si>
    <t>F2Z3M0</t>
  </si>
  <si>
    <t>F5GWI9</t>
  </si>
  <si>
    <t>F5GWP8</t>
  </si>
  <si>
    <t>F5GWT4</t>
  </si>
  <si>
    <t>F5GWX5</t>
  </si>
  <si>
    <t>F5GX77</t>
  </si>
  <si>
    <t>F5GXC8</t>
  </si>
  <si>
    <t>F5GXD1</t>
  </si>
  <si>
    <t>F5GXJ9</t>
  </si>
  <si>
    <t>F5GY80</t>
  </si>
  <si>
    <t>F5GYA2</t>
  </si>
  <si>
    <t>F5GYC4</t>
  </si>
  <si>
    <t>F5GYJ5</t>
  </si>
  <si>
    <t>F5GYK2</t>
  </si>
  <si>
    <t>F5GYN4</t>
  </si>
  <si>
    <t>F5GZY0</t>
  </si>
  <si>
    <t>F5GZY7</t>
  </si>
  <si>
    <t>F5GZZ9</t>
  </si>
  <si>
    <t>F5H012</t>
  </si>
  <si>
    <t>F5H0B0</t>
  </si>
  <si>
    <t>F5H0C8</t>
  </si>
  <si>
    <t>F5H0L8</t>
  </si>
  <si>
    <t>F5H157</t>
  </si>
  <si>
    <t>F5H1L4</t>
  </si>
  <si>
    <t>F5H1X8</t>
  </si>
  <si>
    <t>F5H1Z6</t>
  </si>
  <si>
    <t>F5H2B9</t>
  </si>
  <si>
    <t>F5H2Q7</t>
  </si>
  <si>
    <t>F5H2X0</t>
  </si>
  <si>
    <t>F5H335</t>
  </si>
  <si>
    <t>F5H365</t>
  </si>
  <si>
    <t>F5H442</t>
  </si>
  <si>
    <t>F5H4F1</t>
  </si>
  <si>
    <t>F5H4G7</t>
  </si>
  <si>
    <t>F5H4J2</t>
  </si>
  <si>
    <t>F5H4S0</t>
  </si>
  <si>
    <t>F5H5C2</t>
  </si>
  <si>
    <t>F5H604</t>
  </si>
  <si>
    <t>F5H698</t>
  </si>
  <si>
    <t>F5H721</t>
  </si>
  <si>
    <t>F5H7F6</t>
  </si>
  <si>
    <t>F5H7J5</t>
  </si>
  <si>
    <t>F5H801</t>
  </si>
  <si>
    <t>F5H897</t>
  </si>
  <si>
    <t>F5H8D7</t>
  </si>
  <si>
    <t>F5H8F7</t>
  </si>
  <si>
    <t>F5H8H2</t>
  </si>
  <si>
    <t>F5H8H4</t>
  </si>
  <si>
    <t>F5H8L0</t>
  </si>
  <si>
    <t>F6PQP6</t>
  </si>
  <si>
    <t>F6RY50</t>
  </si>
  <si>
    <t>F6T1Q0</t>
  </si>
  <si>
    <t>F6TQG2</t>
  </si>
  <si>
    <t>F6U1T9</t>
  </si>
  <si>
    <t>F6XY72</t>
  </si>
  <si>
    <t>F8VQR7</t>
  </si>
  <si>
    <t>F8VQX6</t>
  </si>
  <si>
    <t>F8VRD9</t>
  </si>
  <si>
    <t>F8VSL3</t>
  </si>
  <si>
    <t>F8VU65</t>
  </si>
  <si>
    <t>F8VUA6</t>
  </si>
  <si>
    <t>F8VVM2</t>
  </si>
  <si>
    <t>F8VVX6</t>
  </si>
  <si>
    <t>F8VWA5</t>
  </si>
  <si>
    <t>F8VWA6</t>
  </si>
  <si>
    <t>F8VWL3</t>
  </si>
  <si>
    <t>F8VXY3</t>
  </si>
  <si>
    <t>F8VZJ2</t>
  </si>
  <si>
    <t>F8W038</t>
  </si>
  <si>
    <t>F8W118</t>
  </si>
  <si>
    <t>F8W1A4</t>
  </si>
  <si>
    <t>F8W1Q3</t>
  </si>
  <si>
    <t>F8W1R7</t>
  </si>
  <si>
    <t>F8W720</t>
  </si>
  <si>
    <t>F8W785</t>
  </si>
  <si>
    <t>F8W7C6</t>
  </si>
  <si>
    <t>F8W7U3</t>
  </si>
  <si>
    <t>F8W8I6</t>
  </si>
  <si>
    <t>F8W8M4</t>
  </si>
  <si>
    <t>F8W9I4</t>
  </si>
  <si>
    <t>F8W9X7</t>
  </si>
  <si>
    <t>F8WAK8</t>
  </si>
  <si>
    <t>F8WEE4</t>
  </si>
  <si>
    <t>F8WF49</t>
  </si>
  <si>
    <t>F8WJN3</t>
  </si>
  <si>
    <t>G3V0E8</t>
  </si>
  <si>
    <t>G3V169</t>
  </si>
  <si>
    <t>G3V1P3</t>
  </si>
  <si>
    <t>G3V1R9</t>
  </si>
  <si>
    <t>G3V1Y8</t>
  </si>
  <si>
    <t>G3V238</t>
  </si>
  <si>
    <t>G3V2T6</t>
  </si>
  <si>
    <t>G3V2U7</t>
  </si>
  <si>
    <t>G3V357</t>
  </si>
  <si>
    <t>G3V3D2</t>
  </si>
  <si>
    <t>G3V3G9</t>
  </si>
  <si>
    <t>G3V3R7</t>
  </si>
  <si>
    <t>G3V4P7</t>
  </si>
  <si>
    <t>G3V4S8</t>
  </si>
  <si>
    <t>G3V4W0</t>
  </si>
  <si>
    <t>G3V599</t>
  </si>
  <si>
    <t>G3V5E1</t>
  </si>
  <si>
    <t>G3V5T0</t>
  </si>
  <si>
    <t>G3V5V3</t>
  </si>
  <si>
    <t>G3XAA0</t>
  </si>
  <si>
    <t>G3XAM2</t>
  </si>
  <si>
    <t>G3XAN8</t>
  </si>
  <si>
    <t>G5E9C8</t>
  </si>
  <si>
    <t>G5E9W7</t>
  </si>
  <si>
    <t>G5E9X3</t>
  </si>
  <si>
    <t>G5EA52</t>
  </si>
  <si>
    <t>G8JLB3</t>
  </si>
  <si>
    <t>G8JLC6</t>
  </si>
  <si>
    <t>G8JLE5</t>
  </si>
  <si>
    <t>G8JLI5</t>
  </si>
  <si>
    <t>G8JLK3</t>
  </si>
  <si>
    <t>H0Y300</t>
  </si>
  <si>
    <t>H0Y304</t>
  </si>
  <si>
    <t>H0Y3A0</t>
  </si>
  <si>
    <t>H0Y3P2</t>
  </si>
  <si>
    <t>H0Y4R1</t>
  </si>
  <si>
    <t>H0Y5G7</t>
  </si>
  <si>
    <t>H0Y612</t>
  </si>
  <si>
    <t>H0Y614</t>
  </si>
  <si>
    <t>H0Y6A0</t>
  </si>
  <si>
    <t>H0Y6C3</t>
  </si>
  <si>
    <t>H0Y6I0</t>
  </si>
  <si>
    <t>H0Y7P1</t>
  </si>
  <si>
    <t>H0Y7U4</t>
  </si>
  <si>
    <t>H0Y8L5</t>
  </si>
  <si>
    <t>H0Y9B0</t>
  </si>
  <si>
    <t>H0Y9C8</t>
  </si>
  <si>
    <t>H0Y9D7</t>
  </si>
  <si>
    <t>H0YA52</t>
  </si>
  <si>
    <t>H0YA61</t>
  </si>
  <si>
    <t>H0YA68</t>
  </si>
  <si>
    <t>H0YAJ5</t>
  </si>
  <si>
    <t>H0YAL7</t>
  </si>
  <si>
    <t>H0YAT2</t>
  </si>
  <si>
    <t>H0YBZ4</t>
  </si>
  <si>
    <t>H0YDR8</t>
  </si>
  <si>
    <t>H0YDU8</t>
  </si>
  <si>
    <t>H0YE28</t>
  </si>
  <si>
    <t>H0YEB6</t>
  </si>
  <si>
    <t>H0YEG5</t>
  </si>
  <si>
    <t>H0YEH2</t>
  </si>
  <si>
    <t>H0YEI0</t>
  </si>
  <si>
    <t>H0YEN5</t>
  </si>
  <si>
    <t>H0YEP5</t>
  </si>
  <si>
    <t>H0YER1</t>
  </si>
  <si>
    <t>H0YFI1</t>
  </si>
  <si>
    <t>H0YG38</t>
  </si>
  <si>
    <t>H0YGR4</t>
  </si>
  <si>
    <t>H0YGX7</t>
  </si>
  <si>
    <t>H0YI02</t>
  </si>
  <si>
    <t>H0YLA4</t>
  </si>
  <si>
    <t>H0YLN8</t>
  </si>
  <si>
    <t>H0YM11</t>
  </si>
  <si>
    <t>H0YMB0</t>
  </si>
  <si>
    <t>H0YMB1</t>
  </si>
  <si>
    <t>H0YMB3</t>
  </si>
  <si>
    <t>H0YMM7</t>
  </si>
  <si>
    <t>H0YN81</t>
  </si>
  <si>
    <t>H0YNE9</t>
  </si>
  <si>
    <t>H0YNU5</t>
  </si>
  <si>
    <t>H3BLU7</t>
  </si>
  <si>
    <t>H3BM67</t>
  </si>
  <si>
    <t>H3BMM5</t>
  </si>
  <si>
    <t>H3BN98</t>
  </si>
  <si>
    <t>H3BND3</t>
  </si>
  <si>
    <t>H3BPB8</t>
  </si>
  <si>
    <t>H3BPE1</t>
  </si>
  <si>
    <t>H3BPZ6</t>
  </si>
  <si>
    <t>H3BQ52</t>
  </si>
  <si>
    <t>H3BQH3</t>
  </si>
  <si>
    <t>H3BQP5</t>
  </si>
  <si>
    <t>H3BQV3</t>
  </si>
  <si>
    <t>H3BQZ7</t>
  </si>
  <si>
    <t>H3BRF9</t>
  </si>
  <si>
    <t>H3BRG4</t>
  </si>
  <si>
    <t>H3BRL3</t>
  </si>
  <si>
    <t>H3BRQ0</t>
  </si>
  <si>
    <t>H3BRQ8</t>
  </si>
  <si>
    <t>H3BRT1</t>
  </si>
  <si>
    <t>H3BRV0</t>
  </si>
  <si>
    <t>H3BTA2</t>
  </si>
  <si>
    <t>H3BTB7</t>
  </si>
  <si>
    <t>H3BTL2</t>
  </si>
  <si>
    <t>H3BU49</t>
  </si>
  <si>
    <t>H3BV05</t>
  </si>
  <si>
    <t>H3BV16</t>
  </si>
  <si>
    <t>H7BXH2</t>
  </si>
  <si>
    <t>H7BXV2</t>
  </si>
  <si>
    <t>H7BXV5</t>
  </si>
  <si>
    <t>H7BXZ5</t>
  </si>
  <si>
    <t>H7BYD0</t>
  </si>
  <si>
    <t>H7BYY1</t>
  </si>
  <si>
    <t>H7BZ00</t>
  </si>
  <si>
    <t>H7BZL0</t>
  </si>
  <si>
    <t>H7C0E5</t>
  </si>
  <si>
    <t>H7C0G7</t>
  </si>
  <si>
    <t>H7C0V9</t>
  </si>
  <si>
    <t>H7C0Y4</t>
  </si>
  <si>
    <t>H7C128</t>
  </si>
  <si>
    <t>H7C1I7</t>
  </si>
  <si>
    <t>H7C1J4</t>
  </si>
  <si>
    <t>H7C1V3</t>
  </si>
  <si>
    <t>H7C2B1</t>
  </si>
  <si>
    <t>H7C2G2</t>
  </si>
  <si>
    <t>H7C3G7</t>
  </si>
  <si>
    <t>H7C3P4</t>
  </si>
  <si>
    <t>H7C3T2</t>
  </si>
  <si>
    <t>H7C4T5</t>
  </si>
  <si>
    <t>H7C5G1</t>
  </si>
  <si>
    <t>I3L097</t>
  </si>
  <si>
    <t>I3L0A5</t>
  </si>
  <si>
    <t>I3L0H8</t>
  </si>
  <si>
    <t>I3L0K7</t>
  </si>
  <si>
    <t>I3L1H5</t>
  </si>
  <si>
    <t>I3L1K7</t>
  </si>
  <si>
    <t>I3L1Q3</t>
  </si>
  <si>
    <t>I3L2B0</t>
  </si>
  <si>
    <t>I3L2J0</t>
  </si>
  <si>
    <t>I3L2L5</t>
  </si>
  <si>
    <t>I3L397</t>
  </si>
  <si>
    <t>I3L4C3</t>
  </si>
  <si>
    <t>I3L4X3</t>
  </si>
  <si>
    <t>I3L521</t>
  </si>
  <si>
    <t>J3KMY5</t>
  </si>
  <si>
    <t>J3KN29</t>
  </si>
  <si>
    <t>J3KN66</t>
  </si>
  <si>
    <t>J3KN75</t>
  </si>
  <si>
    <t>J3KNC0</t>
  </si>
  <si>
    <t>J3KND1</t>
  </si>
  <si>
    <t>J3KNE2</t>
  </si>
  <si>
    <t>J3KNF4</t>
  </si>
  <si>
    <t>J3KNL6</t>
  </si>
  <si>
    <t>J3KNN7</t>
  </si>
  <si>
    <t>J3KP15</t>
  </si>
  <si>
    <t>J3KP19</t>
  </si>
  <si>
    <t>J3KP30</t>
  </si>
  <si>
    <t>J3KP36</t>
  </si>
  <si>
    <t>J3KPS2</t>
  </si>
  <si>
    <t>J3KPV7</t>
  </si>
  <si>
    <t>J3KQ72</t>
  </si>
  <si>
    <t>J3KQG4</t>
  </si>
  <si>
    <t>J3KQS6</t>
  </si>
  <si>
    <t>J3KRP0</t>
  </si>
  <si>
    <t>J3KRR7</t>
  </si>
  <si>
    <t>J3KS05</t>
  </si>
  <si>
    <t>J3KS94</t>
  </si>
  <si>
    <t>J3KSS7</t>
  </si>
  <si>
    <t>J3KST8</t>
  </si>
  <si>
    <t>J3KSZ8</t>
  </si>
  <si>
    <t>J3KT51</t>
  </si>
  <si>
    <t>J3KT74</t>
  </si>
  <si>
    <t>J3KTJ8</t>
  </si>
  <si>
    <t>J3QL56</t>
  </si>
  <si>
    <t>J3QLE5</t>
  </si>
  <si>
    <t>J3QLP6</t>
  </si>
  <si>
    <t>J3QLU0</t>
  </si>
  <si>
    <t>J3QQJ5</t>
  </si>
  <si>
    <t>J3QQT2</t>
  </si>
  <si>
    <t>J3QQX3</t>
  </si>
  <si>
    <t>J3QR09</t>
  </si>
  <si>
    <t>J3QRH2</t>
  </si>
  <si>
    <t>J3QRK2</t>
  </si>
  <si>
    <t>J3QRX6</t>
  </si>
  <si>
    <t>J3QRZ6</t>
  </si>
  <si>
    <t>J3QSE5</t>
  </si>
  <si>
    <t>J3QSV6</t>
  </si>
  <si>
    <t>J3QSY4</t>
  </si>
  <si>
    <t>J9JIC5</t>
  </si>
  <si>
    <t>J9JIE0</t>
  </si>
  <si>
    <t>J9JIE9</t>
  </si>
  <si>
    <t>K7EIG1</t>
  </si>
  <si>
    <t>K7EIN1</t>
  </si>
  <si>
    <t>K7EIR0</t>
  </si>
  <si>
    <t>K7EIU8</t>
  </si>
  <si>
    <t>K7EIV9</t>
  </si>
  <si>
    <t>K7EJ05</t>
  </si>
  <si>
    <t>K7EJB9</t>
  </si>
  <si>
    <t>K7EJG0</t>
  </si>
  <si>
    <t>K7EJX0</t>
  </si>
  <si>
    <t>K7EK07</t>
  </si>
  <si>
    <t>K7EK11</t>
  </si>
  <si>
    <t>K7EKE6</t>
  </si>
  <si>
    <t>K7ELL7</t>
  </si>
  <si>
    <t>K7EM02</t>
  </si>
  <si>
    <t>K7EM09</t>
  </si>
  <si>
    <t>K7EM38</t>
  </si>
  <si>
    <t>K7EME0</t>
  </si>
  <si>
    <t>K7EN05</t>
  </si>
  <si>
    <t>K7ENR6</t>
  </si>
  <si>
    <t>K7ENT8</t>
  </si>
  <si>
    <t>K7EP32</t>
  </si>
  <si>
    <t>K7ER46</t>
  </si>
  <si>
    <t>K7ERE3</t>
  </si>
  <si>
    <t>K7ERI9</t>
  </si>
  <si>
    <t>K7ES31</t>
  </si>
  <si>
    <t>K7ESE3</t>
  </si>
  <si>
    <t>M0QWZ7</t>
  </si>
  <si>
    <t>M0QX35</t>
  </si>
  <si>
    <t>M0QXL5</t>
  </si>
  <si>
    <t>M0QYF4</t>
  </si>
  <si>
    <t>M0QZC7</t>
  </si>
  <si>
    <t>M0QZE0</t>
  </si>
  <si>
    <t>M0R021</t>
  </si>
  <si>
    <t>M0R0B4</t>
  </si>
  <si>
    <t>M0R248</t>
  </si>
  <si>
    <t>M0R2L9</t>
  </si>
  <si>
    <t>O95205</t>
  </si>
  <si>
    <t>Q17RU2</t>
  </si>
  <si>
    <t>Q2TAM5</t>
  </si>
  <si>
    <t>Q32N00</t>
  </si>
  <si>
    <t>Q53XA7</t>
  </si>
  <si>
    <t>Q567Q0</t>
  </si>
  <si>
    <t>Q5H9A7</t>
  </si>
  <si>
    <t>Q5HY54</t>
  </si>
  <si>
    <t>Q5JB52</t>
  </si>
  <si>
    <t>Q5JP53</t>
  </si>
  <si>
    <t>Q5JR08</t>
  </si>
  <si>
    <t>Q5JRG1</t>
  </si>
  <si>
    <t>Q5JTV1</t>
  </si>
  <si>
    <t>Q5JUA8</t>
  </si>
  <si>
    <t>Q5JW30</t>
  </si>
  <si>
    <t>Q5QNY5</t>
  </si>
  <si>
    <t>Q5QPL9</t>
  </si>
  <si>
    <t>Q5QPM7</t>
  </si>
  <si>
    <t>Q5SSZ3</t>
  </si>
  <si>
    <t>Q5SZC6</t>
  </si>
  <si>
    <t>Q5T123</t>
  </si>
  <si>
    <t>Q5T6K7</t>
  </si>
  <si>
    <t>Q5T7A4</t>
  </si>
  <si>
    <t>Q5T985</t>
  </si>
  <si>
    <t>Q5TA04</t>
  </si>
  <si>
    <t>Q5TA58</t>
  </si>
  <si>
    <t>Q5TAQ0</t>
  </si>
  <si>
    <t>Q5TBP5</t>
  </si>
  <si>
    <t>Q5TBP9</t>
  </si>
  <si>
    <t>Q5TCW7</t>
  </si>
  <si>
    <t>Q5TH58</t>
  </si>
  <si>
    <t>Q5VTI5</t>
  </si>
  <si>
    <t>Q5VTU3</t>
  </si>
  <si>
    <t>Q5VZM0</t>
  </si>
  <si>
    <t>Q64EX5</t>
  </si>
  <si>
    <t>Q68DL3</t>
  </si>
  <si>
    <t>Q6ICJ4</t>
  </si>
  <si>
    <t>Q6PIR0</t>
  </si>
  <si>
    <t>Q6PJZ0</t>
  </si>
  <si>
    <t>Q71TU5</t>
  </si>
  <si>
    <t>Q7Z721</t>
  </si>
  <si>
    <t>Q86UY0</t>
  </si>
  <si>
    <t>Q86VQ2</t>
  </si>
  <si>
    <t>Q8IUW1</t>
  </si>
  <si>
    <t>Q8IYN9</t>
  </si>
  <si>
    <t>Q8N749</t>
  </si>
  <si>
    <t>Q8NBY1</t>
  </si>
  <si>
    <t>Q8WVC2</t>
  </si>
  <si>
    <t>Q8WYQ7</t>
  </si>
  <si>
    <t>Q96G53</t>
  </si>
  <si>
    <t>Q9H6Y6</t>
  </si>
  <si>
    <t>Q9UII8</t>
  </si>
  <si>
    <t>Q9UQL0</t>
  </si>
  <si>
    <t>R4GMR5</t>
  </si>
  <si>
    <t>R4GMU8</t>
  </si>
  <si>
    <t>R4GMX3</t>
  </si>
  <si>
    <t>R4GN55</t>
  </si>
  <si>
    <t>R4GN98</t>
  </si>
  <si>
    <t>R4GNB2</t>
  </si>
  <si>
    <t>R4GNH3</t>
  </si>
  <si>
    <t>UBA6</t>
  </si>
  <si>
    <t>UHRF1BP1L</t>
  </si>
  <si>
    <t>KIAA1598</t>
  </si>
  <si>
    <t>C1orf226</t>
  </si>
  <si>
    <t>C17orf89</t>
  </si>
  <si>
    <t>SH3PXD2B</t>
  </si>
  <si>
    <t>TYW5</t>
  </si>
  <si>
    <t>FUOM</t>
  </si>
  <si>
    <t>VWA8</t>
  </si>
  <si>
    <t>SBNO1</t>
  </si>
  <si>
    <t>ISPD</t>
  </si>
  <si>
    <t>WDR91</t>
  </si>
  <si>
    <t>TRAPPC13</t>
  </si>
  <si>
    <t>CNOT1</t>
  </si>
  <si>
    <t>FAM83G</t>
  </si>
  <si>
    <t>ASPDH</t>
  </si>
  <si>
    <t>PALM3</t>
  </si>
  <si>
    <t>PGP</t>
  </si>
  <si>
    <t>RCCD1</t>
  </si>
  <si>
    <t>SOWAHB</t>
  </si>
  <si>
    <t>SDHAF1</t>
  </si>
  <si>
    <t>UNC119B</t>
  </si>
  <si>
    <t>GLOD5</t>
  </si>
  <si>
    <t>LIPT2</t>
  </si>
  <si>
    <t>CCDC85C</t>
  </si>
  <si>
    <t>PCP4L1</t>
  </si>
  <si>
    <t>TTC36</t>
  </si>
  <si>
    <t>LYRM9</t>
  </si>
  <si>
    <t>NUDT19</t>
  </si>
  <si>
    <t>FHAD1</t>
  </si>
  <si>
    <t>ESPN</t>
  </si>
  <si>
    <t>PPP1R3G</t>
  </si>
  <si>
    <t>IGLL5</t>
  </si>
  <si>
    <t>WASH3P</t>
  </si>
  <si>
    <t>INS-IGF2</t>
  </si>
  <si>
    <t>AGPS</t>
  </si>
  <si>
    <t>UBXN8</t>
  </si>
  <si>
    <t>KIF2A</t>
  </si>
  <si>
    <t>TK2</t>
  </si>
  <si>
    <t>PDLIM1</t>
  </si>
  <si>
    <t>ACOT7</t>
  </si>
  <si>
    <t>SNAP23</t>
  </si>
  <si>
    <t>AIP</t>
  </si>
  <si>
    <t>GTPBP1</t>
  </si>
  <si>
    <t>LGALS8</t>
  </si>
  <si>
    <t>PSMD11</t>
  </si>
  <si>
    <t>PSMD12</t>
  </si>
  <si>
    <t>ATOX1</t>
  </si>
  <si>
    <t>PGRMC1</t>
  </si>
  <si>
    <t>SUPT5H</t>
  </si>
  <si>
    <t>DFFA</t>
  </si>
  <si>
    <t>HIP1</t>
  </si>
  <si>
    <t>CLIC1</t>
  </si>
  <si>
    <t>DCTN6</t>
  </si>
  <si>
    <t>WASL</t>
  </si>
  <si>
    <t>IPO5</t>
  </si>
  <si>
    <t>DNM1L</t>
  </si>
  <si>
    <t>PIK3R2</t>
  </si>
  <si>
    <t>MANBA</t>
  </si>
  <si>
    <t>AGRN</t>
  </si>
  <si>
    <t>EXOC5</t>
  </si>
  <si>
    <t>HMGN4</t>
  </si>
  <si>
    <t>NDUFA4</t>
  </si>
  <si>
    <t>PSMD14</t>
  </si>
  <si>
    <t>BIN1</t>
  </si>
  <si>
    <t>KPNA3</t>
  </si>
  <si>
    <t>STK25</t>
  </si>
  <si>
    <t>LAD1</t>
  </si>
  <si>
    <t>VWA5A</t>
  </si>
  <si>
    <t>NOP56</t>
  </si>
  <si>
    <t>DDX3X</t>
  </si>
  <si>
    <t>PIR</t>
  </si>
  <si>
    <t>KPNA4</t>
  </si>
  <si>
    <t>TRIM38</t>
  </si>
  <si>
    <t>PPP6C</t>
  </si>
  <si>
    <t>CES2</t>
  </si>
  <si>
    <t>MAN2B1</t>
  </si>
  <si>
    <t>FBP2</t>
  </si>
  <si>
    <t>ACACB</t>
  </si>
  <si>
    <t>PDXK</t>
  </si>
  <si>
    <t>ARID1A</t>
  </si>
  <si>
    <t>CDK2AP1</t>
  </si>
  <si>
    <t>TRAFD1</t>
  </si>
  <si>
    <t>NDUFAB1</t>
  </si>
  <si>
    <t>COPE</t>
  </si>
  <si>
    <t>AP3D1</t>
  </si>
  <si>
    <t>MLL2</t>
  </si>
  <si>
    <t>IMPA2</t>
  </si>
  <si>
    <t>ACOT8</t>
  </si>
  <si>
    <t>PDCD5</t>
  </si>
  <si>
    <t>PRMT5</t>
  </si>
  <si>
    <t>SLC9A3R1</t>
  </si>
  <si>
    <t>HSD17B6</t>
  </si>
  <si>
    <t>FPGT</t>
  </si>
  <si>
    <t>TPP1</t>
  </si>
  <si>
    <t>TCERG1</t>
  </si>
  <si>
    <t>TNPO2</t>
  </si>
  <si>
    <t>PSMA7</t>
  </si>
  <si>
    <t>PHYH</t>
  </si>
  <si>
    <t>OPLAH</t>
  </si>
  <si>
    <t>BACH1</t>
  </si>
  <si>
    <t>IFIT3</t>
  </si>
  <si>
    <t>IRF6</t>
  </si>
  <si>
    <t>TAX1BP3</t>
  </si>
  <si>
    <t>HAT1</t>
  </si>
  <si>
    <t>UBE2L6</t>
  </si>
  <si>
    <t>CASK</t>
  </si>
  <si>
    <t>HGS</t>
  </si>
  <si>
    <t>PPP1R12A</t>
  </si>
  <si>
    <t>SLC27A2</t>
  </si>
  <si>
    <t>GAK</t>
  </si>
  <si>
    <t>HNRPDL</t>
  </si>
  <si>
    <t>XPO1</t>
  </si>
  <si>
    <t>BTAF1</t>
  </si>
  <si>
    <t>ZNF609</t>
  </si>
  <si>
    <t>SPTBN2</t>
  </si>
  <si>
    <t>MAST4</t>
  </si>
  <si>
    <t>PLXNB2</t>
  </si>
  <si>
    <t>SYNJ2</t>
  </si>
  <si>
    <t>PFAS</t>
  </si>
  <si>
    <t>ANKRD28</t>
  </si>
  <si>
    <t>ARHGEF11</t>
  </si>
  <si>
    <t>LSM1</t>
  </si>
  <si>
    <t>ARPC1B</t>
  </si>
  <si>
    <t>ARPC2</t>
  </si>
  <si>
    <t>ARPC3</t>
  </si>
  <si>
    <t>ZBTB7B</t>
  </si>
  <si>
    <t>PGRMC2</t>
  </si>
  <si>
    <t>PFDN6</t>
  </si>
  <si>
    <t>LAMA5</t>
  </si>
  <si>
    <t>CASC3</t>
  </si>
  <si>
    <t>ACOX3</t>
  </si>
  <si>
    <t>OGT</t>
  </si>
  <si>
    <t>PMM2</t>
  </si>
  <si>
    <t>PPM1G</t>
  </si>
  <si>
    <t>EIF3H</t>
  </si>
  <si>
    <t>HDAC3</t>
  </si>
  <si>
    <t>BCAT2</t>
  </si>
  <si>
    <t>IPO8</t>
  </si>
  <si>
    <t>STX7</t>
  </si>
  <si>
    <t>CCL16</t>
  </si>
  <si>
    <t>GYG2</t>
  </si>
  <si>
    <t>YKT6</t>
  </si>
  <si>
    <t>ARPC5</t>
  </si>
  <si>
    <t>POLR2D</t>
  </si>
  <si>
    <t>RNF113A</t>
  </si>
  <si>
    <t>DHX15</t>
  </si>
  <si>
    <t>RNMT</t>
  </si>
  <si>
    <t>PRPF4</t>
  </si>
  <si>
    <t>PHGDH</t>
  </si>
  <si>
    <t>SEPT4</t>
  </si>
  <si>
    <t>DYNC1LI2</t>
  </si>
  <si>
    <t>PSMD3</t>
  </si>
  <si>
    <t>PAPSS1</t>
  </si>
  <si>
    <t>ZW10</t>
  </si>
  <si>
    <t>SART1</t>
  </si>
  <si>
    <t>MTSS1</t>
  </si>
  <si>
    <t>PPIP5K2</t>
  </si>
  <si>
    <t>MAP3K7</t>
  </si>
  <si>
    <t>LYRM1</t>
  </si>
  <si>
    <t>RIPK2</t>
  </si>
  <si>
    <t>HNRNPR</t>
  </si>
  <si>
    <t>TXNL1</t>
  </si>
  <si>
    <t>TPD52L2</t>
  </si>
  <si>
    <t>ERI3</t>
  </si>
  <si>
    <t>SYNJ1</t>
  </si>
  <si>
    <t>EIF4G3</t>
  </si>
  <si>
    <t>HTRA2</t>
  </si>
  <si>
    <t>EPB41L2</t>
  </si>
  <si>
    <t>TGOLN2</t>
  </si>
  <si>
    <t>RGS14</t>
  </si>
  <si>
    <t>DENR</t>
  </si>
  <si>
    <t>XPOT</t>
  </si>
  <si>
    <t>DNPH1</t>
  </si>
  <si>
    <t>TIMM44</t>
  </si>
  <si>
    <t>TRAPPC3</t>
  </si>
  <si>
    <t>CHMP2A</t>
  </si>
  <si>
    <t>PLRG1</t>
  </si>
  <si>
    <t>PRC1</t>
  </si>
  <si>
    <t>ZNF207</t>
  </si>
  <si>
    <t>NDUFA2</t>
  </si>
  <si>
    <t>ASNA1</t>
  </si>
  <si>
    <t>BUB3</t>
  </si>
  <si>
    <t>SULT1B1</t>
  </si>
  <si>
    <t>ACTN4</t>
  </si>
  <si>
    <t>TRIAP1</t>
  </si>
  <si>
    <t>GATC</t>
  </si>
  <si>
    <t>HTATSF1</t>
  </si>
  <si>
    <t>AP1G1</t>
  </si>
  <si>
    <t>SGTA</t>
  </si>
  <si>
    <t>LIAS</t>
  </si>
  <si>
    <t>ENSA</t>
  </si>
  <si>
    <t>NARS</t>
  </si>
  <si>
    <t>NUDT21</t>
  </si>
  <si>
    <t>LANCL1</t>
  </si>
  <si>
    <t>STRN</t>
  </si>
  <si>
    <t>SCO2</t>
  </si>
  <si>
    <t>HYAL3</t>
  </si>
  <si>
    <t>IDH3B</t>
  </si>
  <si>
    <t>NRD1</t>
  </si>
  <si>
    <t>CALU</t>
  </si>
  <si>
    <t>AHCYL1</t>
  </si>
  <si>
    <t>KIF1C</t>
  </si>
  <si>
    <t>RAD21</t>
  </si>
  <si>
    <t>AKR1B10</t>
  </si>
  <si>
    <t>TIMM8A</t>
  </si>
  <si>
    <t>DHX16</t>
  </si>
  <si>
    <t>GMFG</t>
  </si>
  <si>
    <t>PLIN1</t>
  </si>
  <si>
    <t>PRPSAP2</t>
  </si>
  <si>
    <t>PARK2</t>
  </si>
  <si>
    <t>SPAG9</t>
  </si>
  <si>
    <t>KDM1A</t>
  </si>
  <si>
    <t>TBC1D4</t>
  </si>
  <si>
    <t>PPL</t>
  </si>
  <si>
    <t>DFNA5</t>
  </si>
  <si>
    <t>EVI5</t>
  </si>
  <si>
    <t>SNX3</t>
  </si>
  <si>
    <t>SORBS3</t>
  </si>
  <si>
    <t>SYNCRIP</t>
  </si>
  <si>
    <t>RANBP6</t>
  </si>
  <si>
    <t>GMDS</t>
  </si>
  <si>
    <t>NMT2</t>
  </si>
  <si>
    <t>PLOD3</t>
  </si>
  <si>
    <t>SEP15</t>
  </si>
  <si>
    <t>EXOC3</t>
  </si>
  <si>
    <t>PLIN3</t>
  </si>
  <si>
    <t>UGDH</t>
  </si>
  <si>
    <t>CTNND1</t>
  </si>
  <si>
    <t>SNX2</t>
  </si>
  <si>
    <t>USO1</t>
  </si>
  <si>
    <t>CCDC22</t>
  </si>
  <si>
    <t>PQBP1</t>
  </si>
  <si>
    <t>DKC1</t>
  </si>
  <si>
    <t>EIF5B</t>
  </si>
  <si>
    <t>EDF1</t>
  </si>
  <si>
    <t>DNAJA2</t>
  </si>
  <si>
    <t>BRD4</t>
  </si>
  <si>
    <t>CUTA</t>
  </si>
  <si>
    <t>TBL1X</t>
  </si>
  <si>
    <t>PFDN1</t>
  </si>
  <si>
    <t>PPP1R11</t>
  </si>
  <si>
    <t>NBN</t>
  </si>
  <si>
    <t>NOS1AP</t>
  </si>
  <si>
    <t>CBFA2T3</t>
  </si>
  <si>
    <t>WDR1</t>
  </si>
  <si>
    <t>ROCK2</t>
  </si>
  <si>
    <t>COBL</t>
  </si>
  <si>
    <t>CPNE3</t>
  </si>
  <si>
    <t>HIP1R</t>
  </si>
  <si>
    <t>RNF40</t>
  </si>
  <si>
    <t>ZC3H11A</t>
  </si>
  <si>
    <t>RAB11FIP3</t>
  </si>
  <si>
    <t>TSC22D2</t>
  </si>
  <si>
    <t>DNAJC13</t>
  </si>
  <si>
    <t>PPP6R2</t>
  </si>
  <si>
    <t>CNOT3</t>
  </si>
  <si>
    <t>XYLB</t>
  </si>
  <si>
    <t>COQ9</t>
  </si>
  <si>
    <t>GGCT</t>
  </si>
  <si>
    <t>GBAS</t>
  </si>
  <si>
    <t>PDCD6</t>
  </si>
  <si>
    <t>TBCA</t>
  </si>
  <si>
    <t>ATP6V1G1</t>
  </si>
  <si>
    <t>VPS4B</t>
  </si>
  <si>
    <t>ENTPD5</t>
  </si>
  <si>
    <t>H2AFY</t>
  </si>
  <si>
    <t>SH3BGRL</t>
  </si>
  <si>
    <t>FLNB</t>
  </si>
  <si>
    <t>NCOR1</t>
  </si>
  <si>
    <t>NDUFS6</t>
  </si>
  <si>
    <t>TRIM3</t>
  </si>
  <si>
    <t>SEC22B</t>
  </si>
  <si>
    <t>TACC1</t>
  </si>
  <si>
    <t>VPS26A</t>
  </si>
  <si>
    <t>PMPCB</t>
  </si>
  <si>
    <t>KATNA1</t>
  </si>
  <si>
    <t>RDH16</t>
  </si>
  <si>
    <t>PSIP1</t>
  </si>
  <si>
    <t>NDUFS3</t>
  </si>
  <si>
    <t>CLN5</t>
  </si>
  <si>
    <t>ECI2</t>
  </si>
  <si>
    <t>KHDRBS3</t>
  </si>
  <si>
    <t>BANF1</t>
  </si>
  <si>
    <t>SF3B1</t>
  </si>
  <si>
    <t>CSDE1</t>
  </si>
  <si>
    <t>GCAT</t>
  </si>
  <si>
    <t>LYPLA1</t>
  </si>
  <si>
    <t>CREG1</t>
  </si>
  <si>
    <t>SNRNP200</t>
  </si>
  <si>
    <t>TRMU</t>
  </si>
  <si>
    <t>TIPRL</t>
  </si>
  <si>
    <t>PPM1B</t>
  </si>
  <si>
    <t>RP2</t>
  </si>
  <si>
    <t>TCEA3</t>
  </si>
  <si>
    <t>EIF3G</t>
  </si>
  <si>
    <t>EIF3J</t>
  </si>
  <si>
    <t>CBR3</t>
  </si>
  <si>
    <t>AP1G2</t>
  </si>
  <si>
    <t>IDH1</t>
  </si>
  <si>
    <t>ATRN</t>
  </si>
  <si>
    <t>RBBP9</t>
  </si>
  <si>
    <t>STAM2</t>
  </si>
  <si>
    <t>ALDH1L1</t>
  </si>
  <si>
    <t>ARL6IP5</t>
  </si>
  <si>
    <t>BCAS2</t>
  </si>
  <si>
    <t>DCTN3</t>
  </si>
  <si>
    <t>BBOX1</t>
  </si>
  <si>
    <t>DNAJC8</t>
  </si>
  <si>
    <t>SMNDC1</t>
  </si>
  <si>
    <t>MPDZ</t>
  </si>
  <si>
    <t>CPD</t>
  </si>
  <si>
    <t>GLRX3</t>
  </si>
  <si>
    <t>WFS1</t>
  </si>
  <si>
    <t>ANXA9</t>
  </si>
  <si>
    <t>CLPX</t>
  </si>
  <si>
    <t>SEC14L2</t>
  </si>
  <si>
    <t>CIAO1</t>
  </si>
  <si>
    <t>SRP72</t>
  </si>
  <si>
    <t>DDAH1</t>
  </si>
  <si>
    <t>MTA2</t>
  </si>
  <si>
    <t>ALDH1A2</t>
  </si>
  <si>
    <t>TPPP</t>
  </si>
  <si>
    <t>ATG12</t>
  </si>
  <si>
    <t>KBTBD11</t>
  </si>
  <si>
    <t>LTN1</t>
  </si>
  <si>
    <t>TOMM70A</t>
  </si>
  <si>
    <t>IPO13</t>
  </si>
  <si>
    <t>MICAL2</t>
  </si>
  <si>
    <t>SEC24D</t>
  </si>
  <si>
    <t>UFL1</t>
  </si>
  <si>
    <t>SORBS2</t>
  </si>
  <si>
    <t>PHF14</t>
  </si>
  <si>
    <t>FARP2</t>
  </si>
  <si>
    <t>UBXN7</t>
  </si>
  <si>
    <t>PROSC</t>
  </si>
  <si>
    <t>PCF11</t>
  </si>
  <si>
    <t>GLS</t>
  </si>
  <si>
    <t>ABLIM3</t>
  </si>
  <si>
    <t>USP19</t>
  </si>
  <si>
    <t>AP2A2</t>
  </si>
  <si>
    <t>SEC31A</t>
  </si>
  <si>
    <t>HEXIM1</t>
  </si>
  <si>
    <t>AGFG2</t>
  </si>
  <si>
    <t>SCAF4</t>
  </si>
  <si>
    <t>AKR7A3</t>
  </si>
  <si>
    <t>UBE4B</t>
  </si>
  <si>
    <t>IKBKAP</t>
  </si>
  <si>
    <t>LETM1</t>
  </si>
  <si>
    <t>STBD1</t>
  </si>
  <si>
    <t>ZRANB2</t>
  </si>
  <si>
    <t>SNX4</t>
  </si>
  <si>
    <t>LUC7L3</t>
  </si>
  <si>
    <t>MBD4</t>
  </si>
  <si>
    <t>KAT7</t>
  </si>
  <si>
    <t>EPM2A</t>
  </si>
  <si>
    <t>VAPB</t>
  </si>
  <si>
    <t>SNAPIN</t>
  </si>
  <si>
    <t>FKBP9</t>
  </si>
  <si>
    <t>PGLS</t>
  </si>
  <si>
    <t>PAPSS2</t>
  </si>
  <si>
    <t>ATG7</t>
  </si>
  <si>
    <t>FARS2</t>
  </si>
  <si>
    <t>LYPLA2</t>
  </si>
  <si>
    <t>IPO7</t>
  </si>
  <si>
    <t>ARIH2</t>
  </si>
  <si>
    <t>SLU7</t>
  </si>
  <si>
    <t>PGM3</t>
  </si>
  <si>
    <t>MOCS3</t>
  </si>
  <si>
    <t>UTS2</t>
  </si>
  <si>
    <t>CD2BP2</t>
  </si>
  <si>
    <t>SVIL</t>
  </si>
  <si>
    <t>BAG4</t>
  </si>
  <si>
    <t>AHSA1</t>
  </si>
  <si>
    <t>PARN</t>
  </si>
  <si>
    <t>PSMG1</t>
  </si>
  <si>
    <t>H6PD</t>
  </si>
  <si>
    <t>SEC24A</t>
  </si>
  <si>
    <t>SEC24B</t>
  </si>
  <si>
    <t>VNN1</t>
  </si>
  <si>
    <t>NADK</t>
  </si>
  <si>
    <t>TDP2</t>
  </si>
  <si>
    <t>ETHE1</t>
  </si>
  <si>
    <t>ACSL3</t>
  </si>
  <si>
    <t>CNOT4</t>
  </si>
  <si>
    <t>STAMBP</t>
  </si>
  <si>
    <t>ASMTL</t>
  </si>
  <si>
    <t>FGFR1OP</t>
  </si>
  <si>
    <t>SNAP29</t>
  </si>
  <si>
    <t>OXSR1</t>
  </si>
  <si>
    <t>HSPA4L</t>
  </si>
  <si>
    <t>NAA38</t>
  </si>
  <si>
    <t>AP2A1</t>
  </si>
  <si>
    <t>DDX58</t>
  </si>
  <si>
    <t>TTC4</t>
  </si>
  <si>
    <t>BAG2</t>
  </si>
  <si>
    <t>BAG3</t>
  </si>
  <si>
    <t>MLYCD</t>
  </si>
  <si>
    <t>CRYZL1</t>
  </si>
  <si>
    <t>AIFM1</t>
  </si>
  <si>
    <t>EML2</t>
  </si>
  <si>
    <t>DDAH2</t>
  </si>
  <si>
    <t>TXNDC12</t>
  </si>
  <si>
    <t>FTCD</t>
  </si>
  <si>
    <t>NUDT3</t>
  </si>
  <si>
    <t>BCL10</t>
  </si>
  <si>
    <t>MOCS2</t>
  </si>
  <si>
    <t>PAK4</t>
  </si>
  <si>
    <t>ACTL6A</t>
  </si>
  <si>
    <t>ADH1B</t>
  </si>
  <si>
    <t>ADH1C</t>
  </si>
  <si>
    <t>LDHA</t>
  </si>
  <si>
    <t>ALDH1A1</t>
  </si>
  <si>
    <t>DHFR</t>
  </si>
  <si>
    <t>CYB5R3</t>
  </si>
  <si>
    <t>GSR</t>
  </si>
  <si>
    <t>PAH</t>
  </si>
  <si>
    <t>CP</t>
  </si>
  <si>
    <t>OTC</t>
  </si>
  <si>
    <t>PNP</t>
  </si>
  <si>
    <t>HPRT1</t>
  </si>
  <si>
    <t>GOT2</t>
  </si>
  <si>
    <t>PGK1</t>
  </si>
  <si>
    <t>AK1</t>
  </si>
  <si>
    <t>F2</t>
  </si>
  <si>
    <t>C1R</t>
  </si>
  <si>
    <t>HP</t>
  </si>
  <si>
    <t>HPR</t>
  </si>
  <si>
    <t>F9</t>
  </si>
  <si>
    <t>F10</t>
  </si>
  <si>
    <t>PLG</t>
  </si>
  <si>
    <t>F12</t>
  </si>
  <si>
    <t>ASS1</t>
  </si>
  <si>
    <t>SERPINA1</t>
  </si>
  <si>
    <t>SERPINA3</t>
  </si>
  <si>
    <t>AGT</t>
  </si>
  <si>
    <t>A2M</t>
  </si>
  <si>
    <t>C3</t>
  </si>
  <si>
    <t>CST3</t>
  </si>
  <si>
    <t>CSTA</t>
  </si>
  <si>
    <t>KNG1</t>
  </si>
  <si>
    <t>NRAS</t>
  </si>
  <si>
    <t>KRAS</t>
  </si>
  <si>
    <t>IGKC</t>
  </si>
  <si>
    <t>IGHG1</t>
  </si>
  <si>
    <t>IGHG2</t>
  </si>
  <si>
    <t>IGHG3</t>
  </si>
  <si>
    <t>IGHM</t>
  </si>
  <si>
    <t>IGHA1</t>
  </si>
  <si>
    <t>IGHA2</t>
  </si>
  <si>
    <t>HBZ</t>
  </si>
  <si>
    <t>COL1A1</t>
  </si>
  <si>
    <t>COL4A1</t>
  </si>
  <si>
    <t>KRT6A</t>
  </si>
  <si>
    <t>LMNA</t>
  </si>
  <si>
    <t>APOA1</t>
  </si>
  <si>
    <t>APOE</t>
  </si>
  <si>
    <t>APOA2</t>
  </si>
  <si>
    <t>APOC3</t>
  </si>
  <si>
    <t>FGA</t>
  </si>
  <si>
    <t>FGB</t>
  </si>
  <si>
    <t>FGG</t>
  </si>
  <si>
    <t>APCS</t>
  </si>
  <si>
    <t>C9</t>
  </si>
  <si>
    <t>APOH</t>
  </si>
  <si>
    <t>LRG1</t>
  </si>
  <si>
    <t>FN1</t>
  </si>
  <si>
    <t>AMBP</t>
  </si>
  <si>
    <t>ORM1</t>
  </si>
  <si>
    <t>AHSG</t>
  </si>
  <si>
    <t>TTR</t>
  </si>
  <si>
    <t>AFP</t>
  </si>
  <si>
    <t>GC</t>
  </si>
  <si>
    <t>HPX</t>
  </si>
  <si>
    <t>FTL</t>
  </si>
  <si>
    <t>FTH1</t>
  </si>
  <si>
    <t>MT2A</t>
  </si>
  <si>
    <t>ANG</t>
  </si>
  <si>
    <t>KLKB1</t>
  </si>
  <si>
    <t>C4BPA</t>
  </si>
  <si>
    <t>VTN</t>
  </si>
  <si>
    <t>FUCA1</t>
  </si>
  <si>
    <t>CSTB</t>
  </si>
  <si>
    <t>APOB</t>
  </si>
  <si>
    <t>NR3C1</t>
  </si>
  <si>
    <t>SOD2</t>
  </si>
  <si>
    <t>OAT</t>
  </si>
  <si>
    <t>HRG</t>
  </si>
  <si>
    <t>A1BG</t>
  </si>
  <si>
    <t>KRT1</t>
  </si>
  <si>
    <t>GAPDH</t>
  </si>
  <si>
    <t>ASL</t>
  </si>
  <si>
    <t>CAPNS1</t>
  </si>
  <si>
    <t>MT1A</t>
  </si>
  <si>
    <t>MT1E</t>
  </si>
  <si>
    <t>MT1F</t>
  </si>
  <si>
    <t>HSPB1</t>
  </si>
  <si>
    <t>GNAI2</t>
  </si>
  <si>
    <t>ATP1A1</t>
  </si>
  <si>
    <t>ALDOB</t>
  </si>
  <si>
    <t>ARG1</t>
  </si>
  <si>
    <t>APOD</t>
  </si>
  <si>
    <t>ALDH2</t>
  </si>
  <si>
    <t>S100A8</t>
  </si>
  <si>
    <t>HMGN1</t>
  </si>
  <si>
    <t>SLC25A5</t>
  </si>
  <si>
    <t>SERPINA5</t>
  </si>
  <si>
    <t>SERPING1</t>
  </si>
  <si>
    <t>ISG15</t>
  </si>
  <si>
    <t>MPO</t>
  </si>
  <si>
    <t>PCCA</t>
  </si>
  <si>
    <t>PCCB</t>
  </si>
  <si>
    <t>CYP1A2</t>
  </si>
  <si>
    <t>CYP2E1</t>
  </si>
  <si>
    <t>ALPL</t>
  </si>
  <si>
    <t>EIF2S1</t>
  </si>
  <si>
    <t>HMGN2</t>
  </si>
  <si>
    <t>RPLP2</t>
  </si>
  <si>
    <t>SSB</t>
  </si>
  <si>
    <t>SERPINA7</t>
  </si>
  <si>
    <t>SERPIND1</t>
  </si>
  <si>
    <t>ITGB1</t>
  </si>
  <si>
    <t>KRT18</t>
  </si>
  <si>
    <t>KRT8</t>
  </si>
  <si>
    <t>MYL1</t>
  </si>
  <si>
    <t>UROD</t>
  </si>
  <si>
    <t>UGT2B4</t>
  </si>
  <si>
    <t>GLA</t>
  </si>
  <si>
    <t>ATP5B</t>
  </si>
  <si>
    <t>C2</t>
  </si>
  <si>
    <t>S100A9</t>
  </si>
  <si>
    <t>APOA4</t>
  </si>
  <si>
    <t>EIF4E</t>
  </si>
  <si>
    <t>ENO1</t>
  </si>
  <si>
    <t>PYGL</t>
  </si>
  <si>
    <t>GPI</t>
  </si>
  <si>
    <t>NPM1</t>
  </si>
  <si>
    <t>TPM3</t>
  </si>
  <si>
    <t>HEXA</t>
  </si>
  <si>
    <t>EPHX1</t>
  </si>
  <si>
    <t>DBI</t>
  </si>
  <si>
    <t>FABP1</t>
  </si>
  <si>
    <t>LDHB</t>
  </si>
  <si>
    <t>GPX1</t>
  </si>
  <si>
    <t>PGK2</t>
  </si>
  <si>
    <t>P4HB</t>
  </si>
  <si>
    <t>H1F0</t>
  </si>
  <si>
    <t>ASGR2</t>
  </si>
  <si>
    <t>ADH1A</t>
  </si>
  <si>
    <t>ANXA2</t>
  </si>
  <si>
    <t>C8A</t>
  </si>
  <si>
    <t>C8G</t>
  </si>
  <si>
    <t>CAPN1</t>
  </si>
  <si>
    <t>MT1B</t>
  </si>
  <si>
    <t>PSAP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</si>
  <si>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</si>
  <si>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</si>
  <si>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</si>
  <si>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</si>
  <si>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</si>
  <si>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</si>
  <si>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</si>
  <si>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</si>
  <si>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</si>
  <si>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YES1</t>
  </si>
  <si>
    <t>FH</t>
  </si>
  <si>
    <t>THBS1</t>
  </si>
  <si>
    <t>HSPA1A</t>
  </si>
  <si>
    <t>COL1A2</t>
  </si>
  <si>
    <t>ANXA6</t>
  </si>
  <si>
    <t>SERPINA6</t>
  </si>
  <si>
    <t>GUSB</t>
  </si>
  <si>
    <t>HSP90AB1</t>
  </si>
  <si>
    <t>SRPR</t>
  </si>
  <si>
    <t>SOD3</t>
  </si>
  <si>
    <t>ADH4</t>
  </si>
  <si>
    <t>HMBS</t>
  </si>
  <si>
    <t>LPA</t>
  </si>
  <si>
    <t>PDHA1</t>
  </si>
  <si>
    <t>CD14</t>
  </si>
  <si>
    <t>SNRPB2</t>
  </si>
  <si>
    <t>MET</t>
  </si>
  <si>
    <t>CFH</t>
  </si>
  <si>
    <t>SNRNP70</t>
  </si>
  <si>
    <t>NFIC</t>
  </si>
  <si>
    <t>VIM</t>
  </si>
  <si>
    <t>CYP3A4</t>
  </si>
  <si>
    <t>SERPINF2</t>
  </si>
  <si>
    <t>KRT19</t>
  </si>
  <si>
    <t>KRT7</t>
  </si>
  <si>
    <t>GNAI3</t>
  </si>
  <si>
    <t>KRT16</t>
  </si>
  <si>
    <t>SNRPA</t>
  </si>
  <si>
    <t>ACAA1</t>
  </si>
  <si>
    <t>SRP19</t>
  </si>
  <si>
    <t>GSTA2</t>
  </si>
  <si>
    <t>SNRPC</t>
  </si>
  <si>
    <t>VIL1</t>
  </si>
  <si>
    <t>LGALS1</t>
  </si>
  <si>
    <t>QDPR</t>
  </si>
  <si>
    <t>HMGB1</t>
  </si>
  <si>
    <t>FBP1</t>
  </si>
  <si>
    <t>TPM1</t>
  </si>
  <si>
    <t>CLTA</t>
  </si>
  <si>
    <t>CLTB</t>
  </si>
  <si>
    <t>ANXA4</t>
  </si>
  <si>
    <t>CNP</t>
  </si>
  <si>
    <t>HMOX1</t>
  </si>
  <si>
    <t>DLD</t>
  </si>
  <si>
    <t>HNRNPA1</t>
  </si>
  <si>
    <t>SNRPA1</t>
  </si>
  <si>
    <t>CTSH</t>
  </si>
  <si>
    <t>C1S</t>
  </si>
  <si>
    <t>PARP1</t>
  </si>
  <si>
    <t>IFIT2</t>
  </si>
  <si>
    <t>LTA4H</t>
  </si>
  <si>
    <t>ALDOC</t>
  </si>
  <si>
    <t>C4A</t>
  </si>
  <si>
    <t>C4B</t>
  </si>
  <si>
    <t>CISD3</t>
  </si>
  <si>
    <t>ELFN1</t>
  </si>
  <si>
    <t>MYZAP</t>
  </si>
  <si>
    <t>IGLC2</t>
  </si>
  <si>
    <t>TRAPPC2P1</t>
  </si>
  <si>
    <t>SAA1</t>
  </si>
  <si>
    <t>FDX1</t>
  </si>
  <si>
    <t>RNASE2</t>
  </si>
  <si>
    <t>TROVE2</t>
  </si>
  <si>
    <t>GAA</t>
  </si>
  <si>
    <t>ARAF</t>
  </si>
  <si>
    <t>HIST1H1E</t>
  </si>
  <si>
    <t>DLAT</t>
  </si>
  <si>
    <t>PTPRF</t>
  </si>
  <si>
    <t>COX5B</t>
  </si>
  <si>
    <t>CTSA</t>
  </si>
  <si>
    <t>CYP2C8</t>
  </si>
  <si>
    <t>CYP2D6</t>
  </si>
  <si>
    <t>C7</t>
  </si>
  <si>
    <t>PRKAR1A</t>
  </si>
  <si>
    <t>UROS</t>
  </si>
  <si>
    <t>ESD</t>
  </si>
  <si>
    <t>HSPD1</t>
  </si>
  <si>
    <t>CLU</t>
  </si>
  <si>
    <t>HSPA5</t>
  </si>
  <si>
    <t>LAMC1</t>
  </si>
  <si>
    <t>HSPA8</t>
  </si>
  <si>
    <t>SLC2A2</t>
  </si>
  <si>
    <t>EPB41</t>
  </si>
  <si>
    <t>UMPS</t>
  </si>
  <si>
    <t>PDHB</t>
  </si>
  <si>
    <t>DBT</t>
  </si>
  <si>
    <t>PYGB</t>
  </si>
  <si>
    <t>MBL2</t>
  </si>
  <si>
    <t>NAT2</t>
  </si>
  <si>
    <t>BCR</t>
  </si>
  <si>
    <t>LAMP1</t>
  </si>
  <si>
    <t>ACADM</t>
  </si>
  <si>
    <t>G6PD</t>
  </si>
  <si>
    <t>UBL4A</t>
  </si>
  <si>
    <t>PC</t>
  </si>
  <si>
    <t>CYP2A6</t>
  </si>
  <si>
    <t>DMD</t>
  </si>
  <si>
    <t>MTHFD1</t>
  </si>
  <si>
    <t>CYP2C9</t>
  </si>
  <si>
    <t>IGF2R</t>
  </si>
  <si>
    <t>ADH5</t>
  </si>
  <si>
    <t>CDK4</t>
  </si>
  <si>
    <t>PRPS2</t>
  </si>
  <si>
    <t>PABPC1</t>
  </si>
  <si>
    <t>PCNA</t>
  </si>
  <si>
    <t>TPR</t>
  </si>
  <si>
    <t>BCKDHA</t>
  </si>
  <si>
    <t>RNASE3</t>
  </si>
  <si>
    <t>ACTN1</t>
  </si>
  <si>
    <t>PEPD</t>
  </si>
  <si>
    <t>XRCC6</t>
  </si>
  <si>
    <t>XRCC5</t>
  </si>
  <si>
    <t>COX4I1</t>
  </si>
  <si>
    <t>ALAS1</t>
  </si>
  <si>
    <t>IFI30</t>
  </si>
  <si>
    <t>LAMP2</t>
  </si>
  <si>
    <t>RNH1</t>
  </si>
  <si>
    <t>EEF2</t>
  </si>
  <si>
    <t>MT1G</t>
  </si>
  <si>
    <t>KRT5</t>
  </si>
  <si>
    <t>PDIA4</t>
  </si>
  <si>
    <t>C6</t>
  </si>
  <si>
    <t>P4HA1</t>
  </si>
  <si>
    <t>TPT1</t>
  </si>
  <si>
    <t>LCP1</t>
  </si>
  <si>
    <t>PLS3</t>
  </si>
  <si>
    <t>APEH</t>
  </si>
  <si>
    <t>ETFA</t>
  </si>
  <si>
    <t>PRKAR2A</t>
  </si>
  <si>
    <t>ENO3</t>
  </si>
  <si>
    <t>GTF2F2</t>
  </si>
  <si>
    <t>MIF</t>
  </si>
  <si>
    <t>HGF</t>
  </si>
  <si>
    <t>HCLS1</t>
  </si>
  <si>
    <t>FDPS</t>
  </si>
  <si>
    <t>NID1</t>
  </si>
  <si>
    <t>AKR1A1</t>
  </si>
  <si>
    <t>PKM</t>
  </si>
  <si>
    <t>ACYP2</t>
  </si>
  <si>
    <t>HSP90B1</t>
  </si>
  <si>
    <t>MYL6B</t>
  </si>
  <si>
    <t>IDE</t>
  </si>
  <si>
    <t>COX6B1</t>
  </si>
  <si>
    <t>HNRNPL</t>
  </si>
  <si>
    <t>DARS</t>
  </si>
  <si>
    <t>DAO</t>
  </si>
  <si>
    <t>JUP</t>
  </si>
  <si>
    <t>GLUL</t>
  </si>
  <si>
    <t>AKR1B1</t>
  </si>
  <si>
    <t>ANPEP</t>
  </si>
  <si>
    <t>GSPT1</t>
  </si>
  <si>
    <t>ARSA</t>
  </si>
  <si>
    <t>EZR</t>
  </si>
  <si>
    <t>ATF2</t>
  </si>
  <si>
    <t>UCHL3</t>
  </si>
  <si>
    <t>HPGD</t>
  </si>
  <si>
    <t>CD46</t>
  </si>
  <si>
    <t>NME1</t>
  </si>
  <si>
    <t>PHKG2</t>
  </si>
  <si>
    <t>ARSB</t>
  </si>
  <si>
    <t>ST6GAL1</t>
  </si>
  <si>
    <t>DSP</t>
  </si>
  <si>
    <t>RPA2</t>
  </si>
  <si>
    <t>PFKFB1</t>
  </si>
  <si>
    <t>CBR1</t>
  </si>
  <si>
    <t>ACADS</t>
  </si>
  <si>
    <t>GLB1</t>
  </si>
  <si>
    <t>PPP3CB</t>
  </si>
  <si>
    <t>NCK1</t>
  </si>
  <si>
    <t>GCFC2</t>
  </si>
  <si>
    <t>HIST1H1B</t>
  </si>
  <si>
    <t>POR</t>
  </si>
  <si>
    <t>MGMT</t>
  </si>
  <si>
    <t>UGT2B7</t>
  </si>
  <si>
    <t>PLCG2</t>
  </si>
  <si>
    <t>FAH</t>
  </si>
  <si>
    <t>STMN1</t>
  </si>
  <si>
    <t>ZKSCAN1</t>
  </si>
  <si>
    <t>NAGA</t>
  </si>
  <si>
    <t>HSPA6</t>
  </si>
  <si>
    <t>GOT1</t>
  </si>
  <si>
    <t>UBTF</t>
  </si>
  <si>
    <t>AKR1C4</t>
  </si>
  <si>
    <t>ATF7</t>
  </si>
  <si>
    <t>PRKACA</t>
  </si>
  <si>
    <t>CAPN2</t>
  </si>
  <si>
    <t>CEBPB</t>
  </si>
  <si>
    <t>TAT</t>
  </si>
  <si>
    <t>CTPS1</t>
  </si>
  <si>
    <t>PFKL</t>
  </si>
  <si>
    <t>GM2A</t>
  </si>
  <si>
    <t>LGALS3</t>
  </si>
  <si>
    <t>TCP1</t>
  </si>
  <si>
    <t>PTPN1</t>
  </si>
  <si>
    <t>ALOX12</t>
  </si>
  <si>
    <t>IGFBP2</t>
  </si>
  <si>
    <t>ARF4</t>
  </si>
  <si>
    <t>VCL</t>
  </si>
  <si>
    <t>GPX2</t>
  </si>
  <si>
    <t>IL1RN</t>
  </si>
  <si>
    <t>SON</t>
  </si>
  <si>
    <t>NELFE</t>
  </si>
  <si>
    <t>PGAM1</t>
  </si>
  <si>
    <t>SDC1</t>
  </si>
  <si>
    <t>ATP5J</t>
  </si>
  <si>
    <t>MYL12A</t>
  </si>
  <si>
    <t>PLCG1</t>
  </si>
  <si>
    <t>NCL</t>
  </si>
  <si>
    <t>POLR2E</t>
  </si>
  <si>
    <t>NDUFV2</t>
  </si>
  <si>
    <t>EIF2AK2</t>
  </si>
  <si>
    <t>SRM</t>
  </si>
  <si>
    <t>ORM2</t>
  </si>
  <si>
    <t>CSNK2A2</t>
  </si>
  <si>
    <t>ITIH1</t>
  </si>
  <si>
    <t>NFKB1</t>
  </si>
  <si>
    <t>TYMP</t>
  </si>
  <si>
    <t>EIF2S2</t>
  </si>
  <si>
    <t>SDS</t>
  </si>
  <si>
    <t>BTF3</t>
  </si>
  <si>
    <t>RAB4A</t>
  </si>
  <si>
    <t>RAB6A</t>
  </si>
  <si>
    <t>MSH3</t>
  </si>
  <si>
    <t>MX1</t>
  </si>
  <si>
    <t>PSMB1</t>
  </si>
  <si>
    <t>COX5A</t>
  </si>
  <si>
    <t>LMNB1</t>
  </si>
  <si>
    <t>DDC</t>
  </si>
  <si>
    <t>PZP</t>
  </si>
  <si>
    <t>CAST</t>
  </si>
  <si>
    <t>HNF1A</t>
  </si>
  <si>
    <t>COL5A1</t>
  </si>
  <si>
    <t>PTMS</t>
  </si>
  <si>
    <t>CDK11B</t>
  </si>
  <si>
    <t>GSTM3</t>
  </si>
  <si>
    <t>ATP6V1B2</t>
  </si>
  <si>
    <t>ATP6V1C1</t>
  </si>
  <si>
    <t>CSRP1</t>
  </si>
  <si>
    <t>MAOA</t>
  </si>
  <si>
    <t>ACO1</t>
  </si>
  <si>
    <t>AGXT</t>
  </si>
  <si>
    <t>NT5E</t>
  </si>
  <si>
    <t>GPD1</t>
  </si>
  <si>
    <t>SDHB</t>
  </si>
  <si>
    <t>BCKDHB</t>
  </si>
  <si>
    <t>COMT</t>
  </si>
  <si>
    <t>TGM2</t>
  </si>
  <si>
    <t>MUT</t>
  </si>
  <si>
    <t>OSBP</t>
  </si>
  <si>
    <t>PCMT1</t>
  </si>
  <si>
    <t>GART</t>
  </si>
  <si>
    <t>PAICS</t>
  </si>
  <si>
    <t>SCP2</t>
  </si>
  <si>
    <t>UGT1A4</t>
  </si>
  <si>
    <t>UBA1</t>
  </si>
  <si>
    <t>NME2</t>
  </si>
  <si>
    <t>FDXR</t>
  </si>
  <si>
    <t>HNRNPA2B1</t>
  </si>
  <si>
    <t>PRKACB</t>
  </si>
  <si>
    <t>AADAC</t>
  </si>
  <si>
    <t>FECH</t>
  </si>
  <si>
    <t>CES1</t>
  </si>
  <si>
    <t>FBLN1</t>
  </si>
  <si>
    <t>TCEA1</t>
  </si>
  <si>
    <t>SFPQ</t>
  </si>
  <si>
    <t>PPIB</t>
  </si>
  <si>
    <t>ME2</t>
  </si>
  <si>
    <t>GLDC</t>
  </si>
  <si>
    <t>WARS</t>
  </si>
  <si>
    <t>MYF6</t>
  </si>
  <si>
    <t>GCSH</t>
  </si>
  <si>
    <t>SP100</t>
  </si>
  <si>
    <t>MCC</t>
  </si>
  <si>
    <t>AHCY</t>
  </si>
  <si>
    <t>CFL1</t>
  </si>
  <si>
    <t>EIF4B</t>
  </si>
  <si>
    <t>CPT2</t>
  </si>
  <si>
    <t>DTYMK</t>
  </si>
  <si>
    <t>RRM1</t>
  </si>
  <si>
    <t>PRTN3</t>
  </si>
  <si>
    <t>GPT</t>
  </si>
  <si>
    <t>EEF1B2</t>
  </si>
  <si>
    <t>ACP1</t>
  </si>
  <si>
    <t>ACAT1</t>
  </si>
  <si>
    <t>POLR2A</t>
  </si>
  <si>
    <t>CDK2</t>
  </si>
  <si>
    <t>APC</t>
  </si>
  <si>
    <t>ADRBK1</t>
  </si>
  <si>
    <t>MCM3</t>
  </si>
  <si>
    <t>AZGP1</t>
  </si>
  <si>
    <t>RPS12</t>
  </si>
  <si>
    <t>BRD2</t>
  </si>
  <si>
    <t>DNAJB1</t>
  </si>
  <si>
    <t>DNAJB2</t>
  </si>
  <si>
    <t>ATP5A1</t>
  </si>
  <si>
    <t>CTSS</t>
  </si>
  <si>
    <t>PSMA1</t>
  </si>
  <si>
    <t>PSMA2</t>
  </si>
  <si>
    <t>PSMA3</t>
  </si>
  <si>
    <t>PSMA4</t>
  </si>
  <si>
    <t>MSN</t>
  </si>
  <si>
    <t>DDX6</t>
  </si>
  <si>
    <t>DNMT1</t>
  </si>
  <si>
    <t>U2AF2</t>
  </si>
  <si>
    <t>RPL13</t>
  </si>
  <si>
    <t>IVD</t>
  </si>
  <si>
    <t>S100A4</t>
  </si>
  <si>
    <t>HMGB2</t>
  </si>
  <si>
    <t>PTBP1</t>
  </si>
  <si>
    <t>TARS</t>
  </si>
  <si>
    <t>VARS</t>
  </si>
  <si>
    <t>EEF1G</t>
  </si>
  <si>
    <t>FKBP2</t>
  </si>
  <si>
    <t>MST1</t>
  </si>
  <si>
    <t>AK4</t>
  </si>
  <si>
    <t>PON1</t>
  </si>
  <si>
    <t>YWHAQ</t>
  </si>
  <si>
    <t>ARNT</t>
  </si>
  <si>
    <t>RPA1</t>
  </si>
  <si>
    <t>APEX1</t>
  </si>
  <si>
    <t>CALR</t>
  </si>
  <si>
    <t>MAP4</t>
  </si>
  <si>
    <t>PIK3R1</t>
  </si>
  <si>
    <t>PSMB8</t>
  </si>
  <si>
    <t>PSMA5</t>
  </si>
  <si>
    <t>PSMB4</t>
  </si>
  <si>
    <t>PSMB6</t>
  </si>
  <si>
    <t>PSMB5</t>
  </si>
  <si>
    <t>ABCD3</t>
  </si>
  <si>
    <t>ACADL</t>
  </si>
  <si>
    <t>NDUFS1</t>
  </si>
  <si>
    <t>ADH6</t>
  </si>
  <si>
    <t>POLD1</t>
  </si>
  <si>
    <t>MAPK1</t>
  </si>
  <si>
    <t>ERCC5</t>
  </si>
  <si>
    <t>GRN</t>
  </si>
  <si>
    <t>LAP3</t>
  </si>
  <si>
    <t>HSD11B1</t>
  </si>
  <si>
    <t>GTF2E1</t>
  </si>
  <si>
    <t>GTF2E2</t>
  </si>
  <si>
    <t>TPP2</t>
  </si>
  <si>
    <t>IMPA1</t>
  </si>
  <si>
    <t>PTPN6</t>
  </si>
  <si>
    <t>SHC1</t>
  </si>
  <si>
    <t>MPG</t>
  </si>
  <si>
    <t>ARID4A</t>
  </si>
  <si>
    <t>TKT</t>
  </si>
  <si>
    <t>PML</t>
  </si>
  <si>
    <t>MARCKS</t>
  </si>
  <si>
    <t>ALDH4A1</t>
  </si>
  <si>
    <t>PBLD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</si>
  <si>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</si>
  <si>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</si>
  <si>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</si>
  <si>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</si>
  <si>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</si>
  <si>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</si>
  <si>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</si>
  <si>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</si>
  <si>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RPL12</t>
  </si>
  <si>
    <t>ECHS1</t>
  </si>
  <si>
    <t>CMPK1</t>
  </si>
  <si>
    <t>PEBP1</t>
  </si>
  <si>
    <t>PPP2R1A</t>
  </si>
  <si>
    <t>PPP2R1B</t>
  </si>
  <si>
    <t>PPIF</t>
  </si>
  <si>
    <t>NMT1</t>
  </si>
  <si>
    <t>HMOX2</t>
  </si>
  <si>
    <t>ADSS</t>
  </si>
  <si>
    <t>LRPAP1</t>
  </si>
  <si>
    <t>ADSL</t>
  </si>
  <si>
    <t>PKLR</t>
  </si>
  <si>
    <t>CLIP1</t>
  </si>
  <si>
    <t>GSTT1</t>
  </si>
  <si>
    <t>SERPINB1</t>
  </si>
  <si>
    <t>GCH1</t>
  </si>
  <si>
    <t>ALDH1B1</t>
  </si>
  <si>
    <t>SDHA</t>
  </si>
  <si>
    <t>CORO1A</t>
  </si>
  <si>
    <t>GDI1</t>
  </si>
  <si>
    <t>MAT2A</t>
  </si>
  <si>
    <t>CPS1</t>
  </si>
  <si>
    <t>RRM2</t>
  </si>
  <si>
    <t>FMO3</t>
  </si>
  <si>
    <t>DNAJA1</t>
  </si>
  <si>
    <t>AKT1</t>
  </si>
  <si>
    <t>AKT2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</si>
  <si>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</si>
  <si>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</si>
  <si>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</si>
  <si>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</si>
  <si>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</si>
  <si>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</si>
  <si>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</si>
  <si>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</si>
  <si>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PRDX2</t>
  </si>
  <si>
    <t>GK</t>
  </si>
  <si>
    <t>CDA</t>
  </si>
  <si>
    <t>DCTD</t>
  </si>
  <si>
    <t>GBP1</t>
  </si>
  <si>
    <t>GBP2</t>
  </si>
  <si>
    <t>ELF1</t>
  </si>
  <si>
    <t>HPD</t>
  </si>
  <si>
    <t>CTH</t>
  </si>
  <si>
    <t>ACSL1</t>
  </si>
  <si>
    <t>KIF5B</t>
  </si>
  <si>
    <t>CSTF2</t>
  </si>
  <si>
    <t>LSP1</t>
  </si>
  <si>
    <t>CYP2C19</t>
  </si>
  <si>
    <t>DUT</t>
  </si>
  <si>
    <t>MAN1A1</t>
  </si>
  <si>
    <t>MCM4</t>
  </si>
  <si>
    <t>MCM5</t>
  </si>
  <si>
    <t>MCM7</t>
  </si>
  <si>
    <t>GALNS</t>
  </si>
  <si>
    <t>RNASE4</t>
  </si>
  <si>
    <t>SHMT1</t>
  </si>
  <si>
    <t>SHMT2</t>
  </si>
  <si>
    <t>EPHX2</t>
  </si>
  <si>
    <t>HSPA4</t>
  </si>
  <si>
    <t>PRSS3</t>
  </si>
  <si>
    <t>CA5A</t>
  </si>
  <si>
    <t>CTNNA1</t>
  </si>
  <si>
    <t>PHB</t>
  </si>
  <si>
    <t>SERPINB6</t>
  </si>
  <si>
    <t>RDX</t>
  </si>
  <si>
    <t>RPL22</t>
  </si>
  <si>
    <t>GTF2F1</t>
  </si>
  <si>
    <t>SPR</t>
  </si>
  <si>
    <t>CBS</t>
  </si>
  <si>
    <t>FBN1</t>
  </si>
  <si>
    <t>PCK1</t>
  </si>
  <si>
    <t>IRS1</t>
  </si>
  <si>
    <t>AGL</t>
  </si>
  <si>
    <t>MYH9</t>
  </si>
  <si>
    <t>MYH10</t>
  </si>
  <si>
    <t>COPB2</t>
  </si>
  <si>
    <t>ADD1</t>
  </si>
  <si>
    <t>FUS</t>
  </si>
  <si>
    <t>NUP214</t>
  </si>
  <si>
    <t>DEK</t>
  </si>
  <si>
    <t>GLRX</t>
  </si>
  <si>
    <t>PPM1A</t>
  </si>
  <si>
    <t>IGFALS</t>
  </si>
  <si>
    <t>HMGCL</t>
  </si>
  <si>
    <t>PSMC2</t>
  </si>
  <si>
    <t>ARL3</t>
  </si>
  <si>
    <t>MAP2K2</t>
  </si>
  <si>
    <t>ATP6V1E1</t>
  </si>
  <si>
    <t>CPOX</t>
  </si>
  <si>
    <t>RPL4</t>
  </si>
  <si>
    <t>NUDT1</t>
  </si>
  <si>
    <t>PGM1</t>
  </si>
  <si>
    <t>GNL1</t>
  </si>
  <si>
    <t>POLR2I</t>
  </si>
  <si>
    <t>SERPINF1</t>
  </si>
  <si>
    <t>DLST</t>
  </si>
  <si>
    <t>GMPR</t>
  </si>
  <si>
    <t>GPX4</t>
  </si>
  <si>
    <t>CFHR2</t>
  </si>
  <si>
    <t>HSD17B2</t>
  </si>
  <si>
    <t>SRP14</t>
  </si>
  <si>
    <t>NUP62</t>
  </si>
  <si>
    <t>HPCAL1</t>
  </si>
  <si>
    <t>TAGLN2</t>
  </si>
  <si>
    <t>TALDO1</t>
  </si>
  <si>
    <t>ETFB</t>
  </si>
  <si>
    <t>RBMX</t>
  </si>
  <si>
    <t>COIL</t>
  </si>
  <si>
    <t>ATP6V1A</t>
  </si>
  <si>
    <t>HSPA9</t>
  </si>
  <si>
    <t>EIF4A3</t>
  </si>
  <si>
    <t>ANP32A</t>
  </si>
  <si>
    <t>FEN1</t>
  </si>
  <si>
    <t>CAP2</t>
  </si>
  <si>
    <t>TXLNA</t>
  </si>
  <si>
    <t>CCT6A</t>
  </si>
  <si>
    <t>NNMT</t>
  </si>
  <si>
    <t>PSMB10</t>
  </si>
  <si>
    <t>ADH7</t>
  </si>
  <si>
    <t>STAT3</t>
  </si>
  <si>
    <t>USP8</t>
  </si>
  <si>
    <t>MDH1</t>
  </si>
  <si>
    <t>MDH2</t>
  </si>
  <si>
    <t>HADHA</t>
  </si>
  <si>
    <t>EIF2S3</t>
  </si>
  <si>
    <t>CETN2</t>
  </si>
  <si>
    <t>BUD31</t>
  </si>
  <si>
    <t>UBA7</t>
  </si>
  <si>
    <t>NAA10</t>
  </si>
  <si>
    <t>PPP1R2</t>
  </si>
  <si>
    <t>CSK</t>
  </si>
  <si>
    <t>GARS</t>
  </si>
  <si>
    <t>IARS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</si>
  <si>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</si>
  <si>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</si>
  <si>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</si>
  <si>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</si>
  <si>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</si>
  <si>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</si>
  <si>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</si>
  <si>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</si>
  <si>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</si>
  <si>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</si>
  <si>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</si>
  <si>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HAL</t>
  </si>
  <si>
    <t>EPS15</t>
  </si>
  <si>
    <t>CASP3</t>
  </si>
  <si>
    <t>LRPPRC</t>
  </si>
  <si>
    <t>ACAA2</t>
  </si>
  <si>
    <t>WAS</t>
  </si>
  <si>
    <t>CDKN2C</t>
  </si>
  <si>
    <t>PRCP</t>
  </si>
  <si>
    <t>HTT</t>
  </si>
  <si>
    <t>PAFAH1B1</t>
  </si>
  <si>
    <t>CRAT</t>
  </si>
  <si>
    <t>MSH2</t>
  </si>
  <si>
    <t>RANBP1</t>
  </si>
  <si>
    <t>NAMPT</t>
  </si>
  <si>
    <t>AFM</t>
  </si>
  <si>
    <t>PSMC4</t>
  </si>
  <si>
    <t>GATA4</t>
  </si>
  <si>
    <t>TSFM</t>
  </si>
  <si>
    <t>ASPA</t>
  </si>
  <si>
    <t>ACADSB</t>
  </si>
  <si>
    <t>CBX5</t>
  </si>
  <si>
    <t>USP5</t>
  </si>
  <si>
    <t>MAPK8</t>
  </si>
  <si>
    <t>MAPK9</t>
  </si>
  <si>
    <t>MAP2K4</t>
  </si>
  <si>
    <t>MKI67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</si>
  <si>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</si>
  <si>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</si>
  <si>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</si>
  <si>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</si>
  <si>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</si>
  <si>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</si>
  <si>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</si>
  <si>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</si>
  <si>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</si>
  <si>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MAP2K3</t>
  </si>
  <si>
    <t>BRCC3</t>
  </si>
  <si>
    <t>RPL5</t>
  </si>
  <si>
    <t>RPL28</t>
  </si>
  <si>
    <t>RPS9</t>
  </si>
  <si>
    <t>RPS10</t>
  </si>
  <si>
    <t>GNPDA1</t>
  </si>
  <si>
    <t>NEDD4</t>
  </si>
  <si>
    <t>YAP1</t>
  </si>
  <si>
    <t>UTRN</t>
  </si>
  <si>
    <t>IQGAP1</t>
  </si>
  <si>
    <t>HAAO</t>
  </si>
  <si>
    <t>GYG1</t>
  </si>
  <si>
    <t>RABIF</t>
  </si>
  <si>
    <t>CAPZA2</t>
  </si>
  <si>
    <t>EIF1AX</t>
  </si>
  <si>
    <t>QARS</t>
  </si>
  <si>
    <t>RPL29</t>
  </si>
  <si>
    <t>UQCRFS1</t>
  </si>
  <si>
    <t>XDH</t>
  </si>
  <si>
    <t>LIMS1</t>
  </si>
  <si>
    <t>PREP</t>
  </si>
  <si>
    <t>ME1</t>
  </si>
  <si>
    <t>IREB2</t>
  </si>
  <si>
    <t>ARCN1</t>
  </si>
  <si>
    <t>LSS</t>
  </si>
  <si>
    <t>GCLC</t>
  </si>
  <si>
    <t>GCLM</t>
  </si>
  <si>
    <t>TRAPPC10</t>
  </si>
  <si>
    <t>PRRC2A</t>
  </si>
  <si>
    <t>GSS</t>
  </si>
  <si>
    <t>CCT5</t>
  </si>
  <si>
    <t>AMT</t>
  </si>
  <si>
    <t>IDH2</t>
  </si>
  <si>
    <t>PITPNB</t>
  </si>
  <si>
    <t>TDO2</t>
  </si>
  <si>
    <t>POLD2</t>
  </si>
  <si>
    <t>MARCKSL1</t>
  </si>
  <si>
    <t>PXN</t>
  </si>
  <si>
    <t>ALDH9A1</t>
  </si>
  <si>
    <t>RPIA</t>
  </si>
  <si>
    <t>NASP</t>
  </si>
  <si>
    <t>FMO5</t>
  </si>
  <si>
    <t>FASN</t>
  </si>
  <si>
    <t>FNTA</t>
  </si>
  <si>
    <t>DHPS</t>
  </si>
  <si>
    <t>CCT3</t>
  </si>
  <si>
    <t>ARRB1</t>
  </si>
  <si>
    <t>TUFM</t>
  </si>
  <si>
    <t>ALDH7A1</t>
  </si>
  <si>
    <t>CDC34</t>
  </si>
  <si>
    <t>INPP1</t>
  </si>
  <si>
    <t>GLUD2</t>
  </si>
  <si>
    <t>SRP9</t>
  </si>
  <si>
    <t>UBE2A</t>
  </si>
  <si>
    <t>PCYT1A</t>
  </si>
  <si>
    <t>AARS</t>
  </si>
  <si>
    <t>CARS</t>
  </si>
  <si>
    <t>HARS2</t>
  </si>
  <si>
    <t>SARS</t>
  </si>
  <si>
    <t>TTPA</t>
  </si>
  <si>
    <t>CASP4</t>
  </si>
  <si>
    <t>CTCF</t>
  </si>
  <si>
    <t>PSMB3</t>
  </si>
  <si>
    <t>PSMB2</t>
  </si>
  <si>
    <t>MCM2</t>
  </si>
  <si>
    <t>ACADVL</t>
  </si>
  <si>
    <t>YLPM1</t>
  </si>
  <si>
    <t>ACOT2</t>
  </si>
  <si>
    <t>TMED10</t>
  </si>
  <si>
    <t>RBM25</t>
  </si>
  <si>
    <t>NUMB</t>
  </si>
  <si>
    <t>EIF2B2</t>
  </si>
  <si>
    <t>HINT1</t>
  </si>
  <si>
    <t>FHIT</t>
  </si>
  <si>
    <t>NUP153</t>
  </si>
  <si>
    <t>RANBP2</t>
  </si>
  <si>
    <t>NDUFV1</t>
  </si>
  <si>
    <t>GSK3A</t>
  </si>
  <si>
    <t>GSK3B</t>
  </si>
  <si>
    <t>SULT1E1</t>
  </si>
  <si>
    <t>NT5C2</t>
  </si>
  <si>
    <t>SEPHS1</t>
  </si>
  <si>
    <t>MTHFS</t>
  </si>
  <si>
    <t>MRE11A</t>
  </si>
  <si>
    <t>KHK</t>
  </si>
  <si>
    <t>HNMT</t>
  </si>
  <si>
    <t>IDH3A</t>
  </si>
  <si>
    <t>SULT1A3</t>
  </si>
  <si>
    <t>SULT1A1</t>
  </si>
  <si>
    <t>SULT1A2</t>
  </si>
  <si>
    <t>PPOX</t>
  </si>
  <si>
    <t>GDI2</t>
  </si>
  <si>
    <t>EMD</t>
  </si>
  <si>
    <t>CPT1A</t>
  </si>
  <si>
    <t>GATM</t>
  </si>
  <si>
    <t>SERPINB8</t>
  </si>
  <si>
    <t>SERPINB9</t>
  </si>
  <si>
    <t>SERPINH1</t>
  </si>
  <si>
    <t>ST13</t>
  </si>
  <si>
    <t>PEX5</t>
  </si>
  <si>
    <t>VASP</t>
  </si>
  <si>
    <t>DNM2</t>
  </si>
  <si>
    <t>METAP2</t>
  </si>
  <si>
    <t>NUDT2</t>
  </si>
  <si>
    <t>HLCS</t>
  </si>
  <si>
    <t>KNTC1</t>
  </si>
  <si>
    <t>PPT1</t>
  </si>
  <si>
    <t>CCT4</t>
  </si>
  <si>
    <t>PAPOLA</t>
  </si>
  <si>
    <t>FXR2</t>
  </si>
  <si>
    <t>RAB5C</t>
  </si>
  <si>
    <t>RAB7A</t>
  </si>
  <si>
    <t>RAB9A</t>
  </si>
  <si>
    <t>RAB13</t>
  </si>
  <si>
    <t>PLCD1</t>
  </si>
  <si>
    <t>DAP3</t>
  </si>
  <si>
    <t>DUSP3</t>
  </si>
  <si>
    <t>SMARCA2</t>
  </si>
  <si>
    <t>SMARCA4</t>
  </si>
  <si>
    <t>IDH3G</t>
  </si>
  <si>
    <t>GALK1</t>
  </si>
  <si>
    <t>BCAP31</t>
  </si>
  <si>
    <t>TPMT</t>
  </si>
  <si>
    <t>MECP2</t>
  </si>
  <si>
    <t>HCFC1</t>
  </si>
  <si>
    <t>ALDH5A1</t>
  </si>
  <si>
    <t>HSD17B4</t>
  </si>
  <si>
    <t>PSMD7</t>
  </si>
  <si>
    <t>SUOX</t>
  </si>
  <si>
    <t>SGSH</t>
  </si>
  <si>
    <t>STAT5B</t>
  </si>
  <si>
    <t>DYNLT3</t>
  </si>
  <si>
    <t>AKR1D1</t>
  </si>
  <si>
    <t>HDGF</t>
  </si>
  <si>
    <t>MNAT1</t>
  </si>
  <si>
    <t>HNRNPA3</t>
  </si>
  <si>
    <t>HNRNPM</t>
  </si>
  <si>
    <t>KPNA1</t>
  </si>
  <si>
    <t>RAP1GDS1</t>
  </si>
  <si>
    <t>ARHGDIA</t>
  </si>
  <si>
    <t>AGFG1</t>
  </si>
  <si>
    <t>HNRNPF</t>
  </si>
  <si>
    <t>STAT2</t>
  </si>
  <si>
    <t>GTF2A2</t>
  </si>
  <si>
    <t>MSH6</t>
  </si>
  <si>
    <t>VAV2</t>
  </si>
  <si>
    <t>HRSP12</t>
  </si>
  <si>
    <t>SMS</t>
  </si>
  <si>
    <t>HK3</t>
  </si>
  <si>
    <t>THOP1</t>
  </si>
  <si>
    <t>AKR1C2</t>
  </si>
  <si>
    <t>CAPZA1</t>
  </si>
  <si>
    <t>CRIP2</t>
  </si>
  <si>
    <t>NUP98</t>
  </si>
  <si>
    <t>BLVRA</t>
  </si>
  <si>
    <t>ARFIP1</t>
  </si>
  <si>
    <t>NUDT6</t>
  </si>
  <si>
    <t>NUBP1</t>
  </si>
  <si>
    <t>ACLY</t>
  </si>
  <si>
    <t>METAP1</t>
  </si>
  <si>
    <t>SUCLG1</t>
  </si>
  <si>
    <t>MVD</t>
  </si>
  <si>
    <t>PGGT1B</t>
  </si>
  <si>
    <t>RABGGTB</t>
  </si>
  <si>
    <t>COPB1</t>
  </si>
  <si>
    <t>COPA</t>
  </si>
  <si>
    <t>CTSC</t>
  </si>
  <si>
    <t>CLTCL1</t>
  </si>
  <si>
    <t>AP2S1</t>
  </si>
  <si>
    <t>IST1</t>
  </si>
  <si>
    <t>SEC24C</t>
  </si>
  <si>
    <t>SUB1</t>
  </si>
  <si>
    <t>POLG</t>
  </si>
  <si>
    <t>RARS</t>
  </si>
  <si>
    <t>ATXN1</t>
  </si>
  <si>
    <t>PMS2</t>
  </si>
  <si>
    <t>YARS</t>
  </si>
  <si>
    <t>USP14</t>
  </si>
  <si>
    <t>PRKAG1</t>
  </si>
  <si>
    <t>RAD23B</t>
  </si>
  <si>
    <t>NAGLU</t>
  </si>
  <si>
    <t>GYS2</t>
  </si>
  <si>
    <t>UGT2B15</t>
  </si>
  <si>
    <t>HMGCS2</t>
  </si>
  <si>
    <t>ALDH18A1</t>
  </si>
  <si>
    <t>NAPA</t>
  </si>
  <si>
    <t>AIF1</t>
  </si>
  <si>
    <t>EIF5</t>
  </si>
  <si>
    <t>PSMD4</t>
  </si>
  <si>
    <t>DRG2</t>
  </si>
  <si>
    <t>PLTP</t>
  </si>
  <si>
    <t>CSE1L</t>
  </si>
  <si>
    <t>VCP</t>
  </si>
  <si>
    <t>MFAP1</t>
  </si>
  <si>
    <t>HADHB</t>
  </si>
  <si>
    <t>INHBC</t>
  </si>
  <si>
    <t>MANF</t>
  </si>
  <si>
    <t>MTTP</t>
  </si>
  <si>
    <t>MLLT4</t>
  </si>
  <si>
    <t>ELL</t>
  </si>
  <si>
    <t>CASP7</t>
  </si>
  <si>
    <t>CASP6</t>
  </si>
  <si>
    <t>ADK</t>
  </si>
  <si>
    <t>ADAR</t>
  </si>
  <si>
    <t>LAMB2</t>
  </si>
  <si>
    <t>TPD52</t>
  </si>
  <si>
    <t>SEC13</t>
  </si>
  <si>
    <t>NHP2L1</t>
  </si>
  <si>
    <t>GFER</t>
  </si>
  <si>
    <t>HNRNPH2</t>
  </si>
  <si>
    <t>SUMO3</t>
  </si>
  <si>
    <t>EIF3B</t>
  </si>
  <si>
    <t>NDUFV3</t>
  </si>
  <si>
    <t>MARS</t>
  </si>
  <si>
    <t>ITGA1</t>
  </si>
  <si>
    <t>CMC4</t>
  </si>
  <si>
    <t>LGALS4</t>
  </si>
  <si>
    <t>HDAC4</t>
  </si>
  <si>
    <t>EIF6</t>
  </si>
  <si>
    <t>HSD17B7</t>
  </si>
  <si>
    <t>RWDD2B</t>
  </si>
  <si>
    <t>C21orf59</t>
  </si>
  <si>
    <t>WDR4</t>
  </si>
  <si>
    <t>CORO7</t>
  </si>
  <si>
    <t>GSDMD</t>
  </si>
  <si>
    <t>EEFSEC</t>
  </si>
  <si>
    <t>MTPN</t>
  </si>
  <si>
    <t>DEFA3</t>
  </si>
  <si>
    <t>ARPC4</t>
  </si>
  <si>
    <t>TPI1</t>
  </si>
  <si>
    <t>EIF3E</t>
  </si>
  <si>
    <t>SEC61B</t>
  </si>
  <si>
    <t>EIF4A1</t>
  </si>
  <si>
    <t>RPS20</t>
  </si>
  <si>
    <t>PRPS1</t>
  </si>
  <si>
    <t>PSMA6</t>
  </si>
  <si>
    <t>S100A10</t>
  </si>
  <si>
    <t>CDC42</t>
  </si>
  <si>
    <t>DSTN</t>
  </si>
  <si>
    <t>GMFB</t>
  </si>
  <si>
    <t>RAB8A</t>
  </si>
  <si>
    <t>SRP54</t>
  </si>
  <si>
    <t>RAB2A</t>
  </si>
  <si>
    <t>RAB5B</t>
  </si>
  <si>
    <t>RAB10</t>
  </si>
  <si>
    <t>UBE2D3</t>
  </si>
  <si>
    <t>UBE2M</t>
  </si>
  <si>
    <t>UBE2K</t>
  </si>
  <si>
    <t>UBE2N</t>
  </si>
  <si>
    <t>RAB14</t>
  </si>
  <si>
    <t>ACTR3</t>
  </si>
  <si>
    <t>ACTR2</t>
  </si>
  <si>
    <t>ACTR1A</t>
  </si>
  <si>
    <t>COPS2</t>
  </si>
  <si>
    <t>POLR2F</t>
  </si>
  <si>
    <t>ABCE1</t>
  </si>
  <si>
    <t>RAP1B</t>
  </si>
  <si>
    <t>RPS3A</t>
  </si>
  <si>
    <t>PSME3</t>
  </si>
  <si>
    <t>MAGOH</t>
  </si>
  <si>
    <t>PCBD1</t>
  </si>
  <si>
    <t>RHOA</t>
  </si>
  <si>
    <t>HSPE1</t>
  </si>
  <si>
    <t>VBP1</t>
  </si>
  <si>
    <t>COPZ1</t>
  </si>
  <si>
    <t>SUMO2</t>
  </si>
  <si>
    <t>WDR5</t>
  </si>
  <si>
    <t>AP1S1</t>
  </si>
  <si>
    <t>NUTF2</t>
  </si>
  <si>
    <t>HNRNPK</t>
  </si>
  <si>
    <t>YWHAG</t>
  </si>
  <si>
    <t>RRAS2</t>
  </si>
  <si>
    <t>TIMM10</t>
  </si>
  <si>
    <t>PPP1CA</t>
  </si>
  <si>
    <t>PPP1CB</t>
  </si>
  <si>
    <t>CALM1</t>
  </si>
  <si>
    <t>PSMC1</t>
  </si>
  <si>
    <t>PSMC5</t>
  </si>
  <si>
    <t>RPS8</t>
  </si>
  <si>
    <t>YWHAE</t>
  </si>
  <si>
    <t>RPS13</t>
  </si>
  <si>
    <t>RPS11</t>
  </si>
  <si>
    <t>SNRPE</t>
  </si>
  <si>
    <t>SNRPG</t>
  </si>
  <si>
    <t>LSM3</t>
  </si>
  <si>
    <t>LSM6</t>
  </si>
  <si>
    <t>SNRPD1</t>
  </si>
  <si>
    <t>SNRPD2</t>
  </si>
  <si>
    <t>TMSB4X</t>
  </si>
  <si>
    <t>ARF6</t>
  </si>
  <si>
    <t>PSMC6</t>
  </si>
  <si>
    <t>RPL7A</t>
  </si>
  <si>
    <t>ETF1</t>
  </si>
  <si>
    <t>CNBP</t>
  </si>
  <si>
    <t>RPS4X</t>
  </si>
  <si>
    <t>PPP2CB</t>
  </si>
  <si>
    <t>RHOB</t>
  </si>
  <si>
    <t>RPL23A</t>
  </si>
  <si>
    <t>RPS6</t>
  </si>
  <si>
    <t>VSNL1</t>
  </si>
  <si>
    <t>HIST1H4A</t>
  </si>
  <si>
    <t>HIST1H2BC</t>
  </si>
  <si>
    <t>RAB1A</t>
  </si>
  <si>
    <t>RAN</t>
  </si>
  <si>
    <t>RPL23</t>
  </si>
  <si>
    <t>RAP1A</t>
  </si>
  <si>
    <t>RPS25</t>
  </si>
  <si>
    <t>RPS26</t>
  </si>
  <si>
    <t>GNB1</t>
  </si>
  <si>
    <t>RBX1</t>
  </si>
  <si>
    <t>GNB2</t>
  </si>
  <si>
    <t>FKBP1A</t>
  </si>
  <si>
    <t>GRB2</t>
  </si>
  <si>
    <t>TRA2B</t>
  </si>
  <si>
    <t>RAC1</t>
  </si>
  <si>
    <t>AP2B1</t>
  </si>
  <si>
    <t>YWHAZ</t>
  </si>
  <si>
    <t>PPP2R2A</t>
  </si>
  <si>
    <t>DYNLL1</t>
  </si>
  <si>
    <t>GNB2L1</t>
  </si>
  <si>
    <t>ACTG1</t>
  </si>
  <si>
    <t>TMSB10</t>
  </si>
  <si>
    <t>PPP2CA</t>
  </si>
  <si>
    <t>YBX1</t>
  </si>
  <si>
    <t>CSNK2B</t>
  </si>
  <si>
    <t>TPM4</t>
  </si>
  <si>
    <t>UBE2L3</t>
  </si>
  <si>
    <t>ACTA1</t>
  </si>
  <si>
    <t>TUBA1B</t>
  </si>
  <si>
    <t>TUBB4B</t>
  </si>
  <si>
    <t>PAFAH1B2</t>
  </si>
  <si>
    <t>SH3BP2</t>
  </si>
  <si>
    <t>IGBP1</t>
  </si>
  <si>
    <t>CYP4F2</t>
  </si>
  <si>
    <t>RBM6</t>
  </si>
  <si>
    <t>RPP38</t>
  </si>
  <si>
    <t>RPP30</t>
  </si>
  <si>
    <t>GTF2I</t>
  </si>
  <si>
    <t>PIP4K2B</t>
  </si>
  <si>
    <t>SRPK2</t>
  </si>
  <si>
    <t>CCT2</t>
  </si>
  <si>
    <t>RAE1</t>
  </si>
  <si>
    <t>GSTO1</t>
  </si>
  <si>
    <t>ST5</t>
  </si>
  <si>
    <t>CRADD</t>
  </si>
  <si>
    <t>LCN2</t>
  </si>
  <si>
    <t>IFI35</t>
  </si>
  <si>
    <t>MT1H</t>
  </si>
  <si>
    <t>MT1X</t>
  </si>
  <si>
    <t>NUCB2</t>
  </si>
  <si>
    <t>ABAT</t>
  </si>
  <si>
    <t>BASP1</t>
  </si>
  <si>
    <t>DCD</t>
  </si>
  <si>
    <t>TMF1</t>
  </si>
  <si>
    <t>MRPS10</t>
  </si>
  <si>
    <t>MRPS5</t>
  </si>
  <si>
    <t>MRPS36</t>
  </si>
  <si>
    <t>MRPS15</t>
  </si>
  <si>
    <t>MRPS34</t>
  </si>
  <si>
    <t>MRPS6</t>
  </si>
  <si>
    <t>SARNP</t>
  </si>
  <si>
    <t>RBP5</t>
  </si>
  <si>
    <t>LACTB</t>
  </si>
  <si>
    <t>COG7</t>
  </si>
  <si>
    <t>TXNL4A</t>
  </si>
  <si>
    <t>ARF1</t>
  </si>
  <si>
    <t>ARF5</t>
  </si>
  <si>
    <t>ERH</t>
  </si>
  <si>
    <t>FOXK1</t>
  </si>
  <si>
    <t>CCZ1</t>
  </si>
  <si>
    <t>DAB2</t>
  </si>
  <si>
    <t>HSPG2</t>
  </si>
  <si>
    <t>XIAP</t>
  </si>
  <si>
    <t>RBM10</t>
  </si>
  <si>
    <t>RBM3</t>
  </si>
  <si>
    <t>TFAM</t>
  </si>
  <si>
    <t>PITPNA</t>
  </si>
  <si>
    <t>MAT1A</t>
  </si>
  <si>
    <t>HDLBP</t>
  </si>
  <si>
    <t>GTF2B</t>
  </si>
  <si>
    <t>CDK6</t>
  </si>
  <si>
    <t>CDK5</t>
  </si>
  <si>
    <t>PURA</t>
  </si>
  <si>
    <t>CDC42EP1</t>
  </si>
  <si>
    <t>CLTC</t>
  </si>
  <si>
    <t>NFKB2</t>
  </si>
  <si>
    <t>FKBP3</t>
  </si>
  <si>
    <t>SORD</t>
  </si>
  <si>
    <t>HNRNPU</t>
  </si>
  <si>
    <t>PLIN5</t>
  </si>
  <si>
    <t>U2AF1</t>
  </si>
  <si>
    <t>SPTBN1</t>
  </si>
  <si>
    <t>TIAL1</t>
  </si>
  <si>
    <t>SET</t>
  </si>
  <si>
    <t>AMPD2</t>
  </si>
  <si>
    <t>CTBS</t>
  </si>
  <si>
    <t>FABP5</t>
  </si>
  <si>
    <t>CAP1</t>
  </si>
  <si>
    <t>HMGCS1</t>
  </si>
  <si>
    <t>DR1</t>
  </si>
  <si>
    <t>OTUD4</t>
  </si>
  <si>
    <t>XPC</t>
  </si>
  <si>
    <t>EWSR1</t>
  </si>
  <si>
    <t>OCRL</t>
  </si>
  <si>
    <t>NAAA</t>
  </si>
  <si>
    <t>SP2</t>
  </si>
  <si>
    <t>ALDH6A1</t>
  </si>
  <si>
    <t>CYP27A1</t>
  </si>
  <si>
    <t>PLGLB1</t>
  </si>
  <si>
    <t>APBA1</t>
  </si>
  <si>
    <t>DSC2</t>
  </si>
  <si>
    <t>MAP2K1</t>
  </si>
  <si>
    <t>FKBP4</t>
  </si>
  <si>
    <t>NUCB1</t>
  </si>
  <si>
    <t>CYP4A11</t>
  </si>
  <si>
    <t>AKAP12</t>
  </si>
  <si>
    <t>CFHR3</t>
  </si>
  <si>
    <t>DST</t>
  </si>
  <si>
    <t>GSTM4</t>
  </si>
  <si>
    <t>ACY1</t>
  </si>
  <si>
    <t>LMNB2</t>
  </si>
  <si>
    <t>CFHR1</t>
  </si>
  <si>
    <t>GBE1</t>
  </si>
  <si>
    <t>EIF4G1</t>
  </si>
  <si>
    <t>NOTCH2</t>
  </si>
  <si>
    <t>TLE1</t>
  </si>
  <si>
    <t>TLE3</t>
  </si>
  <si>
    <t>HGFAC</t>
  </si>
  <si>
    <t>GLO1</t>
  </si>
  <si>
    <t>AKR1C1</t>
  </si>
  <si>
    <t>SSBP1</t>
  </si>
  <si>
    <t>YWHAH</t>
  </si>
  <si>
    <t>CSTF1</t>
  </si>
  <si>
    <t>UBE3A</t>
  </si>
  <si>
    <t>PTPN12</t>
  </si>
  <si>
    <t>SRSF11</t>
  </si>
  <si>
    <t>EEF1A2</t>
  </si>
  <si>
    <t>CALD1</t>
  </si>
  <si>
    <t>ITIH3</t>
  </si>
  <si>
    <t>PTPN11</t>
  </si>
  <si>
    <t>PPAT</t>
  </si>
  <si>
    <t>GFPT1</t>
  </si>
  <si>
    <t>EXOSC9</t>
  </si>
  <si>
    <t>AOX1</t>
  </si>
  <si>
    <t>PSME1</t>
  </si>
  <si>
    <t>RBPJ</t>
  </si>
  <si>
    <t>SULT2A1</t>
  </si>
  <si>
    <t>GABPA</t>
  </si>
  <si>
    <t>RING1</t>
  </si>
  <si>
    <t>C1QBP</t>
  </si>
  <si>
    <t>CKAP4</t>
  </si>
  <si>
    <t>ENPEP</t>
  </si>
  <si>
    <t>TJP1</t>
  </si>
  <si>
    <t>TCHH</t>
  </si>
  <si>
    <t>KHDRBS1</t>
  </si>
  <si>
    <t>BAX</t>
  </si>
  <si>
    <t>TNK2</t>
  </si>
  <si>
    <t>LRP1</t>
  </si>
  <si>
    <t>SRSF1</t>
  </si>
  <si>
    <t>ARHGAP1</t>
  </si>
  <si>
    <t>SRSF4</t>
  </si>
  <si>
    <t>PPP3CA</t>
  </si>
  <si>
    <t>DHX9</t>
  </si>
  <si>
    <t>CRYZ</t>
  </si>
  <si>
    <t>GOLGA3</t>
  </si>
  <si>
    <t>GOLGA2</t>
  </si>
  <si>
    <t>LGALS3BP</t>
  </si>
  <si>
    <t>EHHADH</t>
  </si>
  <si>
    <t>CYP4F3</t>
  </si>
  <si>
    <t>EPB49</t>
  </si>
  <si>
    <t>PPID</t>
  </si>
  <si>
    <t>FGL1</t>
  </si>
  <si>
    <t>RBL2</t>
  </si>
  <si>
    <t>MZT1</t>
  </si>
  <si>
    <t>ACSM2A</t>
  </si>
  <si>
    <t>VAC14</t>
  </si>
  <si>
    <t>NSUN2</t>
  </si>
  <si>
    <t>RBBP4</t>
  </si>
  <si>
    <t>EP300</t>
  </si>
  <si>
    <t>AHNAK</t>
  </si>
  <si>
    <t>FCHO2</t>
  </si>
  <si>
    <t>HSPA14</t>
  </si>
  <si>
    <t>SCRN3</t>
  </si>
  <si>
    <t>CGNL1</t>
  </si>
  <si>
    <t>AP1B1</t>
  </si>
  <si>
    <t>CPSF1</t>
  </si>
  <si>
    <t>PMPCA</t>
  </si>
  <si>
    <t>KIAA0196</t>
  </si>
  <si>
    <t>NUP160</t>
  </si>
  <si>
    <t>ARHGEF5</t>
  </si>
  <si>
    <t>TWF1</t>
  </si>
  <si>
    <t>HYAL1</t>
  </si>
  <si>
    <t>AKAP13</t>
  </si>
  <si>
    <t>GRSF1</t>
  </si>
  <si>
    <t>SF3A3</t>
  </si>
  <si>
    <t>DPYD</t>
  </si>
  <si>
    <t>TP53BP1</t>
  </si>
  <si>
    <t>TRIM26</t>
  </si>
  <si>
    <t>AIMP1</t>
  </si>
  <si>
    <t>ILF2</t>
  </si>
  <si>
    <t>ILF3</t>
  </si>
  <si>
    <t>EPS8</t>
  </si>
  <si>
    <t>TRAF2</t>
  </si>
  <si>
    <t>DLG1</t>
  </si>
  <si>
    <t>TAF10</t>
  </si>
  <si>
    <t>MYO1E</t>
  </si>
  <si>
    <t>PPP1R8</t>
  </si>
  <si>
    <t>NFX1</t>
  </si>
  <si>
    <t>CSTF3</t>
  </si>
  <si>
    <t>ECH1</t>
  </si>
  <si>
    <t>ARHGAP5</t>
  </si>
  <si>
    <t>STRN3</t>
  </si>
  <si>
    <t>FLII</t>
  </si>
  <si>
    <t>COASY</t>
  </si>
  <si>
    <t>ACACA</t>
  </si>
  <si>
    <t>USP4</t>
  </si>
  <si>
    <t>IK</t>
  </si>
  <si>
    <t>MTAP</t>
  </si>
  <si>
    <t>PRKAA1</t>
  </si>
  <si>
    <t>PPFIA1</t>
  </si>
  <si>
    <t>TARDBP</t>
  </si>
  <si>
    <t>HNRNPA0</t>
  </si>
  <si>
    <t>PAK1</t>
  </si>
  <si>
    <t>AIMP2</t>
  </si>
  <si>
    <t>PRDX4</t>
  </si>
  <si>
    <t>PAK2</t>
  </si>
  <si>
    <t>CBX3</t>
  </si>
  <si>
    <t>STK3</t>
  </si>
  <si>
    <t>PSMD2</t>
  </si>
  <si>
    <t>DDX10</t>
  </si>
  <si>
    <t>DNAJC3</t>
  </si>
  <si>
    <t>SELENBP1</t>
  </si>
  <si>
    <t>NME3</t>
  </si>
  <si>
    <t>SRSF5</t>
  </si>
  <si>
    <t>SRSF6</t>
  </si>
  <si>
    <t>MAD2L1</t>
  </si>
  <si>
    <t>TRIM28</t>
  </si>
  <si>
    <t>G3BP1</t>
  </si>
  <si>
    <t>NMI</t>
  </si>
  <si>
    <t>PABPC4</t>
  </si>
  <si>
    <t>IFIT5</t>
  </si>
  <si>
    <t>MTA1</t>
  </si>
  <si>
    <t>EIF3I</t>
  </si>
  <si>
    <t>PPP2R5C</t>
  </si>
  <si>
    <t>CTBP1</t>
  </si>
  <si>
    <t>UBE2V1</t>
  </si>
  <si>
    <t>DYNC1I2</t>
  </si>
  <si>
    <t>ILK</t>
  </si>
  <si>
    <t>NNT</t>
  </si>
  <si>
    <t>SNTA1</t>
  </si>
  <si>
    <t>XRCC4</t>
  </si>
  <si>
    <t>PPIG</t>
  </si>
  <si>
    <t>TCOF1</t>
  </si>
  <si>
    <t>SF3B2</t>
  </si>
  <si>
    <t>PDAP1</t>
  </si>
  <si>
    <t>FKBP5</t>
  </si>
  <si>
    <t>MYO9B</t>
  </si>
  <si>
    <t>ROCK1</t>
  </si>
  <si>
    <t>PICALM</t>
  </si>
  <si>
    <t>MTM1</t>
  </si>
  <si>
    <t>SQSTM1</t>
  </si>
  <si>
    <t>PIN1</t>
  </si>
  <si>
    <t>EIF4EBP1</t>
  </si>
  <si>
    <t>EIF4EBP2</t>
  </si>
  <si>
    <t>RIPK1</t>
  </si>
  <si>
    <t>HDAC1</t>
  </si>
  <si>
    <t>CAMK2G</t>
  </si>
  <si>
    <t>CAMK2D</t>
  </si>
  <si>
    <t>DCTN2</t>
  </si>
  <si>
    <t>ITPK1</t>
  </si>
  <si>
    <t>SNW1</t>
  </si>
  <si>
    <t>IQGAP2</t>
  </si>
  <si>
    <t>STIM1</t>
  </si>
  <si>
    <t>SNX1</t>
  </si>
  <si>
    <t>PWP1</t>
  </si>
  <si>
    <t>CUL1</t>
  </si>
  <si>
    <t>CUL2</t>
  </si>
  <si>
    <t>CUL3</t>
  </si>
  <si>
    <t>CUL4A</t>
  </si>
  <si>
    <t>CUL4B</t>
  </si>
  <si>
    <t>TSTA3</t>
  </si>
  <si>
    <t>FHL1</t>
  </si>
  <si>
    <t>ALKBH1</t>
  </si>
  <si>
    <t>SHROOM2</t>
  </si>
  <si>
    <t>SPTAN1</t>
  </si>
  <si>
    <t>AUH</t>
  </si>
  <si>
    <t>DDX39B</t>
  </si>
  <si>
    <t>BLMH</t>
  </si>
  <si>
    <t>EXOSC2</t>
  </si>
  <si>
    <t>SNTB1</t>
  </si>
  <si>
    <t>TUBB2A</t>
  </si>
  <si>
    <t>IDI1</t>
  </si>
  <si>
    <t>CBFB</t>
  </si>
  <si>
    <t>CKAP5</t>
  </si>
  <si>
    <t>CIRBP</t>
  </si>
  <si>
    <t>CAMK1</t>
  </si>
  <si>
    <t>COTL1</t>
  </si>
  <si>
    <t>BAAT</t>
  </si>
  <si>
    <t>COX17</t>
  </si>
  <si>
    <t>HNRNPD</t>
  </si>
  <si>
    <t>IL18</t>
  </si>
  <si>
    <t>DPYS</t>
  </si>
  <si>
    <t>DAG1</t>
  </si>
  <si>
    <t>DSG2</t>
  </si>
  <si>
    <t>UBE4A</t>
  </si>
  <si>
    <t>SEPT6</t>
  </si>
  <si>
    <t>ARHGEF7</t>
  </si>
  <si>
    <t>UBAP2L</t>
  </si>
  <si>
    <t>SCRIB</t>
  </si>
  <si>
    <t>GIT2</t>
  </si>
  <si>
    <t>TTLL12</t>
  </si>
  <si>
    <t>DOCK1</t>
  </si>
  <si>
    <t>FHL2</t>
  </si>
  <si>
    <t>DCTN1</t>
  </si>
  <si>
    <t>DYNC1H1</t>
  </si>
  <si>
    <t>EIF2B1</t>
  </si>
  <si>
    <t>EIF4A2</t>
  </si>
  <si>
    <t>TCEB3</t>
  </si>
  <si>
    <t>MAP7</t>
  </si>
  <si>
    <t>CTTN</t>
  </si>
  <si>
    <t>ENDOG</t>
  </si>
  <si>
    <t>TRIM25</t>
  </si>
  <si>
    <t>PTK2B</t>
  </si>
  <si>
    <t>FKBP8</t>
  </si>
  <si>
    <t>FAM50A</t>
  </si>
  <si>
    <t>GAMT</t>
  </si>
  <si>
    <t>GALE</t>
  </si>
  <si>
    <t>GCKR</t>
  </si>
  <si>
    <t>GK2</t>
  </si>
  <si>
    <t>CAPRIN1</t>
  </si>
  <si>
    <t>RBM39</t>
  </si>
  <si>
    <t>HABP2</t>
  </si>
  <si>
    <t>HLTF</t>
  </si>
  <si>
    <t>PDIA5</t>
  </si>
  <si>
    <t>PRPSAP1</t>
  </si>
  <si>
    <t>MCM6</t>
  </si>
  <si>
    <t>ITIH4</t>
  </si>
  <si>
    <t>PLS1</t>
  </si>
  <si>
    <t>IRF3</t>
  </si>
  <si>
    <t>LAGE3</t>
  </si>
  <si>
    <t>TRIP12</t>
  </si>
  <si>
    <t>MDC1</t>
  </si>
  <si>
    <t>CLINT1</t>
  </si>
  <si>
    <t>KANK1</t>
  </si>
  <si>
    <t>SMC1A</t>
  </si>
  <si>
    <t>RRP1B</t>
  </si>
  <si>
    <t>GSE1</t>
  </si>
  <si>
    <t>DIP2A</t>
  </si>
  <si>
    <t>USP10</t>
  </si>
  <si>
    <t>MESDC2</t>
  </si>
  <si>
    <t>GANAB</t>
  </si>
  <si>
    <t>GNMT</t>
  </si>
  <si>
    <t>GOLGB1</t>
  </si>
  <si>
    <t>NAA30</t>
  </si>
  <si>
    <t>LASP1</t>
  </si>
  <si>
    <t>CRYM</t>
  </si>
  <si>
    <t>PTGR1</t>
  </si>
  <si>
    <t>NFIX</t>
  </si>
  <si>
    <t>ZNF638</t>
  </si>
  <si>
    <t>KPNB1</t>
  </si>
  <si>
    <t>NOLC1</t>
  </si>
  <si>
    <t>NUMA1</t>
  </si>
  <si>
    <t>PSME4</t>
  </si>
  <si>
    <t>GAPVD1</t>
  </si>
  <si>
    <t>NAA25</t>
  </si>
  <si>
    <t>PSMD6</t>
  </si>
  <si>
    <t>FAM175B</t>
  </si>
  <si>
    <t>SEPT2</t>
  </si>
  <si>
    <t>SART3</t>
  </si>
  <si>
    <t>EXOSC7</t>
  </si>
  <si>
    <t>EFTUD2</t>
  </si>
  <si>
    <t>SNX17</t>
  </si>
  <si>
    <t>SLC39A14</t>
  </si>
  <si>
    <t>KARS</t>
  </si>
  <si>
    <t>EIF4H</t>
  </si>
  <si>
    <t>ACAP2</t>
  </si>
  <si>
    <t>BRD3</t>
  </si>
  <si>
    <t>ACOX1</t>
  </si>
  <si>
    <t>EEA1</t>
  </si>
  <si>
    <t>PAFAH1B3</t>
  </si>
  <si>
    <t>PDK1</t>
  </si>
  <si>
    <t>PDK2</t>
  </si>
  <si>
    <t>PDK3</t>
  </si>
  <si>
    <t>PGM5</t>
  </si>
  <si>
    <t>PMVK</t>
  </si>
  <si>
    <t>PLEC</t>
  </si>
  <si>
    <t>PON3</t>
  </si>
  <si>
    <t>PPP2R5A</t>
  </si>
  <si>
    <t>PPA1</t>
  </si>
  <si>
    <t>STK38</t>
  </si>
  <si>
    <t>NONO</t>
  </si>
  <si>
    <t>PPP2R4</t>
  </si>
  <si>
    <t>QPRT</t>
  </si>
  <si>
    <t>RABEP1</t>
  </si>
  <si>
    <t>RBBP5</t>
  </si>
  <si>
    <t>RCN1</t>
  </si>
  <si>
    <t>RALBP1</t>
  </si>
  <si>
    <t>LRRC41</t>
  </si>
  <si>
    <t>PCBP1</t>
  </si>
  <si>
    <t>RHEB</t>
  </si>
  <si>
    <t>UBE3C</t>
  </si>
  <si>
    <t>SF3B3</t>
  </si>
  <si>
    <t>RSU1</t>
  </si>
  <si>
    <t>CNN3</t>
  </si>
  <si>
    <t>SAFB</t>
  </si>
  <si>
    <t>SF3B4</t>
  </si>
  <si>
    <t>PPP1R7</t>
  </si>
  <si>
    <t>SEC23B</t>
  </si>
  <si>
    <t>SF3A1</t>
  </si>
  <si>
    <t>SHB</t>
  </si>
  <si>
    <t>SKIV2L</t>
  </si>
  <si>
    <t>RGN</t>
  </si>
  <si>
    <t>SURF1</t>
  </si>
  <si>
    <t>TERF2</t>
  </si>
  <si>
    <t>MAPRE2</t>
  </si>
  <si>
    <t>NCOA2</t>
  </si>
  <si>
    <t>SLC9A3R2</t>
  </si>
  <si>
    <t>TRADD</t>
  </si>
  <si>
    <t>TARBP2</t>
  </si>
  <si>
    <t>SF1</t>
  </si>
  <si>
    <t>TRIP10</t>
  </si>
  <si>
    <t>TRIP11</t>
  </si>
  <si>
    <t>TRIP4</t>
  </si>
  <si>
    <t>JMJD1C</t>
  </si>
  <si>
    <t>TRIP6</t>
  </si>
  <si>
    <t>MAPRE1</t>
  </si>
  <si>
    <t>ELAVL1</t>
  </si>
  <si>
    <t>MYLK</t>
  </si>
  <si>
    <t>TAB1</t>
  </si>
  <si>
    <t>TOMM34</t>
  </si>
  <si>
    <t>TBCE</t>
  </si>
  <si>
    <t>TBCC</t>
  </si>
  <si>
    <t>UBE2V2</t>
  </si>
  <si>
    <t>STXBP2</t>
  </si>
  <si>
    <t>ADIRF</t>
  </si>
  <si>
    <t>RAB11B</t>
  </si>
  <si>
    <t>ZYX</t>
  </si>
  <si>
    <t>ETFDH</t>
  </si>
  <si>
    <t>SEPT7</t>
  </si>
  <si>
    <t>ADRM1</t>
  </si>
  <si>
    <t>CCDC6</t>
  </si>
  <si>
    <t>UAP1</t>
  </si>
  <si>
    <t>E2F4</t>
  </si>
  <si>
    <t>IGFBP7</t>
  </si>
  <si>
    <t>PSMD5</t>
  </si>
  <si>
    <t>DDB1</t>
  </si>
  <si>
    <t>MAPK14</t>
  </si>
  <si>
    <t>CDC37</t>
  </si>
  <si>
    <t>DPYSL2</t>
  </si>
  <si>
    <t>RBBP7</t>
  </si>
  <si>
    <t>OCLN</t>
  </si>
  <si>
    <t>MEA1</t>
  </si>
  <si>
    <t>MAPKAPK3</t>
  </si>
  <si>
    <t>PDK4</t>
  </si>
  <si>
    <t>FSCN1</t>
  </si>
  <si>
    <t>KYNU</t>
  </si>
  <si>
    <t>CLPP</t>
  </si>
  <si>
    <t>TST</t>
  </si>
  <si>
    <t>CCBL1</t>
  </si>
  <si>
    <t>HAGH</t>
  </si>
  <si>
    <t>PCK2</t>
  </si>
  <si>
    <t>PTPN21</t>
  </si>
  <si>
    <t>UPP1</t>
  </si>
  <si>
    <t>HADH</t>
  </si>
  <si>
    <t>UGP2</t>
  </si>
  <si>
    <t>DGUOK</t>
  </si>
  <si>
    <t>ATP6V1F</t>
  </si>
  <si>
    <t>CDO1</t>
  </si>
  <si>
    <t>TATDN3</t>
  </si>
  <si>
    <t>EXOC3L4</t>
  </si>
  <si>
    <t>FAM98C</t>
  </si>
  <si>
    <t>FAM110C</t>
  </si>
  <si>
    <t>INF2</t>
  </si>
  <si>
    <t>PDS5A</t>
  </si>
  <si>
    <t>CLEC16A</t>
  </si>
  <si>
    <t>KIAA1033</t>
  </si>
  <si>
    <t>RALGAPA2</t>
  </si>
  <si>
    <t>TYSND1</t>
  </si>
  <si>
    <t>QRICH1</t>
  </si>
  <si>
    <t>SMU1</t>
  </si>
  <si>
    <t>ATHL1</t>
  </si>
  <si>
    <t>LRRFIP1</t>
  </si>
  <si>
    <t>LEPRE1</t>
  </si>
  <si>
    <t>EML3</t>
  </si>
  <si>
    <t>GFOD2</t>
  </si>
  <si>
    <t>DAK</t>
  </si>
  <si>
    <t>LSM12</t>
  </si>
  <si>
    <t>PUS10</t>
  </si>
  <si>
    <t>RABL6</t>
  </si>
  <si>
    <t>TUBB8</t>
  </si>
  <si>
    <t>GLYR1</t>
  </si>
  <si>
    <t>CDNF</t>
  </si>
  <si>
    <t>CRY2</t>
  </si>
  <si>
    <t>C5orf22</t>
  </si>
  <si>
    <t>COX19</t>
  </si>
  <si>
    <t>VPS26B</t>
  </si>
  <si>
    <t>LARP7</t>
  </si>
  <si>
    <t>NADKD1</t>
  </si>
  <si>
    <t>KCTD21</t>
  </si>
  <si>
    <t>GXYLT1</t>
  </si>
  <si>
    <t>ACSF3</t>
  </si>
  <si>
    <t>PREPL</t>
  </si>
  <si>
    <t>TPRN</t>
  </si>
  <si>
    <t>PLCH1</t>
  </si>
  <si>
    <t>ARID4B</t>
  </si>
  <si>
    <t>GRIPAP1</t>
  </si>
  <si>
    <t>ZNF658B</t>
  </si>
  <si>
    <t>FAM98B</t>
  </si>
  <si>
    <t>ARHGAP29</t>
  </si>
  <si>
    <t>C17orf85</t>
  </si>
  <si>
    <t>TP53I3</t>
  </si>
  <si>
    <t>ACSM3</t>
  </si>
  <si>
    <t>HSD17B12</t>
  </si>
  <si>
    <t>LACTB2</t>
  </si>
  <si>
    <t>TSSC1</t>
  </si>
  <si>
    <t>SOWAHC</t>
  </si>
  <si>
    <t>BOLA3</t>
  </si>
  <si>
    <t>COBLL1</t>
  </si>
  <si>
    <t>HS1BP3</t>
  </si>
  <si>
    <t>WDR81</t>
  </si>
  <si>
    <t>HSP90AB2P</t>
  </si>
  <si>
    <t>DCAF6</t>
  </si>
  <si>
    <t>OXLD1</t>
  </si>
  <si>
    <t>RILPL1</t>
  </si>
  <si>
    <t>PDZD11</t>
  </si>
  <si>
    <t>CMPK2</t>
  </si>
  <si>
    <t>HERC4</t>
  </si>
  <si>
    <t>SH3D19</t>
  </si>
  <si>
    <t>TTC32</t>
  </si>
  <si>
    <t>MTUS2</t>
  </si>
  <si>
    <t>PITRM1</t>
  </si>
  <si>
    <t>NHLRC3</t>
  </si>
  <si>
    <t>WDR44</t>
  </si>
  <si>
    <t>PRRC2B</t>
  </si>
  <si>
    <t>TJAP1</t>
  </si>
  <si>
    <t>COA6</t>
  </si>
  <si>
    <t>TOR1AIP1</t>
  </si>
  <si>
    <t>AARS2</t>
  </si>
  <si>
    <t>PCID2</t>
  </si>
  <si>
    <t>HABP4</t>
  </si>
  <si>
    <t>COLEC12</t>
  </si>
  <si>
    <t>SMEK2</t>
  </si>
  <si>
    <t>WDR45B</t>
  </si>
  <si>
    <t>WIPI1</t>
  </si>
  <si>
    <t>EOGT</t>
  </si>
  <si>
    <t>TBCEL</t>
  </si>
  <si>
    <t>TTC38</t>
  </si>
  <si>
    <t>C1orf173</t>
  </si>
  <si>
    <t>EXOSC6</t>
  </si>
  <si>
    <t>FAM21B</t>
  </si>
  <si>
    <t>PHYHD1</t>
  </si>
  <si>
    <t>HP1BP3</t>
  </si>
  <si>
    <t>VARS2</t>
  </si>
  <si>
    <t>CEP170</t>
  </si>
  <si>
    <t>LDLRAP1</t>
  </si>
  <si>
    <t>DNLZ</t>
  </si>
  <si>
    <t>NHSL1</t>
  </si>
  <si>
    <t>FNBP1L</t>
  </si>
  <si>
    <t>RARS2</t>
  </si>
  <si>
    <t>THEM4</t>
  </si>
  <si>
    <t>FKBP15</t>
  </si>
  <si>
    <t>ZC3H13</t>
  </si>
  <si>
    <t>C10orf76</t>
  </si>
  <si>
    <t>PDZK1</t>
  </si>
  <si>
    <t>IBA57</t>
  </si>
  <si>
    <t>ZFYVE27</t>
  </si>
  <si>
    <t>UBR4</t>
  </si>
  <si>
    <t>KIAA1217</t>
  </si>
  <si>
    <t>ARHGAP21</t>
  </si>
  <si>
    <t>IDNK</t>
  </si>
  <si>
    <t>C9orf64</t>
  </si>
  <si>
    <t>GORAB</t>
  </si>
  <si>
    <t>ACBD5</t>
  </si>
  <si>
    <t>RBM26</t>
  </si>
  <si>
    <t>GLTPD1</t>
  </si>
  <si>
    <t>FRY</t>
  </si>
  <si>
    <t>ATPAF1</t>
  </si>
  <si>
    <t>MAGI3</t>
  </si>
  <si>
    <t>DDI2</t>
  </si>
  <si>
    <t>NDUFAF5</t>
  </si>
  <si>
    <t>NT5DC1</t>
  </si>
  <si>
    <t>SIRPB1</t>
  </si>
  <si>
    <t>CROCC</t>
  </si>
  <si>
    <t>LYRM7</t>
  </si>
  <si>
    <t>RIF1</t>
  </si>
  <si>
    <t>VPS53</t>
  </si>
  <si>
    <t>STRIP1</t>
  </si>
  <si>
    <t>LCN1P1</t>
  </si>
  <si>
    <t>CEP350</t>
  </si>
  <si>
    <t>RPRD2</t>
  </si>
  <si>
    <t>EEF1A1P5</t>
  </si>
  <si>
    <t>TTC39B</t>
  </si>
  <si>
    <t>RNF20</t>
  </si>
  <si>
    <t>ATP5EP2</t>
  </si>
  <si>
    <t>ZNF318</t>
  </si>
  <si>
    <t>C1orf53</t>
  </si>
  <si>
    <t>YOD1</t>
  </si>
  <si>
    <t>BROX</t>
  </si>
  <si>
    <t>FOCAD</t>
  </si>
  <si>
    <t>MLIP</t>
  </si>
  <si>
    <t>DAB2IP</t>
  </si>
  <si>
    <t>LYPLAL1</t>
  </si>
  <si>
    <t>ECM29</t>
  </si>
  <si>
    <t>RNLS</t>
  </si>
  <si>
    <t>LRRC16A</t>
  </si>
  <si>
    <t>FAM160B1</t>
  </si>
  <si>
    <t>SPRYD7</t>
  </si>
  <si>
    <t>RNF123</t>
  </si>
  <si>
    <t>AFMID</t>
  </si>
  <si>
    <t>RNF213</t>
  </si>
  <si>
    <t>KANK2</t>
  </si>
  <si>
    <t>FAM91A1</t>
  </si>
  <si>
    <t>TBC1D9B</t>
  </si>
  <si>
    <t>ARL6IP4</t>
  </si>
  <si>
    <t>ATG16L1</t>
  </si>
  <si>
    <t>ACSM2B</t>
  </si>
  <si>
    <t>TNS3</t>
  </si>
  <si>
    <t>INTS3</t>
  </si>
  <si>
    <t>ARHGAP17</t>
  </si>
  <si>
    <t>CWF19L1</t>
  </si>
  <si>
    <t>KIAA1429</t>
  </si>
  <si>
    <t>SPECC1L</t>
  </si>
  <si>
    <t>PDPK2</t>
  </si>
  <si>
    <t>ZNF787</t>
  </si>
  <si>
    <t>ATL3</t>
  </si>
  <si>
    <t>ADAL</t>
  </si>
  <si>
    <t>TTC19</t>
  </si>
  <si>
    <t>IQSEC1</t>
  </si>
  <si>
    <t>VASN</t>
  </si>
  <si>
    <t>CIAPIN1</t>
  </si>
  <si>
    <t>ZFAND6</t>
  </si>
  <si>
    <t>SMYD5</t>
  </si>
  <si>
    <t>PTRHD1</t>
  </si>
  <si>
    <t>OTUD7B</t>
  </si>
  <si>
    <t>RALGAPA1</t>
  </si>
  <si>
    <t>NADSYN1</t>
  </si>
  <si>
    <t>ELP2</t>
  </si>
  <si>
    <t>GLYAT</t>
  </si>
  <si>
    <t>TWF2</t>
  </si>
  <si>
    <t>KIAA0930</t>
  </si>
  <si>
    <t>SMEK1</t>
  </si>
  <si>
    <t>LYRM5</t>
  </si>
  <si>
    <t>ACAD10</t>
  </si>
  <si>
    <t>NIPBL</t>
  </si>
  <si>
    <t>ZNF280D</t>
  </si>
  <si>
    <t>OGFOD2</t>
  </si>
  <si>
    <t>RETSAT</t>
  </si>
  <si>
    <t>ACSM5</t>
  </si>
  <si>
    <t>RINT1</t>
  </si>
  <si>
    <t>TMEM214</t>
  </si>
  <si>
    <t>HIBCH</t>
  </si>
  <si>
    <t>PPP1R18</t>
  </si>
  <si>
    <t>ZCCHC8</t>
  </si>
  <si>
    <t>CDC73</t>
  </si>
  <si>
    <t>LLGL2</t>
  </si>
  <si>
    <t>CC2D1A</t>
  </si>
  <si>
    <t>TATDN1</t>
  </si>
  <si>
    <t>DUS1L</t>
  </si>
  <si>
    <t>C8orf82</t>
  </si>
  <si>
    <t>EDC4</t>
  </si>
  <si>
    <t>PRMT10</t>
  </si>
  <si>
    <t>PRPF8</t>
  </si>
  <si>
    <t>SCYL2</t>
  </si>
  <si>
    <t>TTC27</t>
  </si>
  <si>
    <t>PLBD1</t>
  </si>
  <si>
    <t>FDX1L</t>
  </si>
  <si>
    <t>NFRKB</t>
  </si>
  <si>
    <t>FAHD1</t>
  </si>
  <si>
    <t>C8orf47</t>
  </si>
  <si>
    <t>RSBN1L</t>
  </si>
  <si>
    <t>CTR9</t>
  </si>
  <si>
    <t>AAGAB</t>
  </si>
  <si>
    <t>TTC37</t>
  </si>
  <si>
    <t>C16orf87</t>
  </si>
  <si>
    <t>DARS2</t>
  </si>
  <si>
    <t>FBXO38</t>
  </si>
  <si>
    <t>ZC3H14</t>
  </si>
  <si>
    <t>CNST</t>
  </si>
  <si>
    <t>ZNF773</t>
  </si>
  <si>
    <t>LARP1</t>
  </si>
  <si>
    <t>TMED8</t>
  </si>
  <si>
    <t>PAOX</t>
  </si>
  <si>
    <t>BLOC1S3</t>
  </si>
  <si>
    <t>SAMD1</t>
  </si>
  <si>
    <t>METAP1D</t>
  </si>
  <si>
    <t>AFTPH</t>
  </si>
  <si>
    <t>FIP1L1</t>
  </si>
  <si>
    <t>LRSAM1</t>
  </si>
  <si>
    <t>DHRS11</t>
  </si>
  <si>
    <t>CES3</t>
  </si>
  <si>
    <t>METTL7B</t>
  </si>
  <si>
    <t>CRELD2</t>
  </si>
  <si>
    <t>WDR82</t>
  </si>
  <si>
    <t>APOOL</t>
  </si>
  <si>
    <t>PACS1</t>
  </si>
  <si>
    <t>MPRIP</t>
  </si>
  <si>
    <t>RAB11FIP1</t>
  </si>
  <si>
    <t>NAPRT1</t>
  </si>
  <si>
    <t>DNMBP</t>
  </si>
  <si>
    <t>GIGYF2</t>
  </si>
  <si>
    <t>HSDL2</t>
  </si>
  <si>
    <t>CCBL2</t>
  </si>
  <si>
    <t>PPP1R21</t>
  </si>
  <si>
    <t>GDPGP1</t>
  </si>
  <si>
    <t>NBEAL1</t>
  </si>
  <si>
    <t>ARHGEF18</t>
  </si>
  <si>
    <t>UBR3</t>
  </si>
  <si>
    <t>PIK3AP1</t>
  </si>
  <si>
    <t>NUDT18</t>
  </si>
  <si>
    <t>TOM1L2</t>
  </si>
  <si>
    <t>VPS13C</t>
  </si>
  <si>
    <t>ACAD11</t>
  </si>
  <si>
    <t>RAPH1</t>
  </si>
  <si>
    <t>UBE2R2</t>
  </si>
  <si>
    <t>LARP4</t>
  </si>
  <si>
    <t>TUBA1A</t>
  </si>
  <si>
    <t>MTSS1L</t>
  </si>
  <si>
    <t>NOL8</t>
  </si>
  <si>
    <t>SUPT6H</t>
  </si>
  <si>
    <t>SND1</t>
  </si>
  <si>
    <t>MARK2</t>
  </si>
  <si>
    <t>DDX46</t>
  </si>
  <si>
    <t>RUFY3</t>
  </si>
  <si>
    <t>TRMT10C</t>
  </si>
  <si>
    <t>BZW1</t>
  </si>
  <si>
    <t>ASRGL1</t>
  </si>
  <si>
    <t>MEPCE</t>
  </si>
  <si>
    <t>PARS2</t>
  </si>
  <si>
    <t>RSRC2</t>
  </si>
  <si>
    <t>CYFIP1</t>
  </si>
  <si>
    <t>NDUFAF7</t>
  </si>
  <si>
    <t>GET4</t>
  </si>
  <si>
    <t>ENOSF1</t>
  </si>
  <si>
    <t>EPM2AIP1</t>
  </si>
  <si>
    <t>FASTKD5</t>
  </si>
  <si>
    <t>KDM3B</t>
  </si>
  <si>
    <t>CHMP1B</t>
  </si>
  <si>
    <t>RRM2B</t>
  </si>
  <si>
    <t>MICAL3</t>
  </si>
  <si>
    <t>PHF5A</t>
  </si>
  <si>
    <t>ZC3HAV1</t>
  </si>
  <si>
    <t>EFTUD1</t>
  </si>
  <si>
    <t>TRAPPC11</t>
  </si>
  <si>
    <t>C10orf118</t>
  </si>
  <si>
    <t>C16orf62</t>
  </si>
  <si>
    <t>ZFYVE16</t>
  </si>
  <si>
    <t>MYH14</t>
  </si>
  <si>
    <t>NUFIP2</t>
  </si>
  <si>
    <t>SZRD1</t>
  </si>
  <si>
    <t>MAVS</t>
  </si>
  <si>
    <t>CLASP1</t>
  </si>
  <si>
    <t>DHX29</t>
  </si>
  <si>
    <t>COMMD6</t>
  </si>
  <si>
    <t>TRMT11</t>
  </si>
  <si>
    <t>KDELC2</t>
  </si>
  <si>
    <t>LIMS2</t>
  </si>
  <si>
    <t>HEATR3</t>
  </si>
  <si>
    <t>KIF21A</t>
  </si>
  <si>
    <t>HDGFRP2</t>
  </si>
  <si>
    <t>DCXR</t>
  </si>
  <si>
    <t>WAPAL</t>
  </si>
  <si>
    <t>IRF2BP2</t>
  </si>
  <si>
    <t>HSD17B13</t>
  </si>
  <si>
    <t>CPEB2</t>
  </si>
  <si>
    <t>APBB1IP</t>
  </si>
  <si>
    <t>RBBP6</t>
  </si>
  <si>
    <t>PTAR1</t>
  </si>
  <si>
    <t>RABEPK</t>
  </si>
  <si>
    <t>HUWE1</t>
  </si>
  <si>
    <t>VPS13B</t>
  </si>
  <si>
    <t>CMC1</t>
  </si>
  <si>
    <t>CENPV</t>
  </si>
  <si>
    <t>PHLDB2</t>
  </si>
  <si>
    <t>GLRX5</t>
  </si>
  <si>
    <t>TRAPPC6B</t>
  </si>
  <si>
    <t>PATL1</t>
  </si>
  <si>
    <t>DPP9</t>
  </si>
  <si>
    <t>PRUNE</t>
  </si>
  <si>
    <t>SETD3</t>
  </si>
  <si>
    <t>ACOT1</t>
  </si>
  <si>
    <t>SERPINA11</t>
  </si>
  <si>
    <t>ISCA2</t>
  </si>
  <si>
    <t>PABPN1</t>
  </si>
  <si>
    <t>METTL3</t>
  </si>
  <si>
    <t>YRDC</t>
  </si>
  <si>
    <t>PRPF39</t>
  </si>
  <si>
    <t>MTDH</t>
  </si>
  <si>
    <t>ZNF598</t>
  </si>
  <si>
    <t>KTN1</t>
  </si>
  <si>
    <t>SMG6</t>
  </si>
  <si>
    <t>BCL9L</t>
  </si>
  <si>
    <t>CADPS2</t>
  </si>
  <si>
    <t>FERMT3</t>
  </si>
  <si>
    <t>NT5DC3</t>
  </si>
  <si>
    <t>LUZP1</t>
  </si>
  <si>
    <t>ALYREF</t>
  </si>
  <si>
    <t>ZC3H18</t>
  </si>
  <si>
    <t>VPS36</t>
  </si>
  <si>
    <t>CAND1</t>
  </si>
  <si>
    <t>TXNRD3</t>
  </si>
  <si>
    <t>FAM134C</t>
  </si>
  <si>
    <t>HOOK3</t>
  </si>
  <si>
    <t>COMMD7</t>
  </si>
  <si>
    <t>PPFIBP1</t>
  </si>
  <si>
    <t>BPHL</t>
  </si>
  <si>
    <t>LONP2</t>
  </si>
  <si>
    <t>CCDC25</t>
  </si>
  <si>
    <t>PROSER2</t>
  </si>
  <si>
    <t>LDHD</t>
  </si>
  <si>
    <t>RALGAPB</t>
  </si>
  <si>
    <t>RALGPS2</t>
  </si>
  <si>
    <t>CARM1</t>
  </si>
  <si>
    <t>NIT1</t>
  </si>
  <si>
    <t>COMMD2</t>
  </si>
  <si>
    <t>HOGA1</t>
  </si>
  <si>
    <t>DDX42</t>
  </si>
  <si>
    <t>VRK2</t>
  </si>
  <si>
    <t>HEATR2</t>
  </si>
  <si>
    <t>STX12</t>
  </si>
  <si>
    <t>ECHDC2</t>
  </si>
  <si>
    <t>ERO1LB</t>
  </si>
  <si>
    <t>PDSS2</t>
  </si>
  <si>
    <t>THNSL2</t>
  </si>
  <si>
    <t>GATAD2A</t>
  </si>
  <si>
    <t>RAB43</t>
  </si>
  <si>
    <t>C2CD5</t>
  </si>
  <si>
    <t>IRF2BP1</t>
  </si>
  <si>
    <t>CAMK1D</t>
  </si>
  <si>
    <t>RHPN2</t>
  </si>
  <si>
    <t>ERC1</t>
  </si>
  <si>
    <t>AGXT2L2</t>
  </si>
  <si>
    <t>PLD3</t>
  </si>
  <si>
    <t>LACC1</t>
  </si>
  <si>
    <t>ANKMY2</t>
  </si>
  <si>
    <t>LYSMD2</t>
  </si>
  <si>
    <t>NUDCD3</t>
  </si>
  <si>
    <t>MMAA</t>
  </si>
  <si>
    <t>CCDC50</t>
  </si>
  <si>
    <t>MCAT</t>
  </si>
  <si>
    <t>GLYCTK</t>
  </si>
  <si>
    <t>CARKD</t>
  </si>
  <si>
    <t>WDFY1</t>
  </si>
  <si>
    <t>TEX2</t>
  </si>
  <si>
    <t>FAM114A1</t>
  </si>
  <si>
    <t>GCC2</t>
  </si>
  <si>
    <t>HSCB</t>
  </si>
  <si>
    <t>LMTK2</t>
  </si>
  <si>
    <t>UBR1</t>
  </si>
  <si>
    <t>UBR2</t>
  </si>
  <si>
    <t>ARHGAP12</t>
  </si>
  <si>
    <t>ADHFE1</t>
  </si>
  <si>
    <t>CHERP</t>
  </si>
  <si>
    <t>ANKHD1</t>
  </si>
  <si>
    <t>SUGP1</t>
  </si>
  <si>
    <t>UEVLD</t>
  </si>
  <si>
    <t>ZFPM1</t>
  </si>
  <si>
    <t>CCAR1</t>
  </si>
  <si>
    <t>NELFCD</t>
  </si>
  <si>
    <t>SIRT2</t>
  </si>
  <si>
    <t>PHC2</t>
  </si>
  <si>
    <t>KIAA1704</t>
  </si>
  <si>
    <t>PARP9</t>
  </si>
  <si>
    <t>FTSJ3</t>
  </si>
  <si>
    <t>SMAP1</t>
  </si>
  <si>
    <t>DIS3L2</t>
  </si>
  <si>
    <t>SUPV3L1</t>
  </si>
  <si>
    <t>GSPT2</t>
  </si>
  <si>
    <t>EXOC8</t>
  </si>
  <si>
    <t>C1orf174</t>
  </si>
  <si>
    <t>THNSL1</t>
  </si>
  <si>
    <t>PM20D2</t>
  </si>
  <si>
    <t>FTSJD1</t>
  </si>
  <si>
    <t>ANKRD13A</t>
  </si>
  <si>
    <t>PHACTR4</t>
  </si>
  <si>
    <t>TRMT2A</t>
  </si>
  <si>
    <t>ALDH16A1</t>
  </si>
  <si>
    <t>DCP1B</t>
  </si>
  <si>
    <t>XRN1</t>
  </si>
  <si>
    <t>ABI1</t>
  </si>
  <si>
    <t>RDH10</t>
  </si>
  <si>
    <t>FAM185A</t>
  </si>
  <si>
    <t>FUK</t>
  </si>
  <si>
    <t>CLYBL</t>
  </si>
  <si>
    <t>SPG20</t>
  </si>
  <si>
    <t>MIER1</t>
  </si>
  <si>
    <t>CNPY4</t>
  </si>
  <si>
    <t>ADSSL1</t>
  </si>
  <si>
    <t>KIAA1967</t>
  </si>
  <si>
    <t>VPS52</t>
  </si>
  <si>
    <t>NUP93</t>
  </si>
  <si>
    <t>FTSJD2</t>
  </si>
  <si>
    <t>LRRC47</t>
  </si>
  <si>
    <t>DOCK4</t>
  </si>
  <si>
    <t>INTS1</t>
  </si>
  <si>
    <t>ANKRD35</t>
  </si>
  <si>
    <t>PYROXD2</t>
  </si>
  <si>
    <t>KDM8</t>
  </si>
  <si>
    <t>MICALL1</t>
  </si>
  <si>
    <t>SYNPO</t>
  </si>
  <si>
    <t>FNBP4</t>
  </si>
  <si>
    <t>D2HGDH</t>
  </si>
  <si>
    <t>PNKD</t>
  </si>
  <si>
    <t>MINK1</t>
  </si>
  <si>
    <t>C9orf41</t>
  </si>
  <si>
    <t>HDDC3</t>
  </si>
  <si>
    <t>ZADH2</t>
  </si>
  <si>
    <t>CHCHD4</t>
  </si>
  <si>
    <t>CBR4</t>
  </si>
  <si>
    <t>OXR1</t>
  </si>
  <si>
    <t>TTC39C</t>
  </si>
  <si>
    <t>TMEM57</t>
  </si>
  <si>
    <t>FAM63A</t>
  </si>
  <si>
    <t>RPP25L</t>
  </si>
  <si>
    <t>ATPAF2</t>
  </si>
  <si>
    <t>MRPL50</t>
  </si>
  <si>
    <t>ZC3H8</t>
  </si>
  <si>
    <t>NGEF</t>
  </si>
  <si>
    <t>AADAT</t>
  </si>
  <si>
    <t>FAM160A2</t>
  </si>
  <si>
    <t>CPSF7</t>
  </si>
  <si>
    <t>ARFGAP2</t>
  </si>
  <si>
    <t>C1orf52</t>
  </si>
  <si>
    <t>PTGR2</t>
  </si>
  <si>
    <t>C2orf69</t>
  </si>
  <si>
    <t>ENAH</t>
  </si>
  <si>
    <t>GBP7</t>
  </si>
  <si>
    <t>GPATCH11</t>
  </si>
  <si>
    <t>ACOT4</t>
  </si>
  <si>
    <t>LRRC57</t>
  </si>
  <si>
    <t>WDSUB1</t>
  </si>
  <si>
    <t>ZNF511</t>
  </si>
  <si>
    <t>PDDC1</t>
  </si>
  <si>
    <t>NHLRC2</t>
  </si>
  <si>
    <t>GOLM1</t>
  </si>
  <si>
    <t>SUMF2</t>
  </si>
  <si>
    <t>SUMF1</t>
  </si>
  <si>
    <t>POGLUT1</t>
  </si>
  <si>
    <t>RDH13</t>
  </si>
  <si>
    <t>SCCPDH</t>
  </si>
  <si>
    <t>ACBD4</t>
  </si>
  <si>
    <t>SERBP1</t>
  </si>
  <si>
    <t>NECAP1</t>
  </si>
  <si>
    <t>FAM98A</t>
  </si>
  <si>
    <t>PLA2G15</t>
  </si>
  <si>
    <t>MTMR14</t>
  </si>
  <si>
    <t>RNF169</t>
  </si>
  <si>
    <t>PDPR</t>
  </si>
  <si>
    <t>APOA1BP</t>
  </si>
  <si>
    <t>LRRC16B</t>
  </si>
  <si>
    <t>RNF214</t>
  </si>
  <si>
    <t>PPFIBP2</t>
  </si>
  <si>
    <t>CCNY</t>
  </si>
  <si>
    <t>NPEPL1</t>
  </si>
  <si>
    <t>EHBP1</t>
  </si>
  <si>
    <t>PSD4</t>
  </si>
  <si>
    <t>PHC3</t>
  </si>
  <si>
    <t>CHDH</t>
  </si>
  <si>
    <t>ABCF1</t>
  </si>
  <si>
    <t>PIK3C3</t>
  </si>
  <si>
    <t>PDZD8</t>
  </si>
  <si>
    <t>APPL2</t>
  </si>
  <si>
    <t>PPHLN1</t>
  </si>
  <si>
    <t>VPS37A</t>
  </si>
  <si>
    <t>FBXO22</t>
  </si>
  <si>
    <t>BOD1L1</t>
  </si>
  <si>
    <t>FLAD1</t>
  </si>
  <si>
    <t>NUP43</t>
  </si>
  <si>
    <t>NUP37</t>
  </si>
  <si>
    <t>REPS2</t>
  </si>
  <si>
    <t>ENGASE</t>
  </si>
  <si>
    <t>TOR1AIP2</t>
  </si>
  <si>
    <t>TSTD1</t>
  </si>
  <si>
    <t>ABHD11</t>
  </si>
  <si>
    <t>CMAS</t>
  </si>
  <si>
    <t>MYRIP</t>
  </si>
  <si>
    <t>ZNRF2</t>
  </si>
  <si>
    <t>TRY6</t>
  </si>
  <si>
    <t>INADL</t>
  </si>
  <si>
    <t>MPLKIP</t>
  </si>
  <si>
    <t>SMARCC2</t>
  </si>
  <si>
    <t>NPLOC4</t>
  </si>
  <si>
    <t>FAM76A</t>
  </si>
  <si>
    <t>CXorf38</t>
  </si>
  <si>
    <t>SPATA20</t>
  </si>
  <si>
    <t>RIN3</t>
  </si>
  <si>
    <t>NUBPL</t>
  </si>
  <si>
    <t>DEPTOR</t>
  </si>
  <si>
    <t>GOLGA5</t>
  </si>
  <si>
    <t>UBA3</t>
  </si>
  <si>
    <t>ZSCAN18</t>
  </si>
  <si>
    <t>FAM213B</t>
  </si>
  <si>
    <t>AGXT2L1</t>
  </si>
  <si>
    <t>PIP4K2C</t>
  </si>
  <si>
    <t>TBC1D15</t>
  </si>
  <si>
    <t>RDH11</t>
  </si>
  <si>
    <t>LRRC20</t>
  </si>
  <si>
    <t>NT5C</t>
  </si>
  <si>
    <t>FAM45A</t>
  </si>
  <si>
    <t>PNPT1</t>
  </si>
  <si>
    <t>BICD2</t>
  </si>
  <si>
    <t>NEK9</t>
  </si>
  <si>
    <t>GPT2</t>
  </si>
  <si>
    <t>DTX3L</t>
  </si>
  <si>
    <t>DDX54</t>
  </si>
  <si>
    <t>BLOC1S5</t>
  </si>
  <si>
    <t>ACMSD</t>
  </si>
  <si>
    <t>PANK1</t>
  </si>
  <si>
    <t>SSH3</t>
  </si>
  <si>
    <t>NSUN6</t>
  </si>
  <si>
    <t>TBCK</t>
  </si>
  <si>
    <t>DCAF11</t>
  </si>
  <si>
    <t>DENND1A</t>
  </si>
  <si>
    <t>GEMIN5</t>
  </si>
  <si>
    <t>SNED1</t>
  </si>
  <si>
    <t>ARHGEF40</t>
  </si>
  <si>
    <t>PARD3</t>
  </si>
  <si>
    <t>PARD3B</t>
  </si>
  <si>
    <t>IPO4</t>
  </si>
  <si>
    <t>PPP4R1</t>
  </si>
  <si>
    <t>DIS3L</t>
  </si>
  <si>
    <t>GIPC2</t>
  </si>
  <si>
    <t>SHROOM3</t>
  </si>
  <si>
    <t>WIPF2</t>
  </si>
  <si>
    <t>SETD7</t>
  </si>
  <si>
    <t>SCFD2</t>
  </si>
  <si>
    <t>SMAP2</t>
  </si>
  <si>
    <t>ZC3H15</t>
  </si>
  <si>
    <t>PPIL4</t>
  </si>
  <si>
    <t>TBC1D22A</t>
  </si>
  <si>
    <t>CCDC12</t>
  </si>
  <si>
    <t>PPP1R13L</t>
  </si>
  <si>
    <t>PDCD6IP</t>
  </si>
  <si>
    <t>UBTD2</t>
  </si>
  <si>
    <t>C15orf40</t>
  </si>
  <si>
    <t>BRK1</t>
  </si>
  <si>
    <t>BLNK</t>
  </si>
  <si>
    <t>NUDT8</t>
  </si>
  <si>
    <t>LEO1</t>
  </si>
  <si>
    <t>NUDCD2</t>
  </si>
  <si>
    <t>SCFD1</t>
  </si>
  <si>
    <t>TNFAIP8L1</t>
  </si>
  <si>
    <t>TRAPPC12</t>
  </si>
  <si>
    <t>UBLCP1</t>
  </si>
  <si>
    <t>PCNP</t>
  </si>
  <si>
    <t>SPRYD4</t>
  </si>
  <si>
    <t>ATXN2L</t>
  </si>
  <si>
    <t>RTN4IP1</t>
  </si>
  <si>
    <t>PRPF31</t>
  </si>
  <si>
    <t>NELFB</t>
  </si>
  <si>
    <t>PATE1</t>
  </si>
  <si>
    <t>RUFY2</t>
  </si>
  <si>
    <t>SREK1</t>
  </si>
  <si>
    <t>CASKIN2</t>
  </si>
  <si>
    <t>ATRIP</t>
  </si>
  <si>
    <t>PSPC1</t>
  </si>
  <si>
    <t>SYNE2</t>
  </si>
  <si>
    <t>ACOT11</t>
  </si>
  <si>
    <t>GATAD2B</t>
  </si>
  <si>
    <t>THAP4</t>
  </si>
  <si>
    <t>ACOT12</t>
  </si>
  <si>
    <t>ATG4A</t>
  </si>
  <si>
    <t>AHCTF1</t>
  </si>
  <si>
    <t>CHCHD10</t>
  </si>
  <si>
    <t>TTN</t>
  </si>
  <si>
    <t>OVCA2</t>
  </si>
  <si>
    <t>LZIC</t>
  </si>
  <si>
    <t>IRGQ</t>
  </si>
  <si>
    <t>DDB2</t>
  </si>
  <si>
    <t>DDX1</t>
  </si>
  <si>
    <t>HSD17B8</t>
  </si>
  <si>
    <t>FAM3C</t>
  </si>
  <si>
    <t>H1FX</t>
  </si>
  <si>
    <t>GBF1</t>
  </si>
  <si>
    <t>RTF1</t>
  </si>
  <si>
    <t>RGP1</t>
  </si>
  <si>
    <t>MRPS27</t>
  </si>
  <si>
    <t>ELMO1</t>
  </si>
  <si>
    <t>AP3S1</t>
  </si>
  <si>
    <t>UBXN4</t>
  </si>
  <si>
    <t>PHF3</t>
  </si>
  <si>
    <t>NDRG1</t>
  </si>
  <si>
    <t>HSPH1</t>
  </si>
  <si>
    <t>SEPT8</t>
  </si>
  <si>
    <t>RQCD1</t>
  </si>
  <si>
    <t>TBC1D5</t>
  </si>
  <si>
    <t>MYO18A</t>
  </si>
  <si>
    <t>GCN1L1</t>
  </si>
  <si>
    <t>DHX38</t>
  </si>
  <si>
    <t>NUP205</t>
  </si>
  <si>
    <t>MRPS31</t>
  </si>
  <si>
    <t>AKAP1</t>
  </si>
  <si>
    <t>ANP32B</t>
  </si>
  <si>
    <t>RABGGTA</t>
  </si>
  <si>
    <t>TFG</t>
  </si>
  <si>
    <t>USP6NL</t>
  </si>
  <si>
    <t>ARPC1A</t>
  </si>
  <si>
    <t>THRSP</t>
  </si>
  <si>
    <t>RREB1</t>
  </si>
  <si>
    <t>STAM</t>
  </si>
  <si>
    <t>DPF2</t>
  </si>
  <si>
    <t>PROX1</t>
  </si>
  <si>
    <t>CREBBP</t>
  </si>
  <si>
    <t>SYMPK</t>
  </si>
  <si>
    <t>GOLGA1</t>
  </si>
  <si>
    <t>EVPL</t>
  </si>
  <si>
    <t>GGH</t>
  </si>
  <si>
    <t>DDX17</t>
  </si>
  <si>
    <t>RAD50</t>
  </si>
  <si>
    <t>CELF1</t>
  </si>
  <si>
    <t>OSTF1</t>
  </si>
  <si>
    <t>ARHGEF1</t>
  </si>
  <si>
    <t>UFD1L</t>
  </si>
  <si>
    <t>GLG1</t>
  </si>
  <si>
    <t>UPF1</t>
  </si>
  <si>
    <t>COPS5</t>
  </si>
  <si>
    <t>GPKOW</t>
  </si>
  <si>
    <t>BAD</t>
  </si>
  <si>
    <t>KHSRP</t>
  </si>
  <si>
    <t>GCDH</t>
  </si>
  <si>
    <t>PRG4</t>
  </si>
  <si>
    <t>TNPO1</t>
  </si>
  <si>
    <t>EMG1</t>
  </si>
  <si>
    <t>CLP1</t>
  </si>
  <si>
    <t>GLMN</t>
  </si>
  <si>
    <t>USP9X</t>
  </si>
  <si>
    <t>NAT6</t>
  </si>
  <si>
    <t>CUL5</t>
  </si>
  <si>
    <t>LPP</t>
  </si>
  <si>
    <t>RBPMS</t>
  </si>
  <si>
    <t>SECISBP2L</t>
  </si>
  <si>
    <t>HIST1H2AC</t>
  </si>
  <si>
    <t>BHMT</t>
  </si>
  <si>
    <t>PTP4A1</t>
  </si>
  <si>
    <t>HGD</t>
  </si>
  <si>
    <t>PHKB</t>
  </si>
  <si>
    <t>TSR2</t>
  </si>
  <si>
    <t>RFK</t>
  </si>
  <si>
    <t>C19orf10</t>
  </si>
  <si>
    <t>GLYATL1</t>
  </si>
  <si>
    <t>YIPF5</t>
  </si>
  <si>
    <t>RPL36AL</t>
  </si>
  <si>
    <t>ZNF622</t>
  </si>
  <si>
    <t>GFM2</t>
  </si>
  <si>
    <t>NT5C3B</t>
  </si>
  <si>
    <t>GTPBP3</t>
  </si>
  <si>
    <t>TBRG4</t>
  </si>
  <si>
    <t>MARC2</t>
  </si>
  <si>
    <t>SYAP1</t>
  </si>
  <si>
    <t>EXOC4</t>
  </si>
  <si>
    <t>ISOC2</t>
  </si>
  <si>
    <t>NTAN1</t>
  </si>
  <si>
    <t>FERMT2</t>
  </si>
  <si>
    <t>FUBP1</t>
  </si>
  <si>
    <t>LRRC59</t>
  </si>
  <si>
    <t>KIAA1143</t>
  </si>
  <si>
    <t>RPE</t>
  </si>
  <si>
    <t>C18orf25</t>
  </si>
  <si>
    <t>EXOSC8</t>
  </si>
  <si>
    <t>AKT1S1</t>
  </si>
  <si>
    <t>C10orf32</t>
  </si>
  <si>
    <t>ZNF428</t>
  </si>
  <si>
    <t>LENG9</t>
  </si>
  <si>
    <t>SH3KBP1</t>
  </si>
  <si>
    <t>AIDA</t>
  </si>
  <si>
    <t>FAM105B</t>
  </si>
  <si>
    <t>PPWD1</t>
  </si>
  <si>
    <t>SELRC1</t>
  </si>
  <si>
    <t>PTER</t>
  </si>
  <si>
    <t>ATG2B</t>
  </si>
  <si>
    <t>LENG1</t>
  </si>
  <si>
    <t>FAM136A</t>
  </si>
  <si>
    <t>FGGY</t>
  </si>
  <si>
    <t>EFHD2</t>
  </si>
  <si>
    <t>GALM</t>
  </si>
  <si>
    <t>SYTL4</t>
  </si>
  <si>
    <t>DCPS</t>
  </si>
  <si>
    <t>INTS12</t>
  </si>
  <si>
    <t>FBXL8</t>
  </si>
  <si>
    <t>CHMP4C</t>
  </si>
  <si>
    <t>ISOC1</t>
  </si>
  <si>
    <t>GCC1</t>
  </si>
  <si>
    <t>FLYWCH2</t>
  </si>
  <si>
    <t>FAF2</t>
  </si>
  <si>
    <t>CCDC124</t>
  </si>
  <si>
    <t>FOXRED1</t>
  </si>
  <si>
    <t>OPTN</t>
  </si>
  <si>
    <t>AP2M1</t>
  </si>
  <si>
    <t>KCTD12</t>
  </si>
  <si>
    <t>NMD3</t>
  </si>
  <si>
    <t>REPS1</t>
  </si>
  <si>
    <t>ECHDC3</t>
  </si>
  <si>
    <t>NUDT16</t>
  </si>
  <si>
    <t>CMBL</t>
  </si>
  <si>
    <t>MSI2</t>
  </si>
  <si>
    <t>SNRNP40</t>
  </si>
  <si>
    <t>ARHGEF26</t>
  </si>
  <si>
    <t>DNAH11</t>
  </si>
  <si>
    <t>ASB9</t>
  </si>
  <si>
    <t>FAM122A</t>
  </si>
  <si>
    <t>MRRF</t>
  </si>
  <si>
    <t>RBMXL1</t>
  </si>
  <si>
    <t>ELP4</t>
  </si>
  <si>
    <t>HOOK2</t>
  </si>
  <si>
    <t>SEH1L</t>
  </si>
  <si>
    <t>TCEAL4</t>
  </si>
  <si>
    <t>GNPNAT1</t>
  </si>
  <si>
    <t>L3HYPDH</t>
  </si>
  <si>
    <t>MOCOS</t>
  </si>
  <si>
    <t>DAZAP1</t>
  </si>
  <si>
    <t>RBM33</t>
  </si>
  <si>
    <t>DTNBP1</t>
  </si>
  <si>
    <t>DNAJA3</t>
  </si>
  <si>
    <t>TMA16</t>
  </si>
  <si>
    <t>PTCD3</t>
  </si>
  <si>
    <t>MMAB</t>
  </si>
  <si>
    <t>SAT2</t>
  </si>
  <si>
    <t>NRBF2</t>
  </si>
  <si>
    <t>CCDC97</t>
  </si>
  <si>
    <t>DYNLL2</t>
  </si>
  <si>
    <t>SCRN2</t>
  </si>
  <si>
    <t>TRMT61A</t>
  </si>
  <si>
    <t>PGM2</t>
  </si>
  <si>
    <t>DUS3L</t>
  </si>
  <si>
    <t>SDSL</t>
  </si>
  <si>
    <t>PDXP</t>
  </si>
  <si>
    <t>CALML4</t>
  </si>
  <si>
    <t>RNF185</t>
  </si>
  <si>
    <t>DCUN1D1</t>
  </si>
  <si>
    <t>FAHD2A</t>
  </si>
  <si>
    <t>C17orf59</t>
  </si>
  <si>
    <t>MARS2</t>
  </si>
  <si>
    <t>APIP</t>
  </si>
  <si>
    <t>SNF8</t>
  </si>
  <si>
    <t>PDLIM5</t>
  </si>
  <si>
    <t>ACY3</t>
  </si>
  <si>
    <t>ERO1L</t>
  </si>
  <si>
    <t>C7orf55</t>
  </si>
  <si>
    <t>OXNAD1</t>
  </si>
  <si>
    <t>CDKN2AIPNL</t>
  </si>
  <si>
    <t>REEP6</t>
  </si>
  <si>
    <t>PGAM5</t>
  </si>
  <si>
    <t>DDRGK1</t>
  </si>
  <si>
    <t>DHTKD1</t>
  </si>
  <si>
    <t>SCLY</t>
  </si>
  <si>
    <t>PYURF</t>
  </si>
  <si>
    <t>FUBP3</t>
  </si>
  <si>
    <t>RBM17</t>
  </si>
  <si>
    <t>WBSCR16</t>
  </si>
  <si>
    <t>NARS2</t>
  </si>
  <si>
    <t>SUCLG2</t>
  </si>
  <si>
    <t>AJUBA</t>
  </si>
  <si>
    <t>LRCH3</t>
  </si>
  <si>
    <t>GMPPA</t>
  </si>
  <si>
    <t>ZNF414</t>
  </si>
  <si>
    <t>ABHD14B</t>
  </si>
  <si>
    <t>NGLY1</t>
  </si>
  <si>
    <t>CPB2</t>
  </si>
  <si>
    <t>PAWR</t>
  </si>
  <si>
    <t>ITCH</t>
  </si>
  <si>
    <t>COG3</t>
  </si>
  <si>
    <t>CDK5RAP3</t>
  </si>
  <si>
    <t>SEC16B</t>
  </si>
  <si>
    <t>CCDC132</t>
  </si>
  <si>
    <t>VCPIP1</t>
  </si>
  <si>
    <t>CHAMP1</t>
  </si>
  <si>
    <t>MYO15B</t>
  </si>
  <si>
    <t>ZFP91</t>
  </si>
  <si>
    <t>CLMN</t>
  </si>
  <si>
    <t>PDLIM2</t>
  </si>
  <si>
    <t>BTF3L4</t>
  </si>
  <si>
    <t>DNAJC1</t>
  </si>
  <si>
    <t>SCYL1</t>
  </si>
  <si>
    <t>ZNF512B</t>
  </si>
  <si>
    <t>EXOC2</t>
  </si>
  <si>
    <t>CNDP2</t>
  </si>
  <si>
    <t>ZFR</t>
  </si>
  <si>
    <t>EP400</t>
  </si>
  <si>
    <t>SNX27</t>
  </si>
  <si>
    <t>TRIM47</t>
  </si>
  <si>
    <t>SENP8</t>
  </si>
  <si>
    <t>DHRS1</t>
  </si>
  <si>
    <t>PRRC1</t>
  </si>
  <si>
    <t>FBXL18</t>
  </si>
  <si>
    <t>PCMTD1</t>
  </si>
  <si>
    <t>HEXIM2</t>
  </si>
  <si>
    <t>YTHDC1</t>
  </si>
  <si>
    <t>CCDC43</t>
  </si>
  <si>
    <t>WDR92</t>
  </si>
  <si>
    <t>DOCK7</t>
  </si>
  <si>
    <t>UROC1</t>
  </si>
  <si>
    <t>RILP</t>
  </si>
  <si>
    <t>ZNF830</t>
  </si>
  <si>
    <t>ZMAT2</t>
  </si>
  <si>
    <t>C8orf37</t>
  </si>
  <si>
    <t>NAP1L5</t>
  </si>
  <si>
    <t>AMDHD1</t>
  </si>
  <si>
    <t>PRAP1</t>
  </si>
  <si>
    <t>RPRD1A</t>
  </si>
  <si>
    <t>AGAP3</t>
  </si>
  <si>
    <t>ARAP1</t>
  </si>
  <si>
    <t>IPO9</t>
  </si>
  <si>
    <t>PGLYRP2</t>
  </si>
  <si>
    <t>MCEE</t>
  </si>
  <si>
    <t>RBM14</t>
  </si>
  <si>
    <t>RCHY1</t>
  </si>
  <si>
    <t>QKI</t>
  </si>
  <si>
    <t>LENG8</t>
  </si>
  <si>
    <t>PUS7</t>
  </si>
  <si>
    <t>TRAPPC9</t>
  </si>
  <si>
    <t>PLIN4</t>
  </si>
  <si>
    <t>TRNT1</t>
  </si>
  <si>
    <t>ALS2</t>
  </si>
  <si>
    <t>ALKBH3</t>
  </si>
  <si>
    <t>KIF20B</t>
  </si>
  <si>
    <t>PPP1R10</t>
  </si>
  <si>
    <t>VPS35</t>
  </si>
  <si>
    <t>PURB</t>
  </si>
  <si>
    <t>MAGI1</t>
  </si>
  <si>
    <t>SPAG5</t>
  </si>
  <si>
    <t>NACC1</t>
  </si>
  <si>
    <t>SNX18</t>
  </si>
  <si>
    <t>VPS13A</t>
  </si>
  <si>
    <t>MED15</t>
  </si>
  <si>
    <t>GFM1</t>
  </si>
  <si>
    <t>MCCC1</t>
  </si>
  <si>
    <t>NUDCD1</t>
  </si>
  <si>
    <t>ERBB2IP</t>
  </si>
  <si>
    <t>USP28</t>
  </si>
  <si>
    <t>FNBP1</t>
  </si>
  <si>
    <t>HMCN1</t>
  </si>
  <si>
    <t>C16orf13</t>
  </si>
  <si>
    <t>TP53RK</t>
  </si>
  <si>
    <t>WRNIP1</t>
  </si>
  <si>
    <t>RANBP9</t>
  </si>
  <si>
    <t>CLCC1</t>
  </si>
  <si>
    <t>PPP1R9B</t>
  </si>
  <si>
    <t>IWS1</t>
  </si>
  <si>
    <t>SIN3A</t>
  </si>
  <si>
    <t>OSBPL9</t>
  </si>
  <si>
    <t>ADO</t>
  </si>
  <si>
    <t>RBM15</t>
  </si>
  <si>
    <t>RUFY1</t>
  </si>
  <si>
    <t>SPEN</t>
  </si>
  <si>
    <t>MMS19</t>
  </si>
  <si>
    <t>MYCBP</t>
  </si>
  <si>
    <t>ACOX2</t>
  </si>
  <si>
    <t>TBCB</t>
  </si>
  <si>
    <t>PSMB7</t>
  </si>
  <si>
    <t>PCYT2</t>
  </si>
  <si>
    <t>CDC5L</t>
  </si>
  <si>
    <t>PSMD1</t>
  </si>
  <si>
    <t>SDF2</t>
  </si>
  <si>
    <t>PFDN5</t>
  </si>
  <si>
    <t>PAFAH2</t>
  </si>
  <si>
    <t>DDO</t>
  </si>
  <si>
    <t>PARK7</t>
  </si>
  <si>
    <t>NEU1</t>
  </si>
  <si>
    <t>VAT1</t>
  </si>
  <si>
    <t>LGMN</t>
  </si>
  <si>
    <t>DNAJC2</t>
  </si>
  <si>
    <t>MPHOSPH8</t>
  </si>
  <si>
    <t>NUP88</t>
  </si>
  <si>
    <t>PKP4</t>
  </si>
  <si>
    <t>PIK3R4</t>
  </si>
  <si>
    <t>POP1</t>
  </si>
  <si>
    <t>S100A13</t>
  </si>
  <si>
    <t>SCAF11</t>
  </si>
  <si>
    <t>TSNAX</t>
  </si>
  <si>
    <t>SEPHS2</t>
  </si>
  <si>
    <t>TTC1</t>
  </si>
  <si>
    <t>DNAJC7</t>
  </si>
  <si>
    <t>C12orf57</t>
  </si>
  <si>
    <t>SLC38A3</t>
  </si>
  <si>
    <t>COPS8</t>
  </si>
  <si>
    <t>MGLL</t>
  </si>
  <si>
    <t>ATXN2</t>
  </si>
  <si>
    <t>MTR</t>
  </si>
  <si>
    <t>HSD17B10</t>
  </si>
  <si>
    <t>NAP1L4</t>
  </si>
  <si>
    <t>MGST2</t>
  </si>
  <si>
    <t>NAPG</t>
  </si>
  <si>
    <t>TXN2</t>
  </si>
  <si>
    <t>ATP5S</t>
  </si>
  <si>
    <t>MIPEP</t>
  </si>
  <si>
    <t>ACO2</t>
  </si>
  <si>
    <t>COQ7</t>
  </si>
  <si>
    <t>CCT7</t>
  </si>
  <si>
    <t>MYD88</t>
  </si>
  <si>
    <t>HIST1H2AJ</t>
  </si>
  <si>
    <t>PTPN18</t>
  </si>
  <si>
    <t>PKP2</t>
  </si>
  <si>
    <t>SH3GL1</t>
  </si>
  <si>
    <t>AKAP9</t>
  </si>
  <si>
    <t>NIPSNAP1</t>
  </si>
  <si>
    <t>ARPC5L</t>
  </si>
  <si>
    <t>PAIP2</t>
  </si>
  <si>
    <t>ZFYVE21</t>
  </si>
  <si>
    <t>ELAC2</t>
  </si>
  <si>
    <t>C19orf43</t>
  </si>
  <si>
    <t>GRWD1</t>
  </si>
  <si>
    <t>MACROD1</t>
  </si>
  <si>
    <t>WDR77</t>
  </si>
  <si>
    <t>VKORC1</t>
  </si>
  <si>
    <t>TUBA1C</t>
  </si>
  <si>
    <t>APOL2</t>
  </si>
  <si>
    <t>MYBBP1A</t>
  </si>
  <si>
    <t>NUDT12</t>
  </si>
  <si>
    <t>LPIN3</t>
  </si>
  <si>
    <t>MGME1</t>
  </si>
  <si>
    <t>FYCO1</t>
  </si>
  <si>
    <t>ACBD6</t>
  </si>
  <si>
    <t>CORO1B</t>
  </si>
  <si>
    <t>TXNDC17</t>
  </si>
  <si>
    <t>CPPED1</t>
  </si>
  <si>
    <t>VPS25</t>
  </si>
  <si>
    <t>SDF4</t>
  </si>
  <si>
    <t>PAAF1</t>
  </si>
  <si>
    <t>WIBG</t>
  </si>
  <si>
    <t>MIEN1</t>
  </si>
  <si>
    <t>PELO</t>
  </si>
  <si>
    <t>TRIM56</t>
  </si>
  <si>
    <t>ERP44</t>
  </si>
  <si>
    <t>AGMAT</t>
  </si>
  <si>
    <t>TACO1</t>
  </si>
  <si>
    <t>HDHD3</t>
  </si>
  <si>
    <t>C17orf80</t>
  </si>
  <si>
    <t>ESYT1</t>
  </si>
  <si>
    <t>UBAC1</t>
  </si>
  <si>
    <t>RTKN</t>
  </si>
  <si>
    <t>C16orf70</t>
  </si>
  <si>
    <t>CHCHD5</t>
  </si>
  <si>
    <t>CNPY3</t>
  </si>
  <si>
    <t>ALKBH7</t>
  </si>
  <si>
    <t>PSMG3</t>
  </si>
  <si>
    <t>COPS4</t>
  </si>
  <si>
    <t>WAC</t>
  </si>
  <si>
    <t>DIDO1</t>
  </si>
  <si>
    <t>DCTN5</t>
  </si>
  <si>
    <t>MCMBP</t>
  </si>
  <si>
    <t>AARSD1</t>
  </si>
  <si>
    <t>FAM103A1</t>
  </si>
  <si>
    <t>ANP32E</t>
  </si>
  <si>
    <t>TBCD</t>
  </si>
  <si>
    <t>TTPAL</t>
  </si>
  <si>
    <t>FUCA2</t>
  </si>
  <si>
    <t>FAM203A</t>
  </si>
  <si>
    <t>DHRS4</t>
  </si>
  <si>
    <t>THTPA</t>
  </si>
  <si>
    <t>DOHH</t>
  </si>
  <si>
    <t>ISCA1</t>
  </si>
  <si>
    <t>C9orf142</t>
  </si>
  <si>
    <t>HNRNPUL1</t>
  </si>
  <si>
    <t>MSTO1</t>
  </si>
  <si>
    <t>EFHD1</t>
  </si>
  <si>
    <t>HTATIP2</t>
  </si>
  <si>
    <t>DDX23</t>
  </si>
  <si>
    <t>BDH2</t>
  </si>
  <si>
    <t>FAM195A</t>
  </si>
  <si>
    <t>C1orf50</t>
  </si>
  <si>
    <t>MRI1</t>
  </si>
  <si>
    <t>THUMPD3</t>
  </si>
  <si>
    <t>ADI1</t>
  </si>
  <si>
    <t>MECR</t>
  </si>
  <si>
    <t>NTMT1</t>
  </si>
  <si>
    <t>PBDC1</t>
  </si>
  <si>
    <t>DUSP23</t>
  </si>
  <si>
    <t>SELO</t>
  </si>
  <si>
    <t>GGACT</t>
  </si>
  <si>
    <t>TRMT61B</t>
  </si>
  <si>
    <t>NUP85</t>
  </si>
  <si>
    <t>DDA1</t>
  </si>
  <si>
    <t>HIRIP3</t>
  </si>
  <si>
    <t>IFT27</t>
  </si>
  <si>
    <t>CCDC94</t>
  </si>
  <si>
    <t>NUDT9</t>
  </si>
  <si>
    <t>TARS2</t>
  </si>
  <si>
    <t>ACAT2</t>
  </si>
  <si>
    <t>REPIN1</t>
  </si>
  <si>
    <t>SF3B5</t>
  </si>
  <si>
    <t>CHID1</t>
  </si>
  <si>
    <t>SLC4A1AP</t>
  </si>
  <si>
    <t>SORBS1</t>
  </si>
  <si>
    <t>HINT2</t>
  </si>
  <si>
    <t>SGPP1</t>
  </si>
  <si>
    <t>OSBPL11</t>
  </si>
  <si>
    <t>TBC1D10A</t>
  </si>
  <si>
    <t>NAA15</t>
  </si>
  <si>
    <t>BCL2L13</t>
  </si>
  <si>
    <t>SRRT</t>
  </si>
  <si>
    <t>QTRT1</t>
  </si>
  <si>
    <t>AP1M1</t>
  </si>
  <si>
    <t>NUSAP1</t>
  </si>
  <si>
    <t>C14orf142</t>
  </si>
  <si>
    <t>OSBPL1A</t>
  </si>
  <si>
    <t>CECR5</t>
  </si>
  <si>
    <t>ITPA</t>
  </si>
  <si>
    <t>RTFDC1</t>
  </si>
  <si>
    <t>CHMP4A</t>
  </si>
  <si>
    <t>PECR</t>
  </si>
  <si>
    <t>CADM1</t>
  </si>
  <si>
    <t>POLDIP3</t>
  </si>
  <si>
    <t>KIAA1671</t>
  </si>
  <si>
    <t>RBCK1</t>
  </si>
  <si>
    <t>SRXN1</t>
  </si>
  <si>
    <t>WNK3</t>
  </si>
  <si>
    <t>NLN</t>
  </si>
  <si>
    <t>AGXT2</t>
  </si>
  <si>
    <t>BCO2</t>
  </si>
  <si>
    <t>SETD2</t>
  </si>
  <si>
    <t>IFIH1</t>
  </si>
  <si>
    <t>DOCK9</t>
  </si>
  <si>
    <t>PUS3</t>
  </si>
  <si>
    <t>ASPSCR1</t>
  </si>
  <si>
    <t>OSBPL8</t>
  </si>
  <si>
    <t>WDR11</t>
  </si>
  <si>
    <t>UPF3B</t>
  </si>
  <si>
    <t>CRNKL1</t>
  </si>
  <si>
    <t>TBL1XR1</t>
  </si>
  <si>
    <t>UBL5</t>
  </si>
  <si>
    <t>PPP1R12C</t>
  </si>
  <si>
    <t>PLA2G12A</t>
  </si>
  <si>
    <t>API5</t>
  </si>
  <si>
    <t>DPY30</t>
  </si>
  <si>
    <t>UNK</t>
  </si>
  <si>
    <t>FTO</t>
  </si>
  <si>
    <t>ZDHHC5</t>
  </si>
  <si>
    <t>TNKS1BP1</t>
  </si>
  <si>
    <t>UBE2O</t>
  </si>
  <si>
    <t>SRCIN1</t>
  </si>
  <si>
    <t>MTMR12</t>
  </si>
  <si>
    <t>WDR33</t>
  </si>
  <si>
    <t>YIPF3</t>
  </si>
  <si>
    <t>TINAGL1</t>
  </si>
  <si>
    <t>C20orf27</t>
  </si>
  <si>
    <t>PITHD1</t>
  </si>
  <si>
    <t>COMMD5</t>
  </si>
  <si>
    <t>SLIRP</t>
  </si>
  <si>
    <t>NIF3L1</t>
  </si>
  <si>
    <t>EGLN1</t>
  </si>
  <si>
    <t>FAM192A</t>
  </si>
  <si>
    <t>MFF</t>
  </si>
  <si>
    <t>UBA5</t>
  </si>
  <si>
    <t>LHPP</t>
  </si>
  <si>
    <t>PAIP1</t>
  </si>
  <si>
    <t>FAM107B</t>
  </si>
  <si>
    <t>COMMD4</t>
  </si>
  <si>
    <t>ILKAP</t>
  </si>
  <si>
    <t>XRN2</t>
  </si>
  <si>
    <t>TOLLIP</t>
  </si>
  <si>
    <t>SHARPIN</t>
  </si>
  <si>
    <t>NSRP1</t>
  </si>
  <si>
    <t>SIK2</t>
  </si>
  <si>
    <t>CSTF2T</t>
  </si>
  <si>
    <t>NT5C3A</t>
  </si>
  <si>
    <t>HDHD2</t>
  </si>
  <si>
    <t>QRSL1</t>
  </si>
  <si>
    <t>RAB1B</t>
  </si>
  <si>
    <t>C11orf54</t>
  </si>
  <si>
    <t>SIL1</t>
  </si>
  <si>
    <t>IRF2BPL</t>
  </si>
  <si>
    <t>NUCKS1</t>
  </si>
  <si>
    <t>KIF13A</t>
  </si>
  <si>
    <t>UPF3A</t>
  </si>
  <si>
    <t>ZFYVE20</t>
  </si>
  <si>
    <t>ISCU</t>
  </si>
  <si>
    <t>OSBPL2</t>
  </si>
  <si>
    <t>ATG5</t>
  </si>
  <si>
    <t>WDR13</t>
  </si>
  <si>
    <t>EHD4</t>
  </si>
  <si>
    <t>GBA3</t>
  </si>
  <si>
    <t>VPS11</t>
  </si>
  <si>
    <t>ALDH8A1</t>
  </si>
  <si>
    <t>TRIOBP</t>
  </si>
  <si>
    <t>SLK</t>
  </si>
  <si>
    <t>PPIL3</t>
  </si>
  <si>
    <t>TAOK3</t>
  </si>
  <si>
    <t>BHMT2</t>
  </si>
  <si>
    <t>RAB3GAP2</t>
  </si>
  <si>
    <t>ADNP</t>
  </si>
  <si>
    <t>DPH5</t>
  </si>
  <si>
    <t>DHX36</t>
  </si>
  <si>
    <t>PPA2</t>
  </si>
  <si>
    <t>MRPL46</t>
  </si>
  <si>
    <t>PNN</t>
  </si>
  <si>
    <t>EPB41L4B</t>
  </si>
  <si>
    <t>CPVL</t>
  </si>
  <si>
    <t>C11orf68</t>
  </si>
  <si>
    <t>BOLA2</t>
  </si>
  <si>
    <t>TMX1</t>
  </si>
  <si>
    <t>NELFA</t>
  </si>
  <si>
    <t>ACBD3</t>
  </si>
  <si>
    <t>CDC42EP4</t>
  </si>
  <si>
    <t>PTPN23</t>
  </si>
  <si>
    <t>UNC45A</t>
  </si>
  <si>
    <t>CHMP4B</t>
  </si>
  <si>
    <t>RBKS</t>
  </si>
  <si>
    <t>FN3K</t>
  </si>
  <si>
    <t>POFUT1</t>
  </si>
  <si>
    <t>RNPEP</t>
  </si>
  <si>
    <t>GOLPH3</t>
  </si>
  <si>
    <t>OSGEPL1</t>
  </si>
  <si>
    <t>ZHX3</t>
  </si>
  <si>
    <t>SMARCAD1</t>
  </si>
  <si>
    <t>EHD1</t>
  </si>
  <si>
    <t>PCIF1</t>
  </si>
  <si>
    <t>RABEP2</t>
  </si>
  <si>
    <t>TFB2M</t>
  </si>
  <si>
    <t>CXorf56</t>
  </si>
  <si>
    <t>TUT1</t>
  </si>
  <si>
    <t>NARFL</t>
  </si>
  <si>
    <t>ACSS3</t>
  </si>
  <si>
    <t>YTHDC2</t>
  </si>
  <si>
    <t>EPS8L2</t>
  </si>
  <si>
    <t>ESRP2</t>
  </si>
  <si>
    <t>BCAS3</t>
  </si>
  <si>
    <t>DCTPP1</t>
  </si>
  <si>
    <t>ELAC1</t>
  </si>
  <si>
    <t>SH2D4A</t>
  </si>
  <si>
    <t>AAMDC</t>
  </si>
  <si>
    <t>DOCK5</t>
  </si>
  <si>
    <t>TDRD3</t>
  </si>
  <si>
    <t>SCAF1</t>
  </si>
  <si>
    <t>KAT8</t>
  </si>
  <si>
    <t>PTGES2</t>
  </si>
  <si>
    <t>UBE2Z</t>
  </si>
  <si>
    <t>ACAD9</t>
  </si>
  <si>
    <t>FAM188A</t>
  </si>
  <si>
    <t>MOB1A</t>
  </si>
  <si>
    <t>AKTIP</t>
  </si>
  <si>
    <t>PLEKHF2</t>
  </si>
  <si>
    <t>GORASP2</t>
  </si>
  <si>
    <t>PSTPIP2</t>
  </si>
  <si>
    <t>QTRTD1</t>
  </si>
  <si>
    <t>C6orf211</t>
  </si>
  <si>
    <t>CNOT10</t>
  </si>
  <si>
    <t>LRRC40</t>
  </si>
  <si>
    <t>EHMT1</t>
  </si>
  <si>
    <t>SFXN1</t>
  </si>
  <si>
    <t>VIPAS39</t>
  </si>
  <si>
    <t>COG4</t>
  </si>
  <si>
    <t>AGO3</t>
  </si>
  <si>
    <t>MRPL44</t>
  </si>
  <si>
    <t>ISG20L2</t>
  </si>
  <si>
    <t>ELP3</t>
  </si>
  <si>
    <t>UCK1</t>
  </si>
  <si>
    <t>FN3KRP</t>
  </si>
  <si>
    <t>TBC1D17</t>
  </si>
  <si>
    <t>CARS2</t>
  </si>
  <si>
    <t>PPCS</t>
  </si>
  <si>
    <t>C7orf10</t>
  </si>
  <si>
    <t>SAP30L</t>
  </si>
  <si>
    <t>NMNAT1</t>
  </si>
  <si>
    <t>SIAE</t>
  </si>
  <si>
    <t>PLEKHA5</t>
  </si>
  <si>
    <t>UPF2</t>
  </si>
  <si>
    <t>XPO5</t>
  </si>
  <si>
    <t>GRPEL1</t>
  </si>
  <si>
    <t>C12orf10</t>
  </si>
  <si>
    <t>PLEKHA1</t>
  </si>
  <si>
    <t>CACYBP</t>
  </si>
  <si>
    <t>RRAGC</t>
  </si>
  <si>
    <t>ZFYVE1</t>
  </si>
  <si>
    <t>PDF</t>
  </si>
  <si>
    <t>AS3MT</t>
  </si>
  <si>
    <t>NMRAL1</t>
  </si>
  <si>
    <t>SGK2</t>
  </si>
  <si>
    <t>EML4</t>
  </si>
  <si>
    <t>GLOD4</t>
  </si>
  <si>
    <t>CBX8</t>
  </si>
  <si>
    <t>SPON1</t>
  </si>
  <si>
    <t>MCCC2</t>
  </si>
  <si>
    <t>ZFYVE28</t>
  </si>
  <si>
    <t>MOV10</t>
  </si>
  <si>
    <t>METTL14</t>
  </si>
  <si>
    <t>ARHGEF10L</t>
  </si>
  <si>
    <t>ZFP14</t>
  </si>
  <si>
    <t>EPB41L5</t>
  </si>
  <si>
    <t>GPN1</t>
  </si>
  <si>
    <t>SDF2L1</t>
  </si>
  <si>
    <t>SRA1</t>
  </si>
  <si>
    <t>GOPC</t>
  </si>
  <si>
    <t>LYRM4</t>
  </si>
  <si>
    <t>SEPSECS</t>
  </si>
  <si>
    <t>CHMP1A</t>
  </si>
  <si>
    <t>RANGRF</t>
  </si>
  <si>
    <t>RETN</t>
  </si>
  <si>
    <t>APMAP</t>
  </si>
  <si>
    <t>ARFGAP3</t>
  </si>
  <si>
    <t>MLXIPL</t>
  </si>
  <si>
    <t>RAB18</t>
  </si>
  <si>
    <t>ALG13</t>
  </si>
  <si>
    <t>PALMD</t>
  </si>
  <si>
    <t>SSU72</t>
  </si>
  <si>
    <t>VTA1</t>
  </si>
  <si>
    <t>DYNLRB1</t>
  </si>
  <si>
    <t>ENY2</t>
  </si>
  <si>
    <t>EXOSC4</t>
  </si>
  <si>
    <t>NOP10</t>
  </si>
  <si>
    <t>OSGEP</t>
  </si>
  <si>
    <t>UBN1</t>
  </si>
  <si>
    <t>ACP6</t>
  </si>
  <si>
    <t>ACOT13</t>
  </si>
  <si>
    <t>RIC8A</t>
  </si>
  <si>
    <t>TIGAR</t>
  </si>
  <si>
    <t>A1CF</t>
  </si>
  <si>
    <t>RPRD1B</t>
  </si>
  <si>
    <t>XPNPEP3</t>
  </si>
  <si>
    <t>PFDN4</t>
  </si>
  <si>
    <t>NIT2</t>
  </si>
  <si>
    <t>AVEN</t>
  </si>
  <si>
    <t>EXOSC5</t>
  </si>
  <si>
    <t>KIF13B</t>
  </si>
  <si>
    <t>XPNPEP1</t>
  </si>
  <si>
    <t>GPHN</t>
  </si>
  <si>
    <t>UTP3</t>
  </si>
  <si>
    <t>PDLIM7</t>
  </si>
  <si>
    <t>ACSS2</t>
  </si>
  <si>
    <t>DIABLO</t>
  </si>
  <si>
    <t>DDX21</t>
  </si>
  <si>
    <t>SAR1A</t>
  </si>
  <si>
    <t>NANS</t>
  </si>
  <si>
    <t>EIF2B3</t>
  </si>
  <si>
    <t>CTPS2</t>
  </si>
  <si>
    <t>SDR39U1</t>
  </si>
  <si>
    <t>AASDHPPT</t>
  </si>
  <si>
    <t>ACN9</t>
  </si>
  <si>
    <t>UBQLN4</t>
  </si>
  <si>
    <t>SNX15</t>
  </si>
  <si>
    <t>HEBP1</t>
  </si>
  <si>
    <t>VPS45</t>
  </si>
  <si>
    <t>PHPT1</t>
  </si>
  <si>
    <t>INIP</t>
  </si>
  <si>
    <t>ARHGAP35</t>
  </si>
  <si>
    <t>FAM114A2</t>
  </si>
  <si>
    <t>LANCL2</t>
  </si>
  <si>
    <t>CTNNBIP1</t>
  </si>
  <si>
    <t>HOMER2</t>
  </si>
  <si>
    <t>IARS2</t>
  </si>
  <si>
    <t>KLC4</t>
  </si>
  <si>
    <t>NRBP2</t>
  </si>
  <si>
    <t>STARD5</t>
  </si>
  <si>
    <t>ATG3</t>
  </si>
  <si>
    <t>SIRT3</t>
  </si>
  <si>
    <t>PDS5B</t>
  </si>
  <si>
    <t>MAN2C1</t>
  </si>
  <si>
    <t>OLA1</t>
  </si>
  <si>
    <t>CUTC</t>
  </si>
  <si>
    <t>SEMA4G</t>
  </si>
  <si>
    <t>ECHDC1</t>
  </si>
  <si>
    <t>RBM12</t>
  </si>
  <si>
    <t>LYRM2</t>
  </si>
  <si>
    <t>DECR2</t>
  </si>
  <si>
    <t>ABHD10</t>
  </si>
  <si>
    <t>C19orf66</t>
  </si>
  <si>
    <t>BLOC1S4</t>
  </si>
  <si>
    <t>LIN7C</t>
  </si>
  <si>
    <t>TXLNG</t>
  </si>
  <si>
    <t>SPATS2L</t>
  </si>
  <si>
    <t>ABCF3</t>
  </si>
  <si>
    <t>FAM49B</t>
  </si>
  <si>
    <t>GIMAP4</t>
  </si>
  <si>
    <t>TBC1D23</t>
  </si>
  <si>
    <t>NUDT15</t>
  </si>
  <si>
    <t>MRGBP</t>
  </si>
  <si>
    <t>EXOC1</t>
  </si>
  <si>
    <t>PARVA</t>
  </si>
  <si>
    <t>PANK4</t>
  </si>
  <si>
    <t>ETNK2</t>
  </si>
  <si>
    <t>TBC1D13</t>
  </si>
  <si>
    <t>EXD2</t>
  </si>
  <si>
    <t>TMLHE</t>
  </si>
  <si>
    <t>PRMT7</t>
  </si>
  <si>
    <t>DNAJC17</t>
  </si>
  <si>
    <t>PNPO</t>
  </si>
  <si>
    <t>ARMC1</t>
  </si>
  <si>
    <t>SDAD1</t>
  </si>
  <si>
    <t>NLE1</t>
  </si>
  <si>
    <t>NECAP2</t>
  </si>
  <si>
    <t>RBM28</t>
  </si>
  <si>
    <t>RBM22</t>
  </si>
  <si>
    <t>BSDC1</t>
  </si>
  <si>
    <t>WDR70</t>
  </si>
  <si>
    <t>ARGLU1</t>
  </si>
  <si>
    <t>SLTM</t>
  </si>
  <si>
    <t>ZNHIT6</t>
  </si>
  <si>
    <t>AURKAIP1</t>
  </si>
  <si>
    <t>OXSM</t>
  </si>
  <si>
    <t>C1orf123</t>
  </si>
  <si>
    <t>THG1L</t>
  </si>
  <si>
    <t>C4orf27</t>
  </si>
  <si>
    <t>IRAK4</t>
  </si>
  <si>
    <t>TXNL4B</t>
  </si>
  <si>
    <t>TRNAU1AP</t>
  </si>
  <si>
    <t>COMMD8</t>
  </si>
  <si>
    <t>NDUFB11</t>
  </si>
  <si>
    <t>FAM206A</t>
  </si>
  <si>
    <t>ADPRHL2</t>
  </si>
  <si>
    <t>HYPK</t>
  </si>
  <si>
    <t>DUS2L</t>
  </si>
  <si>
    <t>SIRT5</t>
  </si>
  <si>
    <t>MTMR10</t>
  </si>
  <si>
    <t>THUMPD1</t>
  </si>
  <si>
    <t>TRMT1</t>
  </si>
  <si>
    <t>BRE</t>
  </si>
  <si>
    <t>ARL15</t>
  </si>
  <si>
    <t>CDKN2AIP</t>
  </si>
  <si>
    <t>DNAJB12</t>
  </si>
  <si>
    <t>ALKBH4</t>
  </si>
  <si>
    <t>PPP4R2</t>
  </si>
  <si>
    <t>DPP3</t>
  </si>
  <si>
    <t>TERF2IP</t>
  </si>
  <si>
    <t>BCLAF1</t>
  </si>
  <si>
    <t>COA4</t>
  </si>
  <si>
    <t>TAB2</t>
  </si>
  <si>
    <t>MLTK</t>
  </si>
  <si>
    <t>TMOD3</t>
  </si>
  <si>
    <t>HAO2</t>
  </si>
  <si>
    <t>UGGT1</t>
  </si>
  <si>
    <t>CDK12</t>
  </si>
  <si>
    <t>FASTKD2</t>
  </si>
  <si>
    <t>ERAP1</t>
  </si>
  <si>
    <t>ACTR10</t>
  </si>
  <si>
    <t>C9orf78</t>
  </si>
  <si>
    <t>FAM120A</t>
  </si>
  <si>
    <t>MOCS1</t>
  </si>
  <si>
    <t>GLTP</t>
  </si>
  <si>
    <t>SPG21</t>
  </si>
  <si>
    <t>SACS</t>
  </si>
  <si>
    <t>COQ3</t>
  </si>
  <si>
    <t>NUDT4</t>
  </si>
  <si>
    <t>HSPBP1</t>
  </si>
  <si>
    <t>MAT2B</t>
  </si>
  <si>
    <t>ITSN2</t>
  </si>
  <si>
    <t>ARHGEF12</t>
  </si>
  <si>
    <t>CNOT2</t>
  </si>
  <si>
    <t>C1RL</t>
  </si>
  <si>
    <t>OGFR</t>
  </si>
  <si>
    <t>LMCD1</t>
  </si>
  <si>
    <t>CHMP5</t>
  </si>
  <si>
    <t>COMMD9</t>
  </si>
  <si>
    <t>CWC15</t>
  </si>
  <si>
    <t>THYN1</t>
  </si>
  <si>
    <t>NDUFAF4</t>
  </si>
  <si>
    <t>PDP1</t>
  </si>
  <si>
    <t>RAI14</t>
  </si>
  <si>
    <t>VAPA</t>
  </si>
  <si>
    <t>AKAP7</t>
  </si>
  <si>
    <t>C6orf203</t>
  </si>
  <si>
    <t>GSKIP</t>
  </si>
  <si>
    <t>PIPOX</t>
  </si>
  <si>
    <t>ABRACL</t>
  </si>
  <si>
    <t>CAMSAP3</t>
  </si>
  <si>
    <t>CALCOCO1</t>
  </si>
  <si>
    <t>KIAA1522</t>
  </si>
  <si>
    <t>VPS18</t>
  </si>
  <si>
    <t>RCC2</t>
  </si>
  <si>
    <t>KIAA1468</t>
  </si>
  <si>
    <t>DIP2B</t>
  </si>
  <si>
    <t>KIAA1462</t>
  </si>
  <si>
    <t>SLAIN2</t>
  </si>
  <si>
    <t>BCCIP</t>
  </si>
  <si>
    <t>COPZ2</t>
  </si>
  <si>
    <t>IBTK</t>
  </si>
  <si>
    <t>HEATR5B</t>
  </si>
  <si>
    <t>RRBP1</t>
  </si>
  <si>
    <t>CPSF2</t>
  </si>
  <si>
    <t>EIF2AK4</t>
  </si>
  <si>
    <t>CGN</t>
  </si>
  <si>
    <t>RBM27</t>
  </si>
  <si>
    <t>ANKFY1</t>
  </si>
  <si>
    <t>RERE</t>
  </si>
  <si>
    <t>IMPACT</t>
  </si>
  <si>
    <t>ATXN10</t>
  </si>
  <si>
    <t>MBD2</t>
  </si>
  <si>
    <t>EPS15L1</t>
  </si>
  <si>
    <t>SAE1</t>
  </si>
  <si>
    <t>COPG2</t>
  </si>
  <si>
    <t>RNF7</t>
  </si>
  <si>
    <t>COMMD3</t>
  </si>
  <si>
    <t>GNG12</t>
  </si>
  <si>
    <t>MTRR</t>
  </si>
  <si>
    <t>DHCR7</t>
  </si>
  <si>
    <t>HDAC6</t>
  </si>
  <si>
    <t>SPAST</t>
  </si>
  <si>
    <t>METTL1</t>
  </si>
  <si>
    <t>VPS29</t>
  </si>
  <si>
    <t>GRHPR</t>
  </si>
  <si>
    <t>UPB1</t>
  </si>
  <si>
    <t>CTSZ</t>
  </si>
  <si>
    <t>DNAJB11</t>
  </si>
  <si>
    <t>RNF14</t>
  </si>
  <si>
    <t>UBA2</t>
  </si>
  <si>
    <t>PEF1</t>
  </si>
  <si>
    <t>ZMYM2</t>
  </si>
  <si>
    <t>COPS7A</t>
  </si>
  <si>
    <t>CTSF</t>
  </si>
  <si>
    <t>AASS</t>
  </si>
  <si>
    <t>SEC14L4</t>
  </si>
  <si>
    <t>TJP2</t>
  </si>
  <si>
    <t>MALT1</t>
  </si>
  <si>
    <t>VTI1B</t>
  </si>
  <si>
    <t>ADD3</t>
  </si>
  <si>
    <t>C19orf25</t>
  </si>
  <si>
    <t>NIPSNAP3A</t>
  </si>
  <si>
    <t>CGGBP1</t>
  </si>
  <si>
    <t>MTRF1L</t>
  </si>
  <si>
    <t>TES</t>
  </si>
  <si>
    <t>PRKAG2</t>
  </si>
  <si>
    <t>STAP2</t>
  </si>
  <si>
    <t>LIMD1</t>
  </si>
  <si>
    <t>ARMCX3</t>
  </si>
  <si>
    <t>SWAP70</t>
  </si>
  <si>
    <t>LAMTOR3</t>
  </si>
  <si>
    <t>LIMA1</t>
  </si>
  <si>
    <t>AFF4</t>
  </si>
  <si>
    <t>SRP68</t>
  </si>
  <si>
    <t>CHORDC1</t>
  </si>
  <si>
    <t>TBK1</t>
  </si>
  <si>
    <t>SEPT9</t>
  </si>
  <si>
    <t>UBQLN2</t>
  </si>
  <si>
    <t>PCYOX1</t>
  </si>
  <si>
    <t>SHPK</t>
  </si>
  <si>
    <t>DPP7</t>
  </si>
  <si>
    <t>BAIAP2L1</t>
  </si>
  <si>
    <t>PFDN2</t>
  </si>
  <si>
    <t>PUF60</t>
  </si>
  <si>
    <t>ENOPH1</t>
  </si>
  <si>
    <t>EVL</t>
  </si>
  <si>
    <t>EIF2B4</t>
  </si>
  <si>
    <t>ATP6V1H</t>
  </si>
  <si>
    <t>DMGDH</t>
  </si>
  <si>
    <t>GLS2</t>
  </si>
  <si>
    <t>XPO7</t>
  </si>
  <si>
    <t>VPS51</t>
  </si>
  <si>
    <t>ATPIF1</t>
  </si>
  <si>
    <t>AK3</t>
  </si>
  <si>
    <t>SCOC</t>
  </si>
  <si>
    <t>RABGEF1</t>
  </si>
  <si>
    <t>MSRA</t>
  </si>
  <si>
    <t>NAGK</t>
  </si>
  <si>
    <t>TRMT6</t>
  </si>
  <si>
    <t>SH3BGRL2</t>
  </si>
  <si>
    <t>ERRFI1</t>
  </si>
  <si>
    <t>HAO1</t>
  </si>
  <si>
    <t>SLC25A13</t>
  </si>
  <si>
    <t>DBNL</t>
  </si>
  <si>
    <t>DCTN4</t>
  </si>
  <si>
    <t>GGA1</t>
  </si>
  <si>
    <t>FBXO2</t>
  </si>
  <si>
    <t>LSM7</t>
  </si>
  <si>
    <t>SERPINA10</t>
  </si>
  <si>
    <t>DBR1</t>
  </si>
  <si>
    <t>FBXO3</t>
  </si>
  <si>
    <t>AKAP11</t>
  </si>
  <si>
    <t>DNAJC12</t>
  </si>
  <si>
    <t>TNIK</t>
  </si>
  <si>
    <t>CPSF3</t>
  </si>
  <si>
    <t>APPL1</t>
  </si>
  <si>
    <t>CROT</t>
  </si>
  <si>
    <t>TLK1</t>
  </si>
  <si>
    <t>GPATCH8</t>
  </si>
  <si>
    <t>NUDT5</t>
  </si>
  <si>
    <t>RCOR1</t>
  </si>
  <si>
    <t>PCTP</t>
  </si>
  <si>
    <t>GTF3C4</t>
  </si>
  <si>
    <t>PACSIN3</t>
  </si>
  <si>
    <t>FBXO4</t>
  </si>
  <si>
    <t>ACAD8</t>
  </si>
  <si>
    <t>AGO2</t>
  </si>
  <si>
    <t>NUP50</t>
  </si>
  <si>
    <t>CDV3</t>
  </si>
  <si>
    <t>SARDH</t>
  </si>
  <si>
    <t>RAB21</t>
  </si>
  <si>
    <t>RAB22A</t>
  </si>
  <si>
    <t>PNMA2</t>
  </si>
  <si>
    <t>PSME2</t>
  </si>
  <si>
    <t>DNPEP</t>
  </si>
  <si>
    <t>MCTS1</t>
  </si>
  <si>
    <t>ACSL5</t>
  </si>
  <si>
    <t>OGDHL</t>
  </si>
  <si>
    <t>MTUS1</t>
  </si>
  <si>
    <t>MKL2</t>
  </si>
  <si>
    <t>ZBTB21</t>
  </si>
  <si>
    <t>ZMIZ1</t>
  </si>
  <si>
    <t>TBC1D24</t>
  </si>
  <si>
    <t>HECTD1</t>
  </si>
  <si>
    <t>CORO1C</t>
  </si>
  <si>
    <t>PYCARD</t>
  </si>
  <si>
    <t>EPDR1</t>
  </si>
  <si>
    <t>NFU1</t>
  </si>
  <si>
    <t>PRPF19</t>
  </si>
  <si>
    <t>UBQLN1</t>
  </si>
  <si>
    <t>NENF</t>
  </si>
  <si>
    <t>SNX12</t>
  </si>
  <si>
    <t>SYNRG</t>
  </si>
  <si>
    <t>NDRG2</t>
  </si>
  <si>
    <t>G3BP2</t>
  </si>
  <si>
    <t>STUB1</t>
  </si>
  <si>
    <t>PACSIN2</t>
  </si>
  <si>
    <t>SNX6</t>
  </si>
  <si>
    <t>PSMD13</t>
  </si>
  <si>
    <t>FAF1</t>
  </si>
  <si>
    <t>COPS3</t>
  </si>
  <si>
    <t>MINPP1</t>
  </si>
  <si>
    <t>NSFL1C</t>
  </si>
  <si>
    <t>COG5</t>
  </si>
  <si>
    <t>SCAF8</t>
  </si>
  <si>
    <t>PPP6R1</t>
  </si>
  <si>
    <t>PHF8</t>
  </si>
  <si>
    <t>AGAP1</t>
  </si>
  <si>
    <t>TNRC6B</t>
  </si>
  <si>
    <t>PLCL2</t>
  </si>
  <si>
    <t>EXOC7</t>
  </si>
  <si>
    <t>ZC3H4</t>
  </si>
  <si>
    <t>USP24</t>
  </si>
  <si>
    <t>TBC1D2B</t>
  </si>
  <si>
    <t>SHANK2</t>
  </si>
  <si>
    <t>DICER1</t>
  </si>
  <si>
    <t>MAPRE3</t>
  </si>
  <si>
    <t>SRRM2</t>
  </si>
  <si>
    <t>PA2G4</t>
  </si>
  <si>
    <t>BAIAP2</t>
  </si>
  <si>
    <t>SMC3</t>
  </si>
  <si>
    <t>MTMR6</t>
  </si>
  <si>
    <t>GNE</t>
  </si>
  <si>
    <t>C14orf166</t>
  </si>
  <si>
    <t>RUVBL2</t>
  </si>
  <si>
    <t>PIN4</t>
  </si>
  <si>
    <t>CHKB</t>
  </si>
  <si>
    <t>EIF3L</t>
  </si>
  <si>
    <t>PLAA</t>
  </si>
  <si>
    <t>RUVBL1</t>
  </si>
  <si>
    <t>NUDC</t>
  </si>
  <si>
    <t>CFL2</t>
  </si>
  <si>
    <t>DRG1</t>
  </si>
  <si>
    <t>TRAPPC4</t>
  </si>
  <si>
    <t>NCKAP1</t>
  </si>
  <si>
    <t>CNPY2</t>
  </si>
  <si>
    <t>EXOC6B</t>
  </si>
  <si>
    <t>AKAP2</t>
  </si>
  <si>
    <t>DIP2C</t>
  </si>
  <si>
    <t>POFUT2</t>
  </si>
  <si>
    <t>NISCH</t>
  </si>
  <si>
    <t>EPB41L3</t>
  </si>
  <si>
    <t>KDM2A</t>
  </si>
  <si>
    <t>DIS3</t>
  </si>
  <si>
    <t>LRCH1</t>
  </si>
  <si>
    <t>SLC27A5</t>
  </si>
  <si>
    <t>GSTK1</t>
  </si>
  <si>
    <t>LAMTOR2</t>
  </si>
  <si>
    <t>MRPS7</t>
  </si>
  <si>
    <t>CRYL1</t>
  </si>
  <si>
    <t>TMA7</t>
  </si>
  <si>
    <t>POLDIP2</t>
  </si>
  <si>
    <t>AP3M1</t>
  </si>
  <si>
    <t>GDA</t>
  </si>
  <si>
    <t>MAP3K2</t>
  </si>
  <si>
    <t>LEMD3</t>
  </si>
  <si>
    <t>CARHSP1</t>
  </si>
  <si>
    <t>COG6</t>
  </si>
  <si>
    <t>THRAP3</t>
  </si>
  <si>
    <t>NOP58</t>
  </si>
  <si>
    <t>SUGT1</t>
  </si>
  <si>
    <t>MTO1</t>
  </si>
  <si>
    <t>YARS2</t>
  </si>
  <si>
    <t>COQ6</t>
  </si>
  <si>
    <t>AMDHD2</t>
  </si>
  <si>
    <t>ACOT9</t>
  </si>
  <si>
    <t>AAR2</t>
  </si>
  <si>
    <t>NOSIP</t>
  </si>
  <si>
    <t>DERA</t>
  </si>
  <si>
    <t>MEMO1</t>
  </si>
  <si>
    <t>LSM2</t>
  </si>
  <si>
    <t>SH3GLB1</t>
  </si>
  <si>
    <t>CAB39</t>
  </si>
  <si>
    <t>LUC7L2</t>
  </si>
  <si>
    <t>UBE2J1</t>
  </si>
  <si>
    <t>MOB4</t>
  </si>
  <si>
    <t>SBDS</t>
  </si>
  <si>
    <t>RRP15</t>
  </si>
  <si>
    <t>NOP16</t>
  </si>
  <si>
    <t>TPRKB</t>
  </si>
  <si>
    <t>PPIL1</t>
  </si>
  <si>
    <t>UFC1</t>
  </si>
  <si>
    <t>FAM96B</t>
  </si>
  <si>
    <t>MSRB2</t>
  </si>
  <si>
    <t>FIS1</t>
  </si>
  <si>
    <t>TAF9</t>
  </si>
  <si>
    <t>MRPS23</t>
  </si>
  <si>
    <t>BOLA1</t>
  </si>
  <si>
    <t>STRAP</t>
  </si>
  <si>
    <t>C22orf28</t>
  </si>
  <si>
    <t>FBXO7</t>
  </si>
  <si>
    <t>RAP2C</t>
  </si>
  <si>
    <t>RABGAP1</t>
  </si>
  <si>
    <t>ZNF330</t>
  </si>
  <si>
    <t>CCDC9</t>
  </si>
  <si>
    <t>CHTOP</t>
  </si>
  <si>
    <t>SAMHD1</t>
  </si>
  <si>
    <t>HBS1L</t>
  </si>
  <si>
    <t>TLN1</t>
  </si>
  <si>
    <t>VPRBP</t>
  </si>
  <si>
    <t>FAM115A</t>
  </si>
  <si>
    <t>USP15</t>
  </si>
  <si>
    <t>FARP1</t>
  </si>
  <si>
    <t>TLN2</t>
  </si>
  <si>
    <t>IRS2</t>
  </si>
  <si>
    <t>MYO5A</t>
  </si>
  <si>
    <t>AIM1</t>
  </si>
  <si>
    <t>TRAF6</t>
  </si>
  <si>
    <t>WIPI2</t>
  </si>
  <si>
    <t>MMACHC</t>
  </si>
  <si>
    <t>AFG3L2</t>
  </si>
  <si>
    <t>ARIH1</t>
  </si>
  <si>
    <t>LSM4</t>
  </si>
  <si>
    <t>RNF114</t>
  </si>
  <si>
    <t>PRRC2C</t>
  </si>
  <si>
    <t>HSPB11</t>
  </si>
  <si>
    <t>PPME1</t>
  </si>
  <si>
    <t>KCTD3</t>
  </si>
  <si>
    <t>NUB1</t>
  </si>
  <si>
    <t>YTHDF2</t>
  </si>
  <si>
    <t>CTDP1</t>
  </si>
  <si>
    <t>SUPT16H</t>
  </si>
  <si>
    <t>TIMM9</t>
  </si>
  <si>
    <t>UCHL5</t>
  </si>
  <si>
    <t>CD2AP</t>
  </si>
  <si>
    <t>ATP6V1D</t>
  </si>
  <si>
    <t>TNPO3</t>
  </si>
  <si>
    <t>TIMM13</t>
  </si>
  <si>
    <t>COL4A3BP</t>
  </si>
  <si>
    <t>GMPPB</t>
  </si>
  <si>
    <t>CDC42BPB</t>
  </si>
  <si>
    <t>RBM8A</t>
  </si>
  <si>
    <t>TSSC4</t>
  </si>
  <si>
    <t>ZNF706</t>
  </si>
  <si>
    <t>SNX9</t>
  </si>
  <si>
    <t>SNX5</t>
  </si>
  <si>
    <t>NUBP2</t>
  </si>
  <si>
    <t>HEBP2</t>
  </si>
  <si>
    <t>LRRFIP2</t>
  </si>
  <si>
    <t>PSAT1</t>
  </si>
  <si>
    <t>CPQ</t>
  </si>
  <si>
    <t>COPG1</t>
  </si>
  <si>
    <t>FKBP7</t>
  </si>
  <si>
    <t>CLIC4</t>
  </si>
  <si>
    <t>NFS1</t>
  </si>
  <si>
    <t>C16orf80</t>
  </si>
  <si>
    <t>SAR1B</t>
  </si>
  <si>
    <t>ARFGEF2</t>
  </si>
  <si>
    <t>ARFGEF1</t>
  </si>
  <si>
    <t>COMMD10</t>
  </si>
  <si>
    <t>DYNC1LI1</t>
  </si>
  <si>
    <t>CHCHD2</t>
  </si>
  <si>
    <t>EPN1</t>
  </si>
  <si>
    <t>TEX264</t>
  </si>
  <si>
    <t>OAS3</t>
  </si>
  <si>
    <t>IKBKG</t>
  </si>
  <si>
    <t>SQRDL</t>
  </si>
  <si>
    <t>CAPN7</t>
  </si>
  <si>
    <t>WASF2</t>
  </si>
  <si>
    <t>ENPP4</t>
  </si>
  <si>
    <t>ZHX2</t>
  </si>
  <si>
    <t>KIAA0999</t>
  </si>
  <si>
    <t>PSMB9</t>
  </si>
  <si>
    <t>RAB3GAP1</t>
  </si>
  <si>
    <t>MRPS16</t>
  </si>
  <si>
    <t>C10orf11</t>
  </si>
  <si>
    <t>HN1L</t>
  </si>
  <si>
    <t>CHCHD1</t>
  </si>
  <si>
    <t>RENBP</t>
  </si>
  <si>
    <t>DIAPH2</t>
  </si>
  <si>
    <t>SHROOM1</t>
  </si>
  <si>
    <t>ITSN1</t>
  </si>
  <si>
    <t>FMR1</t>
  </si>
  <si>
    <t>DSCR3</t>
  </si>
  <si>
    <t>NAE1</t>
  </si>
  <si>
    <t>HOOK1</t>
  </si>
  <si>
    <t>TUBA4A</t>
  </si>
  <si>
    <t>TSC22D4</t>
  </si>
  <si>
    <t>MATR3</t>
  </si>
  <si>
    <t>POP4</t>
  </si>
  <si>
    <t>SRRM1</t>
  </si>
  <si>
    <t>PFKFB2</t>
  </si>
  <si>
    <t>BAG6</t>
  </si>
  <si>
    <t>CAPZB</t>
  </si>
  <si>
    <t>EIF4ENIF1</t>
  </si>
  <si>
    <t>NFIA</t>
  </si>
  <si>
    <t>UQCC</t>
  </si>
  <si>
    <t>PEA15</t>
  </si>
  <si>
    <t>CDC37L1</t>
  </si>
  <si>
    <t>PALM2-AKAP2</t>
  </si>
  <si>
    <t>GUK1</t>
  </si>
  <si>
    <t>GMEB1</t>
  </si>
  <si>
    <t>HDAC2</t>
  </si>
  <si>
    <t>LZTFL1</t>
  </si>
  <si>
    <t>PHF23</t>
  </si>
  <si>
    <t>RXRA</t>
  </si>
  <si>
    <t>RPUSD2</t>
  </si>
  <si>
    <t>CNN2</t>
  </si>
  <si>
    <t>MON1B</t>
  </si>
  <si>
    <t>CTNNBL1</t>
  </si>
  <si>
    <t>CCT8</t>
  </si>
  <si>
    <t>EIF3F</t>
  </si>
  <si>
    <t>NSF</t>
  </si>
  <si>
    <t>MRPS18B</t>
  </si>
  <si>
    <t>HUS1</t>
  </si>
  <si>
    <t>COMMD1</t>
  </si>
  <si>
    <t>CTNNB1</t>
  </si>
  <si>
    <t>CCNT2</t>
  </si>
  <si>
    <t>MAP1S</t>
  </si>
  <si>
    <t>BNIP3</t>
  </si>
  <si>
    <t>ACSF2</t>
  </si>
  <si>
    <t>RAB5A</t>
  </si>
  <si>
    <t>SNRPD3</t>
  </si>
  <si>
    <t>CS</t>
  </si>
  <si>
    <t>EXOSC10</t>
  </si>
  <si>
    <t>COMP</t>
  </si>
  <si>
    <t>LSR</t>
  </si>
  <si>
    <t>ATP5C1</t>
  </si>
  <si>
    <t>CHURC1-FNTB</t>
  </si>
  <si>
    <t>CDC27</t>
  </si>
  <si>
    <t>SLC25A10</t>
  </si>
  <si>
    <t>DDX5</t>
  </si>
  <si>
    <t>KDSR</t>
  </si>
  <si>
    <t>ASUN</t>
  </si>
  <si>
    <t>PTGES3</t>
  </si>
  <si>
    <t>MKRN2</t>
  </si>
  <si>
    <t>TOX4</t>
  </si>
  <si>
    <t>EIF2A</t>
  </si>
  <si>
    <t>GOSR1</t>
  </si>
  <si>
    <t>PGD</t>
  </si>
  <si>
    <t>STK24</t>
  </si>
  <si>
    <t>CHM</t>
  </si>
  <si>
    <t>LSM14A</t>
  </si>
  <si>
    <t>LIG1</t>
  </si>
  <si>
    <t>BPNT1</t>
  </si>
  <si>
    <t>EIF3D</t>
  </si>
  <si>
    <t>HACL1</t>
  </si>
  <si>
    <t>KRT72</t>
  </si>
  <si>
    <t>FXR1</t>
  </si>
  <si>
    <t>NUP35</t>
  </si>
  <si>
    <t>NUP107</t>
  </si>
  <si>
    <t>RMDN1</t>
  </si>
  <si>
    <t>ATE1</t>
  </si>
  <si>
    <t>PBXIP1</t>
  </si>
  <si>
    <t>STOML2</t>
  </si>
  <si>
    <t>CFB</t>
  </si>
  <si>
    <t>SFRS3</t>
  </si>
  <si>
    <t>IGFBP4</t>
  </si>
  <si>
    <t>CECR1</t>
  </si>
  <si>
    <t>RPA3</t>
  </si>
  <si>
    <t>PES1</t>
  </si>
  <si>
    <t>GGT2</t>
  </si>
  <si>
    <t>RPS7</t>
  </si>
  <si>
    <t>PDIA6</t>
  </si>
  <si>
    <t>PPM1F</t>
  </si>
  <si>
    <t>R3HDM2</t>
  </si>
  <si>
    <t>CABIN1</t>
  </si>
  <si>
    <t>CWC22</t>
  </si>
  <si>
    <t>CYTH1</t>
  </si>
  <si>
    <t>CHN2</t>
  </si>
  <si>
    <t>MAOB</t>
  </si>
  <si>
    <t>MTMR9</t>
  </si>
  <si>
    <t>COG2</t>
  </si>
  <si>
    <t>NDRG3</t>
  </si>
  <si>
    <t>GAB1</t>
  </si>
  <si>
    <t>ALAD</t>
  </si>
  <si>
    <t>DNASE2</t>
  </si>
  <si>
    <t>WBP4</t>
  </si>
  <si>
    <t>ERF</t>
  </si>
  <si>
    <t>TANGO2</t>
  </si>
  <si>
    <t>ARMC8</t>
  </si>
  <si>
    <t>DECR1</t>
  </si>
  <si>
    <t>SMPDL3A</t>
  </si>
  <si>
    <t>RANBP3</t>
  </si>
  <si>
    <t>GRB14</t>
  </si>
  <si>
    <t>ATL2</t>
  </si>
  <si>
    <t>USP7</t>
  </si>
  <si>
    <t>DHCR24</t>
  </si>
  <si>
    <t>PTPN3</t>
  </si>
  <si>
    <t>NADK2</t>
  </si>
  <si>
    <t>F11R</t>
  </si>
  <si>
    <t>ATP1B1</t>
  </si>
  <si>
    <t>GALK2</t>
  </si>
  <si>
    <t>MED20</t>
  </si>
  <si>
    <t>SH3GLB2</t>
  </si>
  <si>
    <t>PPP2R5E</t>
  </si>
  <si>
    <t>TARSL2</t>
  </si>
  <si>
    <t>EDEM3</t>
  </si>
  <si>
    <t>WIZ</t>
  </si>
  <si>
    <t>METTL5</t>
  </si>
  <si>
    <t>MPP6</t>
  </si>
  <si>
    <t>RPL31</t>
  </si>
  <si>
    <t>PTMA</t>
  </si>
  <si>
    <t>TCEB2</t>
  </si>
  <si>
    <t>COA5</t>
  </si>
  <si>
    <t>POLR1A</t>
  </si>
  <si>
    <t>TRIM22</t>
  </si>
  <si>
    <t>CHMP2B</t>
  </si>
  <si>
    <t>SRI</t>
  </si>
  <si>
    <t>RNF181</t>
  </si>
  <si>
    <t>UBE2F</t>
  </si>
  <si>
    <t>IMMT</t>
  </si>
  <si>
    <t>PDCD10</t>
  </si>
  <si>
    <t>IGFBP1</t>
  </si>
  <si>
    <t>PFN2</t>
  </si>
  <si>
    <t>HDAC10</t>
  </si>
  <si>
    <t>RPSA</t>
  </si>
  <si>
    <t>FXN</t>
  </si>
  <si>
    <t>ARHGAP25</t>
  </si>
  <si>
    <t>PSPH</t>
  </si>
  <si>
    <t>POLR2H</t>
  </si>
  <si>
    <t>NCOR2</t>
  </si>
  <si>
    <t>EIF4E2</t>
  </si>
  <si>
    <t>GPS1</t>
  </si>
  <si>
    <t>CYP8B1</t>
  </si>
  <si>
    <t>AAMP</t>
  </si>
  <si>
    <t>RMDN2</t>
  </si>
  <si>
    <t>ATG4B</t>
  </si>
  <si>
    <t>OARD1</t>
  </si>
  <si>
    <t>SMARCAL1</t>
  </si>
  <si>
    <t>CCDC58</t>
  </si>
  <si>
    <t>NME6</t>
  </si>
  <si>
    <t>GCK</t>
  </si>
  <si>
    <t>PPIH</t>
  </si>
  <si>
    <t>STK11IP</t>
  </si>
  <si>
    <t>GRB10</t>
  </si>
  <si>
    <t>L2HGDH</t>
  </si>
  <si>
    <t>TENC1</t>
  </si>
  <si>
    <t>RCC1</t>
  </si>
  <si>
    <t>RPL24</t>
  </si>
  <si>
    <t>LBR</t>
  </si>
  <si>
    <t>DHRS2</t>
  </si>
  <si>
    <t>UBE2H</t>
  </si>
  <si>
    <t>IFIT1</t>
  </si>
  <si>
    <t>SUPT4H1</t>
  </si>
  <si>
    <t>CXADR</t>
  </si>
  <si>
    <t>KRI1</t>
  </si>
  <si>
    <t>RBM47</t>
  </si>
  <si>
    <t>CDK7</t>
  </si>
  <si>
    <t>HNRNPAB</t>
  </si>
  <si>
    <t>SH3RF1</t>
  </si>
  <si>
    <t>AMACR</t>
  </si>
  <si>
    <t>OCIAD1</t>
  </si>
  <si>
    <t>LEMD2</t>
  </si>
  <si>
    <t>HSD17B11</t>
  </si>
  <si>
    <t>RPS23</t>
  </si>
  <si>
    <t>PET112</t>
  </si>
  <si>
    <t>CALCOCO2</t>
  </si>
  <si>
    <t>CXCL6</t>
  </si>
  <si>
    <t>SEPT11</t>
  </si>
  <si>
    <t>RNASET2</t>
  </si>
  <si>
    <t>C15orf38-AP3S2</t>
  </si>
  <si>
    <t>C1orf198</t>
  </si>
  <si>
    <t>CHRAC1</t>
  </si>
  <si>
    <t>STMN2</t>
  </si>
  <si>
    <t>TCEB1</t>
  </si>
  <si>
    <t>AP3B1</t>
  </si>
  <si>
    <t>SKP1</t>
  </si>
  <si>
    <t>COPS6</t>
  </si>
  <si>
    <t>ASAH1</t>
  </si>
  <si>
    <t>TNIP1</t>
  </si>
  <si>
    <t>TACC2</t>
  </si>
  <si>
    <t>SETMAR</t>
  </si>
  <si>
    <t>SSFA2</t>
  </si>
  <si>
    <t>SYNE1</t>
  </si>
  <si>
    <t>COL3A1</t>
  </si>
  <si>
    <t>TOM1</t>
  </si>
  <si>
    <t>PDXDC1</t>
  </si>
  <si>
    <t>NAA50</t>
  </si>
  <si>
    <t>TANK</t>
  </si>
  <si>
    <t>POLR1C</t>
  </si>
  <si>
    <t>ACIN1</t>
  </si>
  <si>
    <t>RPL15</t>
  </si>
  <si>
    <t>HMGB3</t>
  </si>
  <si>
    <t>NAT10</t>
  </si>
  <si>
    <t>AMOTL1</t>
  </si>
  <si>
    <t>U2SURP</t>
  </si>
  <si>
    <t>PCM1</t>
  </si>
  <si>
    <t>BPTF</t>
  </si>
  <si>
    <t>BZW2</t>
  </si>
  <si>
    <t>CSNK2A1</t>
  </si>
  <si>
    <t>PRKDC</t>
  </si>
  <si>
    <t>ARFGAP1</t>
  </si>
  <si>
    <t>PRPF3</t>
  </si>
  <si>
    <t>PBRM1</t>
  </si>
  <si>
    <t>CYFIP2</t>
  </si>
  <si>
    <t>PTPRM</t>
  </si>
  <si>
    <t>SEPT10</t>
  </si>
  <si>
    <t>UBAP2</t>
  </si>
  <si>
    <t>MAP4K4</t>
  </si>
  <si>
    <t>HEATR5A</t>
  </si>
  <si>
    <t>PDHX</t>
  </si>
  <si>
    <t>COG1</t>
  </si>
  <si>
    <t>BDH1</t>
  </si>
  <si>
    <t>UBR7</t>
  </si>
  <si>
    <t>HNRNPH1</t>
  </si>
  <si>
    <t>ARVCF</t>
  </si>
  <si>
    <t>AR</t>
  </si>
  <si>
    <t>DIAPH1</t>
  </si>
  <si>
    <t>NUP155</t>
  </si>
  <si>
    <t>TBL2</t>
  </si>
  <si>
    <t>CEP170B</t>
  </si>
  <si>
    <t>EGFR</t>
  </si>
  <si>
    <t>PPP2R5D</t>
  </si>
  <si>
    <t>AAK1</t>
  </si>
  <si>
    <t>TNS1</t>
  </si>
  <si>
    <t>MGEA5</t>
  </si>
  <si>
    <t>FAM13A</t>
  </si>
  <si>
    <t>TSN</t>
  </si>
  <si>
    <t>PRDX3</t>
  </si>
  <si>
    <t>CLEC3B</t>
  </si>
  <si>
    <t>LARS2</t>
  </si>
  <si>
    <t>MROH1</t>
  </si>
  <si>
    <t>GLI1</t>
  </si>
  <si>
    <t>STX17</t>
  </si>
  <si>
    <t>TXNRD1</t>
  </si>
  <si>
    <t>PHRF1</t>
  </si>
  <si>
    <t>UBXN1</t>
  </si>
  <si>
    <t>C11orf73</t>
  </si>
  <si>
    <t>CYHR1</t>
  </si>
  <si>
    <t>MKNK1</t>
  </si>
  <si>
    <t>EEF1D</t>
  </si>
  <si>
    <t>PARP10</t>
  </si>
  <si>
    <t>SORL1</t>
  </si>
  <si>
    <t>PLEKHA7</t>
  </si>
  <si>
    <t>PRMT1</t>
  </si>
  <si>
    <t>TTC9C</t>
  </si>
  <si>
    <t>PPIE</t>
  </si>
  <si>
    <t>HYOU1</t>
  </si>
  <si>
    <t>PDE4DIP</t>
  </si>
  <si>
    <t>NEDD8-MDP1</t>
  </si>
  <si>
    <t>NPEPPS</t>
  </si>
  <si>
    <t>USP47</t>
  </si>
  <si>
    <t>C11orf58</t>
  </si>
  <si>
    <t>CLNS1A</t>
  </si>
  <si>
    <t>FAM118B</t>
  </si>
  <si>
    <t>LMO7</t>
  </si>
  <si>
    <t>TPD52L1</t>
  </si>
  <si>
    <t>PTS</t>
  </si>
  <si>
    <t>STX5</t>
  </si>
  <si>
    <t>CD59</t>
  </si>
  <si>
    <t>RPL8</t>
  </si>
  <si>
    <t>ATG13</t>
  </si>
  <si>
    <t>GAS2</t>
  </si>
  <si>
    <t>VPS28</t>
  </si>
  <si>
    <t>MAPK3</t>
  </si>
  <si>
    <t>ACP2</t>
  </si>
  <si>
    <t>VNN2</t>
  </si>
  <si>
    <t>RPS6KA1</t>
  </si>
  <si>
    <t>FAM120B</t>
  </si>
  <si>
    <t>CPNE1</t>
  </si>
  <si>
    <t>XPO4</t>
  </si>
  <si>
    <t>ESYT2</t>
  </si>
  <si>
    <t>TSEN15</t>
  </si>
  <si>
    <t>CCDC53</t>
  </si>
  <si>
    <t>WNK1</t>
  </si>
  <si>
    <t>CHD4</t>
  </si>
  <si>
    <t>TRMT112</t>
  </si>
  <si>
    <t>SUCLA2</t>
  </si>
  <si>
    <t>ALCAM</t>
  </si>
  <si>
    <t>C8B</t>
  </si>
  <si>
    <t>UNG</t>
  </si>
  <si>
    <t>RPS6KA3</t>
  </si>
  <si>
    <t>STRN4</t>
  </si>
  <si>
    <t>OTUB1</t>
  </si>
  <si>
    <t>APLP2</t>
  </si>
  <si>
    <t>GABARAPL1</t>
  </si>
  <si>
    <t>CD163</t>
  </si>
  <si>
    <t>TRIM21</t>
  </si>
  <si>
    <t>ENO2</t>
  </si>
  <si>
    <t>SEC23IP</t>
  </si>
  <si>
    <t>RAB35</t>
  </si>
  <si>
    <t>TXNRD2</t>
  </si>
  <si>
    <t>LRBA</t>
  </si>
  <si>
    <t>STARD10</t>
  </si>
  <si>
    <t>UACA</t>
  </si>
  <si>
    <t>KIAA1715</t>
  </si>
  <si>
    <t>TJP3</t>
  </si>
  <si>
    <t>EIF3A</t>
  </si>
  <si>
    <t>SEC23A</t>
  </si>
  <si>
    <t>TSG101</t>
  </si>
  <si>
    <t>RAD9A</t>
  </si>
  <si>
    <t>KPNA6</t>
  </si>
  <si>
    <t>PEX14</t>
  </si>
  <si>
    <t>CYP3A5</t>
  </si>
  <si>
    <t>NUP133</t>
  </si>
  <si>
    <t>CLASP2</t>
  </si>
  <si>
    <t>LARS</t>
  </si>
  <si>
    <t>WBP11</t>
  </si>
  <si>
    <t>MGST1</t>
  </si>
  <si>
    <t>RPTOR</t>
  </si>
  <si>
    <t>OGDH</t>
  </si>
  <si>
    <t>TRAP1</t>
  </si>
  <si>
    <t>XRCC1</t>
  </si>
  <si>
    <t>ASH2L</t>
  </si>
  <si>
    <t>MVK</t>
  </si>
  <si>
    <t>POGZ</t>
  </si>
  <si>
    <t>RABGAP1L</t>
  </si>
  <si>
    <t>EPN2</t>
  </si>
  <si>
    <t>SIPA1</t>
  </si>
  <si>
    <t>PDE12</t>
  </si>
  <si>
    <t>SMARCA1</t>
  </si>
  <si>
    <t>PPP3R1</t>
  </si>
  <si>
    <t>CSRP2</t>
  </si>
  <si>
    <t>METTL7A</t>
  </si>
  <si>
    <t>SLC38A4</t>
  </si>
  <si>
    <t>NFYB</t>
  </si>
  <si>
    <t>RPLP0</t>
  </si>
  <si>
    <t>RPL18</t>
  </si>
  <si>
    <t>SLC25A3</t>
  </si>
  <si>
    <t>COQ5</t>
  </si>
  <si>
    <t>CASP9</t>
  </si>
  <si>
    <t>MON2</t>
  </si>
  <si>
    <t>FGD4</t>
  </si>
  <si>
    <t>OAS1</t>
  </si>
  <si>
    <t>NACA</t>
  </si>
  <si>
    <t>C17orf49</t>
  </si>
  <si>
    <t>NAP1L1</t>
  </si>
  <si>
    <t>AK2</t>
  </si>
  <si>
    <t>BTD</t>
  </si>
  <si>
    <t>MYL6</t>
  </si>
  <si>
    <t>GMPS</t>
  </si>
  <si>
    <t>GOLIM4</t>
  </si>
  <si>
    <t>RPL10</t>
  </si>
  <si>
    <t>FAM21A</t>
  </si>
  <si>
    <t>TIA1</t>
  </si>
  <si>
    <t>ABLIM1</t>
  </si>
  <si>
    <t>CCDC93</t>
  </si>
  <si>
    <t>STAG2</t>
  </si>
  <si>
    <t>ZFAND2B</t>
  </si>
  <si>
    <t>DLGAP4</t>
  </si>
  <si>
    <t>CPSF6</t>
  </si>
  <si>
    <t>PCBP2</t>
  </si>
  <si>
    <t>CASP1</t>
  </si>
  <si>
    <t>LOH12CR1</t>
  </si>
  <si>
    <t>ISYNA1</t>
  </si>
  <si>
    <t>ASPG</t>
  </si>
  <si>
    <t>METTL10</t>
  </si>
  <si>
    <t>ACYP1</t>
  </si>
  <si>
    <t>RNASE1</t>
  </si>
  <si>
    <t>SPATA7</t>
  </si>
  <si>
    <t>DCAF8</t>
  </si>
  <si>
    <t>ATXN3</t>
  </si>
  <si>
    <t>AP4S1</t>
  </si>
  <si>
    <t>CHD2</t>
  </si>
  <si>
    <t>HNRNPC</t>
  </si>
  <si>
    <t>CTAGE5</t>
  </si>
  <si>
    <t>CCNK</t>
  </si>
  <si>
    <t>GSTZ1</t>
  </si>
  <si>
    <t>NEMF</t>
  </si>
  <si>
    <t>ARID1B</t>
  </si>
  <si>
    <t>CFI</t>
  </si>
  <si>
    <t>TIMM8B</t>
  </si>
  <si>
    <t>SOS1</t>
  </si>
  <si>
    <t>MRPS22</t>
  </si>
  <si>
    <t>FNDC3A</t>
  </si>
  <si>
    <t>PDIA3</t>
  </si>
  <si>
    <t>PUS1</t>
  </si>
  <si>
    <t>MIA3</t>
  </si>
  <si>
    <t>TIPIN</t>
  </si>
  <si>
    <t>WDR45</t>
  </si>
  <si>
    <t>PACS2</t>
  </si>
  <si>
    <t>RPL35</t>
  </si>
  <si>
    <t>EIF4G2</t>
  </si>
  <si>
    <t>IMPDH2</t>
  </si>
  <si>
    <t>NBAS</t>
  </si>
  <si>
    <t>TRIM33</t>
  </si>
  <si>
    <t>UFM1</t>
  </si>
  <si>
    <t>PYCRL</t>
  </si>
  <si>
    <t>GOLGA4</t>
  </si>
  <si>
    <t>MED12</t>
  </si>
  <si>
    <t>THOC2</t>
  </si>
  <si>
    <t>UFSP2</t>
  </si>
  <si>
    <t>FAT1</t>
  </si>
  <si>
    <t>TGFBI</t>
  </si>
  <si>
    <t>PCBD2</t>
  </si>
  <si>
    <t>RBM24</t>
  </si>
  <si>
    <t>MAN2B2</t>
  </si>
  <si>
    <t>APBB2</t>
  </si>
  <si>
    <t>EEF1E1</t>
  </si>
  <si>
    <t>MRPS28</t>
  </si>
  <si>
    <t>MTFR1</t>
  </si>
  <si>
    <t>RCOR3</t>
  </si>
  <si>
    <t>PPP5C</t>
  </si>
  <si>
    <t>C11orf31</t>
  </si>
  <si>
    <t>SSSCA1</t>
  </si>
  <si>
    <t>TMEM126B</t>
  </si>
  <si>
    <t>PUM1</t>
  </si>
  <si>
    <t>RASSF7</t>
  </si>
  <si>
    <t>RPS2</t>
  </si>
  <si>
    <t>SMPD1</t>
  </si>
  <si>
    <t>RSF1</t>
  </si>
  <si>
    <t>LAMTOR1</t>
  </si>
  <si>
    <t>PRPF40A</t>
  </si>
  <si>
    <t>REXO2</t>
  </si>
  <si>
    <t>ARHGDIB</t>
  </si>
  <si>
    <t>RAB3IP</t>
  </si>
  <si>
    <t>TRPM7</t>
  </si>
  <si>
    <t>KNSTRN</t>
  </si>
  <si>
    <t>IRF9</t>
  </si>
  <si>
    <t>RMDN3</t>
  </si>
  <si>
    <t>GMPR2</t>
  </si>
  <si>
    <t>SHF</t>
  </si>
  <si>
    <t>WDR61</t>
  </si>
  <si>
    <t>RAB8B</t>
  </si>
  <si>
    <t>BLM</t>
  </si>
  <si>
    <t>AKR7A2</t>
  </si>
  <si>
    <t>NOL3</t>
  </si>
  <si>
    <t>MPI</t>
  </si>
  <si>
    <t>MACF1</t>
  </si>
  <si>
    <t>CDAN1</t>
  </si>
  <si>
    <t>ARPP19</t>
  </si>
  <si>
    <t>KLHDC4</t>
  </si>
  <si>
    <t>EDC3</t>
  </si>
  <si>
    <t>COG8</t>
  </si>
  <si>
    <t>hCG_2044799</t>
  </si>
  <si>
    <t>ZFYVE19</t>
  </si>
  <si>
    <t>UQCRC2</t>
  </si>
  <si>
    <t>UBFD1</t>
  </si>
  <si>
    <t>PPCDC</t>
  </si>
  <si>
    <t>NUDT7</t>
  </si>
  <si>
    <t>EIF3C</t>
  </si>
  <si>
    <t>PPP4C</t>
  </si>
  <si>
    <t>EARS2</t>
  </si>
  <si>
    <t>BCKDK</t>
  </si>
  <si>
    <t>ARL2BP</t>
  </si>
  <si>
    <t>NSMCE1</t>
  </si>
  <si>
    <t>NDUFB10</t>
  </si>
  <si>
    <t>PPP6R3</t>
  </si>
  <si>
    <t>TMEM209</t>
  </si>
  <si>
    <t>COL18A1</t>
  </si>
  <si>
    <t>KALRN</t>
  </si>
  <si>
    <t>NDUFA5</t>
  </si>
  <si>
    <t>NR4A2</t>
  </si>
  <si>
    <t>MKI67IP</t>
  </si>
  <si>
    <t>ZNF259</t>
  </si>
  <si>
    <t>NHEJ1</t>
  </si>
  <si>
    <t>APP</t>
  </si>
  <si>
    <t>DUSP22</t>
  </si>
  <si>
    <t>BRD8</t>
  </si>
  <si>
    <t>ZMYM4</t>
  </si>
  <si>
    <t>UHRF1BP1</t>
  </si>
  <si>
    <t>NOL7</t>
  </si>
  <si>
    <t>ART4</t>
  </si>
  <si>
    <t>CWF19L2</t>
  </si>
  <si>
    <t>GNS</t>
  </si>
  <si>
    <t>ATG2A</t>
  </si>
  <si>
    <t>MBNL1</t>
  </si>
  <si>
    <t>IAH1</t>
  </si>
  <si>
    <t>SOX5</t>
  </si>
  <si>
    <t>DDX19A</t>
  </si>
  <si>
    <t>DPH1</t>
  </si>
  <si>
    <t>GOSR2</t>
  </si>
  <si>
    <t>ELP5</t>
  </si>
  <si>
    <t>CLUH</t>
  </si>
  <si>
    <t>CIC</t>
  </si>
  <si>
    <t>FAM195B</t>
  </si>
  <si>
    <t>EIF5A</t>
  </si>
  <si>
    <t>SPAG7</t>
  </si>
  <si>
    <t>NFKBIB</t>
  </si>
  <si>
    <t>NPC2</t>
  </si>
  <si>
    <t>PSMD9</t>
  </si>
  <si>
    <t>TBC1D8B</t>
  </si>
  <si>
    <t>GTF2A1</t>
  </si>
  <si>
    <t>SAAL1</t>
  </si>
  <si>
    <t>INO80E</t>
  </si>
  <si>
    <t>CCS</t>
  </si>
  <si>
    <t>SEC16A</t>
  </si>
  <si>
    <t>BRAP</t>
  </si>
  <si>
    <t>SRSF2</t>
  </si>
  <si>
    <t>SIPA1L1</t>
  </si>
  <si>
    <t>DNTTIP2</t>
  </si>
  <si>
    <t>FAM21C</t>
  </si>
  <si>
    <t>FAM83H</t>
  </si>
  <si>
    <t>MPST</t>
  </si>
  <si>
    <t>FBXO6</t>
  </si>
  <si>
    <t>GBA</t>
  </si>
  <si>
    <t>BABAM1</t>
  </si>
  <si>
    <t>CNDP1</t>
  </si>
  <si>
    <t>CYLD</t>
  </si>
  <si>
    <t>CBX1</t>
  </si>
  <si>
    <t>MBP</t>
  </si>
  <si>
    <t>GGA3</t>
  </si>
  <si>
    <t>CRLF3</t>
  </si>
  <si>
    <t>MSL1</t>
  </si>
  <si>
    <t>HN1</t>
  </si>
  <si>
    <t>SS18</t>
  </si>
  <si>
    <t>RPL26</t>
  </si>
  <si>
    <t>SCO1</t>
  </si>
  <si>
    <t>SNRPN</t>
  </si>
  <si>
    <t>CWC25</t>
  </si>
  <si>
    <t>RECQL5</t>
  </si>
  <si>
    <t>TRAPPC8</t>
  </si>
  <si>
    <t>RPL17</t>
  </si>
  <si>
    <t>RPL19</t>
  </si>
  <si>
    <t>IFT20</t>
  </si>
  <si>
    <t>hCG_1996301</t>
  </si>
  <si>
    <t>COPRS</t>
  </si>
  <si>
    <t>MIF4GD</t>
  </si>
  <si>
    <t>LCAT</t>
  </si>
  <si>
    <t>RSL1D1</t>
  </si>
  <si>
    <t>NHP2</t>
  </si>
  <si>
    <t>C17orf75</t>
  </si>
  <si>
    <t>GPRC5C</t>
  </si>
  <si>
    <t>HYI</t>
  </si>
  <si>
    <t>WBP2</t>
  </si>
  <si>
    <t>WDR18</t>
  </si>
  <si>
    <t>SMAD4</t>
  </si>
  <si>
    <t>HEXDC</t>
  </si>
  <si>
    <t>STX10</t>
  </si>
  <si>
    <t>hCG_27535</t>
  </si>
  <si>
    <t>SMAD2</t>
  </si>
  <si>
    <t>H3F3B</t>
  </si>
  <si>
    <t>NAGS</t>
  </si>
  <si>
    <t>LONP1</t>
  </si>
  <si>
    <t>PRKCSH</t>
  </si>
  <si>
    <t>KATNAL2</t>
  </si>
  <si>
    <t>TMEM205</t>
  </si>
  <si>
    <t>ELOF1</t>
  </si>
  <si>
    <t>PSMG2</t>
  </si>
  <si>
    <t>PRODH2</t>
  </si>
  <si>
    <t>UBXN6</t>
  </si>
  <si>
    <t>BECN1</t>
  </si>
  <si>
    <t>KRT13</t>
  </si>
  <si>
    <t>APOC1</t>
  </si>
  <si>
    <t>EIF3K</t>
  </si>
  <si>
    <t>RAD23A</t>
  </si>
  <si>
    <t>SARS2</t>
  </si>
  <si>
    <t>PAF1</t>
  </si>
  <si>
    <t>FBL</t>
  </si>
  <si>
    <t>PIH1D1</t>
  </si>
  <si>
    <t>SMG9</t>
  </si>
  <si>
    <t>USE1</t>
  </si>
  <si>
    <t>DTNA</t>
  </si>
  <si>
    <t>KXD1</t>
  </si>
  <si>
    <t>RPS19</t>
  </si>
  <si>
    <t>MBLL</t>
  </si>
  <si>
    <t>REL</t>
  </si>
  <si>
    <t>RELA</t>
  </si>
  <si>
    <t>POLD3</t>
  </si>
  <si>
    <t>DKFZp686F13224</t>
  </si>
  <si>
    <t>PPIA</t>
  </si>
  <si>
    <t>TIMP1</t>
  </si>
  <si>
    <t>FLNA</t>
  </si>
  <si>
    <t>HNRPLL</t>
  </si>
  <si>
    <t>TUBB</t>
  </si>
  <si>
    <t>RHOC</t>
  </si>
  <si>
    <t>NUPL1</t>
  </si>
  <si>
    <t>GMEB2</t>
  </si>
  <si>
    <t>VPS16</t>
  </si>
  <si>
    <t>STAU1</t>
  </si>
  <si>
    <t>PEX19</t>
  </si>
  <si>
    <t>RALY</t>
  </si>
  <si>
    <t>PSMF1</t>
  </si>
  <si>
    <t>AGER</t>
  </si>
  <si>
    <t>SH3BGRL3</t>
  </si>
  <si>
    <t>NFYC</t>
  </si>
  <si>
    <t>ADCK3</t>
  </si>
  <si>
    <t>ITIH2</t>
  </si>
  <si>
    <t>WDR96</t>
  </si>
  <si>
    <t>AGO1</t>
  </si>
  <si>
    <t>MNF1</t>
  </si>
  <si>
    <t>TAF4</t>
  </si>
  <si>
    <t>LSM14B</t>
  </si>
  <si>
    <t>RNGTT</t>
  </si>
  <si>
    <t>C6orf106</t>
  </si>
  <si>
    <t>PLEKHA6</t>
  </si>
  <si>
    <t>DYNLT1</t>
  </si>
  <si>
    <t>RRAGB</t>
  </si>
  <si>
    <t>PFKFB4</t>
  </si>
  <si>
    <t>DKFZp781P1719</t>
  </si>
  <si>
    <t>Em:AP000351.3</t>
  </si>
  <si>
    <t>CENPC1</t>
  </si>
  <si>
    <t>RAB17</t>
  </si>
  <si>
    <t>CSNK1A1</t>
  </si>
  <si>
    <t>RPS6KB1</t>
  </si>
  <si>
    <t>TXNDC5</t>
  </si>
  <si>
    <t>WASF3</t>
  </si>
  <si>
    <t>ANKRD10</t>
  </si>
  <si>
    <t>PTK2</t>
  </si>
  <si>
    <t>TOM1L1</t>
  </si>
  <si>
    <t>MST4</t>
  </si>
  <si>
    <t>RPS21</t>
  </si>
  <si>
    <t>LGALS9</t>
  </si>
  <si>
    <t>SLC27A4</t>
  </si>
  <si>
    <t>MYO5B</t>
  </si>
  <si>
    <t>CDH1</t>
  </si>
  <si>
    <t>UBE2D4</t>
  </si>
  <si>
    <t>PSMD8</t>
  </si>
  <si>
    <t>LAMTOR5</t>
  </si>
  <si>
    <t>BMI1</t>
  </si>
  <si>
    <t>YTHDF3</t>
  </si>
  <si>
    <t>S100A6</t>
  </si>
  <si>
    <t>DENND4C</t>
  </si>
  <si>
    <t>PSMC3</t>
  </si>
  <si>
    <t>Ubiquitin-like modifier-activating enzyme 6</t>
  </si>
  <si>
    <t>UHRF1-binding protein 1-like</t>
  </si>
  <si>
    <t>Shootin-1</t>
  </si>
  <si>
    <t>Uncharacterized protein C1orf226</t>
  </si>
  <si>
    <t>Uncharacterized protein C17orf89</t>
  </si>
  <si>
    <t>SH3 and PX domain-containing protein 2B</t>
  </si>
  <si>
    <t>tRNA wybutosine-synthesizing protein 5</t>
  </si>
  <si>
    <t>Isoform 2 of Fucose mutarotase</t>
  </si>
  <si>
    <t>Isoform 3 of von Willebrand factor A domain-containing protein 8</t>
  </si>
  <si>
    <t>Isoform 3 of Protein strawberry notch homolog 1</t>
  </si>
  <si>
    <t>Isoform 2 of Isoprenoid synthase domain-containing protein</t>
  </si>
  <si>
    <t>Isoform 2 of WD repeat-containing protein 91</t>
  </si>
  <si>
    <t>Isoform 2 of Trafficking protein particle complex subunit 13</t>
  </si>
  <si>
    <t>Isoform 2 of CCR4-NOT transcription complex subunit 1</t>
  </si>
  <si>
    <t>Isoform 2 of Protein FAM83G</t>
  </si>
  <si>
    <t>Putative L-aspartate dehydrogenase</t>
  </si>
  <si>
    <t>Paralemmin-3</t>
  </si>
  <si>
    <t>Phosphoglycolate phosphatase</t>
  </si>
  <si>
    <t>RCC1 domain-containing protein 1</t>
  </si>
  <si>
    <t>Ankyrin repeat domain-containing protein SOWAHB</t>
  </si>
  <si>
    <t>Succinate dehydrogenase assembly factor 1, mitochondrial</t>
  </si>
  <si>
    <t>Protein unc-119 homolog B</t>
  </si>
  <si>
    <t>Glyoxalase domain-containing protein 5</t>
  </si>
  <si>
    <t>Putative lipoyltransferase 2, mitochondrial</t>
  </si>
  <si>
    <t>Coiled-coil domain-containing protein 85C</t>
  </si>
  <si>
    <t>Purkinje cell protein 4-like protein 1</t>
  </si>
  <si>
    <t>Tetratricopeptide repeat protein 36</t>
  </si>
  <si>
    <t>LYR motif-containing protein 9</t>
  </si>
  <si>
    <t>Nucleoside diphosphate-linked moiety X motif 19, mitochondrial</t>
  </si>
  <si>
    <t>Isoform 4 of Forkhead-associated domain-containing protein 1</t>
  </si>
  <si>
    <t>Espin</t>
  </si>
  <si>
    <t>Protein phosphatase 1 regulatory subunit 3G</t>
  </si>
  <si>
    <t>Immunoglobulin lambda-like polypeptide 5</t>
  </si>
  <si>
    <t>Putative WAS protein family homolog 3</t>
  </si>
  <si>
    <t>Insulin, isoform 2</t>
  </si>
  <si>
    <t>Alkyldihydroxyacetonephosphate synthase, peroxisomal</t>
  </si>
  <si>
    <t>Isoform 3 of UBX domain-containing protein 8</t>
  </si>
  <si>
    <t>Isoform 2 of Kinesin-like protein KIF2A</t>
  </si>
  <si>
    <t>Thymidine kinase 2, mitochondrial</t>
  </si>
  <si>
    <t>PDZ and LIM domain protein 1</t>
  </si>
  <si>
    <t>Isoform 6 of Cytosolic acyl coenzyme A thioester hydrolase</t>
  </si>
  <si>
    <t>Synaptosomal-associated protein 23</t>
  </si>
  <si>
    <t>AH receptor-interacting protein</t>
  </si>
  <si>
    <t>GTP-binding protein 1</t>
  </si>
  <si>
    <t>Galectin-8</t>
  </si>
  <si>
    <t>26S proteasome non-ATPase regulatory subunit 11</t>
  </si>
  <si>
    <t>26S proteasome non-ATPase regulatory subunit 12</t>
  </si>
  <si>
    <t>Copper transport protein ATOX1</t>
  </si>
  <si>
    <t>Membrane-associated progesterone receptor component 1</t>
  </si>
  <si>
    <t>Isoform 2 of Transcription elongation factor SPT5</t>
  </si>
  <si>
    <t>DNA fragmentation factor subunit alpha</t>
  </si>
  <si>
    <t>Huntingtin-interacting protein 1</t>
  </si>
  <si>
    <t>Chloride intracellular channel protein 1</t>
  </si>
  <si>
    <t>Dynactin subunit 6</t>
  </si>
  <si>
    <t>Neural Wiskott-Aldrich syndrome protein</t>
  </si>
  <si>
    <t>Importin-5</t>
  </si>
  <si>
    <t>Isoform 3 of Dynamin-1-like protein</t>
  </si>
  <si>
    <t>Phosphatidylinositol 3-kinase regulatory subunit beta</t>
  </si>
  <si>
    <t>Beta-mannosidase</t>
  </si>
  <si>
    <t>Isoform 2 of Agrin</t>
  </si>
  <si>
    <t>Exocyst complex component 5</t>
  </si>
  <si>
    <t>High mobility group nucleosome-binding domain-containing protein 4</t>
  </si>
  <si>
    <t>NADH dehydrogenase [ubiquinone] 1 alpha subcomplex subunit 4</t>
  </si>
  <si>
    <t>26S proteasome non-ATPase regulatory subunit 14</t>
  </si>
  <si>
    <t>Isoform II2 of Myc box-dependent-interacting protein 1</t>
  </si>
  <si>
    <t>Importin subunit alpha-3</t>
  </si>
  <si>
    <t>Serine/threonine-protein kinase 25</t>
  </si>
  <si>
    <t>Ladinin-1</t>
  </si>
  <si>
    <t>von Willebrand factor A domain-containing protein 5A</t>
  </si>
  <si>
    <t>Nucleolar protein 56</t>
  </si>
  <si>
    <t>ATP-dependent RNA helicase DDX3X</t>
  </si>
  <si>
    <t>Pirin</t>
  </si>
  <si>
    <t>Importin subunit alpha-4</t>
  </si>
  <si>
    <t>Tripartite motif-containing protein 38</t>
  </si>
  <si>
    <t>Serine/threonine-protein phosphatase 6 catalytic subunit</t>
  </si>
  <si>
    <t>Cocaine esterase</t>
  </si>
  <si>
    <t>Lysosomal alpha-mannosidase</t>
  </si>
  <si>
    <t>Fructose-1,6-bisphosphatase isozyme 2</t>
  </si>
  <si>
    <t>Acetyl-CoA carboxylase 2</t>
  </si>
  <si>
    <t>Pyridoxal kinase</t>
  </si>
  <si>
    <t>AT-rich interactive domain-containing protein 1A</t>
  </si>
  <si>
    <t>Isoform 2 of Cyclin-dependent kinase 2-associated protein 1</t>
  </si>
  <si>
    <t>TRAF-type zinc finger domain-containing protein 1</t>
  </si>
  <si>
    <t>Acyl carrier protein, mitochondrial</t>
  </si>
  <si>
    <t>Isoform 2 of Coatomer subunit epsilon</t>
  </si>
  <si>
    <t>Coatomer subunit epsilon</t>
  </si>
  <si>
    <t>Isoform 4 of AP-3 complex subunit delta-1</t>
  </si>
  <si>
    <t>Histone-lysine N-methyltransferase MLL2</t>
  </si>
  <si>
    <t>Isoform 2 of Inositol monophosphatase 2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</si>
  <si>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</si>
  <si>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</si>
  <si>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</si>
  <si>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</si>
  <si>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17-beta-hydroxysteroid dehydrogenase type 6</t>
  </si>
  <si>
    <t>Fucose-1-phosphate guanylyltransferase</t>
  </si>
  <si>
    <t>Isoform 2 of Tripeptidyl-peptidase 1</t>
  </si>
  <si>
    <t>Isoform 2 of Transcription elongation regulator 1</t>
  </si>
  <si>
    <t>Isoform 2 of Transportin-2</t>
  </si>
  <si>
    <t>Proteasome subunit alpha type-7</t>
  </si>
  <si>
    <t>Phytanoyl-CoA dioxygenase, peroxisomal</t>
  </si>
  <si>
    <t>5-oxoprolinase</t>
  </si>
  <si>
    <t>Transcription regulator protein BACH1</t>
  </si>
  <si>
    <t>Interferon-induced protein with tetratricopeptide repeats 3</t>
  </si>
  <si>
    <t>Interferon regulatory factor 6</t>
  </si>
  <si>
    <t>Tax1-binding protein 3</t>
  </si>
  <si>
    <t>Histone acetyltransferase type B catalytic subunit</t>
  </si>
  <si>
    <t>Ubiquitin/ISG15-conjugating enzyme E2 L6</t>
  </si>
  <si>
    <t>Isoform 3 of Peripheral plasma membrane protein CASK</t>
  </si>
  <si>
    <t>Hepatocyte growth factor-regulated tyrosine kinase substrate</t>
  </si>
  <si>
    <t>Protein phosphatase 1 regulatory subunit 12A</t>
  </si>
  <si>
    <t>Isoform 2 of Very long-chain acyl-CoA synthetase</t>
  </si>
  <si>
    <t>Cyclin-G-associated kinase</t>
  </si>
  <si>
    <t>Isoform 3 of Heterogeneous nuclear ribonucleoprotein D-like</t>
  </si>
  <si>
    <t>Exportin-1</t>
  </si>
  <si>
    <t>TATA-binding protein-associated factor 172</t>
  </si>
  <si>
    <t>Zinc finger protein 609</t>
  </si>
  <si>
    <t>Spectrin beta chain, non-erythrocytic 2</t>
  </si>
  <si>
    <t>Isoform 2 of Microtubule-associated serine/threonine-protein kinase 4</t>
  </si>
  <si>
    <t>Plexin-B2</t>
  </si>
  <si>
    <t>Isoform 2A of Synaptojanin-2</t>
  </si>
  <si>
    <t>Phosphoribosylformylglycinamidine synthase</t>
  </si>
  <si>
    <t>Serine/threonine-protein phosphatase 6 regulatory ankyrin repeat subunit A</t>
  </si>
  <si>
    <t>Rho guanine nucleotide exchange factor 11</t>
  </si>
  <si>
    <t>U6 snRNA-associated Sm-like protein LSm1</t>
  </si>
  <si>
    <t>Actin-related protein 2/3 complex subunit 1B</t>
  </si>
  <si>
    <t>Actin-related protein 2/3 complex subunit 2</t>
  </si>
  <si>
    <t>Actin-related protein 2/3 complex subunit 3</t>
  </si>
  <si>
    <t>Zinc finger and BTB domain-containing protein 7B</t>
  </si>
  <si>
    <t>Membrane-associated progesterone receptor component 2</t>
  </si>
  <si>
    <t>Prefoldin subunit 6</t>
  </si>
  <si>
    <t>Laminin subunit alpha-5</t>
  </si>
  <si>
    <t>Protein CASC3</t>
  </si>
  <si>
    <t>Peroxisomal acyl-coenzyme A oxidase 3</t>
  </si>
  <si>
    <t>Isoform 1 of UDP-N-acetylglucosamine--peptide N-acetylglucosaminyltransferase 110 kDa subunit</t>
  </si>
  <si>
    <t>Phosphomannomutase 2</t>
  </si>
  <si>
    <t>Protein phosphatase 1G</t>
  </si>
  <si>
    <t>Eukaryotic translation initiation factor 3 subunit H</t>
  </si>
  <si>
    <t>Histone deacetylase 3</t>
  </si>
  <si>
    <t>Branched-chain-amino-acid aminotransferase, mitochondrial</t>
  </si>
  <si>
    <t>Importin-8</t>
  </si>
  <si>
    <t>Isoform 2 of Syntaxin-7</t>
  </si>
  <si>
    <t>C-C motif chemokine 16</t>
  </si>
  <si>
    <t>Isoform Delta of Glycogenin-2</t>
  </si>
  <si>
    <t>Synaptobrevin homolog YKT6</t>
  </si>
  <si>
    <t>Actin-related protein 2/3 complex subunit 5</t>
  </si>
  <si>
    <t>DNA-directed RNA polymerase II subunit RPB4</t>
  </si>
  <si>
    <t>RING finger protein 113A</t>
  </si>
  <si>
    <t>Putative pre-mRNA-splicing factor ATP-dependent RNA helicase DHX15</t>
  </si>
  <si>
    <t>mRNA cap guanine-N7 methyltransferase</t>
  </si>
  <si>
    <t>Isoform 2 of U4/U6 small nuclear ribonucleoprotein Prp4</t>
  </si>
  <si>
    <t>D-3-phosphoglycerate dehydrogenase</t>
  </si>
  <si>
    <t>Isoform 5 of Septin-4</t>
  </si>
  <si>
    <t>Cytoplasmic dynein 1 light intermediate chain 2</t>
  </si>
  <si>
    <t>26S proteasome non-ATPase regulatory subunit 3</t>
  </si>
  <si>
    <t>Bifunctional 3-phosphoadenosine 5-phosphosulfate synthase 1</t>
  </si>
  <si>
    <t>Centromere/kinetochore protein zw10 homolog</t>
  </si>
  <si>
    <t>U4/U6.U5 tri-snRNP-associated protein 1</t>
  </si>
  <si>
    <t>Isoform 3 of Metastasis suppressor protein 1</t>
  </si>
  <si>
    <t>Isoform 2 of Inositol hexakisphosphate and diphosphoinositol-pentakisphosphate kinase 2</t>
  </si>
  <si>
    <t>Isoform 1A of Mitogen-activated protein kinase kinase kinase 7</t>
  </si>
  <si>
    <t>LYR motif-containing protein 1</t>
  </si>
  <si>
    <t>Isoform 2 of Receptor-interacting serine/threonine-protein kinase 2</t>
  </si>
  <si>
    <t>Heterogeneous nuclear ribonucleoprotein R</t>
  </si>
  <si>
    <t>Thioredoxin-like protein 1</t>
  </si>
  <si>
    <t>Tumor protein D54</t>
  </si>
  <si>
    <t>Isoform 3 of ERI1 exoribonuclease 3</t>
  </si>
  <si>
    <t>Isoform 3 of Synaptojanin-1</t>
  </si>
  <si>
    <t>Eukaryotic translation initiation factor 4 gamma 3</t>
  </si>
  <si>
    <t>Isoform 3 of Serine protease HTRA2, mitochondrial</t>
  </si>
  <si>
    <t>Isoform 4 of Band 4.1-like protein 2</t>
  </si>
  <si>
    <t>Isoform TGN46 of Trans-Golgi network integral membrane protein 2</t>
  </si>
  <si>
    <t>Isoform 3 of Regulator of G-protein signaling 14</t>
  </si>
  <si>
    <t>Density-regulated protein</t>
  </si>
  <si>
    <t>Exportin-T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</si>
  <si>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</si>
  <si>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</si>
  <si>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</si>
  <si>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</si>
  <si>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Isoform 2 of Pleiotropic regulator 1</t>
  </si>
  <si>
    <t>Isoform 3 of Protein regulator of cytokinesis 1</t>
  </si>
  <si>
    <t>Isoform 2 of Zinc finger protein 207</t>
  </si>
  <si>
    <t>NADH dehydrogenase [ubiquinone] 1 alpha subcomplex subunit 2</t>
  </si>
  <si>
    <t>ATPase ASNA1</t>
  </si>
  <si>
    <t>Isoform 2 of Mitotic checkpoint protein BUB3</t>
  </si>
  <si>
    <t>Sulfotransferase family cytosolic 1B member 1</t>
  </si>
  <si>
    <t>Alpha-actinin-4</t>
  </si>
  <si>
    <t>TP53-regulated inhibitor of apoptosis 1</t>
  </si>
  <si>
    <t>Glutamyl-tRNA(Gln) amidotransferase subunit C, mitochondrial</t>
  </si>
  <si>
    <t>HIV Tat-specific factor 1</t>
  </si>
  <si>
    <t>AP-1 complex subunit gamma-1</t>
  </si>
  <si>
    <t>Small glutamine-rich tetratricopeptide repeat-containing protein alpha</t>
  </si>
  <si>
    <t>Lipoyl synthase, mitochondrial</t>
  </si>
  <si>
    <t>Isoform 2 of Alpha-endosulfine</t>
  </si>
  <si>
    <t>Asparagine--tRNA ligase, cytoplasmic</t>
  </si>
  <si>
    <t>Cleavage and polyadenylation specificity factor subunit 5</t>
  </si>
  <si>
    <t>LanC-like protein 1</t>
  </si>
  <si>
    <t>Isoform 2 of Striatin</t>
  </si>
  <si>
    <t>Protein SCO2 homolog, mitochondrial</t>
  </si>
  <si>
    <t>Isoform 4 of Hyaluronidase-3</t>
  </si>
  <si>
    <t>Isocitrate dehydrogenase [NAD] subunit beta, mitochondrial</t>
  </si>
  <si>
    <t>Isoform 2 of Nardilysin</t>
  </si>
  <si>
    <t>Calumenin</t>
  </si>
  <si>
    <t>Putative adenosylhomocysteinase 2</t>
  </si>
  <si>
    <t>Kinesin-like protein KIF1C</t>
  </si>
  <si>
    <t>Double-strand-break repair protein rad21 homolog</t>
  </si>
  <si>
    <t>Aldo-keto reductase family 1 member B10</t>
  </si>
  <si>
    <t>Mitochondrial import inner membrane translocase subunit Tim8 A</t>
  </si>
  <si>
    <t>Putative pre-mRNA-splicing factor ATP-dependent RNA helicase DHX16</t>
  </si>
  <si>
    <t>Glia maturation factor gamma</t>
  </si>
  <si>
    <t>Perilipin-1</t>
  </si>
  <si>
    <t>Phosphoribosyl pyrophosphate synthase-associated protein 2</t>
  </si>
  <si>
    <t>Isoform 5 of E3 ubiquitin-protein ligase parkin</t>
  </si>
  <si>
    <t>Isoform 4 of C-Jun-amino-terminal kinase-interacting protein 4</t>
  </si>
  <si>
    <t>Lysine-specific histone demethylase 1A</t>
  </si>
  <si>
    <t>Isoform 2 of TBC1 domain family member 4</t>
  </si>
  <si>
    <t>Periplakin</t>
  </si>
  <si>
    <t>Non-syndromic hearing impairment protein 5</t>
  </si>
  <si>
    <t>Ecotropic viral integration site 5 protein homolog</t>
  </si>
  <si>
    <t>Sorting nexin-3</t>
  </si>
  <si>
    <t>Vinexin</t>
  </si>
  <si>
    <t>Isoform 3 of Heterogeneous nuclear ribonucleoprotein Q</t>
  </si>
  <si>
    <t>Ran-binding protein 6</t>
  </si>
  <si>
    <t>Isoform 2 of GDP-mannose 4,6 dehydratase</t>
  </si>
  <si>
    <t>Glycylpeptide N-tetradecanoyltransferase 2</t>
  </si>
  <si>
    <t>Procollagen-lysine,2-oxoglutarate 5-dioxygenase 3</t>
  </si>
  <si>
    <t>15 kDa selenoprotein</t>
  </si>
  <si>
    <t>Isoform 3 of Exocyst complex component 3</t>
  </si>
  <si>
    <t>Isoform 4 of Perilipin-3</t>
  </si>
  <si>
    <t>UDP-glucose 6-dehydrogenase</t>
  </si>
  <si>
    <t>Isoform 1A of Catenin delta-1</t>
  </si>
  <si>
    <t>Sorting nexin-2</t>
  </si>
  <si>
    <t>General vesicular transport factor p115</t>
  </si>
  <si>
    <t>Coiled-coil domain-containing protein 22</t>
  </si>
  <si>
    <t>Isoform 2 of Polyglutamine-binding protein 1</t>
  </si>
  <si>
    <t>H/ACA ribonucleoprotein complex subunit 4</t>
  </si>
  <si>
    <t>Eukaryotic translation initiation factor 5B</t>
  </si>
  <si>
    <t>Endothelial differentiation-related factor 1</t>
  </si>
  <si>
    <t>DnaJ homolog subfamily A member 2</t>
  </si>
  <si>
    <t>Bromodomain-containing protein 4</t>
  </si>
  <si>
    <t>Isoform C of Protein CutA</t>
  </si>
  <si>
    <t>F-box-like/WD repeat-containing protein TBL1X</t>
  </si>
  <si>
    <t>Prefoldin subunit 1</t>
  </si>
  <si>
    <t>Protein phosphatase 1 regulatory subunit 11</t>
  </si>
  <si>
    <t>Nibrin</t>
  </si>
  <si>
    <t>Isoform 3 of Carboxyl-terminal PDZ ligand of neuronal nitric oxide synthase protein</t>
  </si>
  <si>
    <t>Isoform 2 of Protein CBFA2T3</t>
  </si>
  <si>
    <t>WD repeat-containing protein 1</t>
  </si>
  <si>
    <t>Rho-associated protein kinase 2</t>
  </si>
  <si>
    <t>Protein cordon-bleu</t>
  </si>
  <si>
    <t>Copine-3</t>
  </si>
  <si>
    <t>Huntingtin-interacting protein 1-related protein</t>
  </si>
  <si>
    <t>E3 ubiquitin-protein ligase BRE1B</t>
  </si>
  <si>
    <t>Zinc finger CCCH domain-containing protein 11A</t>
  </si>
  <si>
    <t>Isoform 2 of Rab11 family-interacting protein 3</t>
  </si>
  <si>
    <t>Isoform 2 of TSC22 domain family protein 2</t>
  </si>
  <si>
    <t>DnaJ homolog subfamily C member 13</t>
  </si>
  <si>
    <t>Isoform 4 of Serine/threonine-protein phosphatase 6 regulatory subunit 2</t>
  </si>
  <si>
    <t>CCR4-NOT transcription complex subunit 3</t>
  </si>
  <si>
    <t>Xylulose kinase</t>
  </si>
  <si>
    <t>Ubiquinone biosynthesis protein COQ9, mitochondrial</t>
  </si>
  <si>
    <t>Gamma-glutamylcyclotransferase</t>
  </si>
  <si>
    <t>Protein NipSnap homolog 2</t>
  </si>
  <si>
    <t>Programmed cell death protein 6</t>
  </si>
  <si>
    <t>Tubulin-specific chaperone A</t>
  </si>
  <si>
    <t>V-type proton ATPase subunit G 1</t>
  </si>
  <si>
    <t>Vacuolar protein sorting-associated protein 4B</t>
  </si>
  <si>
    <t>Ectonucleoside triphosphate diphosphohydrolase 5</t>
  </si>
  <si>
    <t>Isoform 1 of Core histone macro-H2A.1</t>
  </si>
  <si>
    <t>SH3 domain-binding glutamic acid-rich-like protein</t>
  </si>
  <si>
    <t>Isoform 2 of Filamin-B</t>
  </si>
  <si>
    <t>Isoform 8 of Filamin-B</t>
  </si>
  <si>
    <t>Nuclear receptor corepressor 1</t>
  </si>
  <si>
    <t>NADH dehydrogenase [ubiquinone] iron-sulfur protein 6, mitochondrial</t>
  </si>
  <si>
    <t>Isoform Beta of Tripartite motif-containing protein 3</t>
  </si>
  <si>
    <t>Vesicle-trafficking protein SEC22b</t>
  </si>
  <si>
    <t>Isoform 7 of Transforming acidic coiled-coil-containing protein 1</t>
  </si>
  <si>
    <t>Vacuolar protein sorting-associated protein 26A</t>
  </si>
  <si>
    <t>Mitochondrial-processing peptidase subunit beta</t>
  </si>
  <si>
    <t>Katanin p60 ATPase-containing subunit A1</t>
  </si>
  <si>
    <t>Retinol dehydrogenase 16</t>
  </si>
  <si>
    <t>PC4 and SFRS1-interacting protein</t>
  </si>
  <si>
    <t>NADH dehydrogenase [ubiquinone] iron-sulfur protein 3, mitochondrial</t>
  </si>
  <si>
    <t>Ceroid-lipofuscinosis neuronal protein 5</t>
  </si>
  <si>
    <t>Isoform 2 of Enoyl-CoA delta isomerase 2, mitochondrial</t>
  </si>
  <si>
    <t>Isoform 2 of KH domain-containing, RNA-binding, signal transduction-associated protein 3</t>
  </si>
  <si>
    <t>Barrier-to-autointegration factor</t>
  </si>
  <si>
    <t>Splicing factor 3B subunit 1</t>
  </si>
  <si>
    <t>Cold shock domain-containing protein E1</t>
  </si>
  <si>
    <t>2-amino-3-ketobutyrate coenzyme A ligase, mitochondrial</t>
  </si>
  <si>
    <t>Isoform 2 of Acyl-protein thioesterase 1</t>
  </si>
  <si>
    <t>Protein CREG1</t>
  </si>
  <si>
    <t>U5 small nuclear ribonucleoprotein 200 kDa helicase</t>
  </si>
  <si>
    <t>Mitochondrial tRNA-specific 2-thiouridylase 1</t>
  </si>
  <si>
    <t>TIP41-like protein</t>
  </si>
  <si>
    <t>Protein phosphatase 1B</t>
  </si>
  <si>
    <t>Protein XRP2</t>
  </si>
  <si>
    <t>Transcription elongation factor A protein 3</t>
  </si>
  <si>
    <t>Eukaryotic translation initiation factor 3 subunit G</t>
  </si>
  <si>
    <t>Eukaryotic translation initiation factor 3 subunit J</t>
  </si>
  <si>
    <t>Carbonyl reductase [NADPH] 3</t>
  </si>
  <si>
    <t>AP-1 complex subunit gamma-like 2</t>
  </si>
  <si>
    <t>Isocitrate dehydrogenase [NADP] cytoplasmic</t>
  </si>
  <si>
    <t>Isoform 2 of Attractin</t>
  </si>
  <si>
    <t>Putative hydrolase RBBP9</t>
  </si>
  <si>
    <t>Signal transducing adapter molecule 2</t>
  </si>
  <si>
    <t>Cytosolic 10-formyltetrahydrofolate dehydrogenase</t>
  </si>
  <si>
    <t>PRA1 family protein 3</t>
  </si>
  <si>
    <t>Pre-mRNA-splicing factor SPF27</t>
  </si>
  <si>
    <t>Dynactin subunit 3</t>
  </si>
  <si>
    <t>Gamma-butyrobetaine dioxygenase</t>
  </si>
  <si>
    <t>DnaJ homolog subfamily C member 8</t>
  </si>
  <si>
    <t>Survival of motor neuron-related-splicing factor 30</t>
  </si>
  <si>
    <t>Isoform 3 of Multiple PDZ domain protein</t>
  </si>
  <si>
    <t>Carboxypeptidase D</t>
  </si>
  <si>
    <t>Glutaredoxin-3</t>
  </si>
  <si>
    <t>Wolframin</t>
  </si>
  <si>
    <t>Annexin A9</t>
  </si>
  <si>
    <t>ATP-dependent Clp protease ATP-binding subunit clpX-like, mitochondrial</t>
  </si>
  <si>
    <t>SEC14-like protein 2</t>
  </si>
  <si>
    <t>Probable cytosolic iron-sulfur protein assembly protein CIAO1</t>
  </si>
  <si>
    <t>Signal recognition particle subunit SRP72</t>
  </si>
  <si>
    <t>N(G),N(G)-dimethylarginine dimethylaminohydrolase 1</t>
  </si>
  <si>
    <t>Metastasis-associated protein MTA2</t>
  </si>
  <si>
    <t>Isoform 4 of Retinal dehydrogenase 2</t>
  </si>
  <si>
    <t>Tubulin polymerization-promoting protein</t>
  </si>
  <si>
    <t>Ubiquitin-like protein ATG12</t>
  </si>
  <si>
    <t>Kelch repeat and BTB domain-containing protein 11</t>
  </si>
  <si>
    <t>E3 ubiquitin-protein ligase listerin</t>
  </si>
  <si>
    <t>Mitochondrial import receptor subunit TOM70</t>
  </si>
  <si>
    <t>Importin-13</t>
  </si>
  <si>
    <t>Isoform 5 of Protein-methionine sulfoxide oxidase MICAL2</t>
  </si>
  <si>
    <t>Protein transport protein Sec24D</t>
  </si>
  <si>
    <t>E3 UFM1-protein ligase 1</t>
  </si>
  <si>
    <t>Isoform 12 of Sorbin and SH3 domain-containing protein 2</t>
  </si>
  <si>
    <t>PHD finger protein 14</t>
  </si>
  <si>
    <t>FERM, RhoGEF and pleckstrin domain-containing protein 2</t>
  </si>
  <si>
    <t>UBX domain-containing protein 7</t>
  </si>
  <si>
    <t>Proline synthase co-transcribed bacterial homolog protein</t>
  </si>
  <si>
    <t>Pre-mRNA cleavage complex 2 protein Pcf11</t>
  </si>
  <si>
    <t>Glutaminase kidney isoform, mitochondrial</t>
  </si>
  <si>
    <t>Isoform 2 of Actin-binding LIM protein 3</t>
  </si>
  <si>
    <t>Isoform 7 of Ubiquitin carboxyl-terminal hydrolase 19</t>
  </si>
  <si>
    <t>AP-2 complex subunit alpha-2</t>
  </si>
  <si>
    <t>Isoform 6 of Protein transport protein Sec31A</t>
  </si>
  <si>
    <t>Protein HEXIM1</t>
  </si>
  <si>
    <t>Arf-GAP domain and FG repeat-containing protein 2</t>
  </si>
  <si>
    <t>Isoform 3 of Splicing factor, arginine/serine-rich 15</t>
  </si>
  <si>
    <t>Aflatoxin B1 aldehyde reductase member 3</t>
  </si>
  <si>
    <t>Isoform 2 of Ubiquitin conjugation factor E4 B</t>
  </si>
  <si>
    <t>Elongator complex protein 1</t>
  </si>
  <si>
    <t>LETM1 and EF-hand domain-containing protein 1, mitochondrial</t>
  </si>
  <si>
    <t>Starch-binding domain-containing protein 1</t>
  </si>
  <si>
    <t>Isoform 2 of Zinc finger Ran-binding domain-containing protein 2</t>
  </si>
  <si>
    <t>Sorting nexin-4</t>
  </si>
  <si>
    <t>Luc7-like protein 3</t>
  </si>
  <si>
    <t>Isoform 3 of Methyl-CpG-binding domain protein 4</t>
  </si>
  <si>
    <t>Isoform 2 of Histone acetyltransferase KAT7</t>
  </si>
  <si>
    <t>Isoform 6 of Laforin</t>
  </si>
  <si>
    <t>Vesicle-associated membrane protein-associated protein B/C</t>
  </si>
  <si>
    <t>SNARE-associated protein Snapin</t>
  </si>
  <si>
    <t>Peptidyl-prolyl cis-trans isomerase FKBP9</t>
  </si>
  <si>
    <t>6-phosphogluconolactonase</t>
  </si>
  <si>
    <t>Bifunctional 3-phosphoadenosine 5-phosphosulfate synthase 2</t>
  </si>
  <si>
    <t>Ubiquitin-like modifier-activating enzyme ATG7</t>
  </si>
  <si>
    <t>Phenylalanine--tRNA ligase, mitochondrial</t>
  </si>
  <si>
    <t>Acyl-protein thioesterase 2</t>
  </si>
  <si>
    <t>Importin-7</t>
  </si>
  <si>
    <t>E3 ubiquitin-protein ligase ARIH2</t>
  </si>
  <si>
    <t>Pre-mRNA-splicing factor SLU7</t>
  </si>
  <si>
    <t>Phosphoacetylglucosamine mutase</t>
  </si>
  <si>
    <t>Adenylyltransferase and sulfurtransferase MOCS3</t>
  </si>
  <si>
    <t>Urotensin-2</t>
  </si>
  <si>
    <t>CD2 antigen cytoplasmic tail-binding protein 2</t>
  </si>
  <si>
    <t>Isoform 2 of Supervillin</t>
  </si>
  <si>
    <t>Isoform 2 of BAG family molecular chaperone regulator 4</t>
  </si>
  <si>
    <t>Activator of 90 kDa heat shock protein ATPase homolog 1</t>
  </si>
  <si>
    <t>Isoform 2 of Poly(A)-specific ribonuclease PARN</t>
  </si>
  <si>
    <t>Proteasome assembly chaperone 1</t>
  </si>
  <si>
    <t>GDH/6PGL endoplasmic bifunctional protein</t>
  </si>
  <si>
    <t>Protein transport protein Sec24A</t>
  </si>
  <si>
    <t>Isoform 2 of Protein transport protein Sec24B</t>
  </si>
  <si>
    <t>Pantetheinase</t>
  </si>
  <si>
    <t>NAD kinase</t>
  </si>
  <si>
    <t>Tyrosyl-DNA phosphodiesterase 2</t>
  </si>
  <si>
    <t>Protein ETHE1, mitochondrial</t>
  </si>
  <si>
    <t>Long-chain-fatty-acid--CoA ligase 3</t>
  </si>
  <si>
    <t>Isoform 5 of CCR4-NOT transcription complex subunit 4</t>
  </si>
  <si>
    <t>STAM-binding protein</t>
  </si>
  <si>
    <t>Isoform 2 of N-acetylserotonin O-methyltransferase-like protein</t>
  </si>
  <si>
    <t>FGFR1 oncogene partner</t>
  </si>
  <si>
    <t>Synaptosomal-associated protein 29</t>
  </si>
  <si>
    <t>Serine/threonine-protein kinase</t>
  </si>
  <si>
    <t>Heat shock 70 kDa protein 4L</t>
  </si>
  <si>
    <t>N-alpha-acetyltransferase 38, NatC auxiliary subunit</t>
  </si>
  <si>
    <t>Isoform B of AP-2 complex subunit alpha-1</t>
  </si>
  <si>
    <t>Isoform 2 of Probable ATP-dependent RNA helicase DDX58</t>
  </si>
  <si>
    <t>Tetratricopeptide repeat protein 4</t>
  </si>
  <si>
    <t>BAG family molecular chaperone regulator 2</t>
  </si>
  <si>
    <t>BAG family molecular chaperone regulator 3</t>
  </si>
  <si>
    <t>Malonyl-CoA decarboxylase, mitochondrial</t>
  </si>
  <si>
    <t>Quinone oxidoreductase-like protein 1</t>
  </si>
  <si>
    <t>Isoform 3 of Apoptosis-inducing factor 1, mitochondrial</t>
  </si>
  <si>
    <t>Echinoderm microtubule-associated protein-like 2</t>
  </si>
  <si>
    <t>N(G),N(G)-dimethylarginine dimethylaminohydrolase 2</t>
  </si>
  <si>
    <t>Thioredoxin domain-containing protein 12</t>
  </si>
  <si>
    <t>Formimidoyltransferase-cyclodeaminase</t>
  </si>
  <si>
    <t>Diphosphoinositol polyphosphate phosphohydrolase 1</t>
  </si>
  <si>
    <t>B-cell lymphoma/leukemia 10</t>
  </si>
  <si>
    <t>Molybdopterin synthase catalytic subunit</t>
  </si>
  <si>
    <t>Isoform 4 of Serine/threonine-protein kinase PAK 4</t>
  </si>
  <si>
    <t>Actin-like protein 6A</t>
  </si>
  <si>
    <t>Molybdopterin synthase sulfur carrier subunit</t>
  </si>
  <si>
    <t>Alcohol dehydrogenase 1B</t>
  </si>
  <si>
    <t>Alcohol dehydrogenase 1C</t>
  </si>
  <si>
    <t>L-lactate dehydrogenase A chain</t>
  </si>
  <si>
    <t>Retinal dehydrogenase 1</t>
  </si>
  <si>
    <t>Dihydrofolate reductase</t>
  </si>
  <si>
    <t>Isoform 2 of NADH-cytochrome b5 reductase 3</t>
  </si>
  <si>
    <t>Isoform Cytoplasmic of Glutathione reductase, mitochondrial</t>
  </si>
  <si>
    <t>Phenylalanine-4-hydroxylase</t>
  </si>
  <si>
    <t>Ceruloplasmin</t>
  </si>
  <si>
    <t>Ornithine carbamoyltransferase, mitochondrial</t>
  </si>
  <si>
    <t>Purine nucleoside phosphorylase</t>
  </si>
  <si>
    <t>Hypoxanthine-guanine phosphoribosyltransferase</t>
  </si>
  <si>
    <t>Aspartate aminotransferase, mitochondrial</t>
  </si>
  <si>
    <t>Phosphoglycerate kinase 1</t>
  </si>
  <si>
    <t>Adenylate kinase isoenzyme 1</t>
  </si>
  <si>
    <t>Prothrombin</t>
  </si>
  <si>
    <t>Complement C1r subcomponent</t>
  </si>
  <si>
    <t>Haptoglobin</t>
  </si>
  <si>
    <t>Haptoglobin-related protein</t>
  </si>
  <si>
    <t>Coagulation factor IX</t>
  </si>
  <si>
    <t>Coagulation factor X</t>
  </si>
  <si>
    <t>Plasminogen</t>
  </si>
  <si>
    <t>Coagulation factor XII</t>
  </si>
  <si>
    <t>Argininosuccinate synthase</t>
  </si>
  <si>
    <t>Alpha-1-antitrypsin</t>
  </si>
  <si>
    <t>Alpha-1-antichymotrypsin</t>
  </si>
  <si>
    <t>Angiotensinogen</t>
  </si>
  <si>
    <t>Alpha-2-macroglobulin</t>
  </si>
  <si>
    <t>Complement C3</t>
  </si>
  <si>
    <t>Cystatin-C</t>
  </si>
  <si>
    <t>Cystatin-A</t>
  </si>
  <si>
    <t>Isoform LMW of Kininogen-1</t>
  </si>
  <si>
    <t>GTPase NRas</t>
  </si>
  <si>
    <t>Isoform 2B of GTPase KRas</t>
  </si>
  <si>
    <t>GTPase KRas</t>
  </si>
  <si>
    <t>Ig kappa chain V-I region Roy</t>
  </si>
  <si>
    <t>Ig heavy chain V-I region HG3</t>
  </si>
  <si>
    <t>Ig heavy chain V-III region VH26</t>
  </si>
  <si>
    <t>Ig heavy chain V-III region BRO</t>
  </si>
  <si>
    <t>Ig kappa chain C region</t>
  </si>
  <si>
    <t>Ig gamma-1 chain C region</t>
  </si>
  <si>
    <t>Ig gamma-2 chain C region</t>
  </si>
  <si>
    <t>Ig gamma-3 chain C region</t>
  </si>
  <si>
    <t>Ig mu chain C region</t>
  </si>
  <si>
    <t>Ig alpha-1 chain C region</t>
  </si>
  <si>
    <t>Ig alpha-2 chain C region</t>
  </si>
  <si>
    <t>Hemoglobin subunit zeta</t>
  </si>
  <si>
    <t>Collagen alpha-1(I) chain</t>
  </si>
  <si>
    <t>Collagen alpha-1(IV) chain</t>
  </si>
  <si>
    <t>Keratin, type II cytoskeletal 6A</t>
  </si>
  <si>
    <t>Prelamin-A/C</t>
  </si>
  <si>
    <t>Apolipoprotein A-I</t>
  </si>
  <si>
    <t>Apolipoprotein E</t>
  </si>
  <si>
    <t>Apolipoprotein A-II</t>
  </si>
  <si>
    <t>Apolipoprotein C-III</t>
  </si>
  <si>
    <t>Isoform 2 of Fibrinogen alpha chain</t>
  </si>
  <si>
    <t>Fibrinogen beta chain</t>
  </si>
  <si>
    <t>Isoform Gamma-A of Fibrinogen gamma chain</t>
  </si>
  <si>
    <t>Serum amyloid P-component</t>
  </si>
  <si>
    <t>Complement component C9</t>
  </si>
  <si>
    <t>Beta-2-glycoprotein 1</t>
  </si>
  <si>
    <t>Leucine-rich alpha-2-glycoprotein</t>
  </si>
  <si>
    <t>Isoform 10 of Fibronectin</t>
  </si>
  <si>
    <t>Protein AMBP</t>
  </si>
  <si>
    <t>Alpha-1-acid glycoprotein 1</t>
  </si>
  <si>
    <t>Alpha-2-HS-glycoprotein</t>
  </si>
  <si>
    <t>Transthyretin</t>
  </si>
  <si>
    <t>Alpha-fetoprotein</t>
  </si>
  <si>
    <t>Vitamin D-binding protein</t>
  </si>
  <si>
    <t>Hemopexin</t>
  </si>
  <si>
    <t>Ferritin light chain</t>
  </si>
  <si>
    <t>Ferritin heavy chain</t>
  </si>
  <si>
    <t>Metallothionein-2</t>
  </si>
  <si>
    <t>Angiogenin</t>
  </si>
  <si>
    <t>Plasma kallikrein</t>
  </si>
  <si>
    <t>C4b-binding protein alpha chain</t>
  </si>
  <si>
    <t>Vitronectin</t>
  </si>
  <si>
    <t>Tissue alpha-L-fucosidase</t>
  </si>
  <si>
    <t>Cystatin-B</t>
  </si>
  <si>
    <t>Apolipoprotein B-100</t>
  </si>
  <si>
    <t>Isoform GR-A beta of Glucocorticoid receptor</t>
  </si>
  <si>
    <t>Superoxide dismutase [Mn], mitochondrial</t>
  </si>
  <si>
    <t>Ornithine aminotransferase, mitochondrial</t>
  </si>
  <si>
    <t>Histidine-rich glycoprotein</t>
  </si>
  <si>
    <t>Ig kappa chain V-III region GOL</t>
  </si>
  <si>
    <t>Alpha-1B-glycoprotein</t>
  </si>
  <si>
    <t>Keratin, type II cytoskeletal 1</t>
  </si>
  <si>
    <t>Glyceraldehyde-3-phosphate dehydrogenase</t>
  </si>
  <si>
    <t>Argininosuccinate lyase</t>
  </si>
  <si>
    <t>Calpain small subunit 1</t>
  </si>
  <si>
    <t>Metallothionein-1A</t>
  </si>
  <si>
    <t>Metallothionein-1E</t>
  </si>
  <si>
    <t>Metallothionein-1F</t>
  </si>
  <si>
    <t>Heat shock protein beta-1</t>
  </si>
  <si>
    <t>Guanine nucleotide-binding protein G(i) subunit alpha-2</t>
  </si>
  <si>
    <t>Isoform 3 of Sodium/potassium-transporting ATPase subunit alpha-1</t>
  </si>
  <si>
    <t>Fructose-bisphosphate aldolase B</t>
  </si>
  <si>
    <t>Arginase-1</t>
  </si>
  <si>
    <t>Apolipoprotein D</t>
  </si>
  <si>
    <t>Aldehyde dehydrogenase, mitochondrial</t>
  </si>
  <si>
    <t>Protein S100-A8</t>
  </si>
  <si>
    <t>Non-histone chromosomal protein HMG-14</t>
  </si>
  <si>
    <t>ADP/ATP translocase 2</t>
  </si>
  <si>
    <t>Plasma serine protease inhibitor</t>
  </si>
  <si>
    <t>Plasma protease C1 inhibitor</t>
  </si>
  <si>
    <t>Ubiquitin-like protein ISG15</t>
  </si>
  <si>
    <t>Isoform H14 of Myeloperoxidase</t>
  </si>
  <si>
    <t>Propionyl-CoA carboxylase alpha chain, mitochondrial</t>
  </si>
  <si>
    <t>Propionyl-CoA carboxylase beta chain, mitochondrial</t>
  </si>
  <si>
    <t>Cytochrome P450 1A2</t>
  </si>
  <si>
    <t>Cytochrome P450 2E1</t>
  </si>
  <si>
    <t>Alkaline phosphatase, tissue-nonspecific isozyme</t>
  </si>
  <si>
    <t>Eukaryotic translation initiation factor 2 subunit 1</t>
  </si>
  <si>
    <t>Non-histone chromosomal protein HMG-17</t>
  </si>
  <si>
    <t>60S acidic ribosomal protein P2</t>
  </si>
  <si>
    <t>Lupus La protein</t>
  </si>
  <si>
    <t>Thyroxine-binding globulin</t>
  </si>
  <si>
    <t>Heparin cofactor 2</t>
  </si>
  <si>
    <t>Integrin beta-1</t>
  </si>
  <si>
    <t>Keratin, type I cytoskeletal 18</t>
  </si>
  <si>
    <t>Keratin, type II cytoskeletal 8</t>
  </si>
  <si>
    <t>Isoform MLC3 of Myosin light chain 1/3, skeletal muscle isoform</t>
  </si>
  <si>
    <t>Uroporphyrinogen decarboxylase</t>
  </si>
  <si>
    <t>UDP-glucuronosyltransferase 2B4</t>
  </si>
  <si>
    <t>Alpha-galactosidase A</t>
  </si>
  <si>
    <t>ATP synthase subunit beta, mitochondrial</t>
  </si>
  <si>
    <t>Complement C2</t>
  </si>
  <si>
    <t>Protein S100-A9</t>
  </si>
  <si>
    <t>Apolipoprotein A-IV</t>
  </si>
  <si>
    <t>Eukaryotic translation initiation factor 4E</t>
  </si>
  <si>
    <t>Alpha-enolase</t>
  </si>
  <si>
    <t>Glycogen phosphorylase, liver form</t>
  </si>
  <si>
    <t>Glucose-6-phosphate isomerase</t>
  </si>
  <si>
    <t>Nucleophosmin</t>
  </si>
  <si>
    <t>Isoform 2 of Tropomyosin alpha-3 chain</t>
  </si>
  <si>
    <t>Beta-hexosaminidase subunit alpha</t>
  </si>
  <si>
    <t>Epoxide hydrolase 1</t>
  </si>
  <si>
    <t>Acyl-CoA-binding protein</t>
  </si>
  <si>
    <t>Fatty acid-binding protein, liver</t>
  </si>
  <si>
    <t>L-lactate dehydrogenase B chain</t>
  </si>
  <si>
    <t>Glutathione peroxidase 1</t>
  </si>
  <si>
    <t>Phosphoglycerate kinase 2</t>
  </si>
  <si>
    <t>Protein disulfide-isomerase</t>
  </si>
  <si>
    <t>Histone H1.0</t>
  </si>
  <si>
    <t>Isoform 3 of Asialoglycoprotein receptor 2</t>
  </si>
  <si>
    <t>Alcohol dehydrogenase 1A</t>
  </si>
  <si>
    <t>Annexin A2</t>
  </si>
  <si>
    <t>Complement component C8 alpha chain</t>
  </si>
  <si>
    <t>Complement component C8 gamma chain</t>
  </si>
  <si>
    <t>Calpain-1 catalytic subunit</t>
  </si>
  <si>
    <t>Metallothionein-1B</t>
  </si>
  <si>
    <t>Proactivator polypeptide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</si>
  <si>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</si>
  <si>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</si>
  <si>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</si>
  <si>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</si>
  <si>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</si>
  <si>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</si>
  <si>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</si>
  <si>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</si>
  <si>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</si>
  <si>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Tyrosine-protein kinase Yes</t>
  </si>
  <si>
    <t>Isoform Cytoplasmic of Fumarate hydratase, mitochondrial</t>
  </si>
  <si>
    <t>Thrombospondin-1</t>
  </si>
  <si>
    <t>Heat shock 70 kDa protein 1A/1B</t>
  </si>
  <si>
    <t>Collagen alpha-2(I) chain</t>
  </si>
  <si>
    <t>Annexin A6</t>
  </si>
  <si>
    <t>Corticosteroid-binding globulin</t>
  </si>
  <si>
    <t>Isoform Short of Beta-glucuronidase</t>
  </si>
  <si>
    <t>Heat shock protein HSP 90-beta</t>
  </si>
  <si>
    <t>Isoform 2 of Signal recognition particle receptor subunit alpha</t>
  </si>
  <si>
    <t>Extracellular superoxide dismutase [Cu-Zn]</t>
  </si>
  <si>
    <t>Alcohol dehydrogenase 4</t>
  </si>
  <si>
    <t>Isoform 2 of Porphobilinogen deaminase</t>
  </si>
  <si>
    <t>Apolipoprotein(a)</t>
  </si>
  <si>
    <t>Isoform 3 of Pyruvate dehydrogenase E1 component subunit alpha, somatic form, mitochondrial</t>
  </si>
  <si>
    <t>Monocyte differentiation antigen CD14</t>
  </si>
  <si>
    <t>U2 small nuclear ribonucleoprotein B</t>
  </si>
  <si>
    <t>Hepatocyte growth factor receptor</t>
  </si>
  <si>
    <t>Complement factor H</t>
  </si>
  <si>
    <t>Isoform 2 of U1 small nuclear ribonucleoprotein 70 kDa</t>
  </si>
  <si>
    <t>Isoform 1 of Nuclear factor 1 C-type</t>
  </si>
  <si>
    <t>Vimentin</t>
  </si>
  <si>
    <t>Cytochrome P450 3A4</t>
  </si>
  <si>
    <t>Alpha-2-antiplasmin</t>
  </si>
  <si>
    <t>Keratin, type I cytoskeletal 19</t>
  </si>
  <si>
    <t>Keratin, type II cytoskeletal 7</t>
  </si>
  <si>
    <t>Guanine nucleotide-binding protein G(k) subunit alpha</t>
  </si>
  <si>
    <t>Keratin, type I cytoskeletal 16</t>
  </si>
  <si>
    <t>U1 small nuclear ribonucleoprotein A</t>
  </si>
  <si>
    <t>3-ketoacyl-CoA thiolase, peroxisomal</t>
  </si>
  <si>
    <t>Signal recognition particle 19 kDa protein</t>
  </si>
  <si>
    <t>Glutathione S-transferase A2</t>
  </si>
  <si>
    <t>U1 small nuclear ribonucleoprotein C</t>
  </si>
  <si>
    <t>Villin-1</t>
  </si>
  <si>
    <t>Galectin-1</t>
  </si>
  <si>
    <t>Dihydropteridine reductase</t>
  </si>
  <si>
    <t>High mobility group protein B1</t>
  </si>
  <si>
    <t>Fructose-1,6-bisphosphatase 1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</si>
  <si>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</si>
  <si>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</si>
  <si>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</si>
  <si>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</si>
  <si>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</si>
  <si>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Heme oxygenase 1</t>
  </si>
  <si>
    <t>Dihydrolipoyl dehydrogenase, mitochondrial</t>
  </si>
  <si>
    <t>Isoform 2 of Heterogeneous nuclear ribonucleoprotein A1</t>
  </si>
  <si>
    <t>U2 small nuclear ribonucleoprotein A</t>
  </si>
  <si>
    <t>Pro-cathepsin H</t>
  </si>
  <si>
    <t>Complement C1s subcomponent</t>
  </si>
  <si>
    <t>Poly [ADP-ribose] polymerase 1</t>
  </si>
  <si>
    <t>Interferon-induced protein with tetratricopeptide repeats 2</t>
  </si>
  <si>
    <t>Leukotriene A-4 hydrolase</t>
  </si>
  <si>
    <t>Fructose-bisphosphate aldolase C</t>
  </si>
  <si>
    <t>Complement C4-A</t>
  </si>
  <si>
    <t>Complement C4-B</t>
  </si>
  <si>
    <t>CDGSH iron-sulfur domain-containing protein 3, mitochondrial</t>
  </si>
  <si>
    <t>Protein ELFN1</t>
  </si>
  <si>
    <t>Isoform 11 of Myocardial zonula adherens protein</t>
  </si>
  <si>
    <t>Ig lambda-2 chain C regions</t>
  </si>
  <si>
    <t>Trafficking protein particle complex subunit 2 protein TRAPPC2P1</t>
  </si>
  <si>
    <t>Serum amyloid A-1 protein</t>
  </si>
  <si>
    <t>Adrenodoxin, mitochondrial</t>
  </si>
  <si>
    <t>Non-secretory ribonuclease</t>
  </si>
  <si>
    <t>60 kDa SS-A/Ro ribonucleoprotein</t>
  </si>
  <si>
    <t>Lysosomal alpha-glucosidase</t>
  </si>
  <si>
    <t>Serine/threonine-protein kinase A-Raf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</si>
  <si>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</si>
  <si>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</si>
  <si>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</si>
  <si>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Cytochrome c oxidase subunit 5B, mitochondrial</t>
  </si>
  <si>
    <t>Lysosomal protective protein</t>
  </si>
  <si>
    <t>Cytochrome P450 2C8</t>
  </si>
  <si>
    <t>Cytochrome P450 2D6</t>
  </si>
  <si>
    <t>Complement component C7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</si>
  <si>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</si>
  <si>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</si>
  <si>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</si>
  <si>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</si>
  <si>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</si>
  <si>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</si>
  <si>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</si>
  <si>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</si>
  <si>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Solute carrier family 2, facilitated glucose transporter member 2</t>
  </si>
  <si>
    <t>Isoform 4 of Protein 4.1</t>
  </si>
  <si>
    <t>Uridine 5-monophosphate synthase</t>
  </si>
  <si>
    <t>Isoform 2 of 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</si>
  <si>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</si>
  <si>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</si>
  <si>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Mannose-binding protein C</t>
  </si>
  <si>
    <t>Arylamine N-acetyltransferase 2</t>
  </si>
  <si>
    <t>Isoform 2 of Breakpoint cluster region protein</t>
  </si>
  <si>
    <t>Lysosome-associated membrane glycoprotein 1</t>
  </si>
  <si>
    <t>Medium-chain specific acyl-CoA dehydrogenase, mitochondrial</t>
  </si>
  <si>
    <t>Glucose-6-phosphate 1-dehydrogenase</t>
  </si>
  <si>
    <t>Ubiquitin-like protein 4A</t>
  </si>
  <si>
    <t>Pyruvate carboxylase, mitochondrial</t>
  </si>
  <si>
    <t>Cytochrome P450 2A6</t>
  </si>
  <si>
    <t>Isoform 2 of Dystrophin</t>
  </si>
  <si>
    <t>C-1-tetrahydrofolate synthase, cytoplasmic</t>
  </si>
  <si>
    <t>Cytochrome P450 2C9</t>
  </si>
  <si>
    <t>Cation-independent mannose-6-phosphate receptor</t>
  </si>
  <si>
    <t>Alcohol dehydrogenase class-3</t>
  </si>
  <si>
    <t>Cyclin-dependent kinase 4</t>
  </si>
  <si>
    <t>Ribose-phosphate pyrophosphokinase 2</t>
  </si>
  <si>
    <t>Polyadenylate-binding protein 1</t>
  </si>
  <si>
    <t>Proliferating cell nuclear antigen</t>
  </si>
  <si>
    <t>Nucleoprotein TPR</t>
  </si>
  <si>
    <t>2-oxoisovalerate dehydrogenase subunit alpha, mitochondrial</t>
  </si>
  <si>
    <t>Eosinophil cationic protein</t>
  </si>
  <si>
    <t>Alpha-actinin-1</t>
  </si>
  <si>
    <t>Xaa-Pro dipeptidase</t>
  </si>
  <si>
    <t>X-ray repair cross-complementing protein 6</t>
  </si>
  <si>
    <t>X-ray repair cross-complementing protein 5</t>
  </si>
  <si>
    <t>Cytochrome c oxidase subunit 4 isoform 1, mitochondrial</t>
  </si>
  <si>
    <t>5-aminolevulinate synthase, nonspecific, mitochondrial</t>
  </si>
  <si>
    <t>Gamma-interferon-inducible lysosomal thiol reductase</t>
  </si>
  <si>
    <t>Lysosome-associated membrane glycoprotein 2</t>
  </si>
  <si>
    <t>Ribonuclease inhibitor</t>
  </si>
  <si>
    <t>Elongation factor 2</t>
  </si>
  <si>
    <t>Isoform 2 of Metallothionein-1G</t>
  </si>
  <si>
    <t>Metallothionein-1G</t>
  </si>
  <si>
    <t>Keratin, type II cytoskeletal 5</t>
  </si>
  <si>
    <t>Protein disulfide-isomerase A4</t>
  </si>
  <si>
    <t>Complement component C6</t>
  </si>
  <si>
    <t>Isoform 2 of Prolyl 4-hydroxylase subunit alpha-1</t>
  </si>
  <si>
    <t>Translationally-controlled tumor protein</t>
  </si>
  <si>
    <t>Plastin-2</t>
  </si>
  <si>
    <t>Plastin-3</t>
  </si>
  <si>
    <t>Acylamino-acid-releasing enzyme</t>
  </si>
  <si>
    <t>Electron transfer flavoprotein subunit alpha, mitochondrial</t>
  </si>
  <si>
    <t>cAMP-dependent protein kinase type II-alpha regulatory subunit</t>
  </si>
  <si>
    <t>Beta-enolase</t>
  </si>
  <si>
    <t>General transcription factor IIF subunit 2</t>
  </si>
  <si>
    <t>Macrophage migration inhibitory factor</t>
  </si>
  <si>
    <t>Isoform 3 of Hepatocyte growth factor</t>
  </si>
  <si>
    <t>Hematopoietic lineage cell-specific protein</t>
  </si>
  <si>
    <t>Isoform 2 of Farnesyl pyrophosphate synthase</t>
  </si>
  <si>
    <t>Nidogen-1</t>
  </si>
  <si>
    <t>Alcohol dehydrogenase [NADP(+)]</t>
  </si>
  <si>
    <t>Pyruvate kinase isozymes M1/M2</t>
  </si>
  <si>
    <t>Acylphosphatase-2</t>
  </si>
  <si>
    <t>Endoplasmin</t>
  </si>
  <si>
    <t>Myosin light chain 6B</t>
  </si>
  <si>
    <t>Insulin-degrading enzyme</t>
  </si>
  <si>
    <t>Cytochrome c oxidase subunit 6B1</t>
  </si>
  <si>
    <t>Heterogeneous nuclear ribonucleoprotein L</t>
  </si>
  <si>
    <t>Aspartate--tRNA ligase, cytoplasmic</t>
  </si>
  <si>
    <t>D-amino-acid oxidase</t>
  </si>
  <si>
    <t>Junction plakoglobin</t>
  </si>
  <si>
    <t>Glutamine synthetase</t>
  </si>
  <si>
    <t>Aldose reductase</t>
  </si>
  <si>
    <t>Aminopeptidase N</t>
  </si>
  <si>
    <t>Isoform 2 of Eukaryotic peptide chain release factor GTP-binding subunit ERF3A</t>
  </si>
  <si>
    <t>Isoform 2 of Arylsulfatase A</t>
  </si>
  <si>
    <t>Arylsulfatase A</t>
  </si>
  <si>
    <t>Ezrin</t>
  </si>
  <si>
    <t>Isoform 3 of Cyclic AMP-dependent transcription factor ATF-2</t>
  </si>
  <si>
    <t>Ubiquitin carboxyl-terminal hydrolase isozyme L3</t>
  </si>
  <si>
    <t>15-hydroxyprostaglandin dehydrogenase [NAD(+)]</t>
  </si>
  <si>
    <t>Isoform 3 of Membrane cofactor protein</t>
  </si>
  <si>
    <t>Nucleoside diphosphate kinase A</t>
  </si>
  <si>
    <t>Isoform 2 of Phosphorylase b kinase gamma catalytic chain, liver/testis isoform</t>
  </si>
  <si>
    <t>Arylsulfatase B</t>
  </si>
  <si>
    <t>Beta-galactoside alpha-2,6-sialyltransferase 1</t>
  </si>
  <si>
    <t>Desmoplakin</t>
  </si>
  <si>
    <t>Replication protein A 32 kDa subunit</t>
  </si>
  <si>
    <t>6-phosphofructo-2-kinase/fructose-2,6-bisphosphatase 1</t>
  </si>
  <si>
    <t>Carbonyl reductase [NADPH] 1</t>
  </si>
  <si>
    <t>Short-chain specific acyl-CoA dehydrogenase, mitochondrial</t>
  </si>
  <si>
    <t>Isoform 3 of Beta-galactosidase</t>
  </si>
  <si>
    <t>Isoform 3 of Serine/threonine-protein phosphatase 2B catalytic subunit beta isoform</t>
  </si>
  <si>
    <t>Cytoplasmic protein NCK1</t>
  </si>
  <si>
    <t>Isoform 2 of GC-rich sequence DNA-binding factor 2</t>
  </si>
  <si>
    <t>Histone H1.5</t>
  </si>
  <si>
    <t>NADPH--cytochrome P450 reductase</t>
  </si>
  <si>
    <t>Methylated-DNA--protein-cysteine methyltransferase</t>
  </si>
  <si>
    <t>UDP-glucuronosyltransferase 2B7</t>
  </si>
  <si>
    <t>1-phosphatidylinositol 4,5-bisphosphate phosphodiesterase gamma-2</t>
  </si>
  <si>
    <t>Fumarylacetoacetase</t>
  </si>
  <si>
    <t>Stathmin</t>
  </si>
  <si>
    <t>Zinc finger protein with KRAB and SCAN domains 1</t>
  </si>
  <si>
    <t>Alpha-N-acetylgalactosaminidase</t>
  </si>
  <si>
    <t>Heat shock 70 kDa protein 6</t>
  </si>
  <si>
    <t>Aspartate aminotransferase, cytoplasmic</t>
  </si>
  <si>
    <t>Isoform UBF2 of Nucleolar transcription factor 1</t>
  </si>
  <si>
    <t>Aldo-keto reductase family 1 member C4</t>
  </si>
  <si>
    <t>Isoform 5 of Cyclic AMP-dependent transcription factor ATF-7</t>
  </si>
  <si>
    <t>cAMP-dependent protein kinase catalytic subunit alpha</t>
  </si>
  <si>
    <t>Calpain-2 catalytic subunit</t>
  </si>
  <si>
    <t>CCAAT/enhancer-binding protein beta</t>
  </si>
  <si>
    <t>Tyrosine aminotransferase</t>
  </si>
  <si>
    <t>CTP synthase 1</t>
  </si>
  <si>
    <t>6-phosphofructokinase, liver type</t>
  </si>
  <si>
    <t>Ganglioside GM2 activator</t>
  </si>
  <si>
    <t>Galectin-3</t>
  </si>
  <si>
    <t>T-complex protein 1 subunit alpha</t>
  </si>
  <si>
    <t>Tyrosine-protein phosphatase non-receptor type 1</t>
  </si>
  <si>
    <t>Arachidonate 12-lipoxygenase, 12S-type</t>
  </si>
  <si>
    <t>Insulin-like growth factor-binding protein 2</t>
  </si>
  <si>
    <t>ADP-ribosylation factor 4</t>
  </si>
  <si>
    <t>Isoform 1 of Vinculin</t>
  </si>
  <si>
    <t>Glutathione peroxidase 2</t>
  </si>
  <si>
    <t>Isoform 4 of Interleukin-1 receptor antagonist protein</t>
  </si>
  <si>
    <t>Isoform E of Protein SON</t>
  </si>
  <si>
    <t>Negative elongation factor E</t>
  </si>
  <si>
    <t>Phosphoglycerate mutase 1</t>
  </si>
  <si>
    <t>Syndecan-1</t>
  </si>
  <si>
    <t>ATP synthase-coupling factor 6, mitochondrial</t>
  </si>
  <si>
    <t>Myosin regulatory light chain 12A</t>
  </si>
  <si>
    <t>1-phosphatidylinositol 4,5-bisphosphate phosphodiesterase gamma-1</t>
  </si>
  <si>
    <t>Nucleolin</t>
  </si>
  <si>
    <t>DNA-directed RNA polymerases I, II, and III subunit RPABC1</t>
  </si>
  <si>
    <t>NADH dehydrogenase [ubiquinone] flavoprotein 2, mitochondrial</t>
  </si>
  <si>
    <t>Interferon-induced, double-stranded RNA-activated protein kinase</t>
  </si>
  <si>
    <t>Spermidine synthase</t>
  </si>
  <si>
    <t>Alpha-1-acid glycoprotein 2</t>
  </si>
  <si>
    <t>Casein kinase II subunit alpha</t>
  </si>
  <si>
    <t>Inter-alpha-trypsin inhibitor heavy chain H1</t>
  </si>
  <si>
    <t>Nuclear factor NF-kappa-B p105 subunit</t>
  </si>
  <si>
    <t>Thymidine phosphorylase</t>
  </si>
  <si>
    <t>Eukaryotic translation initiation factor 2 subunit 2</t>
  </si>
  <si>
    <t>L-serine dehydratase/L-threonine deaminase</t>
  </si>
  <si>
    <t>Transcription factor BTF3</t>
  </si>
  <si>
    <t>Ras-related protein Rab-4A</t>
  </si>
  <si>
    <t>Isoform 2 of Ras-related protein Rab-6A</t>
  </si>
  <si>
    <t>DNA mismatch repair protein Msh3</t>
  </si>
  <si>
    <t>Interferon-induced GTP-binding protein Mx1</t>
  </si>
  <si>
    <t>Proteasome subunit beta type-1</t>
  </si>
  <si>
    <t>Cytochrome c oxidase subunit 5A, mitochondrial</t>
  </si>
  <si>
    <t>Lamin-B1</t>
  </si>
  <si>
    <t>Aromatic-L-amino-acid decarboxylase</t>
  </si>
  <si>
    <t>Pregnancy zone protein</t>
  </si>
  <si>
    <t>Isoform 5 of Calpastatin</t>
  </si>
  <si>
    <t>Isoform 6 of Calpastatin</t>
  </si>
  <si>
    <t>Isoform C of Hepatocyte nuclear factor 1-alpha</t>
  </si>
  <si>
    <t>Collagen alpha-1(V) chain</t>
  </si>
  <si>
    <t>Parathymosin</t>
  </si>
  <si>
    <t>Isoform 8 of Cyclin-dependent kinase 11B</t>
  </si>
  <si>
    <t>Glutathione S-transferase Mu 3</t>
  </si>
  <si>
    <t>V-type proton ATPase subunit B, brain isoform</t>
  </si>
  <si>
    <t>V-type proton ATPase subunit C 1</t>
  </si>
  <si>
    <t>Cysteine and glycine-rich protein 1</t>
  </si>
  <si>
    <t>Isoform 2 of Amine oxidase [flavin-containing] A</t>
  </si>
  <si>
    <t>Cytoplasmic aconitate hydratase</t>
  </si>
  <si>
    <t>Serine--pyruvate aminotransferase</t>
  </si>
  <si>
    <t>Isoform 2 of 5-nucleotidase</t>
  </si>
  <si>
    <t>Isoform 2 of Glycerol-3-phosphate dehydrogenase [NAD(+)], cytoplasmic</t>
  </si>
  <si>
    <t>Succinate dehydrogenase [ubiquinone] iron-sulfur subunit, mitochondrial</t>
  </si>
  <si>
    <t>2-oxoisovalerate dehydrogenase subunit beta, mitochondrial</t>
  </si>
  <si>
    <t>Isoform Soluble of Catechol O-methyltransferase</t>
  </si>
  <si>
    <t>Protein-glutamine gamma-glutamyltransferase 2</t>
  </si>
  <si>
    <t>Methylmalonyl-CoA mutase, mitochondrial</t>
  </si>
  <si>
    <t>Oxysterol-binding protein 1</t>
  </si>
  <si>
    <t>Protein-L-isoaspartate(D-aspartate) O-methyltransferase</t>
  </si>
  <si>
    <t>Trifunctional purine biosynthetic protein adenosine-3</t>
  </si>
  <si>
    <t>Multifunctional protein ADE2</t>
  </si>
  <si>
    <t>Isoform SCP2 of Non-specific lipid-transfer protein</t>
  </si>
  <si>
    <t>Non-specific lipid-transfer protein</t>
  </si>
  <si>
    <t>UDP-glucuronosyltransferase 1-4</t>
  </si>
  <si>
    <t>Ubiquitin-like modifier-activating enzyme 1</t>
  </si>
  <si>
    <t>Isoform 3 of Nucleoside diphosphate kinase B</t>
  </si>
  <si>
    <t>NADPH:adrenodoxin oxidoreductase, mitochondrial</t>
  </si>
  <si>
    <t>Heterogeneous nuclear ribonucleoproteins A2/B1</t>
  </si>
  <si>
    <t>Isoform 4 of cAMP-dependent protein kinase catalytic subunit beta</t>
  </si>
  <si>
    <t>Arylacetamide deacetylase</t>
  </si>
  <si>
    <t>Ferrochelatase, mitochondrial</t>
  </si>
  <si>
    <t>Liver carboxylesterase 1</t>
  </si>
  <si>
    <t>Isoform B of Fibulin-1</t>
  </si>
  <si>
    <t>Transcription elongation factor A protein 1</t>
  </si>
  <si>
    <t>Splicing factor, proline- and glutamine-rich</t>
  </si>
  <si>
    <t>Peptidyl-prolyl cis-trans isomerase B</t>
  </si>
  <si>
    <t>NAD-dependent malic enzyme, mitochondrial</t>
  </si>
  <si>
    <t>Glycine dehydrogenase [decarboxylating], mitochondrial</t>
  </si>
  <si>
    <t>Tryptophan--tRNA ligase, cytoplasmic</t>
  </si>
  <si>
    <t>Myogenic factor 6</t>
  </si>
  <si>
    <t>Glycine cleavage system H protein, mitochondrial</t>
  </si>
  <si>
    <t>Nuclear autoantigen Sp-100</t>
  </si>
  <si>
    <t>Isoform 2 of Colorectal mutant cancer protein</t>
  </si>
  <si>
    <t>Adenosylhomocysteinase</t>
  </si>
  <si>
    <t>Cofilin-1</t>
  </si>
  <si>
    <t>Eukaryotic translation initiation factor 4B</t>
  </si>
  <si>
    <t>Carnitine O-palmitoyltransferase 2, mitochondrial</t>
  </si>
  <si>
    <t>Thymidylate kinase</t>
  </si>
  <si>
    <t>Ribonucleoside-diphosphate reductase large subunit</t>
  </si>
  <si>
    <t>Myeloblastin</t>
  </si>
  <si>
    <t>Alanine aminotransferase 1</t>
  </si>
  <si>
    <t>Elongation factor 1-beta</t>
  </si>
  <si>
    <t>Isoform 2 of Low molecular weight phosphotyrosine protein phosphatase</t>
  </si>
  <si>
    <t>Low molecular weight phosphotyrosine protein phosphatase</t>
  </si>
  <si>
    <t>Acetyl-CoA acetyltransferase, mitochondrial</t>
  </si>
  <si>
    <t>DNA-directed RNA polymerase II subunit RPB1</t>
  </si>
  <si>
    <t>Cyclin-dependent kinase 2</t>
  </si>
  <si>
    <t>Isoform Short of Adenomatous polyposis coli protein</t>
  </si>
  <si>
    <t>Beta-adrenergic receptor kinase 1</t>
  </si>
  <si>
    <t>DNA replication licensing factor MCM3</t>
  </si>
  <si>
    <t>Zinc-alpha-2-glycoprotein</t>
  </si>
  <si>
    <t>40S ribosomal protein S12</t>
  </si>
  <si>
    <t>Bromodomain-containing protein 2</t>
  </si>
  <si>
    <t>DnaJ homolog subfamily B member 1</t>
  </si>
  <si>
    <t>DnaJ homolog subfamily B member 2</t>
  </si>
  <si>
    <t>ATP synthase subunit alpha, mitochondrial</t>
  </si>
  <si>
    <t>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</si>
  <si>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</si>
  <si>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</si>
  <si>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</si>
  <si>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</si>
  <si>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Moesin</t>
  </si>
  <si>
    <t>Probable ATP-dependent RNA helicase DDX6</t>
  </si>
  <si>
    <t>DNA (cytosine-5)-methyltransferase 1</t>
  </si>
  <si>
    <t>Isoform 2 of Splicing factor U2AF 65 kDa subunit</t>
  </si>
  <si>
    <t>60S ribosomal protein L13</t>
  </si>
  <si>
    <t>Isovaleryl-CoA dehydrogenase, mitochondrial</t>
  </si>
  <si>
    <t>Protein S100-A4</t>
  </si>
  <si>
    <t>High mobility group protein B2</t>
  </si>
  <si>
    <t>Polypyrimidine tract-binding protein 1</t>
  </si>
  <si>
    <t>Threonine--tRNA ligase, cytoplasmic</t>
  </si>
  <si>
    <t>Valine--tRNA ligase</t>
  </si>
  <si>
    <t>Elongation factor 1-gamma</t>
  </si>
  <si>
    <t>Peptidyl-prolyl cis-trans isomerase FKBP2</t>
  </si>
  <si>
    <t>Hepatocyte growth factor-like protein</t>
  </si>
  <si>
    <t>GTP:AMP phosphotransferase AK4, mitochondrial</t>
  </si>
  <si>
    <t>Serum paraoxonase/arylesterase 1</t>
  </si>
  <si>
    <t>14-3-3 protein theta</t>
  </si>
  <si>
    <t>Isoform 2 of Aryl hydrocarbon receptor nuclear translocator</t>
  </si>
  <si>
    <t>Replication protein A 70 kDa DNA-binding subunit</t>
  </si>
  <si>
    <t>DNA-(apurinic or apyrimidinic site) lyase</t>
  </si>
  <si>
    <t>Calreticulin</t>
  </si>
  <si>
    <t>Microtubule-associated protein 4</t>
  </si>
  <si>
    <t>Phosphatidylinositol 3-kinase regulatory subunit alpha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</si>
  <si>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</si>
  <si>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</si>
  <si>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</si>
  <si>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</si>
  <si>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</si>
  <si>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Isoform 2 of ATP-binding cassette sub-family D member 3</t>
  </si>
  <si>
    <t>Long-chain specific acyl-CoA dehydrogenase, mitochondrial</t>
  </si>
  <si>
    <t>NADH-ubiquinone oxidoreductase 75 kDa subunit, mitochondrial</t>
  </si>
  <si>
    <t>Alcohol dehydrogenase 6</t>
  </si>
  <si>
    <t>DNA polymerase delta catalytic subunit</t>
  </si>
  <si>
    <t>Mitogen-activated protein kinase 1</t>
  </si>
  <si>
    <t>DNA repair protein complementing XP-G cells</t>
  </si>
  <si>
    <t>Granulins</t>
  </si>
  <si>
    <t>Isoform 2 of Cytosol aminopeptidase</t>
  </si>
  <si>
    <t>Corticosteroid 11-beta-dehydrogenase isozyme 1</t>
  </si>
  <si>
    <t>General transcription factor IIE subunit 1</t>
  </si>
  <si>
    <t>Transcription initiation factor IIE subunit beta</t>
  </si>
  <si>
    <t>Tripeptidyl-peptidase 2</t>
  </si>
  <si>
    <t>Inositol monophosphatase 1</t>
  </si>
  <si>
    <t>Tyrosine-protein phosphatase non-receptor type 6</t>
  </si>
  <si>
    <t>Isoform 7 of SHC-transforming protein 1</t>
  </si>
  <si>
    <t>Isoform 4 of DNA-3-methyladenine glycosylase</t>
  </si>
  <si>
    <t>Isoform III of AT-rich interactive domain-containing protein 4A</t>
  </si>
  <si>
    <t>Transketolase</t>
  </si>
  <si>
    <t>Protein PML</t>
  </si>
  <si>
    <t>Myristoylated alanine-rich C-kinase substrate</t>
  </si>
  <si>
    <t>Delta-1-pyrroline-5-carboxylate dehydrogenase, mitochondrial</t>
  </si>
  <si>
    <t>Phenazine biosynthesis-like domain-containing protein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</si>
  <si>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</si>
  <si>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</si>
  <si>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</si>
  <si>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</si>
  <si>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</si>
  <si>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</si>
  <si>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GTP cyclohydrolase 1 feedback regulatory protein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</si>
  <si>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</si>
  <si>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</si>
  <si>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</si>
  <si>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</si>
  <si>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</si>
  <si>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</si>
  <si>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Serine/threonine-protein phosphatase 2A 65 kDa regulatory subunit A beta isoform</t>
  </si>
  <si>
    <t>Peptidyl-prolyl cis-trans isomerase F, mitochondrial</t>
  </si>
  <si>
    <t>Glycylpeptide N-tetradecanoyltransferase 1</t>
  </si>
  <si>
    <t>Heme oxygenase 2</t>
  </si>
  <si>
    <t>Adenylosuccinate synthetase isozyme 2</t>
  </si>
  <si>
    <t>Alpha-2-macroglobulin receptor-associated protein</t>
  </si>
  <si>
    <t>Adenylosuccinate lyase</t>
  </si>
  <si>
    <t>Isoform L-type of Pyruvate kinase isozymes R/L</t>
  </si>
  <si>
    <t>Isoform 3 of CAP-Gly domain-containing linker protein 1</t>
  </si>
  <si>
    <t>Glutathione S-transferase theta-1</t>
  </si>
  <si>
    <t>Leukocyte elastase inhibitor</t>
  </si>
  <si>
    <t>GTP cyclohydrolase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</si>
  <si>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</si>
  <si>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</si>
  <si>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</si>
  <si>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</si>
  <si>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</si>
  <si>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Carbamoyl-phosphate synthase [ammonia], mitochondrial</t>
  </si>
  <si>
    <t>Ribonucleoside-diphosphate reductase subunit M2</t>
  </si>
  <si>
    <t>Dimethylaniline monooxygenase [N-oxide-forming] 3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</si>
  <si>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</si>
  <si>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</si>
  <si>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</si>
  <si>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</si>
  <si>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</si>
  <si>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</si>
  <si>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</si>
  <si>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Isoform Short of 14-3-3 protein beta/alpha</t>
  </si>
  <si>
    <t>Isoform 2 of 14-3-3 protein sigma</t>
  </si>
  <si>
    <t>Stress-induced-phosphoprotein 1</t>
  </si>
  <si>
    <t>Protein S100-A11</t>
  </si>
  <si>
    <t>Peroxiredoxin-2</t>
  </si>
  <si>
    <t>Isoform 1 of Glycerol kinase</t>
  </si>
  <si>
    <t>Cytidine deaminase</t>
  </si>
  <si>
    <t>Deoxycytidylate deaminase</t>
  </si>
  <si>
    <t>Interferon-induced guanylate-binding protein 1</t>
  </si>
  <si>
    <t>Interferon-induced guanylate-binding protein 2</t>
  </si>
  <si>
    <t>Isoform 2 of ETS-related transcription factor Elf-1</t>
  </si>
  <si>
    <t>Isoform 2 of 4-hydroxyphenylpyruvate dioxygenase</t>
  </si>
  <si>
    <t>4-hydroxyphenylpyruvate dioxygenase</t>
  </si>
  <si>
    <t>Cystathionine gamma-lyase</t>
  </si>
  <si>
    <t>Long-chain-fatty-acid--CoA ligase 1</t>
  </si>
  <si>
    <t>Kinesin-1 heavy chain</t>
  </si>
  <si>
    <t>Isoform 2 of Cleavage stimulation factor subunit 2</t>
  </si>
  <si>
    <t>Lymphocyte-specific protein 1</t>
  </si>
  <si>
    <t>Cytochrome P450 2C19</t>
  </si>
  <si>
    <t>Deoxyuridine 5-triphosphate nucleotidohydrolase, mitochondrial</t>
  </si>
  <si>
    <t>Mannosyl-oligosaccharide 1,2-alpha-mannosidase IA</t>
  </si>
  <si>
    <t>DNA replication licensing factor MCM4</t>
  </si>
  <si>
    <t>DNA replication licensing factor MCM5</t>
  </si>
  <si>
    <t>DNA replication licensing factor MCM7</t>
  </si>
  <si>
    <t>N-acetylgalactosamine-6-sulfatase</t>
  </si>
  <si>
    <t>Ribonuclease 4</t>
  </si>
  <si>
    <t>Serine hydroxymethyltransferase, cytosolic</t>
  </si>
  <si>
    <t>Isoform 3 of Serine hydroxymethyltransferase, mitochondrial</t>
  </si>
  <si>
    <t>Bifunctional epoxide hydrolase 2</t>
  </si>
  <si>
    <t>Heat shock 70 kDa protein 4</t>
  </si>
  <si>
    <t>Isoform B of Trypsin-3</t>
  </si>
  <si>
    <t>Carbonic anhydrase 5A, mitochondrial</t>
  </si>
  <si>
    <t>Catenin alpha-1</t>
  </si>
  <si>
    <t>Prohibitin</t>
  </si>
  <si>
    <t>Serpin B6</t>
  </si>
  <si>
    <t>Radixin</t>
  </si>
  <si>
    <t>60S ribosomal protein L22</t>
  </si>
  <si>
    <t>General transcription factor IIF subunit 1</t>
  </si>
  <si>
    <t>Sepiapterin reductase</t>
  </si>
  <si>
    <t>Cystathionine beta-synthase</t>
  </si>
  <si>
    <t>Fibrillin-1</t>
  </si>
  <si>
    <t>Phosphoenolpyruvate carboxykinase, cytosolic [GTP]</t>
  </si>
  <si>
    <t>Insulin receptor substrate 1</t>
  </si>
  <si>
    <t>Glycogen debranching enzyme</t>
  </si>
  <si>
    <t>Myosin-9</t>
  </si>
  <si>
    <t>Myosin-10</t>
  </si>
  <si>
    <t>Coatomer subunit beta</t>
  </si>
  <si>
    <t>Isoform 2 of Alpha-adducin</t>
  </si>
  <si>
    <t>Isoform Short of RNA-binding protein FUS</t>
  </si>
  <si>
    <t>Isoform 2 of Nuclear pore complex protein Nup214</t>
  </si>
  <si>
    <t>Protein DEK</t>
  </si>
  <si>
    <t>Glutaredoxin-1</t>
  </si>
  <si>
    <t>Protein phosphatase 1A</t>
  </si>
  <si>
    <t>Insulin-like growth factor-binding protein complex acid labile subunit</t>
  </si>
  <si>
    <t>Hydroxymethylglutaryl-CoA lyase, mitochondrial</t>
  </si>
  <si>
    <t>26S protease regulatory subunit 7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</si>
  <si>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</si>
  <si>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</si>
  <si>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</si>
  <si>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</si>
  <si>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</si>
  <si>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</si>
  <si>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Phosphoglucomutase-1</t>
  </si>
  <si>
    <t>Guanine nucleotide-binding protein-like 1</t>
  </si>
  <si>
    <t>DNA-directed RNA polymerase II subunit RPB9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</si>
  <si>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</si>
  <si>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</si>
  <si>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</si>
  <si>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</si>
  <si>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Isoform Short of Complement factor H-related protein 2</t>
  </si>
  <si>
    <t>Estradiol 17-beta-dehydrogenase 2</t>
  </si>
  <si>
    <t>Signal recognition particle 14 kDa protein</t>
  </si>
  <si>
    <t>Nuclear pore glycoprotein p62</t>
  </si>
  <si>
    <t>Hippocalcin-like protein 1</t>
  </si>
  <si>
    <t>Transgelin-2</t>
  </si>
  <si>
    <t>Transaldolase</t>
  </si>
  <si>
    <t>Electron transfer flavoprotein subunit beta</t>
  </si>
  <si>
    <t>RNA-binding motif protein, X chromosome</t>
  </si>
  <si>
    <t>Coilin</t>
  </si>
  <si>
    <t>V-type proton ATPase catalytic subunit A</t>
  </si>
  <si>
    <t>Stress-70 protein, mitochondrial</t>
  </si>
  <si>
    <t>Eukaryotic initiation factor 4A-III</t>
  </si>
  <si>
    <t>Acidic leucine-rich nuclear phosphoprotein 32 family member A</t>
  </si>
  <si>
    <t>Flap endonuclease 1</t>
  </si>
  <si>
    <t>Adenylyl cyclase-associated protein 2</t>
  </si>
  <si>
    <t>Alpha-taxilin</t>
  </si>
  <si>
    <t>T-complex protein 1 subunit zeta</t>
  </si>
  <si>
    <t>Nicotinamide N-methyltransferase</t>
  </si>
  <si>
    <t>Proteasome subunit beta type-10</t>
  </si>
  <si>
    <t>Alcohol dehydrogenase class 4 mu/sigma chain</t>
  </si>
  <si>
    <t>Isoform Del-701 of Signal transducer and activator of transcription 3</t>
  </si>
  <si>
    <t>Signal transducer and activator of transcription 3</t>
  </si>
  <si>
    <t>Ubiquitin carboxyl-terminal hydrolase 8</t>
  </si>
  <si>
    <t>Malate dehydrogenase, cytoplasmic</t>
  </si>
  <si>
    <t>Malate dehydrogenase, mitochondrial</t>
  </si>
  <si>
    <t>Trifunctional enzyme subunit alpha, mitochondrial</t>
  </si>
  <si>
    <t>Eukaryotic translation initiation factor 2 subunit 3</t>
  </si>
  <si>
    <t>Centrin-2</t>
  </si>
  <si>
    <t>Protein BUD31 homolog</t>
  </si>
  <si>
    <t>Ubiquitin-like modifier-activating enzyme 7</t>
  </si>
  <si>
    <t>Isoform 2 of N-alpha-acetyltransferase 10</t>
  </si>
  <si>
    <t>Protein phosphatase inhibitor 2</t>
  </si>
  <si>
    <t>Tyrosine-protein kinase CSK</t>
  </si>
  <si>
    <t>Glycine--tRNA ligase</t>
  </si>
  <si>
    <t>Isoleucine--tRNA ligase, cytoplasmic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</si>
  <si>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</si>
  <si>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</si>
  <si>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</si>
  <si>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</si>
  <si>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</si>
  <si>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Signal transducer and activator of transcription 1-alpha/beta</t>
  </si>
  <si>
    <t>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</si>
  <si>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</si>
  <si>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</si>
  <si>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</si>
  <si>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</si>
  <si>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Histidine ammonia-lyase</t>
  </si>
  <si>
    <t>Epidermal growth factor receptor substrate 15</t>
  </si>
  <si>
    <t>Caspase-3</t>
  </si>
  <si>
    <t>Leucine-rich PPR motif-containing protein, mitochondrial</t>
  </si>
  <si>
    <t>3-ketoacyl-CoA thiolase, mitochondrial</t>
  </si>
  <si>
    <t>Wiskott-Aldrich syndrome protein</t>
  </si>
  <si>
    <t>Cyclin-dependent kinase 4 inhibitor C</t>
  </si>
  <si>
    <t>Lysosomal Pro-X carboxypeptidase</t>
  </si>
  <si>
    <t>Huntingtin</t>
  </si>
  <si>
    <t>Platelet-activating factor acetylhydrolase IB subunit alpha</t>
  </si>
  <si>
    <t>Isoform 2 of Carnitine O-acetyltransferase</t>
  </si>
  <si>
    <t>DNA mismatch repair protein Msh2</t>
  </si>
  <si>
    <t>Ran-specific GTPase-activating protein</t>
  </si>
  <si>
    <t>Nicotinamide phosphoribosyltransferase</t>
  </si>
  <si>
    <t>Afamin</t>
  </si>
  <si>
    <t>26S protease regulatory subunit 6B</t>
  </si>
  <si>
    <t>Transcription factor GATA-4</t>
  </si>
  <si>
    <t>Elongation factor Ts, mitochondrial</t>
  </si>
  <si>
    <t>Aspartoacylase</t>
  </si>
  <si>
    <t>Short/branched chain specific acyl-CoA dehydrogenase, mitochondrial</t>
  </si>
  <si>
    <t>Chromobox protein homolog 5</t>
  </si>
  <si>
    <t>Isoform Short of Ubiquitin carboxyl-terminal hydrolase 5</t>
  </si>
  <si>
    <t>Isoform 3 of Mitogen-activated protein kinase 8</t>
  </si>
  <si>
    <t>Isoform Alpha-1 of Mitogen-activated protein kinase 9</t>
  </si>
  <si>
    <t>Dual specificity mitogen-activated protein kinase kinase 4</t>
  </si>
  <si>
    <t>Isoform Short of Antigen KI-67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</si>
  <si>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</si>
  <si>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</si>
  <si>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</si>
  <si>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</si>
  <si>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1 of Transcriptional regulator ATRX</t>
  </si>
  <si>
    <t>Adapter molecule crk</t>
  </si>
  <si>
    <t>Crk-like protein</t>
  </si>
  <si>
    <t>Translation initiation factor IF-2, mitochondrial</t>
  </si>
  <si>
    <t>Cyclin-dependent kinase inhibitor 1B</t>
  </si>
  <si>
    <t>Isoform 1 of Dual specificity mitogen-activated protein kinase kinase 3</t>
  </si>
  <si>
    <t>Isoform 1 of Lys-63-specific deubiquitinase BRCC36</t>
  </si>
  <si>
    <t>60S ribosomal protein L5</t>
  </si>
  <si>
    <t>Isoform 4 of 60S ribosomal protein L28</t>
  </si>
  <si>
    <t>40S ribosomal protein S9</t>
  </si>
  <si>
    <t>40S ribosomal protein S10</t>
  </si>
  <si>
    <t>Glucosamine-6-phosphate isomerase 1</t>
  </si>
  <si>
    <t>Isoform 4 of E3 ubiquitin-protein ligase NEDD4</t>
  </si>
  <si>
    <t>Yorkie homolog</t>
  </si>
  <si>
    <t>Utrophin</t>
  </si>
  <si>
    <t>Ras GTPase-activating-like protein IQGAP1</t>
  </si>
  <si>
    <t>3-hydroxyanthranilate 3,4-dioxygenase</t>
  </si>
  <si>
    <t>Isoform GN-1 of Glycogenin-1</t>
  </si>
  <si>
    <t>Guanine nucleotide exchange factor MSS4</t>
  </si>
  <si>
    <t>F-actin-capping protein subunit alpha-2</t>
  </si>
  <si>
    <t>Eukaryotic translation initiation factor 1A, X-chromosomal</t>
  </si>
  <si>
    <t>Glutamine--tRNA ligase</t>
  </si>
  <si>
    <t>60S ribosomal protein L29</t>
  </si>
  <si>
    <t>Cytochrome b-c1 complex subunit Rieske, mitochondrial</t>
  </si>
  <si>
    <t>Xanthine dehydrogenase/oxidase</t>
  </si>
  <si>
    <t>LIM and senescent cell antigen-like-containing domain protein 1</t>
  </si>
  <si>
    <t>Prolyl endopeptidase</t>
  </si>
  <si>
    <t>NADP-dependent malic enzyme</t>
  </si>
  <si>
    <t>Iron-responsive element-binding protein 2</t>
  </si>
  <si>
    <t>Coatomer subunit delta</t>
  </si>
  <si>
    <t>Isoform 3 of Lanosterol synthase</t>
  </si>
  <si>
    <t>Glutamate--cysteine ligase catalytic subunit</t>
  </si>
  <si>
    <t>Glutamate--cysteine ligase regulatory subunit</t>
  </si>
  <si>
    <t>Trafficking protein particle complex subunit 10</t>
  </si>
  <si>
    <t>Protein PRRC2A</t>
  </si>
  <si>
    <t>Glutathione synthetase</t>
  </si>
  <si>
    <t>T-complex protein 1 subunit epsilon</t>
  </si>
  <si>
    <t>Aminomethyltransferase, mitochondrial</t>
  </si>
  <si>
    <t>Isocitrate dehydrogenase [NADP], mitochondrial</t>
  </si>
  <si>
    <t>Phosphatidylinositol transfer protein beta isoform</t>
  </si>
  <si>
    <t>Tryptophan 2,3-dioxygenase</t>
  </si>
  <si>
    <t>DNA polymerase delta subunit 2</t>
  </si>
  <si>
    <t>MARCKS-related protein</t>
  </si>
  <si>
    <t>Isoform Alpha of Paxillin</t>
  </si>
  <si>
    <t>4-trimethylaminobutyraldehyde dehydrogenase</t>
  </si>
  <si>
    <t>Ribose-5-phosphate isomerase</t>
  </si>
  <si>
    <t>Nuclear autoantigenic sperm protein</t>
  </si>
  <si>
    <t>Dimethylaniline monooxygenase [N-oxide-forming] 5</t>
  </si>
  <si>
    <t>Fatty acid synthase</t>
  </si>
  <si>
    <t>Protein farnesyltransferase/geranylgeranyltransferase type-1 subunit alpha</t>
  </si>
  <si>
    <t>Deoxyhypusine synthase</t>
  </si>
  <si>
    <t>T-complex protein 1 subunit gamma</t>
  </si>
  <si>
    <t>Isoform 1B of Beta-arrestin-1</t>
  </si>
  <si>
    <t>Elongation factor Tu, mitochondrial</t>
  </si>
  <si>
    <t>Isoform 2 of Alpha-aminoadipic semialdehyde dehydrogenase</t>
  </si>
  <si>
    <t>Ubiquitin-conjugating enzyme E2 R1</t>
  </si>
  <si>
    <t>Inositol polyphosphate 1-phosphatase</t>
  </si>
  <si>
    <t>Glutamate dehydrogenase 2, mitochondrial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</si>
  <si>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</si>
  <si>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</si>
  <si>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</si>
  <si>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</si>
  <si>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</si>
  <si>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Probable histidine--tRNA ligase, mitochondrial</t>
  </si>
  <si>
    <t>Serine--tRNA ligase, cytoplasmic</t>
  </si>
  <si>
    <t>Alpha-tocopherol transfer protein</t>
  </si>
  <si>
    <t>Isoform 2 of Caspase-4</t>
  </si>
  <si>
    <t>Transcriptional repressor CTCF</t>
  </si>
  <si>
    <t>Proteasome subunit beta type-3</t>
  </si>
  <si>
    <t>Proteasome subunit beta type-2</t>
  </si>
  <si>
    <t>DNA replication licensing factor MCM2</t>
  </si>
  <si>
    <t>Very long-chain specific acyl-CoA dehydrogenase, mitochondrial</t>
  </si>
  <si>
    <t>Isoform 4 of YLP motif-containing protein 1</t>
  </si>
  <si>
    <t>Acyl-coenzyme A thioesterase 2, mitochondrial</t>
  </si>
  <si>
    <t>Transmembrane emp24 domain-containing protein 10</t>
  </si>
  <si>
    <t>RNA-binding protein 25</t>
  </si>
  <si>
    <t>Isoform 3 of Protein numb homolog</t>
  </si>
  <si>
    <t>Translation initiation factor eIF-2B subunit beta</t>
  </si>
  <si>
    <t>Histidine triad nucleotide-binding protein 1</t>
  </si>
  <si>
    <t>Bis(5-adenosyl)-triphosphatase</t>
  </si>
  <si>
    <t>Nuclear pore complex protein Nup153</t>
  </si>
  <si>
    <t>E3 SUMO-protein ligase RanBP2</t>
  </si>
  <si>
    <t>Isoform 2 of NADH dehydrogenase [ubiquinone] flavoprotein 1, mitochondrial</t>
  </si>
  <si>
    <t>Glycogen synthase kinase-3 alpha</t>
  </si>
  <si>
    <t>Glycogen synthase kinase-3 beta</t>
  </si>
  <si>
    <t>Estrogen sulfotransferase</t>
  </si>
  <si>
    <t>Cytosolic purine 5-nucleotidase</t>
  </si>
  <si>
    <t>Selenide, water dikinase 1</t>
  </si>
  <si>
    <t>5-formyltetrahydrofolate cyclo-ligase</t>
  </si>
  <si>
    <t>Double-strand break repair protein MRE11A</t>
  </si>
  <si>
    <t>Isoform C of Ketohexokinase</t>
  </si>
  <si>
    <t>Ketohexokinase</t>
  </si>
  <si>
    <t>Histamine N-methyltransferase</t>
  </si>
  <si>
    <t>Isocitrate dehydrogenase [NAD] subunit alpha, mitochondrial</t>
  </si>
  <si>
    <t>Sulfotransferase 1A3/1A4</t>
  </si>
  <si>
    <t>Sulfotransferase 1A1</t>
  </si>
  <si>
    <t>Sulfotransferase 1A2</t>
  </si>
  <si>
    <t>Protoporphyrinogen oxidase</t>
  </si>
  <si>
    <t>Rab GDP dissociation inhibitor beta</t>
  </si>
  <si>
    <t>Emerin</t>
  </si>
  <si>
    <t>Carnitine O-palmitoyltransferase 1, liver isoform</t>
  </si>
  <si>
    <t>Isoform 2 of Glycine amidinotransferase, mitochondrial</t>
  </si>
  <si>
    <t>Glycine amidinotransferase, mitochondrial</t>
  </si>
  <si>
    <t>Serpin B8</t>
  </si>
  <si>
    <t>Serpin B9</t>
  </si>
  <si>
    <t>Serpin H1</t>
  </si>
  <si>
    <t>Hsc70-interacting protein</t>
  </si>
  <si>
    <t>Isoform 2 of Peroxisomal targeting signal 1 receptor</t>
  </si>
  <si>
    <t>Vasodilator-stimulated phosphoprotein</t>
  </si>
  <si>
    <t>Dynamin-2</t>
  </si>
  <si>
    <t>Methionine aminopeptidase 2</t>
  </si>
  <si>
    <t>Bis(5-nucleosyl)-tetraphosphatase [asymmetrical]</t>
  </si>
  <si>
    <t>Biotin--protein ligase</t>
  </si>
  <si>
    <t>Kinetochore-associated protein 1</t>
  </si>
  <si>
    <t>Palmitoyl-protein thioesterase 1</t>
  </si>
  <si>
    <t>T-complex protein 1 subunit delta</t>
  </si>
  <si>
    <t>Poly(A) polymerase alpha</t>
  </si>
  <si>
    <t>Fragile X mental retardation syndrome-related protein 2</t>
  </si>
  <si>
    <t>Ras-related protein Rab-5C</t>
  </si>
  <si>
    <t>Ras-related protein Rab-7a</t>
  </si>
  <si>
    <t>Ras-related protein Rab-9A</t>
  </si>
  <si>
    <t>Ras-related protein Rab-13</t>
  </si>
  <si>
    <t>Isoform 2 of 1-phosphatidylinositol 4,5-bisphosphate phosphodiesterase delta-1</t>
  </si>
  <si>
    <t>Isoform 2 of 28S ribosomal protein S29, mitochondrial</t>
  </si>
  <si>
    <t>Dual specificity protein phosphatase 3</t>
  </si>
  <si>
    <t>Isoform Short of Probable global transcription activator SNF2L2</t>
  </si>
  <si>
    <t>Isoform 5 of Transcription activator BRG1</t>
  </si>
  <si>
    <t>Isocitrate dehydrogenase [NAD] subunit gamma, mitochondrial</t>
  </si>
  <si>
    <t>Galactokinase</t>
  </si>
  <si>
    <t>B-cell receptor-associated protein 31</t>
  </si>
  <si>
    <t>Thiopurine S-methyltransferase</t>
  </si>
  <si>
    <t>Methyl-CpG-binding protein 2</t>
  </si>
  <si>
    <t>Isoform 4 of Host cell factor 1</t>
  </si>
  <si>
    <t>Succinate-semialdehyde dehydrogenase, mitochondrial</t>
  </si>
  <si>
    <t>Peroxisomal multifunctional enzyme type 2</t>
  </si>
  <si>
    <t>26S proteasome non-ATPase regulatory subunit 7</t>
  </si>
  <si>
    <t>Sulfite oxidase, mitochondrial</t>
  </si>
  <si>
    <t>N-sulphoglucosamine sulphohydrolase</t>
  </si>
  <si>
    <t>Signal transducer and activator of transcription 5B</t>
  </si>
  <si>
    <t>Dynein light chain Tctex-type 3</t>
  </si>
  <si>
    <t>3-oxo-5-beta-steroid 4-dehydrogenase</t>
  </si>
  <si>
    <t>Hepatoma-derived growth factor</t>
  </si>
  <si>
    <t>Isoform 2 of CDK-activating kinase assembly factor MAT1</t>
  </si>
  <si>
    <t>Heterogeneous nuclear ribonucleoprotein A3</t>
  </si>
  <si>
    <t>Isoform 2 of Heterogeneous nuclear ribonucleoprotein M</t>
  </si>
  <si>
    <t>Importin subunit alpha-1</t>
  </si>
  <si>
    <t>Rap1 GTPase-GDP dissociation stimulator 1</t>
  </si>
  <si>
    <t>Rho GDP-dissociation inhibitor 1</t>
  </si>
  <si>
    <t>Isoform 2 of Arf-GAP domain and FG repeat-containing protein 1</t>
  </si>
  <si>
    <t>Heterogeneous nuclear ribonucleoprotein F</t>
  </si>
  <si>
    <t>Isoform 2 of Signal transducer and activator of transcription 2</t>
  </si>
  <si>
    <t>Transcription initiation factor IIA subunit 2</t>
  </si>
  <si>
    <t>DNA mismatch repair protein Msh6</t>
  </si>
  <si>
    <t>Isoform 3 of Guanine nucleotide exchange factor VAV2</t>
  </si>
  <si>
    <t>Ribonuclease UK114</t>
  </si>
  <si>
    <t>Spermine synthase</t>
  </si>
  <si>
    <t>Hexokinase-3</t>
  </si>
  <si>
    <t>Thimet oligopeptidase</t>
  </si>
  <si>
    <t>Aldo-keto reductase family 1 member C2</t>
  </si>
  <si>
    <t>F-actin-capping protein subunit alpha-1</t>
  </si>
  <si>
    <t>Cysteine-rich protein 2</t>
  </si>
  <si>
    <t>Isoform 6 of Nuclear pore complex protein Nup98-Nup96</t>
  </si>
  <si>
    <t>Biliverdin reductase A</t>
  </si>
  <si>
    <t>Arfaptin-1</t>
  </si>
  <si>
    <t>Nucleoside diphosphate-linked moiety X motif 6</t>
  </si>
  <si>
    <t>Isoform 2 of Cytosolic Fe-S cluster assembly factor NUBP1</t>
  </si>
  <si>
    <t>ATP-citrate synthase</t>
  </si>
  <si>
    <t>Methionine aminopeptidase 1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</si>
  <si>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</si>
  <si>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</si>
  <si>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</si>
  <si>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</si>
  <si>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alpha</t>
  </si>
  <si>
    <t>Dipeptidyl peptidase 1</t>
  </si>
  <si>
    <t>Isoform 2 of Clathrin heavy chain 2</t>
  </si>
  <si>
    <t>AP-2 complex subunit sigma</t>
  </si>
  <si>
    <t>Isoform 2 of IST1 homolog</t>
  </si>
  <si>
    <t>Protein transport protein Sec24C</t>
  </si>
  <si>
    <t>Activated RNA polymerase II transcriptional coactivator p15</t>
  </si>
  <si>
    <t>DNA polymerase subunit gamma-1</t>
  </si>
  <si>
    <t>Arginine--tRNA ligase, cytoplasmic</t>
  </si>
  <si>
    <t>Ataxin-1</t>
  </si>
  <si>
    <t>Isoform 3 of Mismatch repair endonuclease PMS2</t>
  </si>
  <si>
    <t>Tyrosine--tRNA ligase, cytoplasmic</t>
  </si>
  <si>
    <t>Isoform 2 of Ubiquitin carboxyl-terminal hydrolase 14</t>
  </si>
  <si>
    <t>Isoform 2 of 5-AMP-activated protein kinase subunit gamma-1</t>
  </si>
  <si>
    <t>UV excision repair protein RAD23 homolog B</t>
  </si>
  <si>
    <t>Alpha-N-acetylglucosaminidase</t>
  </si>
  <si>
    <t>Glycogen [starch] synthase, liver</t>
  </si>
  <si>
    <t>UDP-glucuronosyltransferase 2B15</t>
  </si>
  <si>
    <t>Hydroxymethylglutaryl-CoA synthase, mitochondrial</t>
  </si>
  <si>
    <t>Isoform Short of Delta-1-pyrroline-5-carboxylate synthase</t>
  </si>
  <si>
    <t>Alpha-soluble NSF attachment protein</t>
  </si>
  <si>
    <t>Allograft inflammatory factor 1</t>
  </si>
  <si>
    <t>Eukaryotic translation initiation factor 5</t>
  </si>
  <si>
    <t>26S proteasome non-ATPase regulatory subunit 4</t>
  </si>
  <si>
    <t>Developmentally-regulated GTP-binding protein 2</t>
  </si>
  <si>
    <t>Phospholipid transfer protein</t>
  </si>
  <si>
    <t>Isoform 3 of Exportin-2</t>
  </si>
  <si>
    <t>Transitional endoplasmic reticulum ATPase</t>
  </si>
  <si>
    <t>Microfibrillar-associated protein 1</t>
  </si>
  <si>
    <t>Trifunctional enzyme subunit beta, mitochondrial</t>
  </si>
  <si>
    <t>Inhibin beta C chain</t>
  </si>
  <si>
    <t>Mesencephalic astrocyte-derived neurotrophic factor</t>
  </si>
  <si>
    <t>Microsomal triglyceride transfer protein large subunit</t>
  </si>
  <si>
    <t>Isoform 3 of Afadin</t>
  </si>
  <si>
    <t>Afadin</t>
  </si>
  <si>
    <t>RNA polymerase II elongation factor ELL</t>
  </si>
  <si>
    <t>Caspase-7</t>
  </si>
  <si>
    <t>Caspase-6</t>
  </si>
  <si>
    <t>Adenosine kinase</t>
  </si>
  <si>
    <t>Isoform 3 of Double-stranded RNA-specific adenosine deaminase</t>
  </si>
  <si>
    <t>Laminin subunit beta-2</t>
  </si>
  <si>
    <t>Isoform 2 of Tumor protein D52</t>
  </si>
  <si>
    <t>Protein SEC13 homolog</t>
  </si>
  <si>
    <t>NHP2-like protein 1</t>
  </si>
  <si>
    <t>FAD-linked sulfhydryl oxidase ALR</t>
  </si>
  <si>
    <t>Heterogeneous nuclear ribonucleoprotein H2</t>
  </si>
  <si>
    <t>Small ubiquitin-related modifier 3</t>
  </si>
  <si>
    <t>Eukaryotic translation initiation factor 3 subunit B</t>
  </si>
  <si>
    <t>Isoform 2 of NADH dehydrogenase [ubiquinone] flavoprotein 3, mitochondrial</t>
  </si>
  <si>
    <t>NADH dehydrogenase [ubiquinone] flavoprotein 3, mitochondrial</t>
  </si>
  <si>
    <t>Methionine--tRNA ligase, cytoplasmic</t>
  </si>
  <si>
    <t>Integrin alpha-1</t>
  </si>
  <si>
    <t>Cx9C motif-containing protein 4</t>
  </si>
  <si>
    <t>Galectin-4</t>
  </si>
  <si>
    <t>Histone deacetylase 4</t>
  </si>
  <si>
    <t>Eukaryotic translation initiation factor 6</t>
  </si>
  <si>
    <t>Isoform 2 of 3-keto-steroid reductase</t>
  </si>
  <si>
    <t>RWD domain-containing protein 2B</t>
  </si>
  <si>
    <t>Uncharacterized protein C21orf59</t>
  </si>
  <si>
    <t>Isoform 2 of tRNA (guanine-N(7)-)-methyltransferase subunit WDR4</t>
  </si>
  <si>
    <t>Isoform 3 of Coronin-7</t>
  </si>
  <si>
    <t>Gasdermin-D</t>
  </si>
  <si>
    <t>Selenocysteine-specific elongation factor</t>
  </si>
  <si>
    <t>Myotrophin</t>
  </si>
  <si>
    <t>Neutrophil defensin 3</t>
  </si>
  <si>
    <t>Actin-related protein 2/3 complex subunit 4</t>
  </si>
  <si>
    <t>Isoform 2 of Triosephosphate isomerase</t>
  </si>
  <si>
    <t>Eukaryotic translation initiation factor 3 subunit E</t>
  </si>
  <si>
    <t>Protein transport protein Sec61 subunit beta</t>
  </si>
  <si>
    <t>Eukaryotic initiation factor 4A-I</t>
  </si>
  <si>
    <t>40S ribosomal protein S20</t>
  </si>
  <si>
    <t>Ribose-phosphate pyrophosphokinase 1</t>
  </si>
  <si>
    <t>Proteasome subunit alpha type-6</t>
  </si>
  <si>
    <t>Protein S100-A10</t>
  </si>
  <si>
    <t>Cell division control protein 42 homolog</t>
  </si>
  <si>
    <t>Isoform 2 of Destrin</t>
  </si>
  <si>
    <t>Glia maturation factor beta</t>
  </si>
  <si>
    <t>Ras-related protein Rab-8A</t>
  </si>
  <si>
    <t>Signal recognition particle 54 kDa protein</t>
  </si>
  <si>
    <t>Ras-related protein Rab-2A</t>
  </si>
  <si>
    <t>Ras-related protein Rab-5B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</si>
  <si>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</si>
  <si>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</si>
  <si>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</si>
  <si>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</si>
  <si>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</si>
  <si>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</si>
  <si>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Actin-related protein 3</t>
  </si>
  <si>
    <t>Actin-related protein 2</t>
  </si>
  <si>
    <t>Alpha-centractin</t>
  </si>
  <si>
    <t>COP9 signalosome complex subunit 2</t>
  </si>
  <si>
    <t>DNA-directed RNA polymerases I, II, and III subunit RPABC2</t>
  </si>
  <si>
    <t>ATP-binding cassette sub-family E member 1</t>
  </si>
  <si>
    <t>Isoform 3 of Ras-related protein Rap-1b</t>
  </si>
  <si>
    <t>40S ribosomal protein S3a</t>
  </si>
  <si>
    <t>Proteasome activator complex subunit 3</t>
  </si>
  <si>
    <t>Protein mago nashi homolog</t>
  </si>
  <si>
    <t>Pterin-4-alpha-carbinolamine dehydratase</t>
  </si>
  <si>
    <t>Transforming protein RhoA</t>
  </si>
  <si>
    <t>10 kDa heat shock protein, mitochondrial</t>
  </si>
  <si>
    <t>Prefoldin subunit 3</t>
  </si>
  <si>
    <t>Coatomer subunit zeta-1</t>
  </si>
  <si>
    <t>Isoform 2 of Small ubiquitin-related modifier 2</t>
  </si>
  <si>
    <t>WD repeat-containing protein 5</t>
  </si>
  <si>
    <t>AP-1 complex subunit sigma-1A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</si>
  <si>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</si>
  <si>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</si>
  <si>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</si>
  <si>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</si>
  <si>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</si>
  <si>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Serine/threonine-protein phosphatase PP1-alpha catalytic subunit</t>
  </si>
  <si>
    <t>Serine/threonine-protein phosphatase PP1-beta catalytic subunit</t>
  </si>
  <si>
    <t>Calmodulin</t>
  </si>
  <si>
    <t>26S protease regulatory subunit 4</t>
  </si>
  <si>
    <t>Isoform 2 of 26S protease regulatory subunit 8</t>
  </si>
  <si>
    <t>40S ribosomal protein S8</t>
  </si>
  <si>
    <t>14-3-3 protein epsilon</t>
  </si>
  <si>
    <t>40S ribosomal protein S13</t>
  </si>
  <si>
    <t>40S ribosomal protein S11</t>
  </si>
  <si>
    <t>Small nuclear ribonucleoprotein E</t>
  </si>
  <si>
    <t>Small nuclear ribonucleoprotein G</t>
  </si>
  <si>
    <t>U6 snRNA-associated Sm-like protein LSm3</t>
  </si>
  <si>
    <t>U6 snRNA-associated Sm-like protein LSm6</t>
  </si>
  <si>
    <t>Small nuclear ribonucleoprotein Sm D1</t>
  </si>
  <si>
    <t>Small nuclear ribonucleoprotein Sm D2</t>
  </si>
  <si>
    <t>Thymosin beta-4</t>
  </si>
  <si>
    <t>ADP-ribosylation factor 6</t>
  </si>
  <si>
    <t>26S protease regulatory subunit 10B</t>
  </si>
  <si>
    <t>60S ribosomal protein L7a</t>
  </si>
  <si>
    <t>Eukaryotic peptide chain release factor subunit 1</t>
  </si>
  <si>
    <t>Isoform 2 of Cellular nucleic acid-binding protein</t>
  </si>
  <si>
    <t>40S ribosomal protein S4, X isoform</t>
  </si>
  <si>
    <t>Serine/threonine-protein phosphatase 2A catalytic subunit beta isoform</t>
  </si>
  <si>
    <t>Rho-related GTP-binding protein RhoB</t>
  </si>
  <si>
    <t>60S ribosomal protein L23a</t>
  </si>
  <si>
    <t>40S ribosomal protein S6</t>
  </si>
  <si>
    <t>Visinin-like protein 1</t>
  </si>
  <si>
    <t>Histone H4</t>
  </si>
  <si>
    <t>Histone H2B type 1-C/E/F/G/I</t>
  </si>
  <si>
    <t>Ras-related protein Rab-1A</t>
  </si>
  <si>
    <t>GTP-binding nuclear protein Ran</t>
  </si>
  <si>
    <t>60S ribosomal protein L23</t>
  </si>
  <si>
    <t>Ras-related protein Rap-1A</t>
  </si>
  <si>
    <t>40S ribosomal protein S25</t>
  </si>
  <si>
    <t>40S ribosomal protein S26</t>
  </si>
  <si>
    <t>Guanine nucleotide-binding protein G(I)/G(S)/G(T) subunit beta-1</t>
  </si>
  <si>
    <t>E3 ubiquitin-protein ligase RBX1</t>
  </si>
  <si>
    <t>Guanine nucleotide-binding protein G(I)/G(S)/G(T) subunit beta-2</t>
  </si>
  <si>
    <t>Peptidyl-prolyl cis-trans isomerase FKBP1A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</si>
  <si>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</si>
  <si>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</si>
  <si>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</si>
  <si>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</si>
  <si>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14-3-3 protein zeta/delta</t>
  </si>
  <si>
    <t>Serine/threonine-protein phosphatase 2A 55 kDa regulatory subunit B alpha isoform</t>
  </si>
  <si>
    <t>Dynein light chain 1, cytoplasmic</t>
  </si>
  <si>
    <t>Guanine nucleotide-binding protein subunit beta-2-like 1</t>
  </si>
  <si>
    <t>Actin, cytoplasmic 2</t>
  </si>
  <si>
    <t>Thymosin beta-10</t>
  </si>
  <si>
    <t>Serine/threonine-protein phosphatase 2A catalytic subunit alpha isoform</t>
  </si>
  <si>
    <t>Nuclease-sensitive element-binding protein 1</t>
  </si>
  <si>
    <t>Casein kinase II subunit beta</t>
  </si>
  <si>
    <t>Tropomyosin alpha-4 chain</t>
  </si>
  <si>
    <t>Ubiquitin-conjugating enzyme E2 L3</t>
  </si>
  <si>
    <t>Actin, alpha skeletal muscle</t>
  </si>
  <si>
    <t>Tubulin alpha-1B chain</t>
  </si>
  <si>
    <t>Tubulin beta-4B chain</t>
  </si>
  <si>
    <t>Platelet-activating factor acetylhydrolase IB subunit beta</t>
  </si>
  <si>
    <t>SH3 domain-binding protein 2</t>
  </si>
  <si>
    <t>Immunoglobulin-binding protein 1</t>
  </si>
  <si>
    <t>Leukotriene-B(4) omega-hydroxylase 1</t>
  </si>
  <si>
    <t>RNA-binding protein 6</t>
  </si>
  <si>
    <t>Ribonuclease P protein subunit p38</t>
  </si>
  <si>
    <t>Ribonuclease P protein subunit p30</t>
  </si>
  <si>
    <t>Isoform 2 of General transcription factor II-I</t>
  </si>
  <si>
    <t>Phosphatidylinositol 5-phosphate 4-kinase type-2 beta</t>
  </si>
  <si>
    <t>SRSF protein kinase 2</t>
  </si>
  <si>
    <t>T-complex protein 1 subunit beta</t>
  </si>
  <si>
    <t>mRNA export factor</t>
  </si>
  <si>
    <t>Glutathione S-transferase omega-1</t>
  </si>
  <si>
    <t>Suppression of tumorigenicity 5 protein</t>
  </si>
  <si>
    <t>Death domain-containing protein CRADD</t>
  </si>
  <si>
    <t>Isoform 2 of Neutrophil gelatinase-associated lipocalin</t>
  </si>
  <si>
    <t>Interferon-induced 35 kDa protein</t>
  </si>
  <si>
    <t>Metallothionein-1H</t>
  </si>
  <si>
    <t>Metallothionein-1X</t>
  </si>
  <si>
    <t>Nucleobindin-2</t>
  </si>
  <si>
    <t>4-aminobutyrate aminotransferase, mitochondrial</t>
  </si>
  <si>
    <t>Brain acid soluble protein 1</t>
  </si>
  <si>
    <t>Dermcidin</t>
  </si>
  <si>
    <t>TATA element modulatory factor</t>
  </si>
  <si>
    <t>28S ribosomal protein S10, mitochondrial</t>
  </si>
  <si>
    <t>28S ribosomal protein S5, mitochondrial</t>
  </si>
  <si>
    <t>28S ribosomal protein S36, mitochondrial</t>
  </si>
  <si>
    <t>28S ribosomal protein S15, mitochondrial</t>
  </si>
  <si>
    <t>28S ribosomal protein S34, mitochondrial</t>
  </si>
  <si>
    <t>28S ribosomal protein S6, mitochondrial</t>
  </si>
  <si>
    <t>SAP domain-containing ribonucleoprotein</t>
  </si>
  <si>
    <t>Retinol-binding protein 5</t>
  </si>
  <si>
    <t>Serine beta-lactamase-like protein LACTB, mitochondrial</t>
  </si>
  <si>
    <t>Conserved oligomeric Golgi complex subunit 7</t>
  </si>
  <si>
    <t>Thioredoxin-like protein 4A</t>
  </si>
  <si>
    <t>ADP-ribosylation factor 1</t>
  </si>
  <si>
    <t>ADP-ribosylation factor 5</t>
  </si>
  <si>
    <t>Enhancer of rudimentary homolog</t>
  </si>
  <si>
    <t>Forkhead box protein K1</t>
  </si>
  <si>
    <t>Vacuolar fusion protein CCZ1 homolog</t>
  </si>
  <si>
    <t>Isoform 2 of Disabled homolog 2</t>
  </si>
  <si>
    <t>Basement membrane-specific heparan sulfate proteoglycan core protein</t>
  </si>
  <si>
    <t>E3 ubiquitin-protein ligase XIAP</t>
  </si>
  <si>
    <t>Isoform 2 of RNA-binding protein 10</t>
  </si>
  <si>
    <t>Putative RNA-binding protein 3</t>
  </si>
  <si>
    <t>Transcription factor A, mitochondrial</t>
  </si>
  <si>
    <t>Phosphatidylinositol transfer protein alpha isoform</t>
  </si>
  <si>
    <t>S-adenosylmethionine synthase isoform type-1</t>
  </si>
  <si>
    <t>Vigilin</t>
  </si>
  <si>
    <t>Transcription initiation factor IIB</t>
  </si>
  <si>
    <t>Cyclin-dependent kinase 6</t>
  </si>
  <si>
    <t>Cyclin-dependent kinase 5</t>
  </si>
  <si>
    <t>Transcriptional activator protein Pur-alpha</t>
  </si>
  <si>
    <t>Isoform 2 of Cdc42 effector protein 1</t>
  </si>
  <si>
    <t>Isoform 2 of Clathrin heavy chain 1</t>
  </si>
  <si>
    <t>Nuclear factor NF-kappa-B p100 subunit</t>
  </si>
  <si>
    <t>Peptidyl-prolyl cis-trans isomerase FKBP3</t>
  </si>
  <si>
    <t>Sorbitol dehydrogenase</t>
  </si>
  <si>
    <t>Heterogeneous nuclear ribonucleoprotein U</t>
  </si>
  <si>
    <t>Perilipin-5</t>
  </si>
  <si>
    <t>Splicing factor U2AF 35 kDa subunit</t>
  </si>
  <si>
    <t>Isoform 2 of Spectrin beta chain, non-erythrocytic 1</t>
  </si>
  <si>
    <t>Spectrin beta chain, non-erythrocytic 1</t>
  </si>
  <si>
    <t>Isoform 2 of Nucleolysin TIAR</t>
  </si>
  <si>
    <t>Protein SET</t>
  </si>
  <si>
    <t>Isoform Ex1A-2-3 of AMP deaminase 2</t>
  </si>
  <si>
    <t>Di-N-acetylchitobiase</t>
  </si>
  <si>
    <t>Fatty acid-binding protein, epidermal</t>
  </si>
  <si>
    <t>Isoform 2 of Adenylyl cyclase-associated protein 1</t>
  </si>
  <si>
    <t>Hydroxymethylglutaryl-CoA synthase, cytoplasmic</t>
  </si>
  <si>
    <t>Protein Dr1</t>
  </si>
  <si>
    <t>OTU domain-containing protein 4</t>
  </si>
  <si>
    <t>Isoform 2 of DNA repair protein complementing XP-C cells</t>
  </si>
  <si>
    <t>Isoform 6 of RNA-binding protein EWS</t>
  </si>
  <si>
    <t>Isoform B of Inositol polyphosphate 5-phosphatase OCRL-1</t>
  </si>
  <si>
    <t>Isoform 2 of N-acylethanolamine-hydrolyzing acid amidase</t>
  </si>
  <si>
    <t>Isoform 2 of Transcription factor Sp2</t>
  </si>
  <si>
    <t>Methylmalonate-semialdehyde dehydrogenase [acylating], mitochondrial</t>
  </si>
  <si>
    <t>Sterol 26-hydroxylase, mitochondrial</t>
  </si>
  <si>
    <t>Plasminogen-like protein B</t>
  </si>
  <si>
    <t>Amyloid beta A4 precursor protein-binding family A member 1</t>
  </si>
  <si>
    <t>Isoform 2B of Desmocollin-2</t>
  </si>
  <si>
    <t>Desmocollin-2</t>
  </si>
  <si>
    <t>Dual specificity mitogen-activated protein kinase kinase 1</t>
  </si>
  <si>
    <t>Peptidyl-prolyl cis-trans isomerase FKBP4</t>
  </si>
  <si>
    <t>Nucleobindin-1</t>
  </si>
  <si>
    <t>Cytochrome P450 4A11</t>
  </si>
  <si>
    <t>Isoform 3 of A-kinase anchor protein 12</t>
  </si>
  <si>
    <t>Isoform 2 of Complement factor H-related protein 3</t>
  </si>
  <si>
    <t>Isoform 2 of Dystonin</t>
  </si>
  <si>
    <t>Isoform 2 of Glutathione S-transferase Mu 4</t>
  </si>
  <si>
    <t>Aminoacylase-1</t>
  </si>
  <si>
    <t>Lamin-B2</t>
  </si>
  <si>
    <t>Complement factor H-related protein 1</t>
  </si>
  <si>
    <t>1,4-alpha-glucan-branching enzyme</t>
  </si>
  <si>
    <t>Isoform D of Eukaryotic translation initiation factor 4 gamma 1</t>
  </si>
  <si>
    <t>Neurogenic locus notch homolog protein 2</t>
  </si>
  <si>
    <t>Transducin-like enhancer protein 1</t>
  </si>
  <si>
    <t>Isoform 2 of Transducin-like enhancer protein 3</t>
  </si>
  <si>
    <t>Hepatocyte growth factor activator</t>
  </si>
  <si>
    <t>Lactoylglutathione lyase</t>
  </si>
  <si>
    <t>Aldo-keto reductase family 1 member C1</t>
  </si>
  <si>
    <t>Single-stranded DNA-binding protein, mitochondrial</t>
  </si>
  <si>
    <t>14-3-3 protein eta</t>
  </si>
  <si>
    <t>Cleavage stimulation factor subunit 1</t>
  </si>
  <si>
    <t>Isoform III of Ubiquitin-protein ligase E3A</t>
  </si>
  <si>
    <t>Tyrosine-protein phosphatase non-receptor type 12</t>
  </si>
  <si>
    <t>Isoform 2 of Serine/arginine-rich splicing factor 11</t>
  </si>
  <si>
    <t>Elongation factor 1-alpha 2</t>
  </si>
  <si>
    <t>Isoform 5 of Caldesmon</t>
  </si>
  <si>
    <t>Caldesmon</t>
  </si>
  <si>
    <t>Isoform 2 of Inter-alpha-trypsin inhibitor heavy chain H3</t>
  </si>
  <si>
    <t>Isoform 2 of Tyrosine-protein phosphatase non-receptor type 11</t>
  </si>
  <si>
    <t>Amidophosphoribosyltransferase</t>
  </si>
  <si>
    <t>Isoform 2 of Glutamine--fructose-6-phosphate aminotransferase [isomerizing] 1</t>
  </si>
  <si>
    <t>Exosome complex component RRP45</t>
  </si>
  <si>
    <t>Aldehyde oxidase</t>
  </si>
  <si>
    <t>Proteasome activator complex subunit 1</t>
  </si>
  <si>
    <t>Isoform 5 of Recombining binding protein suppressor of hairless</t>
  </si>
  <si>
    <t>Bile salt sulfotransferase</t>
  </si>
  <si>
    <t>GA-binding protein alpha chain</t>
  </si>
  <si>
    <t>E3 ubiquitin-protein ligase RING1</t>
  </si>
  <si>
    <t>Complement component 1 Q subcomponent-binding protein, mitochondrial</t>
  </si>
  <si>
    <t>Cytoskeleton-associated protein 4</t>
  </si>
  <si>
    <t>Glutamyl aminopeptidase</t>
  </si>
  <si>
    <t>Tight junction protein ZO-1</t>
  </si>
  <si>
    <t>Trichohyalin</t>
  </si>
  <si>
    <t>KH domain-containing, RNA-binding, signal transduction-associated protein 1</t>
  </si>
  <si>
    <t>Isoform Epsilon of Apoptosis regulator BAX</t>
  </si>
  <si>
    <t>Activated CDC42 kinase 1</t>
  </si>
  <si>
    <t>Prolow-density lipoprotein receptor-related protein 1</t>
  </si>
  <si>
    <t>Serine/arginine-rich splicing factor 1</t>
  </si>
  <si>
    <t>Rho GTPase-activating protein 1</t>
  </si>
  <si>
    <t>Serine/arginine-rich splicing factor 4</t>
  </si>
  <si>
    <t>Isoform 2 of Serine/threonine-protein phosphatase 2B catalytic subunit alpha isoform</t>
  </si>
  <si>
    <t>ATP-dependent RNA helicase A</t>
  </si>
  <si>
    <t>Quinone oxidoreductase</t>
  </si>
  <si>
    <t>Golgin subfamily A member 3</t>
  </si>
  <si>
    <t>Golgin subfamily A member 2</t>
  </si>
  <si>
    <t>Galectin-3-binding protein</t>
  </si>
  <si>
    <t>Peroxisomal bifunctional enzyme</t>
  </si>
  <si>
    <t>Isoform CYP4F3B of Leukotriene-B(4) omega-hydroxylase 2</t>
  </si>
  <si>
    <t>Isoform Short of Dematin</t>
  </si>
  <si>
    <t>Peptidyl-prolyl cis-trans isomerase D</t>
  </si>
  <si>
    <t>Fibrinogen-like protein 1</t>
  </si>
  <si>
    <t>Retinoblastoma-like protein 2</t>
  </si>
  <si>
    <t>Mitotic-spindle organizing protein 1</t>
  </si>
  <si>
    <t>Acyl-coenzyme A synthetase ACSM2A, mitochondrial</t>
  </si>
  <si>
    <t>Protein VAC14 homolog</t>
  </si>
  <si>
    <t>tRNA (cytosine(34)-C(5))-methyltransferase</t>
  </si>
  <si>
    <t>Isoform 3 of Histone-binding protein RBBP4</t>
  </si>
  <si>
    <t>Histone acetyltransferase p300</t>
  </si>
  <si>
    <t>Neuroblast differentiation-associated protein AHNAK</t>
  </si>
  <si>
    <t>FCH domain only protein 2</t>
  </si>
  <si>
    <t>Heat shock 70 kDa protein 14</t>
  </si>
  <si>
    <t>Secernin-3</t>
  </si>
  <si>
    <t>Cingulin-like protein 1</t>
  </si>
  <si>
    <t>Isoform B of AP-1 complex subunit beta-1</t>
  </si>
  <si>
    <t>Isoform C of AP-1 complex subunit beta-1</t>
  </si>
  <si>
    <t>Cleavage and polyadenylation specificity factor subunit 1</t>
  </si>
  <si>
    <t>Mitochondrial-processing peptidase subunit alpha</t>
  </si>
  <si>
    <t>WASH complex subunit strumpellin</t>
  </si>
  <si>
    <t>Nuclear pore complex protein Nup160</t>
  </si>
  <si>
    <t>Rho guanine nucleotide exchange factor 5</t>
  </si>
  <si>
    <t>Twinfilin-1</t>
  </si>
  <si>
    <t>Isoform 7 of Hyaluronidase-1</t>
  </si>
  <si>
    <t>Isoform 3 of A-kinase anchor protein 13</t>
  </si>
  <si>
    <t>Isoform 2 of G-rich sequence factor 1</t>
  </si>
  <si>
    <t>Splicing factor 3A subunit 3</t>
  </si>
  <si>
    <t>Dihydropyrimidine dehydrogenase [NADP(+)]</t>
  </si>
  <si>
    <t>Tumor suppressor p53-binding protein 1</t>
  </si>
  <si>
    <t>Tripartite motif-containing protein 26</t>
  </si>
  <si>
    <t>Aminoacyl tRNA synthase complex-interacting multifunctional protein 1</t>
  </si>
  <si>
    <t>Interleukin enhancer-binding factor 2</t>
  </si>
  <si>
    <t>Isoform 4 of Interleukin enhancer-binding factor 3</t>
  </si>
  <si>
    <t>Epidermal growth factor receptor kinase substrate 8</t>
  </si>
  <si>
    <t>Isoform 4 of TNF receptor-associated factor 2</t>
  </si>
  <si>
    <t>Isoform 5 of Disks large homolog 1</t>
  </si>
  <si>
    <t>Transcription initiation factor TFIID subunit 10</t>
  </si>
  <si>
    <t>Unconventional myosin-Ie</t>
  </si>
  <si>
    <t>Nuclear inhibitor of protein phosphatase 1</t>
  </si>
  <si>
    <t>Isoform 3 of Transcriptional repressor NF-X1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</si>
  <si>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</si>
  <si>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</si>
  <si>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</si>
  <si>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</si>
  <si>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Isoform 2 of Protein flightless-1 homolog</t>
  </si>
  <si>
    <t>Protein flightless-1 homolog</t>
  </si>
  <si>
    <t>Bifunctional coenzyme A synthase</t>
  </si>
  <si>
    <t>Acetyl-CoA carboxylase 1</t>
  </si>
  <si>
    <t>Isoform 2 of Ubiquitin carboxyl-terminal hydrolase 4</t>
  </si>
  <si>
    <t>Protein Red</t>
  </si>
  <si>
    <t>S-methyl-5-thioadenosine phosphorylase</t>
  </si>
  <si>
    <t>5-AMP-activated protein kinase catalytic subunit alpha-1</t>
  </si>
  <si>
    <t>Isoform 2 of Liprin-alpha-1</t>
  </si>
  <si>
    <t>TAR DNA-binding protein 43</t>
  </si>
  <si>
    <t>Heterogeneous nuclear ribonucleoprotein A0</t>
  </si>
  <si>
    <t>Serine/threonine-protein kinase PAK 1</t>
  </si>
  <si>
    <t>Aminoacyl tRNA synthase complex-interacting multifunctional protein 2</t>
  </si>
  <si>
    <t>Peroxiredoxin-4</t>
  </si>
  <si>
    <t>Serine/threonine-protein kinase PAK 2</t>
  </si>
  <si>
    <t>Chromobox protein homolog 3</t>
  </si>
  <si>
    <t>Serine/threonine-protein kinase 3</t>
  </si>
  <si>
    <t>26S proteasome non-ATPase regulatory subunit 2</t>
  </si>
  <si>
    <t>Probable ATP-dependent RNA helicase DDX10</t>
  </si>
  <si>
    <t>DnaJ homolog subfamily C member 3</t>
  </si>
  <si>
    <t>Selenium-binding protein 1</t>
  </si>
  <si>
    <t>Nucleoside diphosphate kinase 3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</si>
  <si>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</si>
  <si>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</si>
  <si>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</si>
  <si>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</si>
  <si>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Ras GTPase-activating protein-binding protein 1</t>
  </si>
  <si>
    <t>N-myc-interactor</t>
  </si>
  <si>
    <t>Isoform 3 of Polyadenylate-binding protein 4</t>
  </si>
  <si>
    <t>Polyadenylate-binding protein 4</t>
  </si>
  <si>
    <t>Interferon-induced protein with tetratricopeptide repeats 5</t>
  </si>
  <si>
    <t>Isoform 3 of Metastasis-associated protein MTA1</t>
  </si>
  <si>
    <t>Eukaryotic translation initiation factor 3 subunit I</t>
  </si>
  <si>
    <t>Isoform 4 of Serine/threonine-protein phosphatase 2A 56 kDa regulatory subunit gamma isoform</t>
  </si>
  <si>
    <t>Isoform 2 of C-terminal-binding protein 1</t>
  </si>
  <si>
    <t>Ubiquitin-conjugating enzyme E2 variant 1</t>
  </si>
  <si>
    <t>Isoform 2F of Cytoplasmic dynein 1 intermediate chain 2</t>
  </si>
  <si>
    <t>Integrin-linked protein kinase</t>
  </si>
  <si>
    <t>NAD(P) transhydrogenase, mitochondrial</t>
  </si>
  <si>
    <t>Alpha-1-syntrophin</t>
  </si>
  <si>
    <t>Isoform 2 of DNA repair protein XRCC4</t>
  </si>
  <si>
    <t>Isoform 2 of Peptidyl-prolyl cis-trans isomerase G</t>
  </si>
  <si>
    <t>Isoform 4 of Treacle protein</t>
  </si>
  <si>
    <t>Splicing factor 3B subunit 2</t>
  </si>
  <si>
    <t>28 kDa heat- and acid-stable phosphoprotein</t>
  </si>
  <si>
    <t>Peptidyl-prolyl cis-trans isomerase FKBP5</t>
  </si>
  <si>
    <t>Isoform Short of Unconventional myosin-IXb</t>
  </si>
  <si>
    <t>Rho-associated protein kinase 1</t>
  </si>
  <si>
    <t>Isoform 3 of Phosphatidylinositol-binding clathrin assembly protein</t>
  </si>
  <si>
    <t>Myotubularin</t>
  </si>
  <si>
    <t>Isoform 2 of Sequestosome-1</t>
  </si>
  <si>
    <t>Peptidyl-prolyl cis-trans isomerase NIMA-interacting 1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</si>
  <si>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</si>
  <si>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</si>
  <si>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</si>
  <si>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</si>
  <si>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Isoform 10 of Calcium/calmodulin-dependent protein kinase type II subunit gamma</t>
  </si>
  <si>
    <t>Isoform Delta 6 of Calcium/calmodulin-dependent protein kinase type II subunit delta</t>
  </si>
  <si>
    <t>Dynactin subunit 2</t>
  </si>
  <si>
    <t>Inositol-tetrakisphosphate 1-kinase</t>
  </si>
  <si>
    <t>SNW domain-containing protein 1</t>
  </si>
  <si>
    <t>Ras GTPase-activating-like protein IQGAP2</t>
  </si>
  <si>
    <t>Stromal interaction molecule 1</t>
  </si>
  <si>
    <t>Sorting nexin-1</t>
  </si>
  <si>
    <t>Periodic tryptophan protein 1 homolog</t>
  </si>
  <si>
    <t>Cullin-1</t>
  </si>
  <si>
    <t>Cullin-2</t>
  </si>
  <si>
    <t>Cullin-3</t>
  </si>
  <si>
    <t>Cullin-4A</t>
  </si>
  <si>
    <t>Isoform 2 of Cullin-4B</t>
  </si>
  <si>
    <t>GDP-L-fucose synthase</t>
  </si>
  <si>
    <t>Isoform 1 of Four and a half LIM domains protein 1</t>
  </si>
  <si>
    <t>Alkylated DNA repair protein alkB homolog 1</t>
  </si>
  <si>
    <t>Protein Shroom2</t>
  </si>
  <si>
    <t>Isoform 2 of Spectrin alpha chain, non-erythrocytic 1</t>
  </si>
  <si>
    <t>Spectrin alpha chain, non-erythrocytic 1</t>
  </si>
  <si>
    <t>Methylglutaconyl-CoA hydratase, mitochondrial</t>
  </si>
  <si>
    <t>Spliceosome RNA helicase DDX39B</t>
  </si>
  <si>
    <t>Bleomycin hydrolase</t>
  </si>
  <si>
    <t>Exosome complex component RRP4</t>
  </si>
  <si>
    <t>Beta-1-syntrophin</t>
  </si>
  <si>
    <t>Tubulin beta-2A chain</t>
  </si>
  <si>
    <t>Isopentenyl-diphosphate Delta-isomerase 1</t>
  </si>
  <si>
    <t>Isoform 2 of Core-binding factor subunit beta</t>
  </si>
  <si>
    <t>Isoform 2 of Cytoskeleton-associated protein 5</t>
  </si>
  <si>
    <t>Cold-inducible RNA-binding protein</t>
  </si>
  <si>
    <t>Calcium/calmodulin-dependent protein kinase type 1</t>
  </si>
  <si>
    <t>Coactosin-like protein</t>
  </si>
  <si>
    <t>Bile acid-CoA:amino acid N-acyltransferase</t>
  </si>
  <si>
    <t>Cytochrome c oxidase copper chaperone</t>
  </si>
  <si>
    <t>Isoform 3 of Heterogeneous nuclear ribonucleoprotein D0</t>
  </si>
  <si>
    <t>Isoform 2 of Interleukin-18</t>
  </si>
  <si>
    <t>Dihydropyrimidinase</t>
  </si>
  <si>
    <t>Dystroglycan</t>
  </si>
  <si>
    <t>Desmoglein-2</t>
  </si>
  <si>
    <t>Ubiquitin conjugation factor E4 A</t>
  </si>
  <si>
    <t>Isoform I of Septin-6</t>
  </si>
  <si>
    <t>Isoform 1 of Rho guanine nucleotide exchange factor 7</t>
  </si>
  <si>
    <t>Ubiquitin-associated protein 2-like</t>
  </si>
  <si>
    <t>Protein scribble homolog</t>
  </si>
  <si>
    <t>ARF GTPase-activating protein GIT2</t>
  </si>
  <si>
    <t>Tubulin--tyrosine ligase-like protein 12</t>
  </si>
  <si>
    <t>Dedicator of cytokinesis protein 1</t>
  </si>
  <si>
    <t>Four and a half LIM domains protein 2</t>
  </si>
  <si>
    <t>Isoform 6 of Dynactin subunit 1</t>
  </si>
  <si>
    <t>Cytoplasmic dynein 1 heavy chain 1</t>
  </si>
  <si>
    <t>Translation initiation factor eIF-2B subunit alpha</t>
  </si>
  <si>
    <t>Eukaryotic initiation factor 4A-II</t>
  </si>
  <si>
    <t>Transcription elongation factor B polypeptide 3</t>
  </si>
  <si>
    <t>Isoform 2 of Ensconsin</t>
  </si>
  <si>
    <t>Isoform 3 of Src substrate cortactin</t>
  </si>
  <si>
    <t>Src substrate cortactin</t>
  </si>
  <si>
    <t>Endonuclease G, mitochondrial</t>
  </si>
  <si>
    <t>E3 ubiquitin/ISG15 ligase TRIM25</t>
  </si>
  <si>
    <t>Isoform 2 of Protein-tyrosine kinase 2-beta</t>
  </si>
  <si>
    <t>Isoform 2 of Peptidyl-prolyl cis-trans isomerase FKBP8</t>
  </si>
  <si>
    <t>Protein FAM50A</t>
  </si>
  <si>
    <t>Guanidinoacetate N-methyltransferase</t>
  </si>
  <si>
    <t>UDP-glucose 4-epimerase</t>
  </si>
  <si>
    <t>Glucokinase regulatory protein</t>
  </si>
  <si>
    <t>Glycerol kinase 2</t>
  </si>
  <si>
    <t>Isoform 2 of Caprin-1</t>
  </si>
  <si>
    <t>Isoform 2 of RNA-binding protein 39</t>
  </si>
  <si>
    <t>Isoform 2 of Hyaluronan-binding protein 2</t>
  </si>
  <si>
    <t>Helicase-like transcription factor</t>
  </si>
  <si>
    <t>Protein disulfide-isomerase A5</t>
  </si>
  <si>
    <t>Phosphoribosyl pyrophosphate synthase-associated protein 1</t>
  </si>
  <si>
    <t>DNA replication licensing factor MCM6</t>
  </si>
  <si>
    <t>Inter-alpha-trypsin inhibitor heavy chain H4</t>
  </si>
  <si>
    <t>Plastin-1</t>
  </si>
  <si>
    <t>Interferon regulatory factor 3</t>
  </si>
  <si>
    <t>L antigen family member 3</t>
  </si>
  <si>
    <t>E3 ubiquitin-protein ligase TRIP12</t>
  </si>
  <si>
    <t>Isoform 3 of Mediator of DNA damage checkpoint protein 1</t>
  </si>
  <si>
    <t>Clathrin interactor 1</t>
  </si>
  <si>
    <t>Isoform 2 of KN motif and ankyrin repeat domain-containing protein 1</t>
  </si>
  <si>
    <t>Structural maintenance of chromosomes protein 1A</t>
  </si>
  <si>
    <t>Isoform 2 of Ribosomal RNA processing protein 1 homolog B</t>
  </si>
  <si>
    <t>Isoform 2 of Genetic suppressor element 1</t>
  </si>
  <si>
    <t>Isoform 6 of Disco-interacting protein 2 homolog A</t>
  </si>
  <si>
    <t>Ubiquitin carboxyl-terminal hydrolase 10</t>
  </si>
  <si>
    <t>LDLR chaperone MESD</t>
  </si>
  <si>
    <t>Neutral alpha-glucosidase AB</t>
  </si>
  <si>
    <t>Glycine N-methyltransferase</t>
  </si>
  <si>
    <t>Golgin subfamily B member 1</t>
  </si>
  <si>
    <t>N-alpha-acetyltransferase 30</t>
  </si>
  <si>
    <t>LIM and SH3 domain protein 1</t>
  </si>
  <si>
    <t>Thiomorpholine-carboxylate dehydrogenase</t>
  </si>
  <si>
    <t>Isoform 2 of Prostaglandin reductase 1</t>
  </si>
  <si>
    <t>Isoform 5 of Nuclear factor 1 X-type</t>
  </si>
  <si>
    <t>Zinc finger protein 638</t>
  </si>
  <si>
    <t>Importin subunit beta-1</t>
  </si>
  <si>
    <t>Nucleolar and coiled-body phosphoprotein 1</t>
  </si>
  <si>
    <t>Nuclear mitotic apparatus protein 1</t>
  </si>
  <si>
    <t>Proteasome activator complex subunit 4</t>
  </si>
  <si>
    <t>Isoform 4 of GTPase-activating protein and VPS9 domain-containing protein 1</t>
  </si>
  <si>
    <t>Isoform 2 of N-alpha-acetyltransferase 25, NatB auxiliary subunit</t>
  </si>
  <si>
    <t>26S proteasome non-ATPase regulatory subunit 6</t>
  </si>
  <si>
    <t>BRISC complex subunit Abro1</t>
  </si>
  <si>
    <t>Septin-2</t>
  </si>
  <si>
    <t>Squamous cell carcinoma antigen recognized by T-cells 3</t>
  </si>
  <si>
    <t>Exosome complex component RRP42</t>
  </si>
  <si>
    <t>Isoform 2 of 116 kDa U5 small nuclear ribonucleoprotein component</t>
  </si>
  <si>
    <t>Isoform 2 of Sorting nexin-17</t>
  </si>
  <si>
    <t>Isoform 2 of Zinc transporter ZIP14</t>
  </si>
  <si>
    <t>Lysine--tRNA ligase</t>
  </si>
  <si>
    <t>Isoform Short of Eukaryotic translation initiation factor 4H</t>
  </si>
  <si>
    <t>Arf-GAP with coiled-coil, ANK repeat and PH domain-containing protein 2</t>
  </si>
  <si>
    <t>Bromodomain-containing protein 3</t>
  </si>
  <si>
    <t>Isoform 2 of Peroxisomal acyl-coenzyme A oxidase 1</t>
  </si>
  <si>
    <t>Peroxisomal acyl-coenzyme A oxidase 1</t>
  </si>
  <si>
    <t>Early endosome antigen 1</t>
  </si>
  <si>
    <t>Platelet-activating factor acetylhydrolase IB subunit gamma</t>
  </si>
  <si>
    <t>[Pyruvate dehydrogenase [lipoamide]] kinase isozyme 1, mitochondrial</t>
  </si>
  <si>
    <t>[Pyruvate dehydrogenase [lipoamide]] kinase isozyme 2, mitochondrial</t>
  </si>
  <si>
    <t>[Pyruvate dehydrogenase [lipoamide]] kinase isozyme 3, mitochondrial</t>
  </si>
  <si>
    <t>Isoform 2 of Phosphoglucomutase-like protein 5</t>
  </si>
  <si>
    <t>Phosphomevalonate kinase</t>
  </si>
  <si>
    <t>Isoform 8 of Plectin</t>
  </si>
  <si>
    <t>Serum paraoxonase/lactonase 3</t>
  </si>
  <si>
    <t>Serine/threonine-protein phosphatase 2A 56 kDa regulatory subunit alpha isoform</t>
  </si>
  <si>
    <t>Inorganic pyrophosphatase</t>
  </si>
  <si>
    <t>Serine/threonine-protein kinase 38</t>
  </si>
  <si>
    <t>Non-POU domain-containing octamer-binding protein</t>
  </si>
  <si>
    <t>Isoform 1 of Serine/threonine-protein phosphatase 2A activator</t>
  </si>
  <si>
    <t>Serine/threonine-protein phosphatase 2A activator</t>
  </si>
  <si>
    <t>Nicotinate-nucleotide pyrophosphorylase [carboxylating]</t>
  </si>
  <si>
    <t>Rab GTPase-binding effector protein 1</t>
  </si>
  <si>
    <t>Retinoblastoma-binding protein 5</t>
  </si>
  <si>
    <t>Reticulocalbin-1</t>
  </si>
  <si>
    <t>RalA-binding protein 1</t>
  </si>
  <si>
    <t>Leucine-rich repeat-containing protein 41</t>
  </si>
  <si>
    <t>Poly(rC)-binding protein 1</t>
  </si>
  <si>
    <t>GTP-binding protein Rheb</t>
  </si>
  <si>
    <t>Ubiquitin-protein ligase E3C</t>
  </si>
  <si>
    <t>Splicing factor 3B subunit 3</t>
  </si>
  <si>
    <t>Ras suppressor protein 1</t>
  </si>
  <si>
    <t>Calponin-3</t>
  </si>
  <si>
    <t>Scaffold attachment factor B1</t>
  </si>
  <si>
    <t>Splicing factor 3B subunit 4</t>
  </si>
  <si>
    <t>Protein phosphatase 1 regulatory subunit 7</t>
  </si>
  <si>
    <t>Protein transport protein Sec23B</t>
  </si>
  <si>
    <t>Splicing factor 3A subunit 1</t>
  </si>
  <si>
    <t>SH2 domain-containing adapter protein B</t>
  </si>
  <si>
    <t>Helicase SKI2W</t>
  </si>
  <si>
    <t>Regucalcin</t>
  </si>
  <si>
    <t>Isoform 2 of Surfeit locus protein 1</t>
  </si>
  <si>
    <t>Telomeric repeat-binding factor 2</t>
  </si>
  <si>
    <t>Isoform 4 of Microtubule-associated protein RP/EB family member 2</t>
  </si>
  <si>
    <t>Nuclear receptor coactivator 2</t>
  </si>
  <si>
    <t>Na(+)/H(+) exchange regulatory cofactor NHE-RF2</t>
  </si>
  <si>
    <t>Tumor necrosis factor receptor type 1-associated DEATH domain protein</t>
  </si>
  <si>
    <t>Isoform 2 of RISC-loading complex subunit TARBP2</t>
  </si>
  <si>
    <t>Isoform 5 of Splicing factor 1</t>
  </si>
  <si>
    <t>Cdc42-interacting protein 4</t>
  </si>
  <si>
    <t>Thyroid receptor-interacting protein 11</t>
  </si>
  <si>
    <t>Activating signal cointegrator 1</t>
  </si>
  <si>
    <t>Probable JmjC domain-containing histone demethylation protein 2C</t>
  </si>
  <si>
    <t>Thyroid receptor-interacting protein 6</t>
  </si>
  <si>
    <t>Microtubule-associated protein RP/EB family member 1</t>
  </si>
  <si>
    <t>ELAV-like protein 1</t>
  </si>
  <si>
    <t>Isoform 2 of Myosin light chain kinase, smooth muscle</t>
  </si>
  <si>
    <t>Isoform Del-1790 of Myosin light chain kinase, smooth muscle</t>
  </si>
  <si>
    <t>Isoform 2 of TGF-beta-activated kinase 1 and MAP3K7-binding protein 1</t>
  </si>
  <si>
    <t>Mitochondrial import receptor subunit TOM34</t>
  </si>
  <si>
    <t>Tubulin-specific chaperone E</t>
  </si>
  <si>
    <t>Tubulin-specific chaperone C</t>
  </si>
  <si>
    <t>Ubiquitin-conjugating enzyme E2 variant 2</t>
  </si>
  <si>
    <t>Syntaxin-binding protein 2</t>
  </si>
  <si>
    <t>Adipogenesis regulatory factor</t>
  </si>
  <si>
    <t>Ras-related protein Rab-11B</t>
  </si>
  <si>
    <t>Zyxin</t>
  </si>
  <si>
    <t>Electron transfer flavoprotein-ubiquinone oxidoreductase, mitochondrial</t>
  </si>
  <si>
    <t>Septin-7</t>
  </si>
  <si>
    <t>Proteasomal ubiquitin receptor ADRM1</t>
  </si>
  <si>
    <t>Coiled-coil domain-containing protein 6</t>
  </si>
  <si>
    <t>Isoform AGX1 of UDP-N-acetylhexosamine pyrophosphorylase</t>
  </si>
  <si>
    <t>Transcription factor E2F4</t>
  </si>
  <si>
    <t>Isoform 2 of Insulin-like growth factor-binding protein 7</t>
  </si>
  <si>
    <t>Isoform 2 of 26S proteasome non-ATPase regulatory subunit 5</t>
  </si>
  <si>
    <t>DNA damage-binding protein 1</t>
  </si>
  <si>
    <t>Mitogen-activated protein kinase 14</t>
  </si>
  <si>
    <t>Hsp90 co-chaperone Cdc37</t>
  </si>
  <si>
    <t>Isoform 2 of Dihydropyrimidinase-related protein 2</t>
  </si>
  <si>
    <t>Histone-binding protein RBBP7</t>
  </si>
  <si>
    <t>Isoform 5 of Occludin</t>
  </si>
  <si>
    <t>Male-enhanced antigen 1</t>
  </si>
  <si>
    <t>MAP kinase-activated protein kinase 3</t>
  </si>
  <si>
    <t>[Pyruvate dehydrogenase [lipoamide]] kinase isozyme 4, mitochondrial</t>
  </si>
  <si>
    <t>Fascin</t>
  </si>
  <si>
    <t>Kynureninase</t>
  </si>
  <si>
    <t>Putative ATP-dependent Clp protease proteolytic subunit, mitochondrial</t>
  </si>
  <si>
    <t>Thiosulfate sulfurtransferase</t>
  </si>
  <si>
    <t>Kynurenine--oxoglutarate transaminase 1</t>
  </si>
  <si>
    <t>Hydroxyacylglutathione hydrolase, mitochondrial</t>
  </si>
  <si>
    <t>Phosphoenolpyruvate carboxykinase [GTP], mitochondrial</t>
  </si>
  <si>
    <t>Tyrosine-protein phosphatase non-receptor type 21</t>
  </si>
  <si>
    <t>Uridine phosphorylase 1</t>
  </si>
  <si>
    <t>Hydroxyacyl-coenzyme A dehydrogenase, mitochondrial</t>
  </si>
  <si>
    <t>Isoform 2 of UTP--glucose-1-phosphate uridylyltransferase</t>
  </si>
  <si>
    <t>UTP--glucose-1-phosphate uridylyltransferase</t>
  </si>
  <si>
    <t>Deoxyguanosine kinase, mitochondrial</t>
  </si>
  <si>
    <t>V-type proton ATPase subunit F</t>
  </si>
  <si>
    <t>Cysteine dioxygenase type 1</t>
  </si>
  <si>
    <t>Isoform 5 of Putative deoxyribonuclease TATDN3</t>
  </si>
  <si>
    <t>Exocyst complex component 3-like protein 4</t>
  </si>
  <si>
    <t>Protein FAM98C</t>
  </si>
  <si>
    <t>Protein FAM110C</t>
  </si>
  <si>
    <t>Inverted formin-2</t>
  </si>
  <si>
    <t>Sister chromatid cohesion protein PDS5 homolog A</t>
  </si>
  <si>
    <t>Protein CLEC16A</t>
  </si>
  <si>
    <t>WASH complex subunit 7</t>
  </si>
  <si>
    <t>Isoform 3 of Ral GTPase-activating protein subunit alpha-2</t>
  </si>
  <si>
    <t>Peroxisomal leader peptide-processing protease</t>
  </si>
  <si>
    <t>Glutamine-rich protein 1</t>
  </si>
  <si>
    <t>WD40 repeat-containing protein SMU1</t>
  </si>
  <si>
    <t>Acid trehalase-like protein 1</t>
  </si>
  <si>
    <t>Isoform 2 of Leucine-rich repeat flightless-interacting protein 1</t>
  </si>
  <si>
    <t>Isoform 3 of Leucine-rich repeat flightless-interacting protein 1</t>
  </si>
  <si>
    <t>Isoform 4 of Leucine-rich repeat flightless-interacting protein 1</t>
  </si>
  <si>
    <t>Prolyl 3-hydroxylase 1</t>
  </si>
  <si>
    <t>Echinoderm microtubule-associated protein-like 3</t>
  </si>
  <si>
    <t>Glucose-fructose oxidoreductase domain-containing protein 2</t>
  </si>
  <si>
    <t>Bifunctional ATP-dependent dihydroxyacetone kinase/FAD-AMP lyase (cyclizing)</t>
  </si>
  <si>
    <t>Protein LSM12 homolog</t>
  </si>
  <si>
    <t>Putative tRNA pseudouridine synthase Pus10</t>
  </si>
  <si>
    <t>Rab-like protein 6</t>
  </si>
  <si>
    <t>Tubulin beta-8 chain</t>
  </si>
  <si>
    <t>Isoform 5 of Putative oxidoreductase GLYR1</t>
  </si>
  <si>
    <t>Cerebral dopamine neurotrophic factor</t>
  </si>
  <si>
    <t>Cryptochrome-2</t>
  </si>
  <si>
    <t>Isoform 2 of UPF0489 protein C5orf22</t>
  </si>
  <si>
    <t>Cytochrome c oxidase assembly protein COX19</t>
  </si>
  <si>
    <t>Vacuolar protein sorting-associated protein 26B</t>
  </si>
  <si>
    <t>La-related protein 7</t>
  </si>
  <si>
    <t>NAD kinase domain-containing protein 1, mitochondrial</t>
  </si>
  <si>
    <t>BTB/POZ domain-containing protein KCTD21</t>
  </si>
  <si>
    <t>Isoform 2 of Glucoside xylosyltransferase 1</t>
  </si>
  <si>
    <t>Acyl-CoA synthetase family member 3, mitochondrial</t>
  </si>
  <si>
    <t>Isoform 4 of Prolyl endopeptidase-like</t>
  </si>
  <si>
    <t>Isoform 2 of Taperin</t>
  </si>
  <si>
    <t>Isoform 3 of 1-phosphatidylinositol 4,5-bisphosphate phosphodiesterase eta-1</t>
  </si>
  <si>
    <t>Isoform 3 of AT-rich interactive domain-containing protein 4B</t>
  </si>
  <si>
    <t>GRIP1-associated protein 1</t>
  </si>
  <si>
    <t>Zinc finger protein 658B</t>
  </si>
  <si>
    <t>Isoform 2 of Protein FAM98B</t>
  </si>
  <si>
    <t>Rho GTPase-activating protein 29</t>
  </si>
  <si>
    <t>Uncharacterized protein C17orf85</t>
  </si>
  <si>
    <t>Quinone oxidoreductase PIG3</t>
  </si>
  <si>
    <t>Acyl-coenzyme A synthetase ACSM3, mitochondrial</t>
  </si>
  <si>
    <t>Estradiol 17-beta-dehydrogenase 12</t>
  </si>
  <si>
    <t>Beta-lactamase-like protein 2</t>
  </si>
  <si>
    <t>Protein TSSC1</t>
  </si>
  <si>
    <t>Ankyrin repeat domain-containing protein SOWAHC</t>
  </si>
  <si>
    <t>BolA-like protein 3</t>
  </si>
  <si>
    <t>Isoform 4 of Cordon-bleu protein-like 1</t>
  </si>
  <si>
    <t>HCLS1-binding protein 3</t>
  </si>
  <si>
    <t>WD repeat-containing protein 81</t>
  </si>
  <si>
    <t>Putative heat shock protein HSP 90-beta 2</t>
  </si>
  <si>
    <t>DDB1- and CUL4-associated factor 6</t>
  </si>
  <si>
    <t>Oxidoreductase-like domain-containing protein 1</t>
  </si>
  <si>
    <t>Isoform 2 of RILP-like protein 1</t>
  </si>
  <si>
    <t>PDZ domain-containing protein 11</t>
  </si>
  <si>
    <t>UMP-CMP kinase 2, mitochondrial</t>
  </si>
  <si>
    <t>Isoform 3 of Probable E3 ubiquitin-protein ligase HERC4</t>
  </si>
  <si>
    <t>Isoform 3 of SH3 domain-containing protein 19</t>
  </si>
  <si>
    <t>Tetratricopeptide repeat protein 32</t>
  </si>
  <si>
    <t>Microtubule-associated tumor suppressor candidate 2</t>
  </si>
  <si>
    <t>Presequence protease, mitochondrial</t>
  </si>
  <si>
    <t>NHL repeat-containing protein 3</t>
  </si>
  <si>
    <t>Isoform 2 of WD repeat-containing protein 44</t>
  </si>
  <si>
    <t>Isoform 1 of Protein PRRC2B</t>
  </si>
  <si>
    <t>Isoform 2 of Tight junction-associated protein 1</t>
  </si>
  <si>
    <t>Isoform 3 of Cytochrome c oxidase assembly factor 6 homolog</t>
  </si>
  <si>
    <t>Torsin-1A-interacting protein 1</t>
  </si>
  <si>
    <t>Alanine--tRNA ligase, mitochondrial</t>
  </si>
  <si>
    <t>Isoform 3 of PCI domain-containing protein 2</t>
  </si>
  <si>
    <t>Intracellular hyaluronan-binding protein 4</t>
  </si>
  <si>
    <t>Collectin-12</t>
  </si>
  <si>
    <t>Isoform 3 of Serine/threonine-protein phosphatase 4 regulatory subunit 3B</t>
  </si>
  <si>
    <t>WD repeat domain phosphoinositide-interacting protein 3</t>
  </si>
  <si>
    <t>Isoform 2 of WD repeat domain phosphoinositide-interacting protein 1</t>
  </si>
  <si>
    <t>EGF domain-specific O-linked N-acetylglucosamine transferase</t>
  </si>
  <si>
    <t>Tubulin-specific chaperone cofactor E-like protein</t>
  </si>
  <si>
    <t>Tetratricopeptide repeat protein 38</t>
  </si>
  <si>
    <t>Uncharacterized protein C1orf173</t>
  </si>
  <si>
    <t>Exosome complex component MTR3</t>
  </si>
  <si>
    <t>WASH complex subunit FAM21B</t>
  </si>
  <si>
    <t>Phytanoyl-CoA dioxygenase domain-containing protein 1</t>
  </si>
  <si>
    <t>Heterochromatin protein 1-binding protein 3</t>
  </si>
  <si>
    <t>Valine--tRNA ligase, mitochondrial</t>
  </si>
  <si>
    <t>Isoform 2 of Centrosomal protein of 170 kDa</t>
  </si>
  <si>
    <t>Low density lipoprotein receptor adapter protein 1</t>
  </si>
  <si>
    <t>DNL-type zinc finger protein</t>
  </si>
  <si>
    <t>Isoform 2 of NHS-like protein 1</t>
  </si>
  <si>
    <t>Isoform 3 of Formin-binding protein 1-like</t>
  </si>
  <si>
    <t>Probable arginine--tRNA ligase, mitochondrial</t>
  </si>
  <si>
    <t>Acyl-coenzyme A thioesterase THEM4</t>
  </si>
  <si>
    <t>FK506-binding protein 15</t>
  </si>
  <si>
    <t>Zinc finger CCCH domain-containing protein 13</t>
  </si>
  <si>
    <t>UPF0668 protein C10orf76</t>
  </si>
  <si>
    <t>Na(+)/H(+) exchange regulatory cofactor NHE-RF3</t>
  </si>
  <si>
    <t>Putative transferase CAF17, mitochondrial</t>
  </si>
  <si>
    <t>Isoform 6 of Protrudin</t>
  </si>
  <si>
    <t>Isoform 3 of E3 ubiquitin-protein ligase UBR4</t>
  </si>
  <si>
    <t>Sickle tail protein homolog</t>
  </si>
  <si>
    <t>Rho GTPase-activating protein 21</t>
  </si>
  <si>
    <t>Probable gluconokinase</t>
  </si>
  <si>
    <t>UPF0553 protein C9orf64</t>
  </si>
  <si>
    <t>RAB6-interacting golgin</t>
  </si>
  <si>
    <t>Isoform 2 of Acyl-CoA-binding domain-containing protein 5</t>
  </si>
  <si>
    <t>Acyl-CoA-binding domain-containing protein 5</t>
  </si>
  <si>
    <t>Isoform 2 of RNA-binding protein 26</t>
  </si>
  <si>
    <t>Glycolipid transfer protein domain-containing protein 1</t>
  </si>
  <si>
    <t>Protein furry homolog</t>
  </si>
  <si>
    <t>ATP synthase mitochondrial F1 complex assembly factor 1</t>
  </si>
  <si>
    <t>Isoform 4 of Membrane-associated guanylate kinase, WW and PDZ domain-containing protein 3</t>
  </si>
  <si>
    <t>Protein DDI1 homolog 2</t>
  </si>
  <si>
    <t>NADH dehydrogenase [ubiquinone] 1 alpha subcomplex assembly factor 5</t>
  </si>
  <si>
    <t>5-nucleotidase domain-containing protein 1</t>
  </si>
  <si>
    <t>Signal-regulatory protein beta-1 isoform 3</t>
  </si>
  <si>
    <t>Rootletin</t>
  </si>
  <si>
    <t>Complex III assembly factor LYRM7</t>
  </si>
  <si>
    <t>Isoform 2 of Telomere-associated protein RIF1</t>
  </si>
  <si>
    <t>Isoform 4 of Vacuolar protein sorting-associated protein 53 homolog</t>
  </si>
  <si>
    <t>Striatin-interacting protein 1</t>
  </si>
  <si>
    <t>Putative lipocalin 1-like protein 1</t>
  </si>
  <si>
    <t>Centrosome-associated protein 350</t>
  </si>
  <si>
    <t>Regulation of nuclear pre-mRNA domain-containing protein 2</t>
  </si>
  <si>
    <t>Putative elongation factor 1-alpha-like 3</t>
  </si>
  <si>
    <t>Isoform 5 of Tetratricopeptide repeat protein 39B</t>
  </si>
  <si>
    <t>E3 ubiquitin-protein ligase BRE1A</t>
  </si>
  <si>
    <t>ATP synthase subunit epsilon-like protein, mitochondrial</t>
  </si>
  <si>
    <t>Zinc finger protein 318</t>
  </si>
  <si>
    <t>Uncharacterized protein C1orf53</t>
  </si>
  <si>
    <t>Isoform 2 of Ubiquitin thioesterase OTU1</t>
  </si>
  <si>
    <t>BRO1 domain-containing protein BROX</t>
  </si>
  <si>
    <t>Focadhesin</t>
  </si>
  <si>
    <t>Muscular LMNA-interacting protein</t>
  </si>
  <si>
    <t>Isoform 3 of Disabled homolog 2-interacting protein</t>
  </si>
  <si>
    <t>Lysophospholipase-like protein 1</t>
  </si>
  <si>
    <t>Proteasome-associated protein ECM29 homolog</t>
  </si>
  <si>
    <t>Isoform 2 of Renalase</t>
  </si>
  <si>
    <t>Leucine-rich repeat-containing protein 16A</t>
  </si>
  <si>
    <t>Protein FAM160B1</t>
  </si>
  <si>
    <t>SPRY domain-containing protein 7</t>
  </si>
  <si>
    <t>E3 ubiquitin-protein ligase RNF123</t>
  </si>
  <si>
    <t>Kynurenine formamidase</t>
  </si>
  <si>
    <t>E3 ubiquitin-protein ligase RNF213</t>
  </si>
  <si>
    <t>Isoform 3 of KN motif and ankyrin repeat domain-containing protein 2</t>
  </si>
  <si>
    <t>Protein FAM91A1</t>
  </si>
  <si>
    <t>Isoform 2 of TBC1 domain family member 9B</t>
  </si>
  <si>
    <t>Isoform 5 of ADP-ribosylation factor-like protein 6-interacting protein 4</t>
  </si>
  <si>
    <t>ADP-ribosylation factor-like protein 6-interacting protein 4</t>
  </si>
  <si>
    <t>Isoform 2 of Autophagy-related protein 16-1</t>
  </si>
  <si>
    <t>Acyl-coenzyme A synthetase ACSM2B, mitochondrial</t>
  </si>
  <si>
    <t>Tensin-3</t>
  </si>
  <si>
    <t>Isoform 2 of Integrator complex subunit 3</t>
  </si>
  <si>
    <t>Isoform 6 of Rho GTPase-activating protein 17</t>
  </si>
  <si>
    <t>CWF19-like protein 1</t>
  </si>
  <si>
    <t>Isoform 3 of Protein virilizer homolog</t>
  </si>
  <si>
    <t>Isoform 2 of Cytospin-A</t>
  </si>
  <si>
    <t>Putative 3-phosphoinositide-dependent protein kinase 2</t>
  </si>
  <si>
    <t>Zinc finger protein 787</t>
  </si>
  <si>
    <t>Atlastin-3</t>
  </si>
  <si>
    <t>Isoform 2 of Adenosine deaminase-like protein</t>
  </si>
  <si>
    <t>Tetratricopeptide repeat protein 19, mitochondrial</t>
  </si>
  <si>
    <t>Isoform 2 of IQ motif and SEC7 domain-containing protein 1</t>
  </si>
  <si>
    <t>Vasorin</t>
  </si>
  <si>
    <t>Isoform 3 of Anamorsin</t>
  </si>
  <si>
    <t>Isoform 2 of AN1-type zinc finger protein 6</t>
  </si>
  <si>
    <t>SET and MYND domain-containing protein 5</t>
  </si>
  <si>
    <t>Putative peptidyl-tRNA hydrolase PTRHD1</t>
  </si>
  <si>
    <t>Isoform 2 of OTU domain-containing protein 7B</t>
  </si>
  <si>
    <t>Isoform 4 of Ral GTPase-activating protein subunit alpha-1</t>
  </si>
  <si>
    <t>Glutamine-dependent NAD(+) synthetase</t>
  </si>
  <si>
    <t>Isoform 2 of Elongator complex protein 2</t>
  </si>
  <si>
    <t>Glycine N-acyltransferase</t>
  </si>
  <si>
    <t>Twinfilin-2</t>
  </si>
  <si>
    <t>Isoform 3 of Uncharacterized protein KIAA0930</t>
  </si>
  <si>
    <t>Isoform 2 of Serine/threonine-protein phosphatase 4 regulatory subunit 3A</t>
  </si>
  <si>
    <t>LYR motif-containing protein 5</t>
  </si>
  <si>
    <t>Acyl-CoA dehydrogenase family member 10</t>
  </si>
  <si>
    <t>Isoform 2 of Nipped-B-like protein</t>
  </si>
  <si>
    <t>Isoform 2 of Zinc finger protein 280D</t>
  </si>
  <si>
    <t>2-oxoglutarate and iron-dependent oxygenase domain-containing protein 2</t>
  </si>
  <si>
    <t>All-trans-retinol 13,14-reductase</t>
  </si>
  <si>
    <t>Acyl-coenzyme A synthetase ACSM5, mitochondrial</t>
  </si>
  <si>
    <t>RAD50-interacting protein 1</t>
  </si>
  <si>
    <t>Isoform 2 of Transmembrane protein 214</t>
  </si>
  <si>
    <t>3-hydroxyisobutyryl-CoA hydrolase, mitochondrial</t>
  </si>
  <si>
    <t>Phostensin</t>
  </si>
  <si>
    <t>Zinc finger CCHC domain-containing protein 8</t>
  </si>
  <si>
    <t>Parafibromin</t>
  </si>
  <si>
    <t>Isoform A of Lethal(2) giant larvae protein homolog 2</t>
  </si>
  <si>
    <t>Isoform 2 of Coiled-coil and C2 domain-containing protein 1A</t>
  </si>
  <si>
    <t>Putative deoxyribonuclease TATDN1</t>
  </si>
  <si>
    <t>tRNA-dihydrouridine(16/17) synthase [NAD(P)(+)]-like</t>
  </si>
  <si>
    <t>UPF0598 protein C8orf82</t>
  </si>
  <si>
    <t>Enhancer of mRNA-decapping protein 4</t>
  </si>
  <si>
    <t>Putative protein arginine N-methyltransferase 10</t>
  </si>
  <si>
    <t>Pre-mRNA-processing-splicing factor 8</t>
  </si>
  <si>
    <t>SCY1-like protein 2</t>
  </si>
  <si>
    <t>Tetratricopeptide repeat protein 27</t>
  </si>
  <si>
    <t>Phospholipase B-like 1</t>
  </si>
  <si>
    <t>Adrenodoxin-like protein, mitochondrial</t>
  </si>
  <si>
    <t>Isoform 3 of Nuclear factor related to kappa-B-binding protein</t>
  </si>
  <si>
    <t>Acylpyruvase FAHD1, mitochondrial</t>
  </si>
  <si>
    <t>Uncharacterized protein C8orf47</t>
  </si>
  <si>
    <t>Round spermatid basic protein 1-like protein</t>
  </si>
  <si>
    <t>RNA polymerase-associated protein CTR9 homolog</t>
  </si>
  <si>
    <t>Alpha- and gamma-adaptin-binding protein p34</t>
  </si>
  <si>
    <t>Tetratricopeptide repeat protein 37</t>
  </si>
  <si>
    <t>UPF0547 protein C16orf87</t>
  </si>
  <si>
    <t>Aspartate--tRNA ligase, mitochondrial</t>
  </si>
  <si>
    <t>Isoform 2 of F-box only protein 38</t>
  </si>
  <si>
    <t>Isoform 4 of Zinc finger CCCH domain-containing protein 14</t>
  </si>
  <si>
    <t>Isoform 2 of Consortin</t>
  </si>
  <si>
    <t>Isoform 2 of Zinc finger protein 773</t>
  </si>
  <si>
    <t>La-related protein 1</t>
  </si>
  <si>
    <t>Protein TMED8</t>
  </si>
  <si>
    <t>Isoform 8 of Peroxisomal N(1)-acetyl-spermine/spermidine oxidase</t>
  </si>
  <si>
    <t>Biogenesis of lysosome-related organelles complex 1 subunit 3</t>
  </si>
  <si>
    <t>Atherin</t>
  </si>
  <si>
    <t>Methionine aminopeptidase 1D, mitochondrial</t>
  </si>
  <si>
    <t>Isoform 5 of Aftiphilin</t>
  </si>
  <si>
    <t>Isoform 4 of Pre-mRNA 3-end-processing factor FIP1</t>
  </si>
  <si>
    <t>E3 ubiquitin-protein ligase LRSAM1</t>
  </si>
  <si>
    <t>Dehydrogenase/reductase SDR family member 11</t>
  </si>
  <si>
    <t>Carboxylesterase 3</t>
  </si>
  <si>
    <t>Methyltransferase-like protein 7B</t>
  </si>
  <si>
    <t>Isoform 4 of Cysteine-rich with EGF-like domain protein 2</t>
  </si>
  <si>
    <t>WD repeat-containing protein 82</t>
  </si>
  <si>
    <t>Apolipoprotein O-like</t>
  </si>
  <si>
    <t>Phosphofurin acidic cluster sorting protein 1</t>
  </si>
  <si>
    <t>Myosin phosphatase Rho-interacting protein</t>
  </si>
  <si>
    <t>Isoform 2 of Rab11 family-interacting protein 1</t>
  </si>
  <si>
    <t>Nicotinate phosphoribosyltransferase</t>
  </si>
  <si>
    <t>Dynamin-binding protein</t>
  </si>
  <si>
    <t>Isoform 3 of PERQ amino acid-rich with GYF domain-containing protein 2</t>
  </si>
  <si>
    <t>Hydroxysteroid dehydrogenase-like protein 2</t>
  </si>
  <si>
    <t>Isoform 3 of Kynurenine--oxoglutarate transaminase 3</t>
  </si>
  <si>
    <t>Protein phosphatase 1 regulatory subunit 21</t>
  </si>
  <si>
    <t>GDP-D-glucose phosphorylase 1</t>
  </si>
  <si>
    <t>Neurobeachin-like protein 1</t>
  </si>
  <si>
    <t>Isoform 2 of Rho guanine nucleotide exchange factor 18</t>
  </si>
  <si>
    <t>E3 ubiquitin-protein ligase UBR3</t>
  </si>
  <si>
    <t>Phosphoinositide 3-kinase adapter protein 1</t>
  </si>
  <si>
    <t>Isoform 2 of 8-oxo-dGDP phosphatase NUDT18</t>
  </si>
  <si>
    <t>TOM1-like protein 2</t>
  </si>
  <si>
    <t>Isoform 3 of Vacuolar protein sorting-associated protein 13C</t>
  </si>
  <si>
    <t>Acyl-CoA dehydrogenase family member 11</t>
  </si>
  <si>
    <t>Ras-associated and pleckstrin homology domains-containing protein 1</t>
  </si>
  <si>
    <t>Ubiquitin-conjugating enzyme E2 R2</t>
  </si>
  <si>
    <t>Isoform 6 of La-related protein 4</t>
  </si>
  <si>
    <t>Isoform 2 of Tubulin alpha-1A chain</t>
  </si>
  <si>
    <t>MTSS1-like protein</t>
  </si>
  <si>
    <t>Isoform 3 of Nucleolar protein 8</t>
  </si>
  <si>
    <t>Transcription elongation factor SPT6</t>
  </si>
  <si>
    <t>Staphylococcal nuclease domain-containing protein 1</t>
  </si>
  <si>
    <t>Isoform 12 of Serine/threonine-protein kinase MARK2</t>
  </si>
  <si>
    <t>Probable ATP-dependent RNA helicase DDX46</t>
  </si>
  <si>
    <t>Isoform 2 of Protein RUFY3</t>
  </si>
  <si>
    <t>Isoform 4 of Protein RUFY3</t>
  </si>
  <si>
    <t>Mitochondrial ribonuclease P protein 1</t>
  </si>
  <si>
    <t>Basic leucine zipper and W2 domain-containing protein 1</t>
  </si>
  <si>
    <t>Isoaspartyl peptidase/L-asparaginase</t>
  </si>
  <si>
    <t>7SK snRNA methylphosphate capping enzyme</t>
  </si>
  <si>
    <t>Probable proline--tRNA ligase, mitochondrial</t>
  </si>
  <si>
    <t>Arginine/serine-rich coiled-coil protein 2</t>
  </si>
  <si>
    <t>Cytoplasmic FMR1-interacting protein 1</t>
  </si>
  <si>
    <t>NADH dehydrogenase [ubiquinone] complex I, assembly factor 7</t>
  </si>
  <si>
    <t>Golgi to ER traffic protein 4 homolog</t>
  </si>
  <si>
    <t>Mitochondrial enolase superfamily member 1</t>
  </si>
  <si>
    <t>EPM2A-interacting protein 1</t>
  </si>
  <si>
    <t>FAST kinase domain-containing protein 5</t>
  </si>
  <si>
    <t>Lysine-specific demethylase 3B</t>
  </si>
  <si>
    <t>Charged multivesicular body protein 1b</t>
  </si>
  <si>
    <t>Ribonucleoside-diphosphate reductase subunit M2 B</t>
  </si>
  <si>
    <t>Protein-methionine sulfoxide oxidase MICAL3</t>
  </si>
  <si>
    <t>PHD finger-like domain-containing protein 5A</t>
  </si>
  <si>
    <t>Zinc finger CCCH-type antiviral protein 1</t>
  </si>
  <si>
    <t>Elongation factor Tu GTP-binding domain-containing protein 1</t>
  </si>
  <si>
    <t>Isoform 3 of Trafficking protein particle complex subunit 11</t>
  </si>
  <si>
    <t>Uncharacterized protein C10orf118</t>
  </si>
  <si>
    <t>UPF0505 protein C16orf62</t>
  </si>
  <si>
    <t>Zinc finger FYVE domain-containing protein 16</t>
  </si>
  <si>
    <t>Myosin-14</t>
  </si>
  <si>
    <t>Nuclear fragile X mental retardation-interacting protein 2</t>
  </si>
  <si>
    <t>Isoform 2 of SUZ domain-containing protein 1</t>
  </si>
  <si>
    <t>Mitochondrial antiviral-signaling protein</t>
  </si>
  <si>
    <t>Isoform 2 of CLIP-associating protein 1</t>
  </si>
  <si>
    <t>ATP-dependent RNA helicase DHX29</t>
  </si>
  <si>
    <t>COMM domain-containing protein 6</t>
  </si>
  <si>
    <t>Isoform 2 of tRNA (guanine(10)-N2)-methyltransferase homolog</t>
  </si>
  <si>
    <t>KDEL motif-containing protein 2</t>
  </si>
  <si>
    <t>Isoform 3 of LIM and senescent cell antigen-like-containing domain protein 2</t>
  </si>
  <si>
    <t>HEAT repeat-containing protein 3</t>
  </si>
  <si>
    <t>Isoform 3 of Kinesin-like protein KIF21A</t>
  </si>
  <si>
    <t>Hepatoma-derived growth factor-related protein 2</t>
  </si>
  <si>
    <t>L-xylulose reductase</t>
  </si>
  <si>
    <t>Wings apart-like protein homolog</t>
  </si>
  <si>
    <t>Isoform 2 of Interferon regulatory factor 2-binding protein 2</t>
  </si>
  <si>
    <t>17-beta-hydroxysteroid dehydrogenase 13</t>
  </si>
  <si>
    <t>Isoform 6 of Cytoplasmic polyadenylation element-binding protein 2</t>
  </si>
  <si>
    <t>Amyloid beta A4 precursor protein-binding family B member 1-interacting protein</t>
  </si>
  <si>
    <t>Isoform 4 of E3 ubiquitin-protein ligase RBBP6</t>
  </si>
  <si>
    <t>Protein prenyltransferase alpha subunit repeat-containing protein 1</t>
  </si>
  <si>
    <t>Rab9 effector protein with kelch motifs</t>
  </si>
  <si>
    <t>Isoform 2 of E3 ubiquitin-protein ligase HUWE1</t>
  </si>
  <si>
    <t>Isoform 2 of Vacuolar protein sorting-associated protein 13B</t>
  </si>
  <si>
    <t>COX assembly mitochondrial protein homolog</t>
  </si>
  <si>
    <t>Isoform 3 of Centromere protein V</t>
  </si>
  <si>
    <t>Isoform 3 of Pleckstrin homology-like domain family B member 2</t>
  </si>
  <si>
    <t>Pleckstrin homology-like domain family B member 2</t>
  </si>
  <si>
    <t>Glutaredoxin-related protein 5, mitochondrial</t>
  </si>
  <si>
    <t>Trafficking protein particle complex subunit 6B</t>
  </si>
  <si>
    <t>Isoform 4 of Protein PAT1 homolog 1</t>
  </si>
  <si>
    <t>Dipeptidyl peptidase 9</t>
  </si>
  <si>
    <t>Protein prune homolog</t>
  </si>
  <si>
    <t>Histone-lysine N-methyltransferase setd3</t>
  </si>
  <si>
    <t>Acyl-coenzyme A thioesterase 1</t>
  </si>
  <si>
    <t>Serpin A11</t>
  </si>
  <si>
    <t>Iron-sulfur cluster assembly 2 homolog, mitochondrial</t>
  </si>
  <si>
    <t>Isoform 2 of Polyadenylate-binding protein 2</t>
  </si>
  <si>
    <t>N6-adenosine-methyltransferase 70 kDa subunit</t>
  </si>
  <si>
    <t>YrdC domain-containing protein, mitochondrial</t>
  </si>
  <si>
    <t>Pre-mRNA-processing factor 39</t>
  </si>
  <si>
    <t>Protein LYRIC</t>
  </si>
  <si>
    <t>Isoform 2 of Zinc finger protein 598</t>
  </si>
  <si>
    <t>Kinectin</t>
  </si>
  <si>
    <t>Telomerase-binding protein EST1A</t>
  </si>
  <si>
    <t>Isoform 4 of B-cell CLL/lymphoma 9-like protein</t>
  </si>
  <si>
    <t>Isoform 3 of Calcium-dependent secretion activator 2</t>
  </si>
  <si>
    <t>Isoform 2 of Fermitin family homolog 3</t>
  </si>
  <si>
    <t>Isoform 2 of 5-nucleotidase domain-containing protein 3</t>
  </si>
  <si>
    <t>Isoform 2 of Leucine zipper protein 1</t>
  </si>
  <si>
    <t>THO complex subunit 4</t>
  </si>
  <si>
    <t>Zinc finger CCCH domain-containing protein 18</t>
  </si>
  <si>
    <t>Isoform 2 of Vacuolar protein-sorting-associated protein 36</t>
  </si>
  <si>
    <t>Cullin-associated NEDD8-dissociated protein 1</t>
  </si>
  <si>
    <t>Thioredoxin reductase 3</t>
  </si>
  <si>
    <t>Protein FAM134C</t>
  </si>
  <si>
    <t>Protein Hook homolog 3</t>
  </si>
  <si>
    <t>Isoform 2 of COMM domain-containing protein 7</t>
  </si>
  <si>
    <t>Isoform 4 of Liprin-beta-1</t>
  </si>
  <si>
    <t>Valacyclovir hydrolase</t>
  </si>
  <si>
    <t>Lon protease homolog 2, peroxisomal</t>
  </si>
  <si>
    <t>Coiled-coil domain-containing protein 25</t>
  </si>
  <si>
    <t>Proline and serine-rich protein 2</t>
  </si>
  <si>
    <t>Isoform 2 of Probable D-lactate dehydrogenase, mitochondrial</t>
  </si>
  <si>
    <t>Isoform 3 of Ral GTPase-activating protein subunit beta</t>
  </si>
  <si>
    <t>Ras-specific guanine nucleotide-releasing factor RalGPS2</t>
  </si>
  <si>
    <t>Isoform 1 of Histone-arginine methyltransferase CARM1</t>
  </si>
  <si>
    <t>Isoform 1 of Nitrilase homolog 1</t>
  </si>
  <si>
    <t>COMM domain-containing protein 2</t>
  </si>
  <si>
    <t>Probable 4-hydroxy-2-oxoglutarate aldolase, mitochondrial</t>
  </si>
  <si>
    <t>ATP-dependent RNA helicase DDX42</t>
  </si>
  <si>
    <t>Isoform 4 of Serine/threonine-protein kinase VRK2</t>
  </si>
  <si>
    <t>Isoform 2 of HEAT repeat-containing protein 2</t>
  </si>
  <si>
    <t>Syntaxin-12</t>
  </si>
  <si>
    <t>Enoyl-CoA hydratase domain-containing protein 2, mitochondrial</t>
  </si>
  <si>
    <t>ERO1-like protein beta</t>
  </si>
  <si>
    <t>Decaprenyl-diphosphate synthase subunit 2</t>
  </si>
  <si>
    <t>Isoform 4 of Threonine synthase-like 2</t>
  </si>
  <si>
    <t>Isoform 2 of Transcriptional repressor p66-alpha</t>
  </si>
  <si>
    <t>Ras-related protein Rab-43</t>
  </si>
  <si>
    <t>C2 domain-containing protein 5</t>
  </si>
  <si>
    <t>Interferon regulatory factor 2-binding protein 1</t>
  </si>
  <si>
    <t>Isoform 2 of Calcium/calmodulin-dependent protein kinase type 1D</t>
  </si>
  <si>
    <t>Rhophilin-2</t>
  </si>
  <si>
    <t>ELKS/Rab6-interacting/CAST family member 1</t>
  </si>
  <si>
    <t>5-phosphohydroxy-L-lysine phospho-lyase</t>
  </si>
  <si>
    <t>Phospholipase D3</t>
  </si>
  <si>
    <t>Laccase domain-containing protein 1</t>
  </si>
  <si>
    <t>Ankyrin repeat and MYND domain-containing protein 2</t>
  </si>
  <si>
    <t>LysM and putative peptidoglycan-binding domain-containing protein 2</t>
  </si>
  <si>
    <t>NudC domain-containing protein 3</t>
  </si>
  <si>
    <t>Methylmalonic aciduria type A protein, mitochondrial</t>
  </si>
  <si>
    <t>Isoform 2 of Coiled-coil domain-containing protein 50</t>
  </si>
  <si>
    <t>Malonyl-CoA-acyl carrier protein transacylase, mitochondrial</t>
  </si>
  <si>
    <t>Glycerate kinase</t>
  </si>
  <si>
    <t>ATP-dependent (S)-NAD(P)H-hydrate dehydratase</t>
  </si>
  <si>
    <t>WD repeat and FYVE domain-containing protein 1</t>
  </si>
  <si>
    <t>Testis-expressed sequence 2 protein</t>
  </si>
  <si>
    <t>Protein NOXP20</t>
  </si>
  <si>
    <t>GRIP and coiled-coil domain-containing protein 2</t>
  </si>
  <si>
    <t>Iron-sulfur cluster co-chaperone protein HscB, mitochondrial</t>
  </si>
  <si>
    <t>Serine/threonine-protein kinase LMTK2</t>
  </si>
  <si>
    <t>E3 ubiquitin-protein ligase UBR1</t>
  </si>
  <si>
    <t>Isoform 4 of E3 ubiquitin-protein ligase UBR2</t>
  </si>
  <si>
    <t>Isoform 2 of Rho GTPase-activating protein 12</t>
  </si>
  <si>
    <t>Hydroxyacid-oxoacid transhydrogenase, mitochondrial</t>
  </si>
  <si>
    <t>Calcium homeostasis endoplasmic reticulum protein</t>
  </si>
  <si>
    <t>Ankyrin repeat and KH domain-containing protein 1</t>
  </si>
  <si>
    <t>SURP and G-patch domain-containing protein 1</t>
  </si>
  <si>
    <t>Isoform 6 of Ubiquitin-conjugating enzyme E2 variant 3</t>
  </si>
  <si>
    <t>Zinc finger protein ZFPM1</t>
  </si>
  <si>
    <t>Isoform 2 of Cell division cycle and apoptosis regulator protein 1</t>
  </si>
  <si>
    <t>Isoform NELF-D of Negative elongation factor C/D</t>
  </si>
  <si>
    <t>Isoform 2 of NAD-dependent protein deacetylase sirtuin-2</t>
  </si>
  <si>
    <t>Isoform 2 of Polyhomeotic-like protein 2</t>
  </si>
  <si>
    <t>Uncharacterized protein KIAA1704</t>
  </si>
  <si>
    <t>Isoform 2 of Poly [ADP-ribose] polymerase 9</t>
  </si>
  <si>
    <t>pre-rRNA processing protein FTSJ3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</si>
  <si>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</si>
  <si>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</si>
  <si>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</si>
  <si>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</si>
  <si>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Exocyst complex component 8</t>
  </si>
  <si>
    <t>UPF0688 protein C1orf174</t>
  </si>
  <si>
    <t>Threonine synthase-like 1</t>
  </si>
  <si>
    <t>Peptidase M20 domain-containing protein 2</t>
  </si>
  <si>
    <t>FtsJ methyltransferase domain-containing protein 1</t>
  </si>
  <si>
    <t>Ankyrin repeat domain-containing protein 13A</t>
  </si>
  <si>
    <t>Isoform 3 of Phosphatase and actin regulator 4</t>
  </si>
  <si>
    <t>tRNA (uracil-5-)-methyltransferase homolog A</t>
  </si>
  <si>
    <t>Aldehyde dehydrogenase family 16 member A1</t>
  </si>
  <si>
    <t>mRNA-decapping enzyme 1B</t>
  </si>
  <si>
    <t>Isoform 2 of 5-3 exoribonuclease 1</t>
  </si>
  <si>
    <t>Isoform 10 of Abl interactor 1</t>
  </si>
  <si>
    <t>Retinol dehydrogenase 10</t>
  </si>
  <si>
    <t>Protein FAM185A</t>
  </si>
  <si>
    <t>L-fucose kinase</t>
  </si>
  <si>
    <t>Citrate lyase subunit beta-like protein, mitochondrial</t>
  </si>
  <si>
    <t>Spartin</t>
  </si>
  <si>
    <t>Isoform 7 of Mesoderm induction early response protein 1</t>
  </si>
  <si>
    <t>Protein canopy homolog 4</t>
  </si>
  <si>
    <t>Adenylosuccinate synthetase isozyme 1</t>
  </si>
  <si>
    <t>DBIRD complex subunit KIAA1967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</si>
  <si>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</si>
  <si>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</si>
  <si>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</si>
  <si>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</si>
  <si>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Dedicator of cytokinesis protein 4</t>
  </si>
  <si>
    <t>Integrator complex subunit 1</t>
  </si>
  <si>
    <t>Ankyrin repeat domain-containing protein 35</t>
  </si>
  <si>
    <t>Pyridine nucleotide-disulfide oxidoreductase domain-containing protein 2</t>
  </si>
  <si>
    <t>Lysine-specific demethylase 8</t>
  </si>
  <si>
    <t>MICAL-like protein 1</t>
  </si>
  <si>
    <t>Isoform 2 of Synaptopodin</t>
  </si>
  <si>
    <t>Formin-binding protein 4</t>
  </si>
  <si>
    <t>D-2-hydroxyglutarate dehydrogenase, mitochondrial</t>
  </si>
  <si>
    <t>Isoform 4 of Probable hydrolase PNKD</t>
  </si>
  <si>
    <t>Isoform 4 of Misshapen-like kinase 1</t>
  </si>
  <si>
    <t>UPF0586 protein C9orf41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</si>
  <si>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</si>
  <si>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</si>
  <si>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</si>
  <si>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</si>
  <si>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Isoform 8 of Oxidation resistance protein 1</t>
  </si>
  <si>
    <t>Tetratricopeptide repeat protein 39C</t>
  </si>
  <si>
    <t>Macoilin</t>
  </si>
  <si>
    <t>Protein FAM63A</t>
  </si>
  <si>
    <t>Ribonuclease P protein subunit p25-like protein</t>
  </si>
  <si>
    <t>ATP synthase mitochondrial F1 complex assembly factor 2</t>
  </si>
  <si>
    <t>39S ribosomal protein L50, mitochondrial</t>
  </si>
  <si>
    <t>Zinc finger CCCH domain-containing protein 8</t>
  </si>
  <si>
    <t>Ephexin-1</t>
  </si>
  <si>
    <t>Kynurenine/alpha-aminoadipate aminotransferase, mitochondrial</t>
  </si>
  <si>
    <t>FTS and Hook-interacting protein</t>
  </si>
  <si>
    <t>Isoform 2 of Cleavage and polyadenylation specificity factor subunit 7</t>
  </si>
  <si>
    <t>ADP-ribosylation factor GTPase-activating protein 2</t>
  </si>
  <si>
    <t>Isoform 2 of UPF0690 protein C1orf52</t>
  </si>
  <si>
    <t>Prostaglandin reductase 2</t>
  </si>
  <si>
    <t>UPF0565 protein C2orf69</t>
  </si>
  <si>
    <t>Protein enabled homolog</t>
  </si>
  <si>
    <t>Guanylate-binding protein 7</t>
  </si>
  <si>
    <t>G patch domain-containing protein 11</t>
  </si>
  <si>
    <t>Acyl-coenzyme A thioesterase 4</t>
  </si>
  <si>
    <t>Leucine-rich repeat-containing protein 57</t>
  </si>
  <si>
    <t>Isoform 2 of WD repeat, SAM and U-box domain-containing protein 1</t>
  </si>
  <si>
    <t>Isoform 2 of Zinc finger protein 511</t>
  </si>
  <si>
    <t>Parkinson disease 7 domain-containing protein 1</t>
  </si>
  <si>
    <t>NHL repeat-containing protein 2</t>
  </si>
  <si>
    <t>Isoform 2 of Golgi membrane protein 1</t>
  </si>
  <si>
    <t>Sulfatase-modifying factor 2</t>
  </si>
  <si>
    <t>Isoform 4 of Sulfatase-modifying factor 1</t>
  </si>
  <si>
    <t>Protein O-glucosyltransferase 1</t>
  </si>
  <si>
    <t>Isoform 2 of Retinol dehydrogenase 13</t>
  </si>
  <si>
    <t>Saccharopine dehydrogenase-like oxidoreductase</t>
  </si>
  <si>
    <t>Acyl-CoA-binding domain-containing protein 4</t>
  </si>
  <si>
    <t>Isoform 4 of Plasminogen activator inhibitor 1 RNA-binding protein</t>
  </si>
  <si>
    <t>Adaptin ear-binding coat-associated protein 1</t>
  </si>
  <si>
    <t>Isoform 2 of Protein FAM98A</t>
  </si>
  <si>
    <t>Group XV phospholipase A2</t>
  </si>
  <si>
    <t>Isoform 3 of Myotubularin-related protein 14</t>
  </si>
  <si>
    <t>E3 ubiquitin-protein ligase RNF169</t>
  </si>
  <si>
    <t>Pyruvate dehydrogenase phosphatase regulatory subunit, mitochondrial</t>
  </si>
  <si>
    <t>NAD(P)H-hydrate epimerase</t>
  </si>
  <si>
    <t>Isoform 2 of Leucine-rich repeat-containing protein 16B</t>
  </si>
  <si>
    <t>RING finger protein 214</t>
  </si>
  <si>
    <t>Liprin-beta-2</t>
  </si>
  <si>
    <t>Isoform 3 of Cyclin-Y</t>
  </si>
  <si>
    <t>Probable aminopeptidase NPEPL1</t>
  </si>
  <si>
    <t>Isoform 3 of EH domain-binding protein 1</t>
  </si>
  <si>
    <t>Isoform 2 of PH and SEC7 domain-containing protein 4</t>
  </si>
  <si>
    <t>Isoform 2 of Polyhomeotic-like protein 3</t>
  </si>
  <si>
    <t>Choline dehydrogenase, mitochondrial</t>
  </si>
  <si>
    <t>ATP-binding cassette sub-family F member 1</t>
  </si>
  <si>
    <t>Phosphatidylinositol 3-kinase catalytic subunit type 3</t>
  </si>
  <si>
    <t>PDZ domain-containing protein 8</t>
  </si>
  <si>
    <t>DCC-interacting protein 13-beta</t>
  </si>
  <si>
    <t>Isoform 6 of Periphilin-1</t>
  </si>
  <si>
    <t>Isoform 2 of Vacuolar protein sorting-associated protein 37A</t>
  </si>
  <si>
    <t>F-box only protein 22</t>
  </si>
  <si>
    <t>Biorientation of chromosomes in cell division protein 1-like 1</t>
  </si>
  <si>
    <t>Isoform 2 of FAD synthase</t>
  </si>
  <si>
    <t>Nucleoporin Nup43</t>
  </si>
  <si>
    <t>Nucleoporin Nup37</t>
  </si>
  <si>
    <t>Isoform 4 of RalBP1-associated Eps domain-containing protein 2</t>
  </si>
  <si>
    <t>Cytosolic endo-beta-N-acetylglucosaminidase</t>
  </si>
  <si>
    <t>Torsin-1A-interacting protein 2</t>
  </si>
  <si>
    <t>Isoform 4 of Thiosulfate sulfurtransferase/rhodanese-like domain-containing protein 1</t>
  </si>
  <si>
    <t>Thiosulfate sulfurtransferase/rhodanese-like domain-containing protein 1</t>
  </si>
  <si>
    <t>Alpha/beta hydrolase domain-containing protein 11</t>
  </si>
  <si>
    <t>N-acylneuraminate cytidylyltransferase</t>
  </si>
  <si>
    <t>Isoform 5 of Rab effector MyRIP</t>
  </si>
  <si>
    <t>E3 ubiquitin-protein ligase ZNRF2</t>
  </si>
  <si>
    <t>Putative trypsin-6</t>
  </si>
  <si>
    <t>InaD-like protein</t>
  </si>
  <si>
    <t>M-phase-specific PLK1-interacting protein</t>
  </si>
  <si>
    <t>Isoform 2 of SWI/SNF complex subunit SMARCC2</t>
  </si>
  <si>
    <t>Nuclear protein localization protein 4 homolog</t>
  </si>
  <si>
    <t>Isoform 5 of Protein FAM76A</t>
  </si>
  <si>
    <t>Uncharacterized protein CXorf38</t>
  </si>
  <si>
    <t>Spermatogenesis-associated protein 20</t>
  </si>
  <si>
    <t>Ras and Rab interactor 3</t>
  </si>
  <si>
    <t>Iron-sulfur protein NUBPL</t>
  </si>
  <si>
    <t>DEP domain-containing mTOR-interacting protein</t>
  </si>
  <si>
    <t>Isoform 2 of Golgin subfamily A member 5</t>
  </si>
  <si>
    <t>NEDD8-activating enzyme E1 catalytic subunit</t>
  </si>
  <si>
    <t>Zinc finger and SCAN domain-containing protein 18</t>
  </si>
  <si>
    <t>Isoform 4 of Prostamide/prostaglandin F synthase</t>
  </si>
  <si>
    <t>Isoform 3 of Ethanolamine-phosphate phospho-lyase</t>
  </si>
  <si>
    <t>Phosphatidylinositol 5-phosphate 4-kinase type-2 gamma</t>
  </si>
  <si>
    <t>Isoform 2 of TBC1 domain family member 15</t>
  </si>
  <si>
    <t>Retinol dehydrogenase 11</t>
  </si>
  <si>
    <t>Leucine-rich repeat-containing protein 20</t>
  </si>
  <si>
    <t>5(3)-deoxyribonucleotidase, cytosolic type</t>
  </si>
  <si>
    <t>Isoform 2 of Protein FAM45A</t>
  </si>
  <si>
    <t>Polyribonucleotide nucleotidyltransferase 1, mitochondrial</t>
  </si>
  <si>
    <t>Protein bicaudal D homolog 2</t>
  </si>
  <si>
    <t>Serine/threonine-protein kinase Nek9</t>
  </si>
  <si>
    <t>Alanine aminotransferase 2</t>
  </si>
  <si>
    <t>E3 ubiquitin-protein ligase DTX3L</t>
  </si>
  <si>
    <t>Isoform 2 of ATP-dependent RNA helicase DDX54</t>
  </si>
  <si>
    <t>Isoform 2 of Biogenesis of lysosome-related organelles complex 1 subunit 5</t>
  </si>
  <si>
    <t>2-amino-3-carboxymuconate-6-semialdehyde decarboxylase</t>
  </si>
  <si>
    <t>Isoform 2 of Pantothenate kinase 1</t>
  </si>
  <si>
    <t>Protein phosphatase Slingshot homolog 3</t>
  </si>
  <si>
    <t>Putative methyltransferase NSUN6</t>
  </si>
  <si>
    <t>Isoform 3 of TBC domain-containing protein kinase-like protein</t>
  </si>
  <si>
    <t>Isoform 2 of DDB1- and CUL4-associated factor 11</t>
  </si>
  <si>
    <t>DENN domain-containing protein 1A</t>
  </si>
  <si>
    <t>Gem-associated protein 5</t>
  </si>
  <si>
    <t>Isoform 4 of Sushi, nidogen and EGF-like domain-containing protein 1</t>
  </si>
  <si>
    <t>Rho guanine nucleotide exchange factor 40</t>
  </si>
  <si>
    <t>Isoform 5 of Partitioning defective 3 homolog</t>
  </si>
  <si>
    <t>Isoform 5 of Partitioning defective 3 homolog B</t>
  </si>
  <si>
    <t>Importin-4</t>
  </si>
  <si>
    <t>Isoform 2 of Serine/threonine-protein phosphatase 4 regulatory subunit 1</t>
  </si>
  <si>
    <t>Isoform 2 of DIS3-like exonuclease 1</t>
  </si>
  <si>
    <t>PDZ domain-containing protein GIPC2</t>
  </si>
  <si>
    <t>Protein Shroom3</t>
  </si>
  <si>
    <t>WAS/WASL-interacting protein family member 2</t>
  </si>
  <si>
    <t>Histone-lysine N-methyltransferase SETD7</t>
  </si>
  <si>
    <t>Isoform 2 of Sec1 family domain-containing protein 2</t>
  </si>
  <si>
    <t>Isoform 2 of Stromal membrane-associated protein 2</t>
  </si>
  <si>
    <t>Zinc finger CCCH domain-containing protein 15</t>
  </si>
  <si>
    <t>Peptidyl-prolyl cis-trans isomerase-like 4</t>
  </si>
  <si>
    <t>Isoform 3 of TBC1 domain family member 22A</t>
  </si>
  <si>
    <t>Coiled-coil domain-containing protein 12</t>
  </si>
  <si>
    <t>RelA-associated inhibitor</t>
  </si>
  <si>
    <t>Programmed cell death 6-interacting protein</t>
  </si>
  <si>
    <t>Ubiquitin domain-containing protein 2</t>
  </si>
  <si>
    <t>UPF0235 protein C15orf40</t>
  </si>
  <si>
    <t>Protein BRICK1</t>
  </si>
  <si>
    <t>B-cell linker protein</t>
  </si>
  <si>
    <t>Nucleoside diphosphate-linked moiety X motif 8, mitochondrial</t>
  </si>
  <si>
    <t>RNA polymerase-associated protein LEO1</t>
  </si>
  <si>
    <t>NudC domain-containing protein 2</t>
  </si>
  <si>
    <t>Sec1 family domain-containing protein 1</t>
  </si>
  <si>
    <t>Tumor necrosis factor alpha-induced protein 8-like protein 1</t>
  </si>
  <si>
    <t>Trafficking protein particle complex subunit 12</t>
  </si>
  <si>
    <t>Ubiquitin-like domain-containing CTD phosphatase 1</t>
  </si>
  <si>
    <t>PEST proteolytic signal-containing nuclear protein</t>
  </si>
  <si>
    <t>SPRY domain-containing protein 4</t>
  </si>
  <si>
    <t>Ataxin-2-like protein</t>
  </si>
  <si>
    <t>Reticulon-4-interacting protein 1, mitochondrial</t>
  </si>
  <si>
    <t>U4/U6 small nuclear ribonucleoprotein Prp31</t>
  </si>
  <si>
    <t>Negative elongation factor B</t>
  </si>
  <si>
    <t>Isoform 2 of Prostate and testis expressed protein 1</t>
  </si>
  <si>
    <t>Isoform 2 of RUN and FYVE domain-containing protein 2</t>
  </si>
  <si>
    <t>Isoform 2 of Splicing regulatory glutamine/lysine-rich protein 1</t>
  </si>
  <si>
    <t>Caskin-2</t>
  </si>
  <si>
    <t>Isoform 2 of ATR-interacting protein</t>
  </si>
  <si>
    <t>Paraspeckle component 1</t>
  </si>
  <si>
    <t>Nesprin-2</t>
  </si>
  <si>
    <t>Isoform 2 of Acyl-coenzyme A thioesterase 11</t>
  </si>
  <si>
    <t>Transcriptional repressor p66-beta</t>
  </si>
  <si>
    <t>Isoform 2 of THAP domain-containing protein 4</t>
  </si>
  <si>
    <t>Acyl-coenzyme A thioesterase 12</t>
  </si>
  <si>
    <t>Isoform 3 of Cysteine protease ATG4A</t>
  </si>
  <si>
    <t>Protein ELYS</t>
  </si>
  <si>
    <t>Coiled-coil-helix-coiled-coil-helix domain-containing protein 10, mitochondrial</t>
  </si>
  <si>
    <t>Isoform 3 of Titin</t>
  </si>
  <si>
    <t>Ovarian cancer-associated gene 2 protein</t>
  </si>
  <si>
    <t>Protein LZIC</t>
  </si>
  <si>
    <t>Immunity-related GTPase family Q protein</t>
  </si>
  <si>
    <t>DNA damage-binding protein 2</t>
  </si>
  <si>
    <t>ATP-dependent RNA helicase DDX1</t>
  </si>
  <si>
    <t>Estradiol 17-beta-dehydrogenase 8</t>
  </si>
  <si>
    <t>Protein FAM3C</t>
  </si>
  <si>
    <t>Histone H1x</t>
  </si>
  <si>
    <t>Golgi-specific brefeldin A-resistance guanine nucleotide exchange factor 1</t>
  </si>
  <si>
    <t>RNA polymerase-associated protein RTF1 homolog</t>
  </si>
  <si>
    <t>Retrograde Golgi transport protein RGP1 homolog</t>
  </si>
  <si>
    <t>28S ribosomal protein S27, mitochondrial</t>
  </si>
  <si>
    <t>Engulfment and cell motility protein 1</t>
  </si>
  <si>
    <t>AP-3 complex subunit sigma-1</t>
  </si>
  <si>
    <t>UBX domain-containing protein 4</t>
  </si>
  <si>
    <t>Isoform 2 of PHD finger protein 3</t>
  </si>
  <si>
    <t>Protein NDRG1</t>
  </si>
  <si>
    <t>Isoform Beta of Heat shock protein 105 kDa</t>
  </si>
  <si>
    <t>Isoform 2 of Septin-8</t>
  </si>
  <si>
    <t>Cell differentiation protein RCD1 homolog</t>
  </si>
  <si>
    <t>TBC1 domain family member 5</t>
  </si>
  <si>
    <t>Isoform 4 of Unconventional myosin-XVIIIa</t>
  </si>
  <si>
    <t>Translational activator GCN1</t>
  </si>
  <si>
    <t>Pre-mRNA-splicing factor ATP-dependent RNA helicase PRP16</t>
  </si>
  <si>
    <t>Nuclear pore complex protein Nup205</t>
  </si>
  <si>
    <t>28S ribosomal protein S31, mitochondrial</t>
  </si>
  <si>
    <t>A-kinase anchor protein 1, mitochondrial</t>
  </si>
  <si>
    <t>Isoform 2 of Acidic leucine-rich nuclear phosphoprotein 32 family member B</t>
  </si>
  <si>
    <t>Geranylgeranyl transferase type-2 subunit alpha</t>
  </si>
  <si>
    <t>Isoform 2 of Protein TFG</t>
  </si>
  <si>
    <t>USP6 N-terminal-like protein</t>
  </si>
  <si>
    <t>Actin-related protein 2/3 complex subunit 1A</t>
  </si>
  <si>
    <t>Thyroid hormone-inducible hepatic protein</t>
  </si>
  <si>
    <t>Ras-responsive element-binding protein 1</t>
  </si>
  <si>
    <t>Isoform 2 of Signal transducing adapter molecule 1</t>
  </si>
  <si>
    <t>Zinc finger protein ubi-d4</t>
  </si>
  <si>
    <t>Prospero homeobox protein 1</t>
  </si>
  <si>
    <t>Isoform 2 of CREB-binding protein</t>
  </si>
  <si>
    <t>Symplekin</t>
  </si>
  <si>
    <t>Golgin subfamily A member 1</t>
  </si>
  <si>
    <t>Envoplakin</t>
  </si>
  <si>
    <t>Gamma-glutamyl hydrolase</t>
  </si>
  <si>
    <t>Probable ATP-dependent RNA helicase DDX17</t>
  </si>
  <si>
    <t>DNA repair protein RAD50</t>
  </si>
  <si>
    <t>Isoform 5 of CUGBP Elav-like family member 1</t>
  </si>
  <si>
    <t>Osteoclast-stimulating factor 1</t>
  </si>
  <si>
    <t>Isoform 2 of Rho guanine nucleotide exchange factor 1</t>
  </si>
  <si>
    <t>Ubiquitin fusion degradation protein 1 homolog</t>
  </si>
  <si>
    <t>Golgi apparatus protein 1</t>
  </si>
  <si>
    <t>Isoform 2 of Regulator of nonsense transcripts 1</t>
  </si>
  <si>
    <t>COP9 signalosome complex subunit 5</t>
  </si>
  <si>
    <t>G patch domain and KOW motifs-containing protein</t>
  </si>
  <si>
    <t>Bcl2 antagonist of cell death</t>
  </si>
  <si>
    <t>Far upstream element-binding protein 2</t>
  </si>
  <si>
    <t>Glutaryl-CoA dehydrogenase, mitochondrial</t>
  </si>
  <si>
    <t>Isoform C of Proteoglycan 4</t>
  </si>
  <si>
    <t>Isoform 2 of Transportin-1</t>
  </si>
  <si>
    <t>Ribosomal RNA small subunit methyltransferase NEP1</t>
  </si>
  <si>
    <t>Isoform 2 of Polyribonucleotide 5-hydroxyl-kinase Clp1</t>
  </si>
  <si>
    <t>Glomulin</t>
  </si>
  <si>
    <t>Probable ubiquitin carboxyl-terminal hydrolase FAF-X</t>
  </si>
  <si>
    <t>N-acetyltransferase 6</t>
  </si>
  <si>
    <t>Cullin-5</t>
  </si>
  <si>
    <t>Lipoma-preferred partner</t>
  </si>
  <si>
    <t>Isoform D of RNA-binding protein with multiple splicing</t>
  </si>
  <si>
    <t>Isoform 2 of Selenocysteine insertion sequence-binding protein 2-like</t>
  </si>
  <si>
    <t>Histone H2A type 1-C</t>
  </si>
  <si>
    <t>Betaine--homocysteine S-methyltransferase 1</t>
  </si>
  <si>
    <t>Protein tyrosine phosphatase type IVA 1</t>
  </si>
  <si>
    <t>Homogentisate 1,2-dioxygenase</t>
  </si>
  <si>
    <t>Isoform 4 of Phosphorylase b kinase regulatory subunit beta</t>
  </si>
  <si>
    <t>Pre-rRNA-processing protein TSR2 homolog</t>
  </si>
  <si>
    <t>Riboflavin kinase</t>
  </si>
  <si>
    <t>UPF0556 protein C19orf10</t>
  </si>
  <si>
    <t>Glycine N-acyltransferase-like protein 1</t>
  </si>
  <si>
    <t>Protein YIPF5</t>
  </si>
  <si>
    <t>60S ribosomal protein L36a-like</t>
  </si>
  <si>
    <t>Zinc finger protein 622</t>
  </si>
  <si>
    <t>Isoform 2 of Ribosome-releasing factor 2, mitochondrial</t>
  </si>
  <si>
    <t>Isoform 2 of 7-methylguanosine phosphate-specific 5-nucleotidase</t>
  </si>
  <si>
    <t>Isoform 3 of tRNA modification GTPase GTPBP3, mitochondrial</t>
  </si>
  <si>
    <t>Protein TBRG4</t>
  </si>
  <si>
    <t>MOSC domain-containing protein 2, mitochondrial</t>
  </si>
  <si>
    <t>Synapse-associated protein 1</t>
  </si>
  <si>
    <t>Exocyst complex component 4</t>
  </si>
  <si>
    <t>Isochorismatase domain-containing protein 2, mitochondrial</t>
  </si>
  <si>
    <t>Protein N-terminal asparagine amidohydrolase</t>
  </si>
  <si>
    <t>Fermitin family homolog 2</t>
  </si>
  <si>
    <t>Isoform 2 of Far upstream element-binding protein 1</t>
  </si>
  <si>
    <t>Far upstream element-binding protein 1</t>
  </si>
  <si>
    <t>Leucine-rich repeat-containing protein 59</t>
  </si>
  <si>
    <t>Uncharacterized protein KIAA1143</t>
  </si>
  <si>
    <t>Ribulose-phosphate 3-epimerase</t>
  </si>
  <si>
    <t>Isoform 2 of Uncharacterized protein C18orf25</t>
  </si>
  <si>
    <t>Exosome complex component RRP43</t>
  </si>
  <si>
    <t>Proline-rich AKT1 substrate 1</t>
  </si>
  <si>
    <t>UPF0693 protein C10orf32</t>
  </si>
  <si>
    <t>Zinc finger protein 428</t>
  </si>
  <si>
    <t>Leukocyte receptor cluster member 9</t>
  </si>
  <si>
    <t>SH3 domain-containing kinase-binding protein 1</t>
  </si>
  <si>
    <t>Axin interactor, dorsalization-associated protein</t>
  </si>
  <si>
    <t>Protein FAM105B</t>
  </si>
  <si>
    <t>Peptidylprolyl isomerase domain and WD repeat-containing protein 1</t>
  </si>
  <si>
    <t>Sel1 repeat-containing protein 1</t>
  </si>
  <si>
    <t>Isoform 2 of Phosphotriesterase-related protein</t>
  </si>
  <si>
    <t>Autophagy-related protein 2 homolog B</t>
  </si>
  <si>
    <t>Leukocyte receptor cluster member 1</t>
  </si>
  <si>
    <t>Protein FAM136A</t>
  </si>
  <si>
    <t>FGGY carbohydrate kinase domain-containing protein</t>
  </si>
  <si>
    <t>EF-hand domain-containing protein D2</t>
  </si>
  <si>
    <t>Aldose 1-epimerase</t>
  </si>
  <si>
    <t>Synaptotagmin-like protein 4</t>
  </si>
  <si>
    <t>m7GpppX diphosphatase</t>
  </si>
  <si>
    <t>Integrator complex subunit 12</t>
  </si>
  <si>
    <t>F-box/LRR-repeat protein 8</t>
  </si>
  <si>
    <t>Charged multivesicular body protein 4c</t>
  </si>
  <si>
    <t>Isochorismatase domain-containing protein 1</t>
  </si>
  <si>
    <t>GRIP and coiled-coil domain-containing protein 1</t>
  </si>
  <si>
    <t>FLYWCH family member 2</t>
  </si>
  <si>
    <t>FAS-associated factor 2</t>
  </si>
  <si>
    <t>Coiled-coil domain-containing protein 124</t>
  </si>
  <si>
    <t>Isoform 3 of FAD-dependent oxidoreductase domain-containing protein 1</t>
  </si>
  <si>
    <t>Optineurin</t>
  </si>
  <si>
    <t>Isoform 2 of AP-2 complex subunit mu</t>
  </si>
  <si>
    <t>BTB/POZ domain-containing protein KCTD12</t>
  </si>
  <si>
    <t>60S ribosomal export protein NMD3</t>
  </si>
  <si>
    <t>Isoform 2 of RalBP1-associated Eps domain-containing protein 1</t>
  </si>
  <si>
    <t>Enoyl-CoA hydratase domain-containing protein 3, mitochondrial</t>
  </si>
  <si>
    <t>U8 snoRNA-decapping enzyme</t>
  </si>
  <si>
    <t>Carboxymethylenebutenolidase homolog</t>
  </si>
  <si>
    <t>Isoform 2 of RNA-binding protein Musashi homolog 2</t>
  </si>
  <si>
    <t>U5 small nuclear ribonucleoprotein 40 kDa protein</t>
  </si>
  <si>
    <t>Rho guanine nucleotide exchange factor 26</t>
  </si>
  <si>
    <t>Dynein heavy chain 11, axonemal</t>
  </si>
  <si>
    <t>Ankyrin repeat and SOCS box protein 9</t>
  </si>
  <si>
    <t>Protein FAM122A</t>
  </si>
  <si>
    <t>Isoform 3 of Ribosome-recycling factor, mitochondrial</t>
  </si>
  <si>
    <t>RNA binding motif protein, X-linked-like-1</t>
  </si>
  <si>
    <t>Elongator complex protein 4</t>
  </si>
  <si>
    <t>Isoform 2 of Protein Hook homolog 2</t>
  </si>
  <si>
    <t>Nucleoporin SEH1</t>
  </si>
  <si>
    <t>Transcription elongation factor A protein-like 4</t>
  </si>
  <si>
    <t>Glucosamine 6-phosphate N-acetyltransferase</t>
  </si>
  <si>
    <t>Trans-L-3-hydroxyproline dehydratase</t>
  </si>
  <si>
    <t>Molybdenum cofactor sulfurase</t>
  </si>
  <si>
    <t>Isoform 2 of DAZ-associated protein 1</t>
  </si>
  <si>
    <t>RNA-binding protein 33</t>
  </si>
  <si>
    <t>Dysbindin</t>
  </si>
  <si>
    <t>Isoform 2 of DnaJ homolog subfamily A member 3, mitochondrial</t>
  </si>
  <si>
    <t>Translation machinery-associated protein 16</t>
  </si>
  <si>
    <t>Pentatricopeptide repeat domain-containing protein 3, mitochondrial</t>
  </si>
  <si>
    <t>Cob(I)yrinic acid a,c-diamide adenosyltransferase, mitochondrial</t>
  </si>
  <si>
    <t>Diamine acetyltransferase 2</t>
  </si>
  <si>
    <t>Isoform 2 of Nuclear receptor-binding factor 2</t>
  </si>
  <si>
    <t>Coiled-coil domain-containing protein 97</t>
  </si>
  <si>
    <t>Dynein light chain 2, cytoplasmic</t>
  </si>
  <si>
    <t>Secernin-2</t>
  </si>
  <si>
    <t>tRNA (adenine(58)-N(1))-methyltransferase catalytic subunit TRMT61A</t>
  </si>
  <si>
    <t>Phosphoglucomutase-2</t>
  </si>
  <si>
    <t>tRNA-dihydrouridine(47) synthase [NAD(P)(+)]-like</t>
  </si>
  <si>
    <t>Serine dehydratase-like</t>
  </si>
  <si>
    <t>Pyridoxal phosphate phosphatase</t>
  </si>
  <si>
    <t>Isoform 2 of Calmodulin-like protein 4</t>
  </si>
  <si>
    <t>E3 ubiquitin-protein ligase RNF185</t>
  </si>
  <si>
    <t>DCN1-like protein 1</t>
  </si>
  <si>
    <t>Fumarylacetoacetate hydrolase domain-containing protein 2A</t>
  </si>
  <si>
    <t>Uncharacterized protein C17orf59</t>
  </si>
  <si>
    <t>Methionine--tRNA ligase, mitochondrial</t>
  </si>
  <si>
    <t>Methylthioribulose-1-phosphate dehydratase</t>
  </si>
  <si>
    <t>Vacuolar-sorting protein SNF8</t>
  </si>
  <si>
    <t>PDZ and LIM domain protein 5</t>
  </si>
  <si>
    <t>Aspartoacylase-2</t>
  </si>
  <si>
    <t>ERO1-like protein alpha</t>
  </si>
  <si>
    <t>Isoform 2 of UPF0562 protein C7orf55</t>
  </si>
  <si>
    <t>UPF0562 protein C7orf55</t>
  </si>
  <si>
    <t>Oxidoreductase NAD-binding domain-containing protein 1</t>
  </si>
  <si>
    <t>Isoform 2 of CDKN2AIP N-terminal-like protein</t>
  </si>
  <si>
    <t>Receptor expression-enhancing protein 6</t>
  </si>
  <si>
    <t>Serine/threonine-protein phosphatase PGAM5, mitochondrial</t>
  </si>
  <si>
    <t>DDRGK domain-containing protein 1</t>
  </si>
  <si>
    <t>Probable 2-oxoglutarate dehydrogenase E1 component DHKTD1, mitochondrial</t>
  </si>
  <si>
    <t>Selenocysteine lyase</t>
  </si>
  <si>
    <t>Protein preY, mitochondrial</t>
  </si>
  <si>
    <t>Far upstream element-binding protein 3</t>
  </si>
  <si>
    <t>Splicing factor 45</t>
  </si>
  <si>
    <t>Williams-Beuren syndrome chromosomal region 16 protein</t>
  </si>
  <si>
    <t>Probable asparagine--tRNA ligase, mitochondrial</t>
  </si>
  <si>
    <t>Succinyl-CoA ligase [GDP-forming] subunit beta, mitochondrial</t>
  </si>
  <si>
    <t>LIM domain-containing protein ajuba</t>
  </si>
  <si>
    <t>Isoform 3 of Leucine-rich repeat and calponin homology domain-containing protein 3</t>
  </si>
  <si>
    <t>Mannose-1-phosphate guanyltransferase alpha</t>
  </si>
  <si>
    <t>Isoform 2 of Zinc finger protein 414</t>
  </si>
  <si>
    <t>Alpha/beta hydrolase domain-containing protein 14B</t>
  </si>
  <si>
    <t>Isoform 2 of Peptide-N(4)-(N-acetyl-beta-glucosaminyl)asparagine amidase</t>
  </si>
  <si>
    <t>Carboxypeptidase B2</t>
  </si>
  <si>
    <t>PRKC apoptosis WT1 regulator protein</t>
  </si>
  <si>
    <t>Isoform 2 of E3 ubiquitin-protein ligase Itchy homolog</t>
  </si>
  <si>
    <t>Conserved oligomeric Golgi complex subunit 3</t>
  </si>
  <si>
    <t>CDK5 regulatory subunit-associated protein 3</t>
  </si>
  <si>
    <t>Protein transport protein Sec16B</t>
  </si>
  <si>
    <t>Isoform 3 of Coiled-coil domain-containing protein 132</t>
  </si>
  <si>
    <t>Deubiquitinating protein VCIP135</t>
  </si>
  <si>
    <t>Chromosome alignment-maintaining phosphoprotein 1</t>
  </si>
  <si>
    <t>Putative unconventional myosin-XVB</t>
  </si>
  <si>
    <t>Isoform 2 of E3 ubiquitin-protein ligase ZFP91</t>
  </si>
  <si>
    <t>Calmin</t>
  </si>
  <si>
    <t>PDZ and LIM domain protein 2</t>
  </si>
  <si>
    <t>Isoform 2 of Transcription factor BTF3 homolog 4</t>
  </si>
  <si>
    <t>DnaJ homolog subfamily C member 1</t>
  </si>
  <si>
    <t>Isoform 3 of N-terminal kinase-like protein</t>
  </si>
  <si>
    <t>Zinc finger protein 512B</t>
  </si>
  <si>
    <t>Exocyst complex component 2</t>
  </si>
  <si>
    <t>Cytosolic non-specific dipeptidase</t>
  </si>
  <si>
    <t>Zinc finger RNA-binding protein</t>
  </si>
  <si>
    <t>Isoform 3 of E1A-binding protein p400</t>
  </si>
  <si>
    <t>Isoform 2 of Sorting nexin-27</t>
  </si>
  <si>
    <t>Tripartite motif-containing protein 47</t>
  </si>
  <si>
    <t>Sentrin-specific protease 8</t>
  </si>
  <si>
    <t>Dehydrogenase/reductase SDR family member 1</t>
  </si>
  <si>
    <t>Protein PRRC1</t>
  </si>
  <si>
    <t>Isoform 4 of F-box/LRR-repeat protein 18</t>
  </si>
  <si>
    <t>Protein-L-isoaspartate O-methyltransferase domain-containing protein 1</t>
  </si>
  <si>
    <t>Protein HEXIM2</t>
  </si>
  <si>
    <t>Isoform 2 of YTH domain-containing protein 1</t>
  </si>
  <si>
    <t>Coiled-coil domain-containing protein 43</t>
  </si>
  <si>
    <t>WD repeat-containing protein 92</t>
  </si>
  <si>
    <t>Isoform 4 of Dedicator of cytokinesis protein 7</t>
  </si>
  <si>
    <t>Urocanate hydratase</t>
  </si>
  <si>
    <t>Rab-interacting lysosomal protein</t>
  </si>
  <si>
    <t>Zinc finger protein 830</t>
  </si>
  <si>
    <t>Zinc finger matrin-type protein 2</t>
  </si>
  <si>
    <t>Protein C8orf37</t>
  </si>
  <si>
    <t>Nucleosome assembly protein 1-like 5</t>
  </si>
  <si>
    <t>Probable imidazolonepropionase</t>
  </si>
  <si>
    <t>Proline-rich acidic protein 1</t>
  </si>
  <si>
    <t>Isoform 2 of Regulation of nuclear pre-mRNA domain-containing protein 1A</t>
  </si>
  <si>
    <t>Arf-GAP with GTPase, ANK repeat and PH domain-containing protein 3</t>
  </si>
  <si>
    <t>Isoform 7 of Arf-GAP with Rho-GAP domain, ANK repeat and PH domain-containing protein 1</t>
  </si>
  <si>
    <t>Importin-9</t>
  </si>
  <si>
    <t>N-acetylmuramoyl-L-alanine amidase</t>
  </si>
  <si>
    <t>Methylmalonyl-CoA epimerase, mitochondrial</t>
  </si>
  <si>
    <t>RNA-binding protein 14</t>
  </si>
  <si>
    <t>Isoform 3 of RING finger and CHY zinc finger domain-containing protein 1</t>
  </si>
  <si>
    <t>Isoform 3 of Protein quaking</t>
  </si>
  <si>
    <t>Isoform 6 of Protein quaking</t>
  </si>
  <si>
    <t>Leukocyte receptor cluster member 8</t>
  </si>
  <si>
    <t>Pseudouridylate synthase 7 homolog</t>
  </si>
  <si>
    <t>Isoform 3 of Trafficking protein particle complex subunit 9</t>
  </si>
  <si>
    <t>Isoform 2 of Perilipin-4</t>
  </si>
  <si>
    <t>Isoform 2 of CCA tRNA nucleotidyltransferase 1, mitochondrial</t>
  </si>
  <si>
    <t>Alsin</t>
  </si>
  <si>
    <t>Alpha-ketoglutarate-dependent dioxygenase alkB homolog 3</t>
  </si>
  <si>
    <t>Isoform 4 of Kinesin-like protein KIF20B</t>
  </si>
  <si>
    <t>Serine/threonine-protein phosphatase 1 regulatory subunit 10</t>
  </si>
  <si>
    <t>Vacuolar protein sorting-associated protein 35</t>
  </si>
  <si>
    <t>Transcriptional activator protein Pur-beta</t>
  </si>
  <si>
    <t>Isoform 3 of Membrane-associated guanylate kinase, WW and PDZ domain-containing protein 1</t>
  </si>
  <si>
    <t>Sperm-associated antigen 5</t>
  </si>
  <si>
    <t>Nucleus accumbens-associated protein 1</t>
  </si>
  <si>
    <t>Isoform 2 of Sorting nexin-18</t>
  </si>
  <si>
    <t>Isoform 4 of Vacuolar protein sorting-associated protein 13A</t>
  </si>
  <si>
    <t>Isoform 3 of Mediator of RNA polymerase II transcription subunit 15</t>
  </si>
  <si>
    <t>Elongation factor G, mitochondrial</t>
  </si>
  <si>
    <t>Methylcrotonoyl-CoA carboxylase subunit alpha, mitochondrial</t>
  </si>
  <si>
    <t>Isoform 3 of NudC domain-containing protein 1</t>
  </si>
  <si>
    <t>Isoform 9 of Protein LAP2</t>
  </si>
  <si>
    <t>Isoform 2 of Ubiquitin carboxyl-terminal hydrolase 28</t>
  </si>
  <si>
    <t>Isoform 4 of Formin-binding protein 1</t>
  </si>
  <si>
    <t>Isoform 2 of Hemicentin-1</t>
  </si>
  <si>
    <t>UPF0585 protein C16orf13</t>
  </si>
  <si>
    <t>TP53-regulating kinase</t>
  </si>
  <si>
    <t>Isoform 2 of ATPase WRNIP1</t>
  </si>
  <si>
    <t>Isoform 2 of Ran-binding protein 9</t>
  </si>
  <si>
    <t>Isoform 4 of Chloride channel CLIC-like protein 1</t>
  </si>
  <si>
    <t>Neurabin-2</t>
  </si>
  <si>
    <t>Protein IWS1 homolog</t>
  </si>
  <si>
    <t>Paired amphipathic helix protein Sin3a</t>
  </si>
  <si>
    <t>Isoform 7 of Oxysterol-binding protein-related protein 9</t>
  </si>
  <si>
    <t>2-aminoethanethiol dioxygenase</t>
  </si>
  <si>
    <t>Isoform 2 of Putative RNA-binding protein 15</t>
  </si>
  <si>
    <t>RUN and FYVE domain-containing protein 1</t>
  </si>
  <si>
    <t>Msx2-interacting protein</t>
  </si>
  <si>
    <t>MMS19 nucleotide excision repair protein homolog</t>
  </si>
  <si>
    <t>C-Myc-binding protein</t>
  </si>
  <si>
    <t>Peroxisomal acyl-coenzyme A oxidase 2</t>
  </si>
  <si>
    <t>Tubulin-folding cofactor B</t>
  </si>
  <si>
    <t>Proteasome subunit beta type-7</t>
  </si>
  <si>
    <t>Isoform 3 of Ethanolamine-phosphate cytidylyltransferase</t>
  </si>
  <si>
    <t>Cell division cycle 5-like protein</t>
  </si>
  <si>
    <t>26S proteasome non-ATPase regulatory subunit 1</t>
  </si>
  <si>
    <t>Stromal cell-derived factor 2</t>
  </si>
  <si>
    <t>Prefoldin subunit 5</t>
  </si>
  <si>
    <t>Platelet-activating factor acetylhydrolase 2, cytoplasmic</t>
  </si>
  <si>
    <t>D-aspartate oxidase</t>
  </si>
  <si>
    <t>Protein DJ-1</t>
  </si>
  <si>
    <t>Sialidase-1</t>
  </si>
  <si>
    <t>Synaptic vesicle membrane protein VAT-1 homolog</t>
  </si>
  <si>
    <t>Legumain</t>
  </si>
  <si>
    <t>DnaJ homolog subfamily C member 2</t>
  </si>
  <si>
    <t>M-phase phosphoprotein 8</t>
  </si>
  <si>
    <t>Nuclear pore complex protein Nup88</t>
  </si>
  <si>
    <t>Isoform 2 of Plakophilin-4</t>
  </si>
  <si>
    <t>Phosphoinositide 3-kinase regulatory subunit 4</t>
  </si>
  <si>
    <t>Ribonucleases P/MRP protein subunit POP1</t>
  </si>
  <si>
    <t>Protein S100-A13</t>
  </si>
  <si>
    <t>Isoform 2 of Protein SCAF11</t>
  </si>
  <si>
    <t>Translin-associated protein X</t>
  </si>
  <si>
    <t>Selenide, water dikinase 2</t>
  </si>
  <si>
    <t>Tetratricopeptide repeat protein 1</t>
  </si>
  <si>
    <t>DnaJ homolog subfamily C member 7</t>
  </si>
  <si>
    <t>Protein C10</t>
  </si>
  <si>
    <t>Sodium-coupled neutral amino acid transporter 3</t>
  </si>
  <si>
    <t>Isoform 2 of COP9 signalosome complex subunit 8</t>
  </si>
  <si>
    <t>Monoglyceride lipase</t>
  </si>
  <si>
    <t>Isoform 4 of Ataxin-2</t>
  </si>
  <si>
    <t>Methionine synthase</t>
  </si>
  <si>
    <t>3-hydroxyacyl-CoA dehydrogenase type-2</t>
  </si>
  <si>
    <t>Nucleosome assembly protein 1-like 4</t>
  </si>
  <si>
    <t>Isoform 2 of Microsomal glutathione S-transferase 2</t>
  </si>
  <si>
    <t>Gamma-soluble NSF attachment protein</t>
  </si>
  <si>
    <t>Thioredoxin, mitochondrial</t>
  </si>
  <si>
    <t>ATP synthase subunit s, mitochondrial</t>
  </si>
  <si>
    <t>Mitochondrial intermediate peptidase</t>
  </si>
  <si>
    <t>Aconitate hydratase, mitochondrial</t>
  </si>
  <si>
    <t>Isoform 2 of Ubiquinone biosynthesis protein COQ7 homolog</t>
  </si>
  <si>
    <t>T-complex protein 1 subunit eta</t>
  </si>
  <si>
    <t>Myeloid differentiation primary response protein MyD88</t>
  </si>
  <si>
    <t>Histone H2A type 1-J</t>
  </si>
  <si>
    <t>Tyrosine-protein phosphatase non-receptor type 18</t>
  </si>
  <si>
    <t>Isoform 1 of Plakophilin-2</t>
  </si>
  <si>
    <t>Endophilin-A2</t>
  </si>
  <si>
    <t>Isoform 5 of A-kinase anchor protein 9</t>
  </si>
  <si>
    <t>Protein NipSnap homolog 1</t>
  </si>
  <si>
    <t>Actin-related protein 2/3 complex subunit 5-like protein</t>
  </si>
  <si>
    <t>Polyadenylate-binding protein-interacting protein 2</t>
  </si>
  <si>
    <t>Zinc finger FYVE domain-containing protein 21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</si>
  <si>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</si>
  <si>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</si>
  <si>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</si>
  <si>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</si>
  <si>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Methylosome protein 50</t>
  </si>
  <si>
    <t>Isoform 3 of Vitamin K epoxide reductase complex subunit 1</t>
  </si>
  <si>
    <t>Tubulin alpha-1C chain</t>
  </si>
  <si>
    <t>Apolipoprotein L2</t>
  </si>
  <si>
    <t>Myb-binding protein 1A</t>
  </si>
  <si>
    <t>Peroxisomal NADH pyrophosphatase NUDT12</t>
  </si>
  <si>
    <t>Isoform 2 of Phosphatidate phosphatase LPIN3</t>
  </si>
  <si>
    <t>Mitochondrial genome maintenance exonuclease 1</t>
  </si>
  <si>
    <t>FYVE and coiled-coil domain-containing protein 1</t>
  </si>
  <si>
    <t>Acyl-CoA-binding domain-containing protein 6</t>
  </si>
  <si>
    <t>Coronin-1B</t>
  </si>
  <si>
    <t>Thioredoxin domain-containing protein 17</t>
  </si>
  <si>
    <t>Calcineurin-like phosphoesterase domain-containing protein 1</t>
  </si>
  <si>
    <t>Vacuolar protein-sorting-associated protein 25</t>
  </si>
  <si>
    <t>45 kDa calcium-binding protein</t>
  </si>
  <si>
    <t>Proteasomal ATPase-associated factor 1</t>
  </si>
  <si>
    <t>Isoform 2 of Partner of Y14 and mago</t>
  </si>
  <si>
    <t>Migration and invasion enhancer 1</t>
  </si>
  <si>
    <t>Protein pelota homolog</t>
  </si>
  <si>
    <t>E3 ubiquitin-protein ligase TRIM56</t>
  </si>
  <si>
    <t>Endoplasmic reticulum resident protein 44</t>
  </si>
  <si>
    <t>Agmatinase, mitochondrial</t>
  </si>
  <si>
    <t>Translational activator of cytochrome c oxidase 1</t>
  </si>
  <si>
    <t>Haloacid dehalogenase-like hydrolase domain-containing protein 3</t>
  </si>
  <si>
    <t>Isoform 3 of Uncharacterized protein C17orf80</t>
  </si>
  <si>
    <t>Extended synaptotagmin-1</t>
  </si>
  <si>
    <t>Ubiquitin-associated domain-containing protein 1</t>
  </si>
  <si>
    <t>Rhotekin</t>
  </si>
  <si>
    <t>UPF0183 protein C16orf70</t>
  </si>
  <si>
    <t>Coiled-coil-helix-coiled-coil-helix domain-containing protein 5</t>
  </si>
  <si>
    <t>Protein canopy homolog 3</t>
  </si>
  <si>
    <t>Alpha-ketoglutarate-dependent dioxygenase alkB homolog 7</t>
  </si>
  <si>
    <t>Proteasome assembly chaperone 3</t>
  </si>
  <si>
    <t>COP9 signalosome complex subunit 4</t>
  </si>
  <si>
    <t>Isoform 2 of WW domain-containing adapter protein with coiled-coil</t>
  </si>
  <si>
    <t>Death-inducer obliterator 1</t>
  </si>
  <si>
    <t>Isoform 2 of Dynactin subunit 5</t>
  </si>
  <si>
    <t>Isoform 2 of Mini-chromosome maintenance complex-binding protein</t>
  </si>
  <si>
    <t>Alanyl-tRNA editing protein Aarsd1</t>
  </si>
  <si>
    <t>RNMT-activating mini protein</t>
  </si>
  <si>
    <t>Acidic leucine-rich nuclear phosphoprotein 32 family member E</t>
  </si>
  <si>
    <t>Tubulin-specific chaperone D</t>
  </si>
  <si>
    <t>Alpha-tocopherol transfer protein-like</t>
  </si>
  <si>
    <t>Plasma alpha-L-fucosidase</t>
  </si>
  <si>
    <t>Protein FAM203A</t>
  </si>
  <si>
    <t>Dehydrogenase/reductase SDR family member 4</t>
  </si>
  <si>
    <t>Thiamine-triphosphatase</t>
  </si>
  <si>
    <t>Deoxyhypusine hydroxylase</t>
  </si>
  <si>
    <t>Iron-sulfur cluster assembly 1 homolog, mitochondrial</t>
  </si>
  <si>
    <t>Uncharacterized protein C9orf142</t>
  </si>
  <si>
    <t>Isoform 2 of Heterogeneous nuclear ribonucleoprotein U-like protein 1</t>
  </si>
  <si>
    <t>Isoform 4 of Protein misato homolog 1</t>
  </si>
  <si>
    <t>EF-hand domain-containing protein D1</t>
  </si>
  <si>
    <t>Oxidoreductase HTATIP2</t>
  </si>
  <si>
    <t>Probable ATP-dependent RNA helicase DDX23</t>
  </si>
  <si>
    <t>3-hydroxybutyrate dehydrogenase type 2</t>
  </si>
  <si>
    <t>Protein FAM195A</t>
  </si>
  <si>
    <t>Uncharacterized protein C1orf50</t>
  </si>
  <si>
    <t>Methylthioribose-1-phosphate isomerase</t>
  </si>
  <si>
    <t>THUMP domain-containing protein 3</t>
  </si>
  <si>
    <t>1,2-dihydroxy-3-keto-5-methylthiopentene dioxygenase</t>
  </si>
  <si>
    <t>Trans-2-enoyl-CoA reductase, mitochondrial</t>
  </si>
  <si>
    <t>N-terminal Xaa-Pro-Lys N-methyltransferase 1</t>
  </si>
  <si>
    <t>Protein PBDC1</t>
  </si>
  <si>
    <t>Dual specificity protein phosphatase 23</t>
  </si>
  <si>
    <t>Selenoprotein O</t>
  </si>
  <si>
    <t>Gamma-glutamylaminecyclotransferase</t>
  </si>
  <si>
    <t>tRNA (adenine(58)-N(1))-methyltransferase, mitochondrial</t>
  </si>
  <si>
    <t>Nuclear pore complex protein Nup85</t>
  </si>
  <si>
    <t>DET1- and DDB1-associated protein 1</t>
  </si>
  <si>
    <t>HIRA-interacting protein 3</t>
  </si>
  <si>
    <t>Isoform 2 of Intraflagellar transport protein 27 homolog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</si>
  <si>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</si>
  <si>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</si>
  <si>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</si>
  <si>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</si>
  <si>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</si>
  <si>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Splicing factor 3B subunit 5</t>
  </si>
  <si>
    <t>Isoform 3 of Chitinase domain-containing protein 1</t>
  </si>
  <si>
    <t>Kanadaptin</t>
  </si>
  <si>
    <t>Isoform 5 of Sorbin and SH3 domain-containing protein 1</t>
  </si>
  <si>
    <t>Isoform 9 of Sorbin and SH3 domain-containing protein 1</t>
  </si>
  <si>
    <t>Histidine triad nucleotide-binding protein 2, mitochondrial</t>
  </si>
  <si>
    <t>Sphingosine-1-phosphate phosphatase 1</t>
  </si>
  <si>
    <t>Oxysterol-binding protein-related protein 11</t>
  </si>
  <si>
    <t>TBC1 domain family member 10A</t>
  </si>
  <si>
    <t>N-alpha-acetyltransferase 15, NatA auxiliary subunit</t>
  </si>
  <si>
    <t>Bcl-2-like protein 13</t>
  </si>
  <si>
    <t>Isoform 5 of Serrate RNA effector molecule homolog</t>
  </si>
  <si>
    <t>Queuine tRNA-ribosyltransferase</t>
  </si>
  <si>
    <t>AP-1 complex subunit mu-1</t>
  </si>
  <si>
    <t>Isoform 7 of Nucleolar and spindle-associated protein 1</t>
  </si>
  <si>
    <t>Uncharacterized protein C14orf142</t>
  </si>
  <si>
    <t>Oxysterol-binding protein-related protein 1</t>
  </si>
  <si>
    <t>Isoform 1 of Cat eye syndrome critical region protein 5</t>
  </si>
  <si>
    <t>Inosine triphosphate pyrophosphatase</t>
  </si>
  <si>
    <t>Protein RTF2 homolog</t>
  </si>
  <si>
    <t>Charged multivesicular body protein 4a</t>
  </si>
  <si>
    <t>Peroxisomal trans-2-enoyl-CoA reductase</t>
  </si>
  <si>
    <t>Isoform 2 of Cell adhesion molecule 1</t>
  </si>
  <si>
    <t>Polymerase delta-interacting protein 3</t>
  </si>
  <si>
    <t>Uncharacterized protein KIAA1671</t>
  </si>
  <si>
    <t>RanBP-type and C3HC4-type zinc finger-containing protein 1</t>
  </si>
  <si>
    <t>Sulfiredoxin-1</t>
  </si>
  <si>
    <t>Isoform 3 of Serine/threonine-protein kinase WNK3</t>
  </si>
  <si>
    <t>Neurolysin, mitochondrial</t>
  </si>
  <si>
    <t>Alanine--glyoxylate aminotransferase 2, mitochondrial</t>
  </si>
  <si>
    <t>Isoform 4 of Beta,beta-carotene 9,10-oxygenase</t>
  </si>
  <si>
    <t>Histone-lysine N-methyltransferase SETD2</t>
  </si>
  <si>
    <t>Interferon-induced helicase C domain-containing protein 1</t>
  </si>
  <si>
    <t>Isoform 3 of Dedicator of cytokinesis protein 9</t>
  </si>
  <si>
    <t>tRNA pseudouridine(38/39) synthase</t>
  </si>
  <si>
    <t>Tether containing UBX domain for GLUT4</t>
  </si>
  <si>
    <t>Isoform 3 of Oxysterol-binding protein-related protein 8</t>
  </si>
  <si>
    <t>WD repeat-containing protein 11</t>
  </si>
  <si>
    <t>Isoform 2 of Regulator of nonsense transcripts 3B</t>
  </si>
  <si>
    <t>Isoform 2 of Crooked neck-like protein 1</t>
  </si>
  <si>
    <t>F-box-like/WD repeat-containing protein TBL1XR1</t>
  </si>
  <si>
    <t>Ubiquitin-like protein 5</t>
  </si>
  <si>
    <t>Protein phosphatase 1 regulatory subunit 12C</t>
  </si>
  <si>
    <t>Group XIIA secretory phospholipase A2</t>
  </si>
  <si>
    <t>Isoform 2 of Apoptosis inhibitor 5</t>
  </si>
  <si>
    <t>Protein dpy-30 homolog</t>
  </si>
  <si>
    <t>RING finger protein unkempt homolog</t>
  </si>
  <si>
    <t>Alpha-ketoglutarate-dependent dioxygenase FTO</t>
  </si>
  <si>
    <t>Isoform 2 of Palmitoyltransferase ZDHHC5</t>
  </si>
  <si>
    <t>182 kDa tankyrase-1-binding protein</t>
  </si>
  <si>
    <t>Ubiquitin-conjugating enzyme E2 O</t>
  </si>
  <si>
    <t>Isoform 4 of SRC kinase signaling inhibitor 1</t>
  </si>
  <si>
    <t>Myotubularin-related protein 12</t>
  </si>
  <si>
    <t>pre-mRNA 3 end processing protein WDR33</t>
  </si>
  <si>
    <t>Protein YIPF3</t>
  </si>
  <si>
    <t>Isoform 3 of Tubulointerstitial nephritis antigen-like</t>
  </si>
  <si>
    <t>UPF0687 protein C20orf27</t>
  </si>
  <si>
    <t>PITH domain-containing protein 1</t>
  </si>
  <si>
    <t>COMM domain-containing protein 5</t>
  </si>
  <si>
    <t>Isoform 2 of SRA stem-loop-interacting RNA-binding protein, mitochondrial</t>
  </si>
  <si>
    <t>Isoform 2 of NIF3-like protein 1</t>
  </si>
  <si>
    <t>Egl nine homolog 1</t>
  </si>
  <si>
    <t>Protein FAM192A</t>
  </si>
  <si>
    <t>Isoform 2 of Mitochondrial fission factor</t>
  </si>
  <si>
    <t>Ubiquitin-like modifier-activating enzyme 5</t>
  </si>
  <si>
    <t>Phospholysine phosphohistidine inorganic pyrophosphate phosphatase</t>
  </si>
  <si>
    <t>Polyadenylate-binding protein-interacting protein 1</t>
  </si>
  <si>
    <t>Protein FAM107B</t>
  </si>
  <si>
    <t>COMM domain-containing protein 4</t>
  </si>
  <si>
    <t>Integrin-linked kinase-associated serine/threonine phosphatase 2C</t>
  </si>
  <si>
    <t>5-3 exoribonuclease 2</t>
  </si>
  <si>
    <t>Toll-interacting protein</t>
  </si>
  <si>
    <t>Sharpin</t>
  </si>
  <si>
    <t>Nuclear speckle splicing regulatory protein 1</t>
  </si>
  <si>
    <t>Serine/threonine-protein kinase SIK2</t>
  </si>
  <si>
    <t>Cleavage stimulation factor subunit 2 tau variant</t>
  </si>
  <si>
    <t>Isoform 1 of Cytosolic 5-nucleotidase 3A</t>
  </si>
  <si>
    <t>Haloacid dehalogenase-like hydrolase domain-containing protein 2</t>
  </si>
  <si>
    <t>Glutamyl-tRNA(Gln) amidotransferase subunit A, mitochondrial</t>
  </si>
  <si>
    <t>Ras-related protein Rab-1B</t>
  </si>
  <si>
    <t>Ester hydrolase C11orf54</t>
  </si>
  <si>
    <t>Nucleotide exchange factor SIL1</t>
  </si>
  <si>
    <t>Interferon regulatory factor 2-binding protein-like</t>
  </si>
  <si>
    <t>Nuclear ubiquitous casein and cyclin-dependent kinase substrate 1</t>
  </si>
  <si>
    <t>Isoform 3 of Kinesin-like protein KIF13A</t>
  </si>
  <si>
    <t>Regulator of nonsense transcripts 3A</t>
  </si>
  <si>
    <t>Rabenosyn-5</t>
  </si>
  <si>
    <t>Iron-sulfur cluster assembly enzyme ISCU, mitochondrial</t>
  </si>
  <si>
    <t>Isoform 2 of Oxysterol-binding protein-related protein 2</t>
  </si>
  <si>
    <t>Autophagy protein 5</t>
  </si>
  <si>
    <t>WD repeat-containing protein 13</t>
  </si>
  <si>
    <t>EH domain-containing protein 4</t>
  </si>
  <si>
    <t>Cytosolic beta-glucosidase</t>
  </si>
  <si>
    <t>Vacuolar protein sorting-associated protein 11 homolog</t>
  </si>
  <si>
    <t>Aldehyde dehydrogenase family 8 member A1</t>
  </si>
  <si>
    <t>Isoform 4 of TRIO and F-actin-binding protein</t>
  </si>
  <si>
    <t>STE20-like serine/threonine-protein kinase</t>
  </si>
  <si>
    <t>Peptidyl-prolyl cis-trans isomerase-like 3</t>
  </si>
  <si>
    <t>Serine/threonine-protein kinase TAO3</t>
  </si>
  <si>
    <t>S-methylmethionine--homocysteine S-methyltransferase BHMT2</t>
  </si>
  <si>
    <t>Rab3 GTPase-activating protein non-catalytic subunit</t>
  </si>
  <si>
    <t>Activity-dependent neuroprotector homeobox protein</t>
  </si>
  <si>
    <t>Isoform 3 of Diphthine synthase</t>
  </si>
  <si>
    <t>Isoform 3 of Probable ATP-dependent RNA helicase DHX36</t>
  </si>
  <si>
    <t>Inorganic pyrophosphatase 2, mitochondrial</t>
  </si>
  <si>
    <t>39S ribosomal protein L46, mitochondrial</t>
  </si>
  <si>
    <t>Pinin</t>
  </si>
  <si>
    <t>Isoform 2 of Band 4.1-like protein 4B</t>
  </si>
  <si>
    <t>Probable serine carboxypeptidase CPVL</t>
  </si>
  <si>
    <t>UPF0696 protein C11orf68</t>
  </si>
  <si>
    <t>BolA-like protein 2</t>
  </si>
  <si>
    <t>Thioredoxin-related transmembrane protein 1</t>
  </si>
  <si>
    <t>Negative elongation factor A</t>
  </si>
  <si>
    <t>Golgi resident protein GCP60</t>
  </si>
  <si>
    <t>Cdc42 effector protein 4</t>
  </si>
  <si>
    <t>Tyrosine-protein phosphatase non-receptor type 23</t>
  </si>
  <si>
    <t>Isoform 2 of Protein unc-45 homolog A</t>
  </si>
  <si>
    <t>Charged multivesicular body protein 4b</t>
  </si>
  <si>
    <t>Ribokinase</t>
  </si>
  <si>
    <t>Fructosamine-3-kinase</t>
  </si>
  <si>
    <t>GDP-fucose protein O-fucosyltransferase 1</t>
  </si>
  <si>
    <t>Aminopeptidase B</t>
  </si>
  <si>
    <t>Golgi phosphoprotein 3</t>
  </si>
  <si>
    <t>Probable tRNA threonylcarbamoyladenosine biosynthesis protein</t>
  </si>
  <si>
    <t>Zinc fingers and homeoboxes protein 3</t>
  </si>
  <si>
    <t>SWI/SNF-related matrix-associated actin-dependent regulator of chromatin subfamily A containing DEAD/H box 1</t>
  </si>
  <si>
    <t>EH domain-containing protein 1</t>
  </si>
  <si>
    <t>Phosphorylated CTD-interacting factor 1</t>
  </si>
  <si>
    <t>Rab GTPase-binding effector protein 2</t>
  </si>
  <si>
    <t>Dimethyladenosine transferase 2, mitochondrial</t>
  </si>
  <si>
    <t>Isoform 2 of UPF0428 protein CXorf56</t>
  </si>
  <si>
    <t>Speckle targeted PIP5K1A-regulated poly(A) polymerase</t>
  </si>
  <si>
    <t>Cytosolic Fe-S cluster assembly factor NARFL</t>
  </si>
  <si>
    <t>Acyl-CoA synthetase short-chain family member 3, mitochondrial</t>
  </si>
  <si>
    <t>Probable ATP-dependent RNA helicase YTHDC2</t>
  </si>
  <si>
    <t>Epidermal growth factor receptor kinase substrate 8-like protein 2</t>
  </si>
  <si>
    <t>Isoform 2 of Epithelial splicing regulatory protein 2</t>
  </si>
  <si>
    <t>Isoform 1 of Breast carcinoma-amplified sequence 3</t>
  </si>
  <si>
    <t>dCTP pyrophosphatase 1</t>
  </si>
  <si>
    <t>Zinc phosphodiesterase ELAC protein 1</t>
  </si>
  <si>
    <t>SH2 domain-containing protein 4A</t>
  </si>
  <si>
    <t>Mth938 domain-containing protein</t>
  </si>
  <si>
    <t>Dedicator of cytokinesis protein 5</t>
  </si>
  <si>
    <t>Isoform 3 of Tudor domain-containing protein 3</t>
  </si>
  <si>
    <t>Splicing factor, arginine/serine-rich 19</t>
  </si>
  <si>
    <t>Histone acetyltransferase KAT8</t>
  </si>
  <si>
    <t>Prostaglandin E synthase 2</t>
  </si>
  <si>
    <t>Ubiquitin-conjugating enzyme E2 Z</t>
  </si>
  <si>
    <t>Acyl-CoA dehydrogenase family member 9, mitochondrial</t>
  </si>
  <si>
    <t>Protein FAM188A</t>
  </si>
  <si>
    <t>MOB kinase activator 1A</t>
  </si>
  <si>
    <t>AKT-interacting protein</t>
  </si>
  <si>
    <t>Pleckstrin homology domain-containing family F member 2</t>
  </si>
  <si>
    <t>Golgi reassembly-stacking protein 2</t>
  </si>
  <si>
    <t>Proline-serine-threonine phosphatase-interacting protein 2</t>
  </si>
  <si>
    <t>Queuine tRNA-ribosyltransferase subunit QTRTD1</t>
  </si>
  <si>
    <t>UPF0364 protein C6orf211</t>
  </si>
  <si>
    <t>Isoform 2 of CCR4-NOT transcription complex subunit 10</t>
  </si>
  <si>
    <t>Leucine-rich repeat-containing protein 40</t>
  </si>
  <si>
    <t>Isoform 3 of Histone-lysine N-methyltransferase EHMT1</t>
  </si>
  <si>
    <t>Sideroflexin-1</t>
  </si>
  <si>
    <t>Isoform 2 of Spermatogenesis-defective protein 39 homolog</t>
  </si>
  <si>
    <t>Conserved oligomeric Golgi complex subunit 4</t>
  </si>
  <si>
    <t>Protein argonaute-3</t>
  </si>
  <si>
    <t>39S ribosomal protein L44, mitochondrial</t>
  </si>
  <si>
    <t>Interferon-stimulated 20 kDa exonuclease-like 2</t>
  </si>
  <si>
    <t>Isoform 2 of Elongator complex protein 3</t>
  </si>
  <si>
    <t>Isoform 3 of Uridine-cytidine kinase 1</t>
  </si>
  <si>
    <t>Ketosamine-3-kinase</t>
  </si>
  <si>
    <t>TBC1 domain family member 17</t>
  </si>
  <si>
    <t>Probable cysteine--tRNA ligase, mitochondrial</t>
  </si>
  <si>
    <t>Phosphopantothenate--cysteine ligase</t>
  </si>
  <si>
    <t>Isoform 4 of CaiB/baiF CoA-transferase family protein C7orf10</t>
  </si>
  <si>
    <t>Isoform 2 of Histone deacetylase complex subunit SAP30L</t>
  </si>
  <si>
    <t>Nicotinamide mononucleotide adenylyltransferase 1</t>
  </si>
  <si>
    <t>Isoform 2 of Sialate O-acetylesterase</t>
  </si>
  <si>
    <t>Pleckstrin homology domain-containing family A member 5</t>
  </si>
  <si>
    <t>Regulator of nonsense transcripts 2</t>
  </si>
  <si>
    <t>Exportin-5</t>
  </si>
  <si>
    <t>GrpE protein homolog 1, mitochondrial</t>
  </si>
  <si>
    <t>UPF0160 protein MYG1, mitochondrial</t>
  </si>
  <si>
    <t>Pleckstrin homology domain-containing family A member 1</t>
  </si>
  <si>
    <t>Calcyclin-binding protein</t>
  </si>
  <si>
    <t>Ras-related GTP-binding protein C</t>
  </si>
  <si>
    <t>Isoform 2 of Zinc finger FYVE domain-containing protein 1</t>
  </si>
  <si>
    <t>Peptide deformylase, mitochondrial</t>
  </si>
  <si>
    <t>Arsenite methyltransferase</t>
  </si>
  <si>
    <t>NmrA-like family domain-containing protein 1</t>
  </si>
  <si>
    <t>Isoform 1 of Serine/threonine-protein kinase Sgk2</t>
  </si>
  <si>
    <t>Echinoderm microtubule-associated protein-like 4</t>
  </si>
  <si>
    <t>Isoform 2 of Glyoxalase domain-containing protein 4</t>
  </si>
  <si>
    <t>Chromobox protein homolog 8</t>
  </si>
  <si>
    <t>Spondin-1</t>
  </si>
  <si>
    <t>Methylcrotonoyl-CoA carboxylase beta chain, mitochondrial</t>
  </si>
  <si>
    <t>Isoform 5 of Lateral signaling target protein 2 homolog</t>
  </si>
  <si>
    <t>Putative helicase MOV-10</t>
  </si>
  <si>
    <t>Methyltransferase-like protein 14</t>
  </si>
  <si>
    <t>Isoform 3 of Rho guanine nucleotide exchange factor 10-like protein</t>
  </si>
  <si>
    <t>Zinc finger protein 14 homolog</t>
  </si>
  <si>
    <t>Isoform 2 of Band 4.1-like protein 5</t>
  </si>
  <si>
    <t>Isoform 3 of GPN-loop GTPase 1</t>
  </si>
  <si>
    <t>Stromal cell-derived factor 2-like protein 1</t>
  </si>
  <si>
    <t>Steroid receptor RNA activator 1</t>
  </si>
  <si>
    <t>Isoform 2 of Golgi-associated PDZ and coiled-coil motif-containing protein</t>
  </si>
  <si>
    <t>LYR motif-containing protein 4</t>
  </si>
  <si>
    <t>O-phosphoseryl-tRNA(Sec) selenium transferase</t>
  </si>
  <si>
    <t>Charged multivesicular body protein 1a</t>
  </si>
  <si>
    <t>Isoform 4 of Ran guanine nucleotide release factor</t>
  </si>
  <si>
    <t>Resistin</t>
  </si>
  <si>
    <t>Isoform 2 of Adipocyte plasma membrane-associated protein</t>
  </si>
  <si>
    <t>ADP-ribosylation factor GTPase-activating protein 3</t>
  </si>
  <si>
    <t>Isoform 4 of Carbohydrate-responsive element-binding protein</t>
  </si>
  <si>
    <t>Ras-related protein Rab-18</t>
  </si>
  <si>
    <t>Isoform 2 of UDP-N-acetylglucosamine transferase subunit ALG13 homolog</t>
  </si>
  <si>
    <t>Palmdelphin</t>
  </si>
  <si>
    <t>RNA polymerase II subunit A C-terminal domain phosphatase SSU72</t>
  </si>
  <si>
    <t>Vacuolar protein sorting-associated protein VTA1 homolog</t>
  </si>
  <si>
    <t>Dynein light chain roadblock-type 1</t>
  </si>
  <si>
    <t>Isoform 2 of Enhancer of yellow 2 transcription factor homolog</t>
  </si>
  <si>
    <t>Exosome complex component RRP41</t>
  </si>
  <si>
    <t>H/ACA ribonucleoprotein complex subunit 3</t>
  </si>
  <si>
    <t>Isoform 2 of Ubinuclein-1</t>
  </si>
  <si>
    <t>Lysophosphatidic acid phosphatase type 6</t>
  </si>
  <si>
    <t>Acyl-coenzyme A thioesterase 13</t>
  </si>
  <si>
    <t>Isoform 4 of Synembryn-A</t>
  </si>
  <si>
    <t>Fructose-2,6-bisphosphatase TIGAR</t>
  </si>
  <si>
    <t>Isoform 2 of APOBEC1 complementation factor</t>
  </si>
  <si>
    <t>Regulation of nuclear pre-mRNA domain-containing protein 1B</t>
  </si>
  <si>
    <t>Isoform 2 of Probable Xaa-Pro aminopeptidase 3</t>
  </si>
  <si>
    <t>Prefoldin subunit 4</t>
  </si>
  <si>
    <t>Omega-amidase NIT2</t>
  </si>
  <si>
    <t>Cell death regulator Aven</t>
  </si>
  <si>
    <t>Exosome complex component RRP46</t>
  </si>
  <si>
    <t>Kinesin-like protein KIF13B</t>
  </si>
  <si>
    <t>Isoform 3 of Xaa-Pro aminopeptidase 1</t>
  </si>
  <si>
    <t>Gephyrin</t>
  </si>
  <si>
    <t>Something about silencing protein 10</t>
  </si>
  <si>
    <t>Isoform 3 of PDZ and LIM domain protein 7</t>
  </si>
  <si>
    <t>Acetyl-coenzyme A synthetase, cytoplasmic</t>
  </si>
  <si>
    <t>Isoform 2 of Diablo homolog, mitochondrial</t>
  </si>
  <si>
    <t>Nucleolar RNA helicase 2</t>
  </si>
  <si>
    <t>GTP-binding protein SAR1a</t>
  </si>
  <si>
    <t>Sialic acid synthase</t>
  </si>
  <si>
    <t>Isoform 3 of Translation initiation factor eIF-2B subunit gamma</t>
  </si>
  <si>
    <t>CTP synthase 2</t>
  </si>
  <si>
    <t>Isoform 2 of Epimerase family protein SDR39U1</t>
  </si>
  <si>
    <t>L-aminoadipate-semialdehyde dehydrogenase-phosphopantetheinyl transferase</t>
  </si>
  <si>
    <t>Protein ACN9 homolog, mitochondrial</t>
  </si>
  <si>
    <t>Ubiquilin-4</t>
  </si>
  <si>
    <t>Isoform 2 of Sorting nexin-15</t>
  </si>
  <si>
    <t>Heme-binding protein 1</t>
  </si>
  <si>
    <t>Vacuolar protein sorting-associated protein 45</t>
  </si>
  <si>
    <t>14 kDa phosphohistidine phosphatase</t>
  </si>
  <si>
    <t>SOSS complex subunit C</t>
  </si>
  <si>
    <t>Rho GTPase-activating protein 35</t>
  </si>
  <si>
    <t>Protein FAM114A2</t>
  </si>
  <si>
    <t>LanC-like protein 2</t>
  </si>
  <si>
    <t>Beta-catenin-interacting protein 1</t>
  </si>
  <si>
    <t>Isoform 2 of Homer protein homolog 2</t>
  </si>
  <si>
    <t>Isoleucine--tRNA ligase, mitochondrial</t>
  </si>
  <si>
    <t>Kinesin light chain 4</t>
  </si>
  <si>
    <t>Nuclear receptor-binding protein 2</t>
  </si>
  <si>
    <t>StAR-related lipid transfer protein 5</t>
  </si>
  <si>
    <t>Ubiquitin-like-conjugating enzyme ATG3</t>
  </si>
  <si>
    <t>NAD-dependent protein deacetylase sirtuin-3, mitochondrial</t>
  </si>
  <si>
    <t>Isoform 2 of Sister chromatid cohesion protein PDS5 homolog B</t>
  </si>
  <si>
    <t>Isoform 3 of Alpha-mannosidase 2C1</t>
  </si>
  <si>
    <t>Obg-like ATPase 1</t>
  </si>
  <si>
    <t>Copper homeostasis protein cutC homolog</t>
  </si>
  <si>
    <t>Semaphorin-4G</t>
  </si>
  <si>
    <t>Isoform 6 of Ethylmalonyl-CoA decarboxylase</t>
  </si>
  <si>
    <t>RNA-binding protein 12</t>
  </si>
  <si>
    <t>LYR motif-containing protein 2</t>
  </si>
  <si>
    <t>Peroxisomal 2,4-dienoyl-CoA reductase</t>
  </si>
  <si>
    <t>Mycophenolic acid acyl-glucuronide esterase, mitochondrial</t>
  </si>
  <si>
    <t>Isoform 4 of UPF0515 protein C19orf66</t>
  </si>
  <si>
    <t>Biogenesis of lysosome-related organelles complex 1 subunit 4</t>
  </si>
  <si>
    <t>Protein lin-7 homolog C</t>
  </si>
  <si>
    <t>Gamma-taxilin</t>
  </si>
  <si>
    <t>SPATS2-like protein</t>
  </si>
  <si>
    <t>Isoform 2 of ATP-binding cassette sub-family F member 3</t>
  </si>
  <si>
    <t>Protein FAM49B</t>
  </si>
  <si>
    <t>GTPase IMAP family member 4</t>
  </si>
  <si>
    <t>Isoform 2 of TBC1 domain family member 23</t>
  </si>
  <si>
    <t>Probable 8-oxo-dGTP diphosphatase NUDT15</t>
  </si>
  <si>
    <t>MRG/MORF4L-binding protein</t>
  </si>
  <si>
    <t>Isoform 2 of Exocyst complex component 1</t>
  </si>
  <si>
    <t>Alpha-parvin</t>
  </si>
  <si>
    <t>Pantothenate kinase 4</t>
  </si>
  <si>
    <t>Ethanolamine kinase 2</t>
  </si>
  <si>
    <t>TBC1 domain family member 13</t>
  </si>
  <si>
    <t>Isoform 2 of Exonuclease 3-5 domain-containing protein 2</t>
  </si>
  <si>
    <t>Trimethyllysine dioxygenase, mitochondrial</t>
  </si>
  <si>
    <t>Isoform 3 of Protein arginine N-methyltransferase 7</t>
  </si>
  <si>
    <t>DnaJ homolog subfamily C member 17</t>
  </si>
  <si>
    <t>Pyridoxine-5-phosphate oxidase</t>
  </si>
  <si>
    <t>Armadillo repeat-containing protein 1</t>
  </si>
  <si>
    <t>Isoform 2 of Protein SDA1 homolog</t>
  </si>
  <si>
    <t>Notchless protein homolog 1</t>
  </si>
  <si>
    <t>Adaptin ear-binding coat-associated protein 2</t>
  </si>
  <si>
    <t>RNA-binding protein 28</t>
  </si>
  <si>
    <t>Pre-mRNA-splicing factor RBM22</t>
  </si>
  <si>
    <t>Isoform 4 of BSD domain-containing protein 1</t>
  </si>
  <si>
    <t>WD repeat-containing protein 70</t>
  </si>
  <si>
    <t>Arginine and glutamate-rich protein 1</t>
  </si>
  <si>
    <t>SAFB-like transcription modulator</t>
  </si>
  <si>
    <t>Isoform 2 of Box C/D snoRNA protein 1</t>
  </si>
  <si>
    <t>Aurora kinase A-interacting protein</t>
  </si>
  <si>
    <t>3-oxoacyl-[acyl-carrier-protein] synthase, mitochondrial</t>
  </si>
  <si>
    <t>UPF0587 protein C1orf123</t>
  </si>
  <si>
    <t>Probable tRNA(His) guanylyltransferase</t>
  </si>
  <si>
    <t>UPF0609 protein C4orf27</t>
  </si>
  <si>
    <t>Interleukin-1 receptor-associated kinase 4</t>
  </si>
  <si>
    <t>Thioredoxin-like protein 4B</t>
  </si>
  <si>
    <t>Isoform 2 of tRNA selenocysteine 1-associated protein 1</t>
  </si>
  <si>
    <t>COMM domain-containing protein 8</t>
  </si>
  <si>
    <t>NADH dehydrogenase [ubiquinone] 1 beta subcomplex subunit 11, mitochondrial</t>
  </si>
  <si>
    <t>Protein FAM206A</t>
  </si>
  <si>
    <t>Poly(ADP-ribose) glycohydrolase ARH3</t>
  </si>
  <si>
    <t>Huntingtin-interacting protein K</t>
  </si>
  <si>
    <t>tRNA-dihydrouridine(20) synthase [NAD(P)+]-like</t>
  </si>
  <si>
    <t>NAD-dependent protein deacylase sirtuin-5, mitochondrial</t>
  </si>
  <si>
    <t>Myotubularin-related protein 10</t>
  </si>
  <si>
    <t>THUMP domain-containing protein 1</t>
  </si>
  <si>
    <t>tRNA (guanine(26)-N(2))-dimethyltransferase</t>
  </si>
  <si>
    <t>Isoform 4 of BRCA1-A complex subunit BRE</t>
  </si>
  <si>
    <t>ADP-ribosylation factor-like protein 15</t>
  </si>
  <si>
    <t>CDKN2A-interacting protein</t>
  </si>
  <si>
    <t>DnaJ homolog subfamily B member 12</t>
  </si>
  <si>
    <t>Alpha-ketoglutarate-dependent dioxygenase alkB homolog 4</t>
  </si>
  <si>
    <t>Serine/threonine-protein phosphatase 4 regulatory subunit 2</t>
  </si>
  <si>
    <t>Dipeptidyl peptidase 3</t>
  </si>
  <si>
    <t>Telomeric repeat-binding factor 2-interacting protein 1</t>
  </si>
  <si>
    <t>Isoform 2 of Bcl-2-associated transcription factor 1</t>
  </si>
  <si>
    <t>Cytochrome c oxidase assembly factor 4 homolog, mitochondrial</t>
  </si>
  <si>
    <t>TGF-beta-activated kinase 1 and MAP3K7-binding protein 2</t>
  </si>
  <si>
    <t>Mitogen-activated protein kinase kinase kinase MLT</t>
  </si>
  <si>
    <t>Tropomodulin-3</t>
  </si>
  <si>
    <t>Hydroxyacid oxidase 2</t>
  </si>
  <si>
    <t>Isoform 2 of UDP-glucose:glycoprotein glucosyltransferase 1</t>
  </si>
  <si>
    <t>Isoform 2 of Cyclin-dependent kinase 12</t>
  </si>
  <si>
    <t>Isoform 2 of FAST kinase domain-containing protein 2</t>
  </si>
  <si>
    <t>Endoplasmic reticulum aminopeptidase 1</t>
  </si>
  <si>
    <t>Actin-related protein 10</t>
  </si>
  <si>
    <t>Uncharacterized protein C9orf78</t>
  </si>
  <si>
    <t>Constitutive coactivator of PPAR-gamma-like protein 1</t>
  </si>
  <si>
    <t>Isoform 6 of Molybdenum cofactor biosynthesis protein 1</t>
  </si>
  <si>
    <t>Glycolipid transfer protein</t>
  </si>
  <si>
    <t>Isoform 2 of Maspardin</t>
  </si>
  <si>
    <t>Isoform 2 of Sacsin</t>
  </si>
  <si>
    <t>Hexaprenyldihydroxybenzoate methyltransferase, mitochondrial</t>
  </si>
  <si>
    <t>Diphosphoinositol polyphosphate phosphohydrolase 2</t>
  </si>
  <si>
    <t>Hsp70-binding protein 1</t>
  </si>
  <si>
    <t>Methionine adenosyltransferase 2 subunit beta</t>
  </si>
  <si>
    <t>Isoform 2 of Intersectin-2</t>
  </si>
  <si>
    <t>Isoform 2 of Rho guanine nucleotide exchange factor 12</t>
  </si>
  <si>
    <t>Isoform 4 of CCR4-NOT transcription complex subunit 2</t>
  </si>
  <si>
    <t>Complement C1r subcomponent-like protein</t>
  </si>
  <si>
    <t>Isoform 2 of Opioid growth factor receptor</t>
  </si>
  <si>
    <t>LIM and cysteine-rich domains protein 1</t>
  </si>
  <si>
    <t>Charged multivesicular body protein 5</t>
  </si>
  <si>
    <t>COMM domain-containing protein 9</t>
  </si>
  <si>
    <t>Spliceosome-associated protein CWC15 homolog</t>
  </si>
  <si>
    <t>Thymocyte nuclear protein 1</t>
  </si>
  <si>
    <t>NADH dehydrogenase [ubiquinone] 1 alpha subcomplex assembly factor 4</t>
  </si>
  <si>
    <t>[Pyruvate dehydrogenase [acetyl-transferring]]-phosphatase 1, mitochondrial</t>
  </si>
  <si>
    <t>Isoform 3 of Ankycorbin</t>
  </si>
  <si>
    <t>Vesicle-associated membrane protein-associated protein A</t>
  </si>
  <si>
    <t>A-kinase anchor protein 7 isoform gamma</t>
  </si>
  <si>
    <t>Uncharacterized protein C6orf203</t>
  </si>
  <si>
    <t>GSK3-beta interaction protein</t>
  </si>
  <si>
    <t>Peroxisomal sarcosine oxidase</t>
  </si>
  <si>
    <t>Costars family protein ABRACL</t>
  </si>
  <si>
    <t>Calmodulin-regulated spectrin-associated protein 3</t>
  </si>
  <si>
    <t>Isoform 2 of Calcium-binding and coiled-coil domain-containing protein 1</t>
  </si>
  <si>
    <t>Isoform 2 of Uncharacterized protein KIAA1522</t>
  </si>
  <si>
    <t>Vacuolar protein sorting-associated protein 18 homolog</t>
  </si>
  <si>
    <t>Protein RCC2</t>
  </si>
  <si>
    <t>Isoform 2 of LisH domain and HEAT repeat-containing protein KIAA1468</t>
  </si>
  <si>
    <t>Disco-interacting protein 2 homolog B</t>
  </si>
  <si>
    <t>Junctional protein associated with coronary artery disease</t>
  </si>
  <si>
    <t>SLAIN motif-containing protein 2</t>
  </si>
  <si>
    <t>BRCA2 and CDKN1A-interacting protein</t>
  </si>
  <si>
    <t>Coatomer subunit zeta-2</t>
  </si>
  <si>
    <t>Isoform 2 of Inhibitor of Bruton tyrosine kinase</t>
  </si>
  <si>
    <t>Isoform 3 of HEAT repeat-containing protein 5B</t>
  </si>
  <si>
    <t>Isoform 1 of Ribosome-binding protein 1</t>
  </si>
  <si>
    <t>Ribosome-binding protein 1</t>
  </si>
  <si>
    <t>Cleavage and polyadenylation specificity factor subunit 2</t>
  </si>
  <si>
    <t>Isoform 2 of Eukaryotic translation initiation factor 2-alpha kinase 4</t>
  </si>
  <si>
    <t>Cingulin</t>
  </si>
  <si>
    <t>RNA-binding protein 27</t>
  </si>
  <si>
    <t>Ankyrin repeat and FYVE domain-containing protein 1</t>
  </si>
  <si>
    <t>Isoform 2 of Arginine-glutamic acid dipeptide repeats protein</t>
  </si>
  <si>
    <t>Protein IMPACT</t>
  </si>
  <si>
    <t>Ataxin-10</t>
  </si>
  <si>
    <t>Methyl-CpG-binding domain protein 2</t>
  </si>
  <si>
    <t>Isoform 3 of Epidermal growth factor receptor substrate 15-like 1</t>
  </si>
  <si>
    <t>SUMO-activating enzyme subunit 1</t>
  </si>
  <si>
    <t>Coatomer subunit gamma-2</t>
  </si>
  <si>
    <t>RING-box protein 2</t>
  </si>
  <si>
    <t>COMM domain-containing protein 3</t>
  </si>
  <si>
    <t>Guanine nucleotide-binding protein G(I)/G(S)/G(O) subunit gamma-12</t>
  </si>
  <si>
    <t>Isoform B of Methionine synthase reductase</t>
  </si>
  <si>
    <t>7-dehydrocholesterol reductase</t>
  </si>
  <si>
    <t>Histone deacetylase 6</t>
  </si>
  <si>
    <t>Isoform 3 of Spastin</t>
  </si>
  <si>
    <t>tRNA (guanine-N(7)-)-methyltransferase</t>
  </si>
  <si>
    <t>Vacuolar protein sorting-associated protein 29</t>
  </si>
  <si>
    <t>Glyoxylate reductase/hydroxypyruvate reductase</t>
  </si>
  <si>
    <t>Beta-ureidopropionase</t>
  </si>
  <si>
    <t>Cathepsin Z</t>
  </si>
  <si>
    <t>DnaJ homolog subfamily B member 11</t>
  </si>
  <si>
    <t>E3 ubiquitin-protein ligase RNF14</t>
  </si>
  <si>
    <t>SUMO-activating enzyme subunit 2</t>
  </si>
  <si>
    <t>Peflin</t>
  </si>
  <si>
    <t>Isoform 2 of Zinc finger MYM-type protein 2</t>
  </si>
  <si>
    <t>COP9 signalosome complex subunit 7a</t>
  </si>
  <si>
    <t>Cathepsin F</t>
  </si>
  <si>
    <t>Alpha-aminoadipic semialdehyde synthase, mitochondrial</t>
  </si>
  <si>
    <t>SEC14-like protein 4</t>
  </si>
  <si>
    <t>Tight junction protein ZO-2</t>
  </si>
  <si>
    <t>Isoform 2 of Mucosa-associated lymphoid tissue lymphoma translocation protein 1</t>
  </si>
  <si>
    <t>Vesicle transport through interaction with t-SNAREs homolog 1B</t>
  </si>
  <si>
    <t>Isoform 1 of Gamma-adducin</t>
  </si>
  <si>
    <t>UPF0449 protein C19orf25</t>
  </si>
  <si>
    <t>Protein NipSnap homolog 3A</t>
  </si>
  <si>
    <t>CGG triplet repeat-binding protein 1</t>
  </si>
  <si>
    <t>Peptide chain release factor 1-like, mitochondrial</t>
  </si>
  <si>
    <t>Testin</t>
  </si>
  <si>
    <t>Isoform B of 5-AMP-activated protein kinase subunit gamma-2</t>
  </si>
  <si>
    <t>Signal-transducing adaptor protein 2</t>
  </si>
  <si>
    <t>LIM domain-containing protein 1</t>
  </si>
  <si>
    <t>Armadillo repeat-containing X-linked protein 3</t>
  </si>
  <si>
    <t>Switch-associated protein 70</t>
  </si>
  <si>
    <t>Ragulator complex protein LAMTOR3</t>
  </si>
  <si>
    <t>LIM domain and actin-binding protein 1</t>
  </si>
  <si>
    <t>Isoform 2 of AF4/FMR2 family member 4</t>
  </si>
  <si>
    <t>Signal recognition particle subunit SRP68</t>
  </si>
  <si>
    <t>Cysteine and histidine-rich domain-containing protein 1</t>
  </si>
  <si>
    <t>Serine/threonine-protein kinase TBK1</t>
  </si>
  <si>
    <t>Septin-9</t>
  </si>
  <si>
    <t>Ubiquilin-2</t>
  </si>
  <si>
    <t>Prenylcysteine oxidase 1</t>
  </si>
  <si>
    <t>Sedoheptulokinase</t>
  </si>
  <si>
    <t>Dipeptidyl peptidase 2</t>
  </si>
  <si>
    <t>Brain-specific angiogenesis inhibitor 1-associated protein 2-like protein 1</t>
  </si>
  <si>
    <t>Prefoldin subunit 2</t>
  </si>
  <si>
    <t>Isoform 4 of Poly(U)-binding-splicing factor PUF60</t>
  </si>
  <si>
    <t>Enolase-phosphatase E1</t>
  </si>
  <si>
    <t>Ena/VASP-like protein</t>
  </si>
  <si>
    <t>Isoform 3 of Translation initiation factor eIF-2B subunit delta</t>
  </si>
  <si>
    <t>Translation initiation factor eIF-2B subunit delta</t>
  </si>
  <si>
    <t>Isoform 2 of V-type proton ATPase subunit H</t>
  </si>
  <si>
    <t>Dimethylglycine dehydrogenase, mitochondrial</t>
  </si>
  <si>
    <t>Glutaminase liver isoform, mitochondrial</t>
  </si>
  <si>
    <t>Exportin-7</t>
  </si>
  <si>
    <t>Vacuolar protein sorting-associated protein 51 homolog</t>
  </si>
  <si>
    <t>ATPase inhibitor, mitochondrial</t>
  </si>
  <si>
    <t>GTP:AMP phosphotransferase AK3, mitochondrial</t>
  </si>
  <si>
    <t>Isoform 3 of Short coiled-coil protein</t>
  </si>
  <si>
    <t>Isoform 2 of Rab5 GDP/GTP exchange factor</t>
  </si>
  <si>
    <t>Isoform 5 of Mitochondrial peptide methionine sulfoxide reductase</t>
  </si>
  <si>
    <t>N-acetyl-D-glucosamine kinase</t>
  </si>
  <si>
    <t>tRNA (adenine(58)-N(1))-methyltransferase non-catalytic subunit TRM6</t>
  </si>
  <si>
    <t>SH3 domain-binding glutamic acid-rich-like protein 2</t>
  </si>
  <si>
    <t>ERBB receptor feedback inhibitor 1</t>
  </si>
  <si>
    <t>Hydroxyacid oxidase 1</t>
  </si>
  <si>
    <t>Calcium-binding mitochondrial carrier protein Aralar2</t>
  </si>
  <si>
    <t>Isoform 2 of Drebrin-like protein</t>
  </si>
  <si>
    <t>Drebrin-like protein</t>
  </si>
  <si>
    <t>Dynactin subunit 4</t>
  </si>
  <si>
    <t>Isoform 4 of ADP-ribosylation factor-binding protein GGA1</t>
  </si>
  <si>
    <t>F-box only protein 2</t>
  </si>
  <si>
    <t>U6 snRNA-associated Sm-like protein LSm7</t>
  </si>
  <si>
    <t>Protein Z-dependent protease inhibitor</t>
  </si>
  <si>
    <t>Lariat debranching enzyme</t>
  </si>
  <si>
    <t>F-box only protein 3</t>
  </si>
  <si>
    <t>A-kinase anchor protein 11</t>
  </si>
  <si>
    <t>DnaJ homolog subfamily C member 12</t>
  </si>
  <si>
    <t>Isoform 8 of TRAF2 and NCK-interacting protein kinase</t>
  </si>
  <si>
    <t>Cleavage and polyadenylation specificity factor subunit 3</t>
  </si>
  <si>
    <t>DCC-interacting protein 13-alpha</t>
  </si>
  <si>
    <t>Peroxisomal carnitine O-octanoyltransferase</t>
  </si>
  <si>
    <t>Isoform 5 of Serine/threonine-protein kinase tousled-like 1</t>
  </si>
  <si>
    <t>G patch domain-containing protein 8</t>
  </si>
  <si>
    <t>ADP-sugar pyrophosphatase</t>
  </si>
  <si>
    <t>REST corepressor 1</t>
  </si>
  <si>
    <t>Phosphatidylcholine transfer protein</t>
  </si>
  <si>
    <t>General transcription factor 3C polypeptide 4</t>
  </si>
  <si>
    <t>Protein kinase C and casein kinase substrate in neurons protein 3</t>
  </si>
  <si>
    <t>F-box only protein 4</t>
  </si>
  <si>
    <t>Isobutyryl-CoA dehydrogenase, mitochondrial</t>
  </si>
  <si>
    <t>Protein argonaute-2</t>
  </si>
  <si>
    <t>Nuclear pore complex protein Nup50</t>
  </si>
  <si>
    <t>Isoform 2 of Protein CDV3 homolog</t>
  </si>
  <si>
    <t>Sarcosine dehydrogenase, mitochondrial</t>
  </si>
  <si>
    <t>Ras-related protein Rab-21</t>
  </si>
  <si>
    <t>Ras-related protein Rab-22A</t>
  </si>
  <si>
    <t>Paraneoplastic antigen Ma2</t>
  </si>
  <si>
    <t>Proteasome activator complex subunit 2</t>
  </si>
  <si>
    <t>Aspartyl aminopeptidase</t>
  </si>
  <si>
    <t>Malignant T-cell-amplified sequence 1</t>
  </si>
  <si>
    <t>Long-chain-fatty-acid--CoA ligase 5</t>
  </si>
  <si>
    <t>2-oxoglutarate dehydrogenase-like, mitochondrial</t>
  </si>
  <si>
    <t>Isoform 2 of Microtubule-associated tumor suppressor 1</t>
  </si>
  <si>
    <t>Isoform 4 of MKL/myocardin-like protein 2</t>
  </si>
  <si>
    <t>Isoform 2 of Zinc finger and BTB domain-containing protein 21</t>
  </si>
  <si>
    <t>Zinc finger MIZ domain-containing protein 1</t>
  </si>
  <si>
    <t>Isoform 2 of TBC1 domain family member 24</t>
  </si>
  <si>
    <t>E3 ubiquitin-protein ligase HECTD1</t>
  </si>
  <si>
    <t>Coronin-1C</t>
  </si>
  <si>
    <t>Isoform 2 of Apoptosis-associated speck-like protein containing a CARD</t>
  </si>
  <si>
    <t>Isoform 2 of Mammalian ependymin-related protein 1</t>
  </si>
  <si>
    <t>Isoform 3 of NFU1 iron-sulfur cluster scaffold homolog, mitochondrial</t>
  </si>
  <si>
    <t>Pre-mRNA-processing factor 19</t>
  </si>
  <si>
    <t>Isoform 2 of Ubiquilin-1</t>
  </si>
  <si>
    <t>Neudesin</t>
  </si>
  <si>
    <t>Isoform 2 of Sorting nexin-12</t>
  </si>
  <si>
    <t>Isoform 5 of Synergin gamma</t>
  </si>
  <si>
    <t>Isoform 2 of Protein NDRG2</t>
  </si>
  <si>
    <t>Protein NDRG2</t>
  </si>
  <si>
    <t>Isoform B of Ras GTPase-activating protein-binding protein 2</t>
  </si>
  <si>
    <t>E3 ubiquitin-protein ligase CHIP</t>
  </si>
  <si>
    <t>Protein kinase C and casein kinase substrate in neurons protein 2</t>
  </si>
  <si>
    <t>Sorting nexin-6</t>
  </si>
  <si>
    <t>26S proteasome non-ATPase regulatory subunit 13</t>
  </si>
  <si>
    <t>FAS-associated factor 1</t>
  </si>
  <si>
    <t>COP9 signalosome complex subunit 3</t>
  </si>
  <si>
    <t>Multiple inositol polyphosphate phosphatase 1</t>
  </si>
  <si>
    <t>NSFL1 cofactor p47</t>
  </si>
  <si>
    <t>Conserved oligomeric Golgi complex subunit 5</t>
  </si>
  <si>
    <t>Protein SCAF8</t>
  </si>
  <si>
    <t>Serine/threonine-protein phosphatase 6 regulatory subunit 1</t>
  </si>
  <si>
    <t>Isoform 4 of Histone lysine demethylase PHF8</t>
  </si>
  <si>
    <t>Isoform 2 of Arf-GAP with GTPase, ANK repeat and PH domain-containing protein 1</t>
  </si>
  <si>
    <t>Isoform 2 of Trinucleotide repeat-containing gene 6B protein</t>
  </si>
  <si>
    <t>Inactive phospholipase C-like protein 2</t>
  </si>
  <si>
    <t>Isoform 2 of Exocyst complex component 7</t>
  </si>
  <si>
    <t>Zinc finger CCCH domain-containing protein 4</t>
  </si>
  <si>
    <t>Ubiquitin carboxyl-terminal hydrolase 24</t>
  </si>
  <si>
    <t>TBC1 domain family member 2B</t>
  </si>
  <si>
    <t>Isoform 3 of SH3 and multiple ankyrin repeat domains protein 2</t>
  </si>
  <si>
    <t>Endoribonuclease Dicer</t>
  </si>
  <si>
    <t>Isoform 2 of Microtubule-associated protein RP/EB family member 3</t>
  </si>
  <si>
    <t>Serine/arginine repetitive matrix protein 2</t>
  </si>
  <si>
    <t>Proliferation-associated protein 2G4</t>
  </si>
  <si>
    <t>Isoform 5 of Brain-specific angiogenesis inhibitor 1-associated protein 2</t>
  </si>
  <si>
    <t>Structural maintenance of chromosomes protein 3</t>
  </si>
  <si>
    <t>Myotubularin-related protein 6</t>
  </si>
  <si>
    <t>Isoform 2 of Bifunctional UDP-N-acetylglucosamine 2-epimerase/N-acetylmannosamine kinase</t>
  </si>
  <si>
    <t>UPF0568 protein C14orf166</t>
  </si>
  <si>
    <t>RuvB-like 2</t>
  </si>
  <si>
    <t>Peptidyl-prolyl cis-trans isomerase NIMA-interacting 4</t>
  </si>
  <si>
    <t>Choline/ethanolamine kinase</t>
  </si>
  <si>
    <t>Eukaryotic translation initiation factor 3 subunit L</t>
  </si>
  <si>
    <t>Phospholipase A-2-activating protein</t>
  </si>
  <si>
    <t>RuvB-like 1</t>
  </si>
  <si>
    <t>Nuclear migration protein nudC</t>
  </si>
  <si>
    <t>Cofilin-2</t>
  </si>
  <si>
    <t>Developmentally-regulated GTP-binding protein 1</t>
  </si>
  <si>
    <t>Trafficking protein particle complex subunit 4</t>
  </si>
  <si>
    <t>Nck-associated protein 1</t>
  </si>
  <si>
    <t>Protein canopy homolog 2</t>
  </si>
  <si>
    <t>Exocyst complex component 6B</t>
  </si>
  <si>
    <t>Isoform 4 of A-kinase anchor protein 2</t>
  </si>
  <si>
    <t>Disco-interacting protein 2 homolog C</t>
  </si>
  <si>
    <t>GDP-fucose protein O-fucosyltransferase 2</t>
  </si>
  <si>
    <t>Isoform 4 of Nischarin</t>
  </si>
  <si>
    <t>Isoform B of Band 4.1-like protein 3</t>
  </si>
  <si>
    <t>Isoform 4 of Lysine-specific demethylase 2A</t>
  </si>
  <si>
    <t>Exosome complex exonuclease RRP44</t>
  </si>
  <si>
    <t>Isoform 2 of Leucine-rich repeat and calponin homology domain-containing protein 1</t>
  </si>
  <si>
    <t>Bile acyl-CoA synthetase</t>
  </si>
  <si>
    <t>Glutathione S-transferase kappa 1</t>
  </si>
  <si>
    <t>Ragulator complex protein LAMTOR2</t>
  </si>
  <si>
    <t>28S ribosomal protein S7, mitochondrial</t>
  </si>
  <si>
    <t>Lambda-crystallin homolog</t>
  </si>
  <si>
    <t>Translation machinery-associated protein 7</t>
  </si>
  <si>
    <t>Polymerase delta-interacting protein 2</t>
  </si>
  <si>
    <t>AP-3 complex subunit mu-1</t>
  </si>
  <si>
    <t>Isoform 3 of Guanine deaminase</t>
  </si>
  <si>
    <t>Mitogen-activated protein kinase kinase kinase 2</t>
  </si>
  <si>
    <t>Inner nuclear membrane protein Man1</t>
  </si>
  <si>
    <t>Calcium-regulated heat stable protein 1</t>
  </si>
  <si>
    <t>Conserved oligomeric Golgi complex subunit 6</t>
  </si>
  <si>
    <t>Thyroid hormone receptor-associated protein 3</t>
  </si>
  <si>
    <t>Nucleolar protein 58</t>
  </si>
  <si>
    <t>Suppressor of G2 allele of SKP1 homolog</t>
  </si>
  <si>
    <t>Isoform 6 of Protein MTO1 homolog, mitochondrial</t>
  </si>
  <si>
    <t>Tyrosine--tRNA ligase, mitochondrial</t>
  </si>
  <si>
    <t>Isoform 3 of Ubiquinone biosynthesis monooxygenase COQ6</t>
  </si>
  <si>
    <t>Putative N-acetylglucosamine-6-phosphate deacetylase</t>
  </si>
  <si>
    <t>Acyl-coenzyme A thioesterase 9, mitochondrial</t>
  </si>
  <si>
    <t>Protein AAR2 homolog</t>
  </si>
  <si>
    <t>Nitric oxide synthase-interacting protein</t>
  </si>
  <si>
    <t>Putative deoxyribose-phosphate aldolase</t>
  </si>
  <si>
    <t>Protein MEMO1</t>
  </si>
  <si>
    <t>U6 snRNA-associated Sm-like protein LSm2</t>
  </si>
  <si>
    <t>Endophilin-B1</t>
  </si>
  <si>
    <t>Calcium-binding protein 39</t>
  </si>
  <si>
    <t>Putative RNA-binding protein Luc7-like 2</t>
  </si>
  <si>
    <t>Ubiquitin-conjugating enzyme E2 J1</t>
  </si>
  <si>
    <t>Isoform 2 of MOB-like protein phocein</t>
  </si>
  <si>
    <t>Ribosome maturation protein SBDS</t>
  </si>
  <si>
    <t>RRP15-like protein</t>
  </si>
  <si>
    <t>Nucleolar protein 16</t>
  </si>
  <si>
    <t>Isoform 2 of TP53RK-binding protein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</si>
  <si>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</si>
  <si>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</si>
  <si>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</si>
  <si>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</si>
  <si>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</si>
  <si>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Isoform 3 of Adenylate kinase isoenzyme 6</t>
  </si>
  <si>
    <t>28S ribosomal protein S23, mitochondrial</t>
  </si>
  <si>
    <t>BolA-like protein 1</t>
  </si>
  <si>
    <t>Serine-threonine kinase receptor-associated protein</t>
  </si>
  <si>
    <t>tRNA-splicing ligase RtcB homolog</t>
  </si>
  <si>
    <t>F-box only protein 7</t>
  </si>
  <si>
    <t>Ras-related protein Rap-2c</t>
  </si>
  <si>
    <t>Rab GTPase-activating protein 1</t>
  </si>
  <si>
    <t>Zinc finger protein 330</t>
  </si>
  <si>
    <t>Coiled-coil domain-containing protein 9</t>
  </si>
  <si>
    <t>Isoform 3 of Chromatin target of PRMT1 protein</t>
  </si>
  <si>
    <t>Deoxynucleoside triphosphate triphosphohydrolase SAMHD1</t>
  </si>
  <si>
    <t>Isoform 3 of HBS1-like protein</t>
  </si>
  <si>
    <t>Talin-1</t>
  </si>
  <si>
    <t>Isoform 3 of Protein VPRBP</t>
  </si>
  <si>
    <t>Isoform 2 of Protein FAM115A</t>
  </si>
  <si>
    <t>Isoform 2 of Ubiquitin carboxyl-terminal hydrolase 15</t>
  </si>
  <si>
    <t>FERM, RhoGEF and pleckstrin domain-containing protein 1</t>
  </si>
  <si>
    <t>Talin-2</t>
  </si>
  <si>
    <t>Insulin receptor substrate 2</t>
  </si>
  <si>
    <t>Isoform 2 of Unconventional myosin-Va</t>
  </si>
  <si>
    <t>Absent in melanoma 1 protein</t>
  </si>
  <si>
    <t>TNF receptor-associated factor 6</t>
  </si>
  <si>
    <t>Isoform 4 of WD repeat domain phosphoinositide-interacting protein 2</t>
  </si>
  <si>
    <t>Methylmalonic aciduria and homocystinuria type C protein</t>
  </si>
  <si>
    <t>AFG3-like protein 2</t>
  </si>
  <si>
    <t>E3 ubiquitin-protein ligase ARIH1</t>
  </si>
  <si>
    <t>U6 snRNA-associated Sm-like protein LSm4</t>
  </si>
  <si>
    <t>RING finger protein 114</t>
  </si>
  <si>
    <t>Isoform 4 of Protein PRRC2C</t>
  </si>
  <si>
    <t>Heat shock protein beta-11</t>
  </si>
  <si>
    <t>Protein phosphatase methylesterase 1</t>
  </si>
  <si>
    <t>Isoform 2 of BTB/POZ domain-containing protein KCTD3</t>
  </si>
  <si>
    <t>Isoform 2 of NEDD8 ultimate buster 1</t>
  </si>
  <si>
    <t>Isoform 2 of YTH domain family protein 2</t>
  </si>
  <si>
    <t>RNA polymerase II subunit A C-terminal domain phosphatase</t>
  </si>
  <si>
    <t>FACT complex subunit SPT16</t>
  </si>
  <si>
    <t>Mitochondrial import inner membrane translocase subunit Tim9</t>
  </si>
  <si>
    <t>Isoform 2 of Ubiquitin carboxyl-terminal hydrolase isozyme L5</t>
  </si>
  <si>
    <t>CD2-associated protein</t>
  </si>
  <si>
    <t>V-type proton ATPase subunit D</t>
  </si>
  <si>
    <t>Transportin-3</t>
  </si>
  <si>
    <t>Mitochondrial import inner membrane translocase subunit Tim13</t>
  </si>
  <si>
    <t>Isoform 2 of Collagen type IV alpha-3-binding protein</t>
  </si>
  <si>
    <t>Mannose-1-phosphate guanyltransferase beta</t>
  </si>
  <si>
    <t>Serine/threonine-protein kinase MRCK beta</t>
  </si>
  <si>
    <t>RNA-binding protein 8A</t>
  </si>
  <si>
    <t>Isoform 2 of Protein TSSC4</t>
  </si>
  <si>
    <t>Zinc finger protein 706</t>
  </si>
  <si>
    <t>Sorting nexin-9</t>
  </si>
  <si>
    <t>Sorting nexin-5</t>
  </si>
  <si>
    <t>Cytosolic Fe-S cluster assembly factor NUBP2</t>
  </si>
  <si>
    <t>Heme-binding protein 2</t>
  </si>
  <si>
    <t>Isoform 4 of Leucine-rich repeat flightless-interacting protein 2</t>
  </si>
  <si>
    <t>Phosphoserine aminotransferase</t>
  </si>
  <si>
    <t>Carboxypeptidase Q</t>
  </si>
  <si>
    <t>Coatomer subunit gamma-1</t>
  </si>
  <si>
    <t>Isoform 3 of Peptidyl-prolyl cis-trans isomerase FKBP7</t>
  </si>
  <si>
    <t>Chloride intracellular channel protein 4</t>
  </si>
  <si>
    <t>Isoform Cytoplasmic of Cysteine desulfurase, mitochondrial</t>
  </si>
  <si>
    <t>UPF0468 protein C16orf80</t>
  </si>
  <si>
    <t>GTP-binding protein SAR1b</t>
  </si>
  <si>
    <t>Brefeldin A-inhibited guanine nucleotide-exchange protein 2</t>
  </si>
  <si>
    <t>Brefeldin A-inhibited guanine nucleotide-exchange protein 1</t>
  </si>
  <si>
    <t>COMM domain-containing protein 10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</si>
  <si>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</si>
  <si>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</si>
  <si>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</si>
  <si>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</si>
  <si>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2-5-oligoadenylate synthase 3</t>
  </si>
  <si>
    <t>NF-kappa-B essential modulator</t>
  </si>
  <si>
    <t>Sulfide:quinone oxidoreductase, mitochondrial</t>
  </si>
  <si>
    <t>Calpain-7</t>
  </si>
  <si>
    <t>Wiskott-Aldrich syndrome protein family member 2</t>
  </si>
  <si>
    <t>Bis(5-adenosyl)-triphosphatase ENPP4</t>
  </si>
  <si>
    <t>Zinc fingers and homeoboxes protein 2</t>
  </si>
  <si>
    <t>KIAA0999 protein</t>
  </si>
  <si>
    <t>Proteasome subunit beta type</t>
  </si>
  <si>
    <t>RAB3GAP1 protein</t>
  </si>
  <si>
    <t>28S ribosomal protein S16, mitochondrial</t>
  </si>
  <si>
    <t>Leucine-rich repeat-containing protein C10orf11</t>
  </si>
  <si>
    <t>Hematological and neurological-expressed 1-like protein</t>
  </si>
  <si>
    <t>Coiled-coil-helix-coiled-coil-helix domain-containing protein 1</t>
  </si>
  <si>
    <t>N-acylglucosamine 2-epimerase</t>
  </si>
  <si>
    <t>Diaphanous homolog 2 (Drosophila), isoform CRA_c</t>
  </si>
  <si>
    <t>Protein Shroom1</t>
  </si>
  <si>
    <t>Intersectin 1 long form variant 2</t>
  </si>
  <si>
    <t>Fragile X mental retardation protein 1</t>
  </si>
  <si>
    <t>Down syndrome critical region protein 3</t>
  </si>
  <si>
    <t>NEDD8-activating enzyme E1 regulatory subunit</t>
  </si>
  <si>
    <t>Protein Hook homolog 1</t>
  </si>
  <si>
    <t>Tubulin alpha-4A chain</t>
  </si>
  <si>
    <t>HCG1770615, isoform CRA_b</t>
  </si>
  <si>
    <t>Matrin-3</t>
  </si>
  <si>
    <t>Ribonuclease P protein subunit p29</t>
  </si>
  <si>
    <t>Serine/arginine repetitive matrix protein 1</t>
  </si>
  <si>
    <t>6-phosphofructo-2-kinase/fructose-2, 6-bisphosphatase 2 transcript variant 3</t>
  </si>
  <si>
    <t>HLA-B associated transcript 3, isoform CRA_a</t>
  </si>
  <si>
    <t>Capping protein (Actin filament) muscle Z-line, beta, isoform CRA_a</t>
  </si>
  <si>
    <t>Eukaryotic translation initiation factor 4E transporter</t>
  </si>
  <si>
    <t>Nuclear factor 1 A-type</t>
  </si>
  <si>
    <t>Ubiquinol-cytochrome c reductase complex chaperone CBP3 homolog (Fragment)</t>
  </si>
  <si>
    <t>Astrocytic phosphoprotein PEA-15</t>
  </si>
  <si>
    <t>Hsp90 co-chaperone Cdc37-like 1</t>
  </si>
  <si>
    <t>Protein PALM2-AKAP2 (Fragment)</t>
  </si>
  <si>
    <t>Guanylate kinase (Fragment)</t>
  </si>
  <si>
    <t>Glucocorticoid modulatory element-binding protein 1 (Fragment)</t>
  </si>
  <si>
    <t>Histone deacetylase</t>
  </si>
  <si>
    <t>Leucine zipper transcription factor-like 1, isoform CRA_b</t>
  </si>
  <si>
    <t>PHD finger protein 23</t>
  </si>
  <si>
    <t>Retinoic acid receptor RXR-alpha</t>
  </si>
  <si>
    <t>RNA pseudouridylate synthase domain-containing protein 2</t>
  </si>
  <si>
    <t>Calponin-2</t>
  </si>
  <si>
    <t>Vacuolar fusion protein MON1 homolog B</t>
  </si>
  <si>
    <t>Beta-catenin-like protein 1</t>
  </si>
  <si>
    <t>T-complex protein 1 subunit theta</t>
  </si>
  <si>
    <t>Eukaryotic translation initiation factor 3 subunit F</t>
  </si>
  <si>
    <t>Vesicle-fusing ATPase</t>
  </si>
  <si>
    <t>28S ribosomal protein S18b, mitochondrial</t>
  </si>
  <si>
    <t>Checkpoint protein HUS1</t>
  </si>
  <si>
    <t>COMM domain-containing protein 1</t>
  </si>
  <si>
    <t>Catenin beta-1</t>
  </si>
  <si>
    <t>Cyclin-T2</t>
  </si>
  <si>
    <t>MAP1S light chain</t>
  </si>
  <si>
    <t>BCL2/adenovirus E1B 19 kDa protein-interacting protein 3</t>
  </si>
  <si>
    <t>Acyl-CoA synthetase family member 2, mitochondrial</t>
  </si>
  <si>
    <t>Ras-related protein Rab-5A</t>
  </si>
  <si>
    <t>Small nuclear ribonucleoprotein Sm D3</t>
  </si>
  <si>
    <t>Citrate synthase</t>
  </si>
  <si>
    <t>Exosome component 10</t>
  </si>
  <si>
    <t>Cartilage oligomeric matrix protein</t>
  </si>
  <si>
    <t>Lipolysis-stimulated lipoprotein receptor</t>
  </si>
  <si>
    <t>ATP synthase subunit gamma</t>
  </si>
  <si>
    <t>Protein CHURC1-FNTB</t>
  </si>
  <si>
    <t>Cell division cycle protein 27 homolog</t>
  </si>
  <si>
    <t>Mitochondrial dicarboxylate carrier</t>
  </si>
  <si>
    <t>Probable ATP-dependent RNA helicase DDX5</t>
  </si>
  <si>
    <t>3-ketodihydrosphingosine reductase</t>
  </si>
  <si>
    <t>Protein asunder homolog</t>
  </si>
  <si>
    <t>Prostaglandin E synthase 3</t>
  </si>
  <si>
    <t>Makorin, ring finger protein, 2, isoform CRA_b</t>
  </si>
  <si>
    <t>TOX high mobility group box family member 4</t>
  </si>
  <si>
    <t>Golgi SNAP receptor complex member 1</t>
  </si>
  <si>
    <t>6-phosphogluconate dehydrogenase, decarboxylating</t>
  </si>
  <si>
    <t>Serine/threonine-protein kinase 24 12 kDa subunit</t>
  </si>
  <si>
    <t>Rab proteins geranylgeranyltransferase component A 1</t>
  </si>
  <si>
    <t>Protein LSM14 homolog A</t>
  </si>
  <si>
    <t>DNA ligase</t>
  </si>
  <si>
    <t>3(2),5-bisphosphate nucleotidase 1</t>
  </si>
  <si>
    <t>Eukaryotic translation initiation factor 3 subunit D</t>
  </si>
  <si>
    <t>2-hydroxyacyl-CoA lyase 1</t>
  </si>
  <si>
    <t>Keratin, type II cytoskeletal 72</t>
  </si>
  <si>
    <t>Fragile X mental retardation syndrome-related protein 1</t>
  </si>
  <si>
    <t>Nucleoporin NUP53</t>
  </si>
  <si>
    <t>Nuclear pore complex protein Nup107</t>
  </si>
  <si>
    <t>Regulator of microtubule dynamics protein 1</t>
  </si>
  <si>
    <t>Arginyl-tRNA--protein transferase 1</t>
  </si>
  <si>
    <t>Pre-B-cell leukemia transcription factor-interacting protein 1</t>
  </si>
  <si>
    <t>Stomatin-like protein 2, mitochondrial</t>
  </si>
  <si>
    <t>Complement factor B</t>
  </si>
  <si>
    <t>Serine/arginine-rich-splicing factor 3</t>
  </si>
  <si>
    <t>Insulin-like growth factor-binding protein 4</t>
  </si>
  <si>
    <t>Adenosine deaminase CECR1</t>
  </si>
  <si>
    <t>Replication protein A 14 kDa subunit</t>
  </si>
  <si>
    <t>Pescadillo homolog</t>
  </si>
  <si>
    <t>Gamma-glutamyltranspeptidase 2</t>
  </si>
  <si>
    <t>40S ribosomal protein S7</t>
  </si>
  <si>
    <t>Protein disulfide-isomerase A6</t>
  </si>
  <si>
    <t>Protein phosphatase 1F</t>
  </si>
  <si>
    <t>R3H domain-containing protein 2</t>
  </si>
  <si>
    <t>Calcineurin binding protein 1, isoform CRA_c</t>
  </si>
  <si>
    <t>Pre-mRNA-splicing factor CWC22 homolog</t>
  </si>
  <si>
    <t>Cytohesin-1</t>
  </si>
  <si>
    <t>Beta-chimaerin</t>
  </si>
  <si>
    <t>Amine oxidase [flavin-containing] B</t>
  </si>
  <si>
    <t>Myotubularin-related protein 9</t>
  </si>
  <si>
    <t>Conserved oligomeric Golgi complex subunit 2</t>
  </si>
  <si>
    <t>Protein NDRG3</t>
  </si>
  <si>
    <t>GRB2-associated-binding protein 1</t>
  </si>
  <si>
    <t>Delta-aminolevulinic acid dehydratase</t>
  </si>
  <si>
    <t>Deoxyribonuclease-2-alpha</t>
  </si>
  <si>
    <t>WW domain-binding protein 4</t>
  </si>
  <si>
    <t>ETS domain-containing transcription factor ERF</t>
  </si>
  <si>
    <t>Transport and Golgi organization 2 homolog</t>
  </si>
  <si>
    <t>Armadillo repeat containing 8, isoform CRA_g</t>
  </si>
  <si>
    <t>2,4-dienoyl-CoA reductase, mitochondrial</t>
  </si>
  <si>
    <t>Acid sphingomyelinase-like phosphodiesterase 3a</t>
  </si>
  <si>
    <t>Ran-binding protein 3</t>
  </si>
  <si>
    <t>Growth factor receptor-bound protein 14</t>
  </si>
  <si>
    <t>Atlastin-2</t>
  </si>
  <si>
    <t>Ubiquitin carboxyl-terminal hydrolase</t>
  </si>
  <si>
    <t>Delta(24)-sterol reductase</t>
  </si>
  <si>
    <t>Tyrosine-protein phosphatase non-receptor type 3</t>
  </si>
  <si>
    <t>Protein NADK2</t>
  </si>
  <si>
    <t>Junctional adhesion molecule A</t>
  </si>
  <si>
    <t>Sodium/potassium-transporting ATPase subunit beta-1</t>
  </si>
  <si>
    <t>N-acetylgalactosamine kinase</t>
  </si>
  <si>
    <t>Mediator of RNA polymerase II transcription subunit 20</t>
  </si>
  <si>
    <t>Endophilin-B2</t>
  </si>
  <si>
    <t>PPP2R5E protein</t>
  </si>
  <si>
    <t>Probable threonine--tRNA ligase 2, cytoplasmic</t>
  </si>
  <si>
    <t>ER degradation-enhancing alpha-mannosidase-like protein 3</t>
  </si>
  <si>
    <t>Protein Wiz</t>
  </si>
  <si>
    <t>Methyltransferase-like protein 5</t>
  </si>
  <si>
    <t>MAGUK p55 subfamily member 6</t>
  </si>
  <si>
    <t>60S ribosomal protein L31</t>
  </si>
  <si>
    <t>Thymosin alpha-1</t>
  </si>
  <si>
    <t>Transcription elongation factor B (SIII), polypeptide 2 (18kDa, elongin B), isoform CRA_b</t>
  </si>
  <si>
    <t>Cytochrome c oxidase assembly factor 5</t>
  </si>
  <si>
    <t>DNA-directed RNA polymerase</t>
  </si>
  <si>
    <t>Transitional endoplasmic reticulum ATPase (Fragment)</t>
  </si>
  <si>
    <t>E3 ubiquitin-protein ligase TRIM22 (Fragment)</t>
  </si>
  <si>
    <t>Charged multivesicular body protein 2b</t>
  </si>
  <si>
    <t>Sorcin</t>
  </si>
  <si>
    <t>E3 ubiquitin-protein ligase RNF181</t>
  </si>
  <si>
    <t>NEDD8-conjugating enzyme UBE2F</t>
  </si>
  <si>
    <t>Glutaminase liver isoform, mitochondrial (Fragment)</t>
  </si>
  <si>
    <t>Mitochondrial inner membrane protein</t>
  </si>
  <si>
    <t>Programmed cell death protein 10 (Fragment)</t>
  </si>
  <si>
    <t>Insulin-like growth factor-binding protein 1</t>
  </si>
  <si>
    <t>Profilin-2</t>
  </si>
  <si>
    <t>Histone deacetylase 10</t>
  </si>
  <si>
    <t>40S ribosomal protein SA (Fragment)</t>
  </si>
  <si>
    <t>Frataxin, mitochondrial</t>
  </si>
  <si>
    <t>Rho GTPase-activating protein 25</t>
  </si>
  <si>
    <t>Phosphoserine phosphatase (Fragment)</t>
  </si>
  <si>
    <t>DNA-directed RNA polymerases I, II, and III subunit RPABC3</t>
  </si>
  <si>
    <t>Nuclear receptor corepressor 2</t>
  </si>
  <si>
    <t>Eukaryotic translation initiation factor 4E type 2 (Fragment)</t>
  </si>
  <si>
    <t>COP9 signalosome complex subunit 1</t>
  </si>
  <si>
    <t>7-alpha-hydroxycholest-4-en-3-one 12-alpha-hydroxylase</t>
  </si>
  <si>
    <t>Angio-associated migratory cell protein</t>
  </si>
  <si>
    <t>Regulator of microtubule dynamics protein 2 (Fragment)</t>
  </si>
  <si>
    <t>Cysteine protease ATG4B (Fragment)</t>
  </si>
  <si>
    <t>O-acetyl-ADP-ribose deacetylase 1 (Fragment)</t>
  </si>
  <si>
    <t>SWI/SNF-related matrix-associated actin-dependent regulator of chromatin subfamily A-like protein 1 (Fragment)</t>
  </si>
  <si>
    <t>Coiled-coil domain-containing protein 58</t>
  </si>
  <si>
    <t>Nucleoside diphosphate kinase</t>
  </si>
  <si>
    <t>Mitogen-activated protein kinase kinase kinase kinase 2</t>
  </si>
  <si>
    <t>Peptidyl-prolyl cis-trans isomerase (Fragment)</t>
  </si>
  <si>
    <t>Serine/threonine-protein kinase 11-interacting protein</t>
  </si>
  <si>
    <t>Growth factor receptor-bound protein 10 (Fragment)</t>
  </si>
  <si>
    <t>L-2-hydroxyglutarate dehydrogenase, mitochondrial</t>
  </si>
  <si>
    <t>Tensin-like C1 domain-containing phosphatase</t>
  </si>
  <si>
    <t>Regulator of chromosome condensation (Fragment)</t>
  </si>
  <si>
    <t>60S ribosomal protein L24</t>
  </si>
  <si>
    <t>Lamin-B receptor (Fragment)</t>
  </si>
  <si>
    <t>Lipoma-preferred partner (Fragment)</t>
  </si>
  <si>
    <t>Dehydrogenase/reductase SDR family member 2 (Fragment)</t>
  </si>
  <si>
    <t>Ubiquitin-conjugating enzyme E2 H (Fragment)</t>
  </si>
  <si>
    <t>Interferon-induced protein with tetratricopeptide repeats 1</t>
  </si>
  <si>
    <t>Suppressor of Ty 4 homolog 1 (S. cerevisiae), isoform CRA_b</t>
  </si>
  <si>
    <t>CAR4/6</t>
  </si>
  <si>
    <t>Protein KRI1 homolog</t>
  </si>
  <si>
    <t>RNA-binding protein 47</t>
  </si>
  <si>
    <t>Cyclin-dependent kinase 7</t>
  </si>
  <si>
    <t>Heterogeneous nuclear ribonucleoprotein A/B</t>
  </si>
  <si>
    <t>E3 ubiquitin-protein ligase SH3RF1 (Fragment)</t>
  </si>
  <si>
    <t>Alpha-methylacyl-CoA racemase</t>
  </si>
  <si>
    <t>OCIA domain-containing protein 1</t>
  </si>
  <si>
    <t>LEM domain-containing protein 2</t>
  </si>
  <si>
    <t>Estradiol 17-beta-dehydrogenase 11</t>
  </si>
  <si>
    <t>40S ribosomal protein S23</t>
  </si>
  <si>
    <t>Glutamyl-tRNA(Gln) amidotransferase subunit B, mitochondrial</t>
  </si>
  <si>
    <t>Calcium-binding and coiled-coil domain-containing protein 2 (Fragment)</t>
  </si>
  <si>
    <t>Small-inducible cytokine B6, N-processed variant 1</t>
  </si>
  <si>
    <t>Septin 11, isoform CRA_b</t>
  </si>
  <si>
    <t>Ribonuclease T2 (Fragment)</t>
  </si>
  <si>
    <t>Protein C15orf38-AP3S2</t>
  </si>
  <si>
    <t>Uncharacterized protein C1orf198</t>
  </si>
  <si>
    <t>Chromatin accessibility complex protein 1</t>
  </si>
  <si>
    <t>Transcription elongation factor B polypeptide 1 (Fragment)</t>
  </si>
  <si>
    <t>AP-3 complex subunit beta-1</t>
  </si>
  <si>
    <t>2,4-dienoyl-CoA reductase, mitochondrial (Fragment)</t>
  </si>
  <si>
    <t>S-phase kinase-associated protein 1</t>
  </si>
  <si>
    <t>COP9 signalosome complex subunit 6</t>
  </si>
  <si>
    <t>Acid ceramidase</t>
  </si>
  <si>
    <t>TNFAIP3-interacting protein 1</t>
  </si>
  <si>
    <t>Transforming acidic coiled-coil-containing protein 2</t>
  </si>
  <si>
    <t>Histone-lysine N-methyltransferase</t>
  </si>
  <si>
    <t>Sperm-specific antigen 2</t>
  </si>
  <si>
    <t>Nesprin-1</t>
  </si>
  <si>
    <t>Collagen alpha-1(III) chain</t>
  </si>
  <si>
    <t>Target of Myb protein 1</t>
  </si>
  <si>
    <t>Pyridoxal-dependent decarboxylase domain-containing protein 1</t>
  </si>
  <si>
    <t>N-alpha-acetyltransferase 50</t>
  </si>
  <si>
    <t>TRAF family member-associated NF-kappa-B activator</t>
  </si>
  <si>
    <t>DNA-directed RNA polymerases I and III subunit RPAC1</t>
  </si>
  <si>
    <t>Apoptotic chromatin condensation inducer in the nucleus</t>
  </si>
  <si>
    <t>Ribosomal protein L15 (Fragment)</t>
  </si>
  <si>
    <t>High mobility group protein B3 (Fragment)</t>
  </si>
  <si>
    <t>N-acetyltransferase 10</t>
  </si>
  <si>
    <t>Angiomotin-like protein 1</t>
  </si>
  <si>
    <t>U2 snRNP-associated SURP motif-containing protein</t>
  </si>
  <si>
    <t>Methyl-CpG-binding domain protein 1</t>
  </si>
  <si>
    <t>Nucleosome-remodeling factor subunit BPTF</t>
  </si>
  <si>
    <t>Basic leucine zipper and W2 domain-containing protein 2 (Fragment)</t>
  </si>
  <si>
    <t>DNA-dependent protein kinase catalytic subunit</t>
  </si>
  <si>
    <t>ADP-ribosylation factor GTPase-activating protein 1</t>
  </si>
  <si>
    <t>U4/U6 small nuclear ribonucleoprotein Prp3</t>
  </si>
  <si>
    <t>Protein polybromo-1 (Fragment)</t>
  </si>
  <si>
    <t>Cytoplasmic FMR1-interacting protein 2</t>
  </si>
  <si>
    <t>Receptor-type tyrosine-protein phosphatase mu</t>
  </si>
  <si>
    <t>Septin-10</t>
  </si>
  <si>
    <t>Ubiquitin-associated protein 2</t>
  </si>
  <si>
    <t>Mitogen-activated protein kinase kinase kinase kinase 4</t>
  </si>
  <si>
    <t>HEAT repeat-containing protein 5A</t>
  </si>
  <si>
    <t>Pyruvate dehydrogenase protein X component, mitochondrial</t>
  </si>
  <si>
    <t>Conserved oligomeric Golgi complex subunit 1 (Fragment)</t>
  </si>
  <si>
    <t>D-beta-hydroxybutyrate dehydrogenase, mitochondrial</t>
  </si>
  <si>
    <t>Putative E3 ubiquitin-protein ligase UBR7</t>
  </si>
  <si>
    <t>Heterogeneous nuclear ribonucleoprotein H</t>
  </si>
  <si>
    <t>Armadillo repeat protein deleted in velo-cardio-facial syndrome</t>
  </si>
  <si>
    <t>Androgen receptor</t>
  </si>
  <si>
    <t>Protein diaphanous homolog 1</t>
  </si>
  <si>
    <t>Nuclear pore complex protein Nup155</t>
  </si>
  <si>
    <t>Transducin beta-like protein 2</t>
  </si>
  <si>
    <t>Centrosomal protein of 170 kDa protein B</t>
  </si>
  <si>
    <t>Epidermal growth factor receptor</t>
  </si>
  <si>
    <t>Serine/threonine-protein phosphatase 2A 56 kDa regulatory subunit delta isoform</t>
  </si>
  <si>
    <t>AP2-associated protein kinase 1</t>
  </si>
  <si>
    <t>Tensin-1</t>
  </si>
  <si>
    <t>Bifunctional protein NCOAT</t>
  </si>
  <si>
    <t>Protein FAM13A</t>
  </si>
  <si>
    <t>Translin</t>
  </si>
  <si>
    <t>Thioredoxin-dependent peroxide reductase, mitochondrial</t>
  </si>
  <si>
    <t>Tetranectin</t>
  </si>
  <si>
    <t>Probable leucine--tRNA ligase, mitochondrial</t>
  </si>
  <si>
    <t>Maestro heat-like repeat-containing protein family member 1</t>
  </si>
  <si>
    <t>Zinc finger protein GLI1 (Fragment)</t>
  </si>
  <si>
    <t>Syntaxin-17</t>
  </si>
  <si>
    <t>Thioredoxin reductase 1, cytoplasmic</t>
  </si>
  <si>
    <t>PHD and RING finger domain-containing protein 1</t>
  </si>
  <si>
    <t>UBX domain-containing protein 1 (Fragment)</t>
  </si>
  <si>
    <t>Protein Hikeshi</t>
  </si>
  <si>
    <t>Cysteine and histidine-rich protein 1</t>
  </si>
  <si>
    <t>MAP kinase-interacting serine/threonine-protein kinase 1 (Fragment)</t>
  </si>
  <si>
    <t>Elongation factor 1-delta (Fragment)</t>
  </si>
  <si>
    <t>Poly [ADP-ribose] polymerase 10</t>
  </si>
  <si>
    <t>Sortilin-related receptor</t>
  </si>
  <si>
    <t>Pleckstrin homology domain-containing family A member 7</t>
  </si>
  <si>
    <t>Sterol O-acyltransferase 1 (Fragment)</t>
  </si>
  <si>
    <t>Protein arginine N-methyltransferase 1</t>
  </si>
  <si>
    <t>Tetratricopeptide repeat protein 9C (Fragment)</t>
  </si>
  <si>
    <t>Hypoxia up-regulated protein 1</t>
  </si>
  <si>
    <t>Myomegalin</t>
  </si>
  <si>
    <t>Protein NEDD8-MDP1 (Fragment)</t>
  </si>
  <si>
    <t>Puromycin-sensitive aminopeptidase</t>
  </si>
  <si>
    <t>Small acidic protein (Fragment)</t>
  </si>
  <si>
    <t>Methylosome subunit pICln</t>
  </si>
  <si>
    <t>Protein FAM118B (Fragment)</t>
  </si>
  <si>
    <t>LIM domain only protein 7</t>
  </si>
  <si>
    <t>ADP-ribosylation factor GTPase-activating protein 2 (Fragment)</t>
  </si>
  <si>
    <t>Tumor protein D53</t>
  </si>
  <si>
    <t>6-pyruvoyl tetrahydrobiopterin synthase</t>
  </si>
  <si>
    <t>Syntaxin-5</t>
  </si>
  <si>
    <t>CD59 glycoprotein</t>
  </si>
  <si>
    <t>60S ribosomal protein L8</t>
  </si>
  <si>
    <t>Autophagy-related protein 13 (Fragment)</t>
  </si>
  <si>
    <t>Growth arrest-specific protein 2 (Fragment)</t>
  </si>
  <si>
    <t>Vacuolar protein sorting-associated protein 28 homolog (Fragment)</t>
  </si>
  <si>
    <t>Mitogen-activated protein kinase 3</t>
  </si>
  <si>
    <t>Lysosomal acid phosphatase</t>
  </si>
  <si>
    <t>Cathepsin B heavy chain (Fragment)</t>
  </si>
  <si>
    <t>Vascular non-inflammatory molecule 2 (Fragment)</t>
  </si>
  <si>
    <t>Ribosomal protein S6 kinase</t>
  </si>
  <si>
    <t>Constitutive coactivator of peroxisome proliferator-activated receptor gamma</t>
  </si>
  <si>
    <t>Copine-1 (Fragment)</t>
  </si>
  <si>
    <t>Exportin-4</t>
  </si>
  <si>
    <t>Extended synaptotagmin-2</t>
  </si>
  <si>
    <t>tRNA-splicing endonuclease subunit Sen15</t>
  </si>
  <si>
    <t>WASH complex subunit CCDC53</t>
  </si>
  <si>
    <t>Serine/threonine-protein kinase WNK1</t>
  </si>
  <si>
    <t>Chromodomain-helicase-DNA-binding protein 4</t>
  </si>
  <si>
    <t>tRNA methyltransferase 112 homolog</t>
  </si>
  <si>
    <t>Succinyl-CoA ligase [ADP-forming] subunit beta, mitochondrial</t>
  </si>
  <si>
    <t>CD166 antigen</t>
  </si>
  <si>
    <t>Complement component C8 beta chain</t>
  </si>
  <si>
    <t>Uracil-DNA glycosylase</t>
  </si>
  <si>
    <t>Ribosomal protein S6 kinase alpha-3</t>
  </si>
  <si>
    <t>Uncharacterized protein</t>
  </si>
  <si>
    <t>Striatin-4</t>
  </si>
  <si>
    <t>Ubiquitin thioesterase OTUB1</t>
  </si>
  <si>
    <t>Amyloid-like protein 2</t>
  </si>
  <si>
    <t>Gamma-aminobutyric acid receptor-associated protein-like 1 (Fragment)</t>
  </si>
  <si>
    <t>Scavenger receptor cysteine-rich type 1 protein M130</t>
  </si>
  <si>
    <t>E3 ubiquitin-protein ligase TRIM21</t>
  </si>
  <si>
    <t>Tumor protein D52</t>
  </si>
  <si>
    <t>Enolase</t>
  </si>
  <si>
    <t>SEC23-interacting protein</t>
  </si>
  <si>
    <t>Ras-related protein Rab-35 (Fragment)</t>
  </si>
  <si>
    <t>Thioredoxin reductase 2, mitochondrial</t>
  </si>
  <si>
    <t>Lipopolysaccharide-responsive and beige-like anchor protein</t>
  </si>
  <si>
    <t>PCTP-like protein (Fragment)</t>
  </si>
  <si>
    <t>Uveal autoantigen with coiled-coil domains and ankyrin repeats</t>
  </si>
  <si>
    <t>Protein lunapark</t>
  </si>
  <si>
    <t>Tight junction protein ZO-3</t>
  </si>
  <si>
    <t>Eukaryotic translation initiation factor 3 subunit A</t>
  </si>
  <si>
    <t>Protein transport protein Sec23A</t>
  </si>
  <si>
    <t>Tumor susceptibility gene 101 protein</t>
  </si>
  <si>
    <t>Cell cycle checkpoint control protein RAD9A (Fragment)</t>
  </si>
  <si>
    <t>Importin subunit alpha</t>
  </si>
  <si>
    <t>Peroxisomal membrane protein PEX14</t>
  </si>
  <si>
    <t>Cytochrome P450 3A5</t>
  </si>
  <si>
    <t>Nuclear pore complex protein Nup133</t>
  </si>
  <si>
    <t>CLIP-associating protein 2</t>
  </si>
  <si>
    <t>Leucine--tRNA ligase, cytoplasmic</t>
  </si>
  <si>
    <t>WW domain-binding protein 11</t>
  </si>
  <si>
    <t>Microsomal glutathione S-transferase 1 (Fragment)</t>
  </si>
  <si>
    <t>Regulatory-associated protein of mTOR</t>
  </si>
  <si>
    <t>2-oxoglutarate dehydrogenase, mitochondrial</t>
  </si>
  <si>
    <t>Heat shock protein 75 kDa, mitochondrial</t>
  </si>
  <si>
    <t>DNA repair protein XRCC1</t>
  </si>
  <si>
    <t>Set1/Ash2 histone methyltransferase complex subunit ASH2</t>
  </si>
  <si>
    <t>Mevalonate kinase</t>
  </si>
  <si>
    <t>Pogo transposable element with ZNF domain</t>
  </si>
  <si>
    <t>Rab GTPase-activating protein 1-like</t>
  </si>
  <si>
    <t>Epsin-2 (Fragment)</t>
  </si>
  <si>
    <t>Signal-induced proliferation-associated protein 1</t>
  </si>
  <si>
    <t>2,5-phosphodiesterase 12</t>
  </si>
  <si>
    <t>Probable global transcription activator SNF2L1 (Fragment)</t>
  </si>
  <si>
    <t>Calcineurin subunit B type 1</t>
  </si>
  <si>
    <t>Cysteine and glycine-rich protein 2</t>
  </si>
  <si>
    <t>Methyltransferase-like protein 7A (Fragment)</t>
  </si>
  <si>
    <t>Sodium-coupled neutral amino acid transporter 4 (Fragment)</t>
  </si>
  <si>
    <t>Nuclear transcription factor Y subunit beta (Fragment)</t>
  </si>
  <si>
    <t>60S acidic ribosomal protein P0 (Fragment)</t>
  </si>
  <si>
    <t>60S ribosomal protein L18 (Fragment)</t>
  </si>
  <si>
    <t>Phosphate carrier protein, mitochondrial</t>
  </si>
  <si>
    <t>2-methoxy-6-polyprenyl-1,4-benzoquinol methylase, mitochondrial (Fragment)</t>
  </si>
  <si>
    <t>Caspase-9 subunit p35</t>
  </si>
  <si>
    <t>Protein MON2 homolog</t>
  </si>
  <si>
    <t>FYVE, RhoGEF and PH domain-containing protein 4</t>
  </si>
  <si>
    <t>2-5-oligoadenylate synthase 1</t>
  </si>
  <si>
    <t>Nascent polypeptide-associated complex subunit alpha</t>
  </si>
  <si>
    <t>Chromatin complexes subunit BAP18</t>
  </si>
  <si>
    <t>Nucleosome assembly protein 1-like 1 (Fragment)</t>
  </si>
  <si>
    <t>Adenylate kinase 2, mitochondrial</t>
  </si>
  <si>
    <t>Biotinidase</t>
  </si>
  <si>
    <t>Myosin light polypeptide 6</t>
  </si>
  <si>
    <t>GMP synthase [glutamine-hydrolyzing]</t>
  </si>
  <si>
    <t>Golgi integral membrane protein 4</t>
  </si>
  <si>
    <t>60S ribosomal protein L10</t>
  </si>
  <si>
    <t>WASH complex subunit FAM21A</t>
  </si>
  <si>
    <t>Nucleolysin TIA-1 isoform p40</t>
  </si>
  <si>
    <t>Actin-binding LIM protein 1</t>
  </si>
  <si>
    <t>Afadin (Fragment)</t>
  </si>
  <si>
    <t>Coiled-coil domain-containing protein 93</t>
  </si>
  <si>
    <t>Cohesin subunit SA-2</t>
  </si>
  <si>
    <t>AN1-type zinc finger protein 2B</t>
  </si>
  <si>
    <t>Disks large-associated protein 4</t>
  </si>
  <si>
    <t>Cleavage and polyadenylation-specificity factor subunit 6</t>
  </si>
  <si>
    <t>Poly(RC) binding protein 2, isoform CRA_f</t>
  </si>
  <si>
    <t>Caspase</t>
  </si>
  <si>
    <t>Loss of heterozygosity 12 chromosomal region 1 protein</t>
  </si>
  <si>
    <t>Inositol-3-phosphate synthase 1</t>
  </si>
  <si>
    <t>HCG23215, isoform CRA_a</t>
  </si>
  <si>
    <t>Methyltransferase-like protein 10</t>
  </si>
  <si>
    <t>Acylphosphatase</t>
  </si>
  <si>
    <t>Ribonuclease pancreatic</t>
  </si>
  <si>
    <t>Spermatogenesis-associated protein 7</t>
  </si>
  <si>
    <t>DDB1- and CUL4-associated factor 8</t>
  </si>
  <si>
    <t>Ataxin-3 (Fragment)</t>
  </si>
  <si>
    <t>AP-4 complex subunit sigma-1 (Fragment)</t>
  </si>
  <si>
    <t>Chromodomain-helicase-DNA-binding protein 2 (Fragment)</t>
  </si>
  <si>
    <t>Heterogeneous nuclear ribonucleoproteins C1/C2 (Fragment)</t>
  </si>
  <si>
    <t>cTAGE family member 5</t>
  </si>
  <si>
    <t>Cyclin-K</t>
  </si>
  <si>
    <t>Maleylacetoacetate isomerase</t>
  </si>
  <si>
    <t>Nuclear export mediator factor NEMF (Fragment)</t>
  </si>
  <si>
    <t>AT rich interactive domain 1B (SWI1-like), isoform CRA_a</t>
  </si>
  <si>
    <t>Complement factor I light chain</t>
  </si>
  <si>
    <t>Mitochondrial import inner membrane translocase subunit Tim8 B</t>
  </si>
  <si>
    <t>Son of sevenless homolog 1</t>
  </si>
  <si>
    <t>28S ribosomal protein S22, mitochondrial</t>
  </si>
  <si>
    <t>Fibronectin type III domain containing 3A, isoform CRA_f</t>
  </si>
  <si>
    <t>Protein disulfide isomerase family A, member 3, isoform CRA_b</t>
  </si>
  <si>
    <t>tRNA pseudouridine synthase (Fragment)</t>
  </si>
  <si>
    <t>Melanoma inhibitory activity protein 3</t>
  </si>
  <si>
    <t>TIMELESS-interacting protein</t>
  </si>
  <si>
    <t>WD repeat domain phosphoinositide-interacting protein 4</t>
  </si>
  <si>
    <t>Phosphofurin acidic cluster sorting protein 2</t>
  </si>
  <si>
    <t>Dystrophin (Fragment)</t>
  </si>
  <si>
    <t>60S ribosomal protein L35 (Fragment)</t>
  </si>
  <si>
    <t>Eukaryotic translation initiation factor 4 gamma 2</t>
  </si>
  <si>
    <t>Inosine-5-monophosphate dehydrogenase 2 (Fragment)</t>
  </si>
  <si>
    <t>Neuroblastoma-amplified sequence (Fragment)</t>
  </si>
  <si>
    <t>E3 ubiquitin-protein ligase TRIM33 (Fragment)</t>
  </si>
  <si>
    <t>Ubiquitin-fold modifier 1 (Fragment)</t>
  </si>
  <si>
    <t>ADP-ribosylation factor GTPase-activating protein 3 (Fragment)</t>
  </si>
  <si>
    <t>Pyrroline-5-carboxylate reductase 3 (Fragment)</t>
  </si>
  <si>
    <t>Golgin subfamily A member 4 (Fragment)</t>
  </si>
  <si>
    <t>Mediator of RNA polymerase II transcription subunit 12 (Fragment)</t>
  </si>
  <si>
    <t>THO complex subunit 2 (Fragment)</t>
  </si>
  <si>
    <t>Muscular LMNA-interacting protein (Fragment)</t>
  </si>
  <si>
    <t>Ufm1-specific protease 2 (Fragment)</t>
  </si>
  <si>
    <t>Protocadherin Fat 1 (Fragment)</t>
  </si>
  <si>
    <t>Transforming growth factor-beta-induced protein ig-h3 (Fragment)</t>
  </si>
  <si>
    <t>Pterin-4-alpha-carbinolamine dehydratase 2 (Fragment)</t>
  </si>
  <si>
    <t>RNA-binding protein 24 (Fragment)</t>
  </si>
  <si>
    <t>Epididymis-specific alpha-mannosidase (Fragment)</t>
  </si>
  <si>
    <t>Amyloid beta A4 precursor protein-binding family B member 2 (Fragment)</t>
  </si>
  <si>
    <t>Eukaryotic translation elongation factor 1 epsilon-1 (Fragment)</t>
  </si>
  <si>
    <t>28S ribosomal protein S35, mitochondrial (Fragment)</t>
  </si>
  <si>
    <t>Mitochondrial fission regulator 1 (Fragment)</t>
  </si>
  <si>
    <t>REST corepressor 3 (Fragment)</t>
  </si>
  <si>
    <t>Serine/threonine-protein phosphatase (Fragment)</t>
  </si>
  <si>
    <t>Selenoprotein H (Fragment)</t>
  </si>
  <si>
    <t>Sjoegren syndrome/scleroderma autoantigen 1 (Fragment)</t>
  </si>
  <si>
    <t>Transmembrane protein 126B (Fragment)</t>
  </si>
  <si>
    <t>Pumilio homolog 1 (Fragment)</t>
  </si>
  <si>
    <t>Ras association domain-containing protein 7 (Fragment)</t>
  </si>
  <si>
    <t>40S ribosomal protein S2 (Fragment)</t>
  </si>
  <si>
    <t>Sphingomyelin phosphodiesterase (Fragment)</t>
  </si>
  <si>
    <t>Remodeling and spacing factor 1 (Fragment)</t>
  </si>
  <si>
    <t>Ragulator complex protein LAMTOR1 (Fragment)</t>
  </si>
  <si>
    <t>Pre-mRNA-processing factor 40 homolog A (Fragment)</t>
  </si>
  <si>
    <t>Oligoribonuclease, mitochondrial (Fragment)</t>
  </si>
  <si>
    <t>Rho GDP-dissociation inhibitor 2 (Fragment)</t>
  </si>
  <si>
    <t>Rab-3A-interacting protein (Fragment)</t>
  </si>
  <si>
    <t>Transient receptor potential cation channel subfamily M member 7</t>
  </si>
  <si>
    <t>Small kinetochore-associated protein (Fragment)</t>
  </si>
  <si>
    <t>Interferon regulatory factor 9</t>
  </si>
  <si>
    <t>Regulator of microtubule dynamics protein 3 (Fragment)</t>
  </si>
  <si>
    <t>GMP reductase 2</t>
  </si>
  <si>
    <t>SH2 domain-containing adapter protein F (Fragment)</t>
  </si>
  <si>
    <t>WD repeat-containing protein 61 (Fragment)</t>
  </si>
  <si>
    <t>Ras-related protein Rab-8B (Fragment)</t>
  </si>
  <si>
    <t>Bloom syndrome protein</t>
  </si>
  <si>
    <t>Aflatoxin B1 aldehyde reductase member 2 (Fragment)</t>
  </si>
  <si>
    <t>Nucleolar protein 3 (Fragment)</t>
  </si>
  <si>
    <t>Uncharacterized protein (Fragment)</t>
  </si>
  <si>
    <t>Cleavage and polyadenylation-specificity factor subunit 5 (Fragment)</t>
  </si>
  <si>
    <t>Mannose-6-phosphate isomerase</t>
  </si>
  <si>
    <t>Microtubule-actin cross-linking factor 1, isoforms 1/2/3/5</t>
  </si>
  <si>
    <t>Codanin-1 (Fragment)</t>
  </si>
  <si>
    <t>cAMP-regulated phosphoprotein 19</t>
  </si>
  <si>
    <t>Kelch domain-containing protein 4 (Fragment)</t>
  </si>
  <si>
    <t>Enhancer of mRNA-decapping protein 3 (Fragment)</t>
  </si>
  <si>
    <t>Conserved oligomeric Golgi complex subunit 8</t>
  </si>
  <si>
    <t>HCG2044799</t>
  </si>
  <si>
    <t>Zinc finger FYVE domain-containing protein 19</t>
  </si>
  <si>
    <t>Cytochrome b-c1 complex subunit 2, mitochondrial</t>
  </si>
  <si>
    <t>Ubiquitin domain-containing protein UBFD1</t>
  </si>
  <si>
    <t>Phosphopantothenoylcysteine decarboxylase</t>
  </si>
  <si>
    <t>Peroxisomal coenzyme A diphosphatase NUDT7</t>
  </si>
  <si>
    <t>4-aminobutyrate aminotransferase, mitochondrial (Fragment)</t>
  </si>
  <si>
    <t>Eukaryotic translation initiation factor 3 subunit C</t>
  </si>
  <si>
    <t>Probable glutamate--tRNA ligase, mitochondrial</t>
  </si>
  <si>
    <t>[3-methyl-2-oxobutanoate dehydrogenase [lipoamide]] kinase, mitochondrial (Fragment)</t>
  </si>
  <si>
    <t>ADP-ribosylation factor-like protein 2-binding protein</t>
  </si>
  <si>
    <t>Non-structural maintenance of chromosomes element 1 homolog (Fragment)</t>
  </si>
  <si>
    <t>NADH dehydrogenase [ubiquinone] 1 beta subcomplex subunit 10 (Fragment)</t>
  </si>
  <si>
    <t>Serine/threonine-protein phosphatase 6 regulatory subunit 3</t>
  </si>
  <si>
    <t>Transmembrane protein 209</t>
  </si>
  <si>
    <t>Endostatin (Fragment)</t>
  </si>
  <si>
    <t>Kalirin (Fragment)</t>
  </si>
  <si>
    <t>NADH dehydrogenase [ubiquinone] 1 alpha subcomplex subunit 5 (Fragment)</t>
  </si>
  <si>
    <t>Tropomyosin 1 (Alpha), isoform CRA_m</t>
  </si>
  <si>
    <t>Nuclear receptor subfamily 4 group A member 2 (Fragment)</t>
  </si>
  <si>
    <t>MKI67 FHA domain-interacting nucleolar phosphoprotein (Fragment)</t>
  </si>
  <si>
    <t>Zinc finger protein ZPR1 (Fragment)</t>
  </si>
  <si>
    <t>Non-homologous end-joining factor 1 (Fragment)</t>
  </si>
  <si>
    <t>Gamma-secretase C-terminal fragment 59 (Fragment)</t>
  </si>
  <si>
    <t>Dual-specificity protein phosphatase 22 (Fragment)</t>
  </si>
  <si>
    <t>Bromodomain-containing protein 8 (Fragment)</t>
  </si>
  <si>
    <t>Zinc finger MYM-type protein 4 (Fragment)</t>
  </si>
  <si>
    <t>Chromosome 6 open reading frame 107, isoform CRA_b</t>
  </si>
  <si>
    <t>Carbohydrate-responsive element-binding protein (Fragment)</t>
  </si>
  <si>
    <t>Nucleolar protein 7 (Fragment)</t>
  </si>
  <si>
    <t>Ecto-ADP-ribosyltransferase 4 (Fragment)</t>
  </si>
  <si>
    <t>CWF19-like protein 2 (Fragment)</t>
  </si>
  <si>
    <t>Glucosamine (N-acetyl)-6-sulfatase (Sanfilippo disease IIID), isoform CRA_b</t>
  </si>
  <si>
    <t>Autophagy-related protein 2 homolog A (Fragment)</t>
  </si>
  <si>
    <t>Muscleblind-like protein 1 (Fragment)</t>
  </si>
  <si>
    <t>Isoamyl acetate-hydrolyzing esterase 1 homolog (Fragment)</t>
  </si>
  <si>
    <t>Transcription factor SOX-5</t>
  </si>
  <si>
    <t>ATP-dependent RNA helicase DDX19A</t>
  </si>
  <si>
    <t>Diphthamide biosynthesis protein 1 (Fragment)</t>
  </si>
  <si>
    <t>Golgi SNAP receptor complex member 2</t>
  </si>
  <si>
    <t>Elongator complex protein 5 (Fragment)</t>
  </si>
  <si>
    <t>Clustered mitochondria protein homolog</t>
  </si>
  <si>
    <t>Protein capicua homolog</t>
  </si>
  <si>
    <t>Protein FAM195B</t>
  </si>
  <si>
    <t>Eukaryotic translation initiation factor 5A-1 (Fragment)</t>
  </si>
  <si>
    <t>Sperm-associated antigen 7</t>
  </si>
  <si>
    <t>NF-kappa-B inhibitor beta (Fragment)</t>
  </si>
  <si>
    <t>Epididymal secretory protein E1</t>
  </si>
  <si>
    <t>26S proteasome non-ATPase regulatory subunit 9</t>
  </si>
  <si>
    <t>TBC1 domain family member 8B</t>
  </si>
  <si>
    <t>Transcription initiation factor IIA beta chain</t>
  </si>
  <si>
    <t>Protein SAAL1</t>
  </si>
  <si>
    <t>INO80 complex subunit E</t>
  </si>
  <si>
    <t>Copper chaperone for superoxide dismutase</t>
  </si>
  <si>
    <t>Protein transport protein Sec16A</t>
  </si>
  <si>
    <t>BRCA1-associated protein</t>
  </si>
  <si>
    <t>Serine/arginine-rich-splicing factor 2 (Fragment)</t>
  </si>
  <si>
    <t>Signal-induced proliferation-associated 1-like protein 1</t>
  </si>
  <si>
    <t>Deoxynucleotidyltransferase terminal-interacting protein 2</t>
  </si>
  <si>
    <t>WASH complex subunit FAM21C</t>
  </si>
  <si>
    <t>Protein FAM83H (Fragment)</t>
  </si>
  <si>
    <t>Sulfurtransferase</t>
  </si>
  <si>
    <t>F-box only protein 6 (Fragment)</t>
  </si>
  <si>
    <t>Glucosylceramidase</t>
  </si>
  <si>
    <t>BRISC and BRCA1-A complex member 1</t>
  </si>
  <si>
    <t>Beta-Ala-His dipeptidase</t>
  </si>
  <si>
    <t>Ubiquitin carboxyl-terminal hydrolase CYLD</t>
  </si>
  <si>
    <t>Chromobox protein homolog 1 (Fragment)</t>
  </si>
  <si>
    <t>Myelin basic protein (Fragment)</t>
  </si>
  <si>
    <t>ADP-ribosylation factor-binding protein GGA3</t>
  </si>
  <si>
    <t>Cytokine receptor-like factor 3</t>
  </si>
  <si>
    <t>Male-specific lethal 1 homolog</t>
  </si>
  <si>
    <t>Hematological and neurological-expressed 1 protein</t>
  </si>
  <si>
    <t>Protein SSXT</t>
  </si>
  <si>
    <t>60S ribosomal protein L26 (Fragment)</t>
  </si>
  <si>
    <t>Protein SCO1 homolog, mitochondrial</t>
  </si>
  <si>
    <t>Small nuclear ribonucleoprotein-associated protein N (Fragment)</t>
  </si>
  <si>
    <t>Pre-mRNA-splicing factor CWC25 homolog</t>
  </si>
  <si>
    <t>ATP-dependent DNA helicase Q5 (Fragment)</t>
  </si>
  <si>
    <t>Trafficking protein particle complex subunit 8</t>
  </si>
  <si>
    <t>60S ribosomal protein L17 (Fragment)</t>
  </si>
  <si>
    <t>Ribosomal protein L19</t>
  </si>
  <si>
    <t>Intraflagellar transport protein 20 homolog (Fragment)</t>
  </si>
  <si>
    <t>HCG1996301</t>
  </si>
  <si>
    <t>Coordinator of PRMT5 and differentiation stimulator (Fragment)</t>
  </si>
  <si>
    <t>MIF4G domain-containing protein (Fragment)</t>
  </si>
  <si>
    <t>Phosphatidylcholine-sterol acyltransferase (Fragment)</t>
  </si>
  <si>
    <t>Ribosomal L1 domain-containing protein 1 (Fragment)</t>
  </si>
  <si>
    <t>H/ACA ribonucleoprotein complex subunit 2</t>
  </si>
  <si>
    <t>Protein Njmu-R1</t>
  </si>
  <si>
    <t>G-protein-coupled receptor family C group 5 member C</t>
  </si>
  <si>
    <t>Putative hydroxypyruvate isomerase (Fragment)</t>
  </si>
  <si>
    <t>WW domain-binding protein 2 (Fragment)</t>
  </si>
  <si>
    <t>WD repeat-containing protein 18</t>
  </si>
  <si>
    <t>Mothers against decapentaplegic homolog 4</t>
  </si>
  <si>
    <t>Hexosaminidase D (Fragment)</t>
  </si>
  <si>
    <t>Syntaxin-10 (Fragment)</t>
  </si>
  <si>
    <t>Calreticulin (Fragment)</t>
  </si>
  <si>
    <t>HCG27535</t>
  </si>
  <si>
    <t>Mothers against decapentaplegic homolog 2 (Fragment)</t>
  </si>
  <si>
    <t>Histone H3 (Fragment)</t>
  </si>
  <si>
    <t>N-acetylglutamate synthase long form (Fragment)</t>
  </si>
  <si>
    <t>Lon protease homolog, mitochondrial</t>
  </si>
  <si>
    <t>Glucosidase 2 subunit beta</t>
  </si>
  <si>
    <t>Katanin p60 ATPase-containing subunit A-like 2 (Fragment)</t>
  </si>
  <si>
    <t>Transmembrane protein 205 (Fragment)</t>
  </si>
  <si>
    <t>Actin, cytoplasmic 2, N-terminally processed (Fragment)</t>
  </si>
  <si>
    <t>Transcription elongation factor 1 homolog</t>
  </si>
  <si>
    <t>Proteasome assembly chaperone 2</t>
  </si>
  <si>
    <t>Probable proline dehydrogenase 2</t>
  </si>
  <si>
    <t>UBX domain-containing protein 6 (Fragment)</t>
  </si>
  <si>
    <t>Beclin-1 (Fragment)</t>
  </si>
  <si>
    <t>Keratin, type I cytoskeletal 13</t>
  </si>
  <si>
    <t>Truncated apolipoprotein C-I (Fragment)</t>
  </si>
  <si>
    <t>Eukaryotic translation initiation factor 3 subunit K</t>
  </si>
  <si>
    <t>UV excision repair protein RAD23 homolog A</t>
  </si>
  <si>
    <t>Serine--tRNA ligase, mitochondrial</t>
  </si>
  <si>
    <t>Paf1, RNA polymerase II associated factor, homolog (S. cerevisiae), isoform CRA_c</t>
  </si>
  <si>
    <t>rRNA 2-O-methyltransferase fibrillarin (Fragment)</t>
  </si>
  <si>
    <t>PIH1 domain-containing protein 1 (Fragment)</t>
  </si>
  <si>
    <t>Protein SMG9 (Fragment)</t>
  </si>
  <si>
    <t>Vesicle transport protein USE1</t>
  </si>
  <si>
    <t>Dystrobrevin alpha</t>
  </si>
  <si>
    <t>KxDL motif-containing protein 1 (Fragment)</t>
  </si>
  <si>
    <t>Delta(3,5)-Delta(2,4)-dienoyl-CoA isomerase, mitochondrial (Fragment)</t>
  </si>
  <si>
    <t>40S ribosomal protein S19 (Fragment)</t>
  </si>
  <si>
    <t>Muscleblind-like 2 (Drosophila), isoform CRA_b</t>
  </si>
  <si>
    <t>Proto-oncogene c-Rel</t>
  </si>
  <si>
    <t>RELA protein</t>
  </si>
  <si>
    <t>DNA polymerase delta subunit 3</t>
  </si>
  <si>
    <t>Peptidyl-prolyl cis-trans isomerase A</t>
  </si>
  <si>
    <t>Metalloproteinase inhibitor 1</t>
  </si>
  <si>
    <t>Filamin-A</t>
  </si>
  <si>
    <t>Heterogeneous nuclear ribonucleoprotein L-like</t>
  </si>
  <si>
    <t>Tubulin beta chain</t>
  </si>
  <si>
    <t>Rho-related GTP-binding protein RhoC (Fragment)</t>
  </si>
  <si>
    <t>Nucleoporin p58/p45 (Fragment)</t>
  </si>
  <si>
    <t>Glucocorticoid modulatory element binding protein 2, isoform CRA_a</t>
  </si>
  <si>
    <t>Vacuolar protein sorting-associated protein 16 homolog</t>
  </si>
  <si>
    <t>Double-stranded RNA-binding protein Staufen homolog 1</t>
  </si>
  <si>
    <t>Peroxisomal biogenesis factor 19 (Fragment)</t>
  </si>
  <si>
    <t>RNA-binding protein Raly (Fragment)</t>
  </si>
  <si>
    <t>Proteasome inhibitor PI31 subunit</t>
  </si>
  <si>
    <t>Advanced glycosylation end product-specific receptor (Fragment)</t>
  </si>
  <si>
    <t>Graves disease carrier protein</t>
  </si>
  <si>
    <t>SH3 domain-binding glutamic acid-rich-like protein 3</t>
  </si>
  <si>
    <t>Nuclear transcription factor Y subunit gamma (Fragment)</t>
  </si>
  <si>
    <t>Chaperone activity of bc1 complex-like, mitochondrial</t>
  </si>
  <si>
    <t>Inter-alpha-trypsin inhibitor heavy chain H2</t>
  </si>
  <si>
    <t>WD repeat-containing protein 96</t>
  </si>
  <si>
    <t>Protein argonaute-1</t>
  </si>
  <si>
    <t>Mitochondrial nucleoid factor 1</t>
  </si>
  <si>
    <t>Transcription initiation factor TFIID subunit 4 (Fragment)</t>
  </si>
  <si>
    <t>Protein LSM14 homolog B (Fragment)</t>
  </si>
  <si>
    <t>mRNA-capping enzyme</t>
  </si>
  <si>
    <t>Uncharacterized protein C6orf106</t>
  </si>
  <si>
    <t>Pleckstrin homology domain-containing family A member 6</t>
  </si>
  <si>
    <t>Dynein light chain Tctex-type 1</t>
  </si>
  <si>
    <t>Ras-related GTP-binding protein B (Fragment)</t>
  </si>
  <si>
    <t>6-phosphofructo-2-kinase/fructose-2, 6-biphosphatase 4 splice isoform 3</t>
  </si>
  <si>
    <t>Putative uncharacterized protein DKFZp781P1719</t>
  </si>
  <si>
    <t>Em:AP000351.3 protein</t>
  </si>
  <si>
    <t>CENPC1 protein</t>
  </si>
  <si>
    <t>RAB17 protein</t>
  </si>
  <si>
    <t>Casein kinase 1, alpha 1, isoform CRA_g</t>
  </si>
  <si>
    <t>RPS6KB1 protein</t>
  </si>
  <si>
    <t>TXNDC5 protein</t>
  </si>
  <si>
    <t>WAS protein family, member 3, isoform CRA_a</t>
  </si>
  <si>
    <t>ANKRD10 protein</t>
  </si>
  <si>
    <t>Focal adhesion kinase 1</t>
  </si>
  <si>
    <t>TOM1-like protein 1</t>
  </si>
  <si>
    <t>Serine/threonine-protein kinase MST4</t>
  </si>
  <si>
    <t>40S ribosomal protein S21</t>
  </si>
  <si>
    <t>Galectin-9</t>
  </si>
  <si>
    <t>Long-chain fatty acid transport protein 4</t>
  </si>
  <si>
    <t>Unconventional myosin-Vb</t>
  </si>
  <si>
    <t>Cadherin 1, type 1, E-cadherin (Epithelial), isoform CRA_c</t>
  </si>
  <si>
    <t>Ubiquitin-conjugating enzyme 1 isoform</t>
  </si>
  <si>
    <t>26S proteasome non-ATPase regulatory subunit 8</t>
  </si>
  <si>
    <t>Ragulator complex protein LAMTOR5</t>
  </si>
  <si>
    <t>Polycomb complex protein BMI-1</t>
  </si>
  <si>
    <t>YTH domain family protein 3</t>
  </si>
  <si>
    <t>Protein S100-A6 (Fragment)</t>
  </si>
  <si>
    <t>DENN domain-containing protein 4C</t>
  </si>
  <si>
    <t>26S protease regulatory subunit 6A</t>
  </si>
  <si>
    <t>norm_FC_TMT126_H.sapiens_hepatocytes_P013194</t>
  </si>
  <si>
    <t>norm_FC_TMT127L_H.sapiens_hepatocytes_P013194</t>
  </si>
  <si>
    <t>norm_FC_TMT127H_H.sapiens_hepatocytes_P013194</t>
  </si>
  <si>
    <t>norm_FC_TMT128L_H.sapiens_hepatocytes_P013194</t>
  </si>
  <si>
    <t>norm_FC_TMT128H_H.sapiens_hepatocytes_P013194</t>
  </si>
  <si>
    <t>norm_FC_TMT129L_H.sapiens_hepatocytes_P013194</t>
  </si>
  <si>
    <t>norm_FC_TMT129H_H.sapiens_hepatocytes_P013194</t>
  </si>
  <si>
    <t>norm_FC_TMT130L_H.sapiens_hepatocytes_P013194</t>
  </si>
  <si>
    <t>norm_FC_TMT130H_H.sapiens_hepatocytes_P013194</t>
  </si>
  <si>
    <t>norm_FC_TMT131L_H.sapiens_hepatocytes_P013194</t>
  </si>
  <si>
    <t>a_H.sapiens_hepatocytes_P013194</t>
  </si>
  <si>
    <t>b_H.sapiens_hepatocytes_P013194</t>
  </si>
  <si>
    <t>meltPoint_H.sapiens_hepatocytes_P013194</t>
  </si>
  <si>
    <t>inflPoint_H.sapiens_hepatocytes_P013194</t>
  </si>
  <si>
    <t>slope_H.sapiens_hepatocytes_P013194</t>
  </si>
  <si>
    <t>plateau_H.sapiens_hepatocytes_P013194</t>
  </si>
  <si>
    <t>R_sq_H.sapiens_hepatocytes_P013194</t>
  </si>
  <si>
    <t>protein_identified_in_H.sapiens_hepatocytes_P013194</t>
  </si>
  <si>
    <t>model_converged_H.sapiens_hepatocytes_P013194</t>
  </si>
  <si>
    <t>sufficient_data_for_fit_H.sapiens_hepatocytes_P013194</t>
  </si>
  <si>
    <t>numSpec_H.sapiens_hepatocytes_P013194</t>
  </si>
  <si>
    <t>Proteinname_H.sapiens_hepatocytes_P013194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</si>
</sst>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93"/>
  <sheetViews>
    <sheetView tabSelected="1" workbookViewId="0">
      <selection sqref="A1:XFD1"/>
    </sheetView>
  </sheetViews>
  <sheetFormatPr defaultRowHeight="15" x14ac:dyDescent="0.25"/>
  <sheetData>
    <row r="1" spans="1:28" s="2" customFormat="1" ht="105" x14ac:dyDescent="0.25">
      <c r="A1" s="1" t="s">
        <v>0</v>
      </c>
      <c r="B1" s="1" t="s">
        <v>21350</v>
      </c>
      <c r="C1" s="1" t="s">
        <v>21351</v>
      </c>
      <c r="D1" s="1" t="s">
        <v>21352</v>
      </c>
      <c r="E1" s="1" t="s">
        <v>21353</v>
      </c>
      <c r="F1" s="1" t="s">
        <v>21354</v>
      </c>
      <c r="G1" s="1" t="s">
        <v>21355</v>
      </c>
      <c r="H1" s="1" t="s">
        <v>21356</v>
      </c>
      <c r="I1" s="1" t="s">
        <v>21357</v>
      </c>
      <c r="J1" s="1" t="s">
        <v>21358</v>
      </c>
      <c r="K1" s="1" t="s">
        <v>21359</v>
      </c>
      <c r="L1" s="1" t="s">
        <v>21360</v>
      </c>
      <c r="M1" s="1" t="s">
        <v>21361</v>
      </c>
      <c r="N1" s="1" t="s">
        <v>21362</v>
      </c>
      <c r="O1" s="1" t="s">
        <v>21363</v>
      </c>
      <c r="P1" s="1" t="s">
        <v>21364</v>
      </c>
      <c r="Q1" s="1" t="s">
        <v>21365</v>
      </c>
      <c r="R1" s="1" t="s">
        <v>21366</v>
      </c>
      <c r="S1" s="1" t="s">
        <v>1</v>
      </c>
      <c r="T1" s="1" t="s">
        <v>21367</v>
      </c>
      <c r="U1" s="1" t="s">
        <v>21368</v>
      </c>
      <c r="V1" s="1" t="s">
        <v>21369</v>
      </c>
      <c r="W1" s="1" t="s">
        <v>21370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21371</v>
      </c>
    </row>
    <row r="2" spans="1:28" x14ac:dyDescent="0.25">
      <c r="A2" t="s">
        <v>6</v>
      </c>
      <c r="B2">
        <v>0.99876560204751996</v>
      </c>
      <c r="C2">
        <v>0.96082365567019101</v>
      </c>
      <c r="D2">
        <v>0.80311888261541198</v>
      </c>
      <c r="E2">
        <v>0.47513283682838298</v>
      </c>
      <c r="F2">
        <v>0.208474792430307</v>
      </c>
      <c r="G2">
        <v>0.109773869960586</v>
      </c>
      <c r="H2">
        <v>6.5915810903289199E-2</v>
      </c>
      <c r="I2">
        <v>5.4495853551130999E-2</v>
      </c>
      <c r="J2">
        <v>4.8051117640474102E-2</v>
      </c>
      <c r="K2">
        <v>4.3756792117222998E-2</v>
      </c>
      <c r="L2">
        <v>995.16679431781995</v>
      </c>
      <c r="M2">
        <v>20.186707613220399</v>
      </c>
      <c r="N2">
        <v>49.521990296191603</v>
      </c>
      <c r="O2">
        <v>48.821989056316099</v>
      </c>
      <c r="P2">
        <v>-9.8864359031138799E-2</v>
      </c>
      <c r="Q2">
        <v>4.3607643907540301E-2</v>
      </c>
      <c r="R2">
        <v>0.99907903820275301</v>
      </c>
      <c r="S2" t="s">
        <v>4298</v>
      </c>
      <c r="T2" t="s">
        <v>8590</v>
      </c>
      <c r="U2" t="s">
        <v>8590</v>
      </c>
      <c r="V2" t="s">
        <v>8590</v>
      </c>
      <c r="W2">
        <v>22</v>
      </c>
      <c r="X2" t="s">
        <v>8592</v>
      </c>
      <c r="Y2">
        <v>0.35314631536208441</v>
      </c>
      <c r="Z2" t="str">
        <f>HYPERLINK("Melting_Curves/meltCurve_sp_A0AVT1_UBA6_HUMAN_.pdf", "Melting_Curves/meltCurve_sp_A0AVT1_UBA6_HUMAN_.pdf")</f>
        <v>Melting_Curves/meltCurve_sp_A0AVT1_UBA6_HUMAN_.pdf</v>
      </c>
      <c r="AA2" t="s">
        <v>12884</v>
      </c>
      <c r="AB2" t="s">
        <v>17087</v>
      </c>
    </row>
    <row r="3" spans="1:28" x14ac:dyDescent="0.25">
      <c r="A3" t="s">
        <v>7</v>
      </c>
      <c r="B3">
        <v>0.99876560204751996</v>
      </c>
      <c r="C3">
        <v>0.85815791178130596</v>
      </c>
      <c r="D3">
        <v>0.88378700313226</v>
      </c>
      <c r="E3">
        <v>0.71004479751556404</v>
      </c>
      <c r="F3">
        <v>0.59470099100176299</v>
      </c>
      <c r="G3">
        <v>0.40350706051493601</v>
      </c>
      <c r="H3">
        <v>0.26508455044092799</v>
      </c>
      <c r="I3">
        <v>0.23763051435257901</v>
      </c>
      <c r="J3">
        <v>0.29917026948324399</v>
      </c>
      <c r="K3">
        <v>0.24132985539462801</v>
      </c>
      <c r="L3">
        <v>621.54930027715602</v>
      </c>
      <c r="M3">
        <v>11.890996272504401</v>
      </c>
      <c r="N3">
        <v>54.471127390752997</v>
      </c>
      <c r="O3">
        <v>50.858019604997899</v>
      </c>
      <c r="P3">
        <v>-4.7315572354675497E-2</v>
      </c>
      <c r="Q3">
        <v>0.19072365964818899</v>
      </c>
      <c r="R3">
        <v>0.97987042651489298</v>
      </c>
      <c r="S3" t="s">
        <v>4299</v>
      </c>
      <c r="T3" t="s">
        <v>8590</v>
      </c>
      <c r="U3" t="s">
        <v>8590</v>
      </c>
      <c r="V3" t="s">
        <v>8590</v>
      </c>
      <c r="W3">
        <v>4</v>
      </c>
      <c r="X3" t="s">
        <v>8593</v>
      </c>
      <c r="Y3">
        <v>0.54632188926075609</v>
      </c>
      <c r="Z3" t="str">
        <f>HYPERLINK("Melting_Curves/meltCurve_sp_A0JNW5_UH1BL_HUMAN_.pdf", "Melting_Curves/meltCurve_sp_A0JNW5_UH1BL_HUMAN_.pdf")</f>
        <v>Melting_Curves/meltCurve_sp_A0JNW5_UH1BL_HUMAN_.pdf</v>
      </c>
      <c r="AA3" t="s">
        <v>12885</v>
      </c>
      <c r="AB3" t="s">
        <v>17088</v>
      </c>
    </row>
    <row r="4" spans="1:28" x14ac:dyDescent="0.25">
      <c r="A4" t="s">
        <v>8</v>
      </c>
      <c r="B4">
        <v>0.99876560204751996</v>
      </c>
      <c r="C4">
        <v>0.99457283040830302</v>
      </c>
      <c r="D4">
        <v>0.97494650580933995</v>
      </c>
      <c r="E4">
        <v>0.90806533834331005</v>
      </c>
      <c r="F4">
        <v>0.78946164688535603</v>
      </c>
      <c r="G4">
        <v>0.54421765508057995</v>
      </c>
      <c r="H4">
        <v>0.43119571615173402</v>
      </c>
      <c r="I4">
        <v>0.39126435299830498</v>
      </c>
      <c r="J4">
        <v>0.519043733168703</v>
      </c>
      <c r="K4">
        <v>0.45860480418751098</v>
      </c>
      <c r="L4">
        <v>1444.1590615775499</v>
      </c>
      <c r="M4">
        <v>26.882854355706499</v>
      </c>
      <c r="N4">
        <v>58.4753203520795</v>
      </c>
      <c r="O4">
        <v>53.425844506296897</v>
      </c>
      <c r="P4">
        <v>-6.9966185851811802E-2</v>
      </c>
      <c r="Q4">
        <v>0.44381445468505498</v>
      </c>
      <c r="R4">
        <v>0.98026943070075601</v>
      </c>
      <c r="S4" t="s">
        <v>4300</v>
      </c>
      <c r="T4" t="s">
        <v>8590</v>
      </c>
      <c r="U4" t="s">
        <v>8590</v>
      </c>
      <c r="V4" t="s">
        <v>8590</v>
      </c>
      <c r="W4">
        <v>33</v>
      </c>
      <c r="X4" t="s">
        <v>8594</v>
      </c>
      <c r="Y4">
        <v>0.70267656673255774</v>
      </c>
      <c r="Z4" t="str">
        <f>HYPERLINK("Melting_Curves/meltCurve_sp_A0MZ66_SHOT1_HUMAN_.pdf", "Melting_Curves/meltCurve_sp_A0MZ66_SHOT1_HUMAN_.pdf")</f>
        <v>Melting_Curves/meltCurve_sp_A0MZ66_SHOT1_HUMAN_.pdf</v>
      </c>
      <c r="AA4" t="s">
        <v>12886</v>
      </c>
      <c r="AB4" t="s">
        <v>17089</v>
      </c>
    </row>
    <row r="5" spans="1:28" x14ac:dyDescent="0.25">
      <c r="A5" t="s">
        <v>9</v>
      </c>
      <c r="B5">
        <v>0.99876560204751996</v>
      </c>
      <c r="C5">
        <v>0.925936630106582</v>
      </c>
      <c r="D5">
        <v>0.96923781693156597</v>
      </c>
      <c r="E5">
        <v>0.87087040942430005</v>
      </c>
      <c r="F5">
        <v>0.81759940275952903</v>
      </c>
      <c r="G5">
        <v>0.58764077901241996</v>
      </c>
      <c r="H5">
        <v>0.54510457674193302</v>
      </c>
      <c r="I5">
        <v>0.50822594821140099</v>
      </c>
      <c r="J5">
        <v>0.63534014351537105</v>
      </c>
      <c r="K5">
        <v>0.63731871878895796</v>
      </c>
      <c r="L5">
        <v>1312.64870398583</v>
      </c>
      <c r="M5">
        <v>24.9663962214774</v>
      </c>
      <c r="O5">
        <v>52.242776162748001</v>
      </c>
      <c r="P5">
        <v>-5.1001575131062897E-2</v>
      </c>
      <c r="Q5">
        <v>0.57311766039393797</v>
      </c>
      <c r="R5">
        <v>0.91859924459696496</v>
      </c>
      <c r="S5" t="s">
        <v>4301</v>
      </c>
      <c r="T5" t="s">
        <v>8590</v>
      </c>
      <c r="U5" t="s">
        <v>8590</v>
      </c>
      <c r="V5" t="s">
        <v>8590</v>
      </c>
      <c r="W5">
        <v>4</v>
      </c>
      <c r="X5" t="s">
        <v>8595</v>
      </c>
      <c r="Y5">
        <v>0.75600309498054064</v>
      </c>
      <c r="Z5" t="str">
        <f>HYPERLINK("Melting_Curves/meltCurve_sp_A1L170_CA226_HUMAN_.pdf", "Melting_Curves/meltCurve_sp_A1L170_CA226_HUMAN_.pdf")</f>
        <v>Melting_Curves/meltCurve_sp_A1L170_CA226_HUMAN_.pdf</v>
      </c>
      <c r="AA5" t="s">
        <v>12887</v>
      </c>
      <c r="AB5" t="s">
        <v>17090</v>
      </c>
    </row>
    <row r="6" spans="1:28" x14ac:dyDescent="0.25">
      <c r="A6" t="s">
        <v>10</v>
      </c>
      <c r="B6">
        <v>0.99876560204751996</v>
      </c>
      <c r="C6">
        <v>0.84202209160897701</v>
      </c>
      <c r="D6">
        <v>0.89014511693874698</v>
      </c>
      <c r="E6">
        <v>0.86913666601922202</v>
      </c>
      <c r="F6">
        <v>0.89444403168683895</v>
      </c>
      <c r="G6">
        <v>0.74735310569680102</v>
      </c>
      <c r="H6">
        <v>0.57878164550955702</v>
      </c>
      <c r="I6">
        <v>0.68198949077072102</v>
      </c>
      <c r="J6">
        <v>0.74903047371160103</v>
      </c>
      <c r="K6">
        <v>0.81059254498195499</v>
      </c>
      <c r="L6">
        <v>418.60254362115802</v>
      </c>
      <c r="M6">
        <v>8.5191949053124496</v>
      </c>
      <c r="O6">
        <v>46.653388057804797</v>
      </c>
      <c r="P6">
        <v>-1.4188293998847201E-2</v>
      </c>
      <c r="Q6">
        <v>0.68948187020152696</v>
      </c>
      <c r="R6">
        <v>0.55434098872165505</v>
      </c>
      <c r="S6" t="s">
        <v>4302</v>
      </c>
      <c r="T6" t="s">
        <v>8590</v>
      </c>
      <c r="U6" t="s">
        <v>8590</v>
      </c>
      <c r="V6" t="s">
        <v>8590</v>
      </c>
      <c r="W6">
        <v>1</v>
      </c>
      <c r="X6" t="s">
        <v>8596</v>
      </c>
      <c r="Y6">
        <v>0.80276125350682292</v>
      </c>
      <c r="Z6" t="str">
        <f>HYPERLINK("Melting_Curves/meltCurve_sp_A1L188_CQ089_HUMAN_.pdf", "Melting_Curves/meltCurve_sp_A1L188_CQ089_HUMAN_.pdf")</f>
        <v>Melting_Curves/meltCurve_sp_A1L188_CQ089_HUMAN_.pdf</v>
      </c>
      <c r="AA6" t="s">
        <v>12888</v>
      </c>
      <c r="AB6" t="s">
        <v>17091</v>
      </c>
    </row>
    <row r="7" spans="1:28" x14ac:dyDescent="0.25">
      <c r="A7" t="s">
        <v>11</v>
      </c>
      <c r="B7">
        <v>0.99876560204751996</v>
      </c>
      <c r="C7">
        <v>1.0090598863820199</v>
      </c>
      <c r="D7">
        <v>0.93812008240795397</v>
      </c>
      <c r="E7">
        <v>0.85435443297128399</v>
      </c>
      <c r="F7">
        <v>0.65758651222725395</v>
      </c>
      <c r="G7">
        <v>0.42285367572006499</v>
      </c>
      <c r="H7">
        <v>0.31937557514440901</v>
      </c>
      <c r="I7">
        <v>0.32639223343381102</v>
      </c>
      <c r="J7">
        <v>0.31304722095986898</v>
      </c>
      <c r="K7">
        <v>0.29035465559673002</v>
      </c>
      <c r="L7">
        <v>1114.12877344813</v>
      </c>
      <c r="M7">
        <v>20.990503559829801</v>
      </c>
      <c r="N7">
        <v>55.407598669392897</v>
      </c>
      <c r="O7">
        <v>52.6030532174195</v>
      </c>
      <c r="P7">
        <v>-7.0516114688008003E-2</v>
      </c>
      <c r="Q7">
        <v>0.29315403200200502</v>
      </c>
      <c r="R7">
        <v>0.99748667717494299</v>
      </c>
      <c r="S7" t="s">
        <v>4303</v>
      </c>
      <c r="T7" t="s">
        <v>8590</v>
      </c>
      <c r="U7" t="s">
        <v>8590</v>
      </c>
      <c r="V7" t="s">
        <v>8590</v>
      </c>
      <c r="W7">
        <v>3</v>
      </c>
      <c r="X7" t="s">
        <v>8597</v>
      </c>
      <c r="Y7">
        <v>0.61022520608104425</v>
      </c>
      <c r="Z7" t="str">
        <f>HYPERLINK("Melting_Curves/meltCurve_sp_A1X283_SPD2B_HUMAN_.pdf", "Melting_Curves/meltCurve_sp_A1X283_SPD2B_HUMAN_.pdf")</f>
        <v>Melting_Curves/meltCurve_sp_A1X283_SPD2B_HUMAN_.pdf</v>
      </c>
      <c r="AA7" t="s">
        <v>12889</v>
      </c>
      <c r="AB7" t="s">
        <v>17092</v>
      </c>
    </row>
    <row r="8" spans="1:28" x14ac:dyDescent="0.25">
      <c r="A8" t="s">
        <v>12</v>
      </c>
      <c r="B8">
        <v>0.99876560204751996</v>
      </c>
      <c r="C8">
        <v>0.86542372563765102</v>
      </c>
      <c r="D8">
        <v>0.71149476903840003</v>
      </c>
      <c r="E8">
        <v>0.694236705148919</v>
      </c>
      <c r="F8">
        <v>0.19771279051690399</v>
      </c>
      <c r="G8">
        <v>0.15988298817086199</v>
      </c>
      <c r="H8">
        <v>0.16727211511999099</v>
      </c>
      <c r="I8">
        <v>0.16775096817194601</v>
      </c>
      <c r="J8">
        <v>0.10177451254452</v>
      </c>
      <c r="K8">
        <v>0.108689133888797</v>
      </c>
      <c r="L8">
        <v>741.05783042854398</v>
      </c>
      <c r="M8">
        <v>14.9800658138416</v>
      </c>
      <c r="N8">
        <v>50.160342972797302</v>
      </c>
      <c r="O8">
        <v>48.613127322110202</v>
      </c>
      <c r="P8">
        <v>-6.9864372515103704E-2</v>
      </c>
      <c r="Q8">
        <v>9.3200029159421396E-2</v>
      </c>
      <c r="R8">
        <v>0.94229515204397196</v>
      </c>
      <c r="S8" t="s">
        <v>4304</v>
      </c>
      <c r="T8" t="s">
        <v>8590</v>
      </c>
      <c r="U8" t="s">
        <v>8590</v>
      </c>
      <c r="V8" t="s">
        <v>8590</v>
      </c>
      <c r="W8">
        <v>3</v>
      </c>
      <c r="X8" t="s">
        <v>8598</v>
      </c>
      <c r="Y8">
        <v>0.40149599524239549</v>
      </c>
      <c r="Z8" t="str">
        <f>HYPERLINK("Melting_Curves/meltCurve_sp_A2RUC4_TYW5_HUMAN_.pdf", "Melting_Curves/meltCurve_sp_A2RUC4_TYW5_HUMAN_.pdf")</f>
        <v>Melting_Curves/meltCurve_sp_A2RUC4_TYW5_HUMAN_.pdf</v>
      </c>
      <c r="AA8" t="s">
        <v>12890</v>
      </c>
      <c r="AB8" t="s">
        <v>17093</v>
      </c>
    </row>
    <row r="9" spans="1:28" x14ac:dyDescent="0.25">
      <c r="A9" t="s">
        <v>13</v>
      </c>
      <c r="B9">
        <v>0.99876560204751996</v>
      </c>
      <c r="C9">
        <v>0.99912429844910799</v>
      </c>
      <c r="D9">
        <v>0.87153133447479503</v>
      </c>
      <c r="E9">
        <v>0.97264847721957404</v>
      </c>
      <c r="F9">
        <v>0.790098224787671</v>
      </c>
      <c r="G9">
        <v>0.62505647724635804</v>
      </c>
      <c r="H9">
        <v>0.46132840653882701</v>
      </c>
      <c r="I9">
        <v>0.37563322749227401</v>
      </c>
      <c r="J9">
        <v>0.39596417199856598</v>
      </c>
      <c r="K9">
        <v>0.33623340434215199</v>
      </c>
      <c r="L9">
        <v>889.27788049686001</v>
      </c>
      <c r="M9">
        <v>15.841036995825201</v>
      </c>
      <c r="N9">
        <v>59.905589357797297</v>
      </c>
      <c r="O9">
        <v>55.265849897438798</v>
      </c>
      <c r="P9">
        <v>-4.9061796595113803E-2</v>
      </c>
      <c r="Q9">
        <v>0.31539334945222097</v>
      </c>
      <c r="R9">
        <v>0.97465783338740997</v>
      </c>
      <c r="S9" t="s">
        <v>4305</v>
      </c>
      <c r="T9" t="s">
        <v>8590</v>
      </c>
      <c r="U9" t="s">
        <v>8590</v>
      </c>
      <c r="V9" t="s">
        <v>8590</v>
      </c>
      <c r="W9">
        <v>8</v>
      </c>
      <c r="X9" t="s">
        <v>8599</v>
      </c>
      <c r="Y9">
        <v>0.69508464592627894</v>
      </c>
      <c r="Z9" t="str">
        <f>HYPERLINK("Melting_Curves/meltCurve_sp_A2VDF0_2_FUCM_HUMAN_.pdf", "Melting_Curves/meltCurve_sp_A2VDF0_2_FUCM_HUMAN_.pdf")</f>
        <v>Melting_Curves/meltCurve_sp_A2VDF0_2_FUCM_HUMAN_.pdf</v>
      </c>
      <c r="AA9" t="s">
        <v>12891</v>
      </c>
      <c r="AB9" t="s">
        <v>17094</v>
      </c>
    </row>
    <row r="10" spans="1:28" x14ac:dyDescent="0.25">
      <c r="A10" t="s">
        <v>14</v>
      </c>
      <c r="B10">
        <v>0.99876560204751996</v>
      </c>
      <c r="C10">
        <v>0.89454218981317202</v>
      </c>
      <c r="D10">
        <v>0.60487010431914001</v>
      </c>
      <c r="E10">
        <v>0.32458451397302202</v>
      </c>
      <c r="F10">
        <v>0.17268901109728499</v>
      </c>
      <c r="G10">
        <v>0.103720084677039</v>
      </c>
      <c r="H10">
        <v>6.7305215779167496E-2</v>
      </c>
      <c r="I10">
        <v>5.4471749396413201E-2</v>
      </c>
      <c r="J10">
        <v>4.9549408188748499E-2</v>
      </c>
      <c r="K10">
        <v>4.5248059037332103E-2</v>
      </c>
      <c r="L10">
        <v>853.39780021459899</v>
      </c>
      <c r="M10">
        <v>18.058333423825701</v>
      </c>
      <c r="N10">
        <v>47.539954908789198</v>
      </c>
      <c r="O10">
        <v>46.689749481008597</v>
      </c>
      <c r="P10">
        <v>-9.1784674871856195E-2</v>
      </c>
      <c r="Q10">
        <v>5.0810587964270501E-2</v>
      </c>
      <c r="R10">
        <v>0.99709294942191196</v>
      </c>
      <c r="S10" t="s">
        <v>4306</v>
      </c>
      <c r="T10" t="s">
        <v>8590</v>
      </c>
      <c r="U10" t="s">
        <v>8590</v>
      </c>
      <c r="V10" t="s">
        <v>8590</v>
      </c>
      <c r="W10">
        <v>36</v>
      </c>
      <c r="X10" t="s">
        <v>8600</v>
      </c>
      <c r="Y10">
        <v>0.29763007049266899</v>
      </c>
      <c r="Z10" t="str">
        <f>HYPERLINK("Melting_Curves/meltCurve_sp_A3KMH1_3_VWA8_HUMAN_.pdf", "Melting_Curves/meltCurve_sp_A3KMH1_3_VWA8_HUMAN_.pdf")</f>
        <v>Melting_Curves/meltCurve_sp_A3KMH1_3_VWA8_HUMAN_.pdf</v>
      </c>
      <c r="AA10" t="s">
        <v>12892</v>
      </c>
      <c r="AB10" t="s">
        <v>17095</v>
      </c>
    </row>
    <row r="11" spans="1:28" x14ac:dyDescent="0.25">
      <c r="A11" t="s">
        <v>15</v>
      </c>
      <c r="B11">
        <v>0.99876560204751996</v>
      </c>
      <c r="C11">
        <v>1.2914538290147</v>
      </c>
      <c r="D11">
        <v>1.1531013611705101</v>
      </c>
      <c r="E11">
        <v>0.95560996110083396</v>
      </c>
      <c r="F11">
        <v>0.25000187077603703</v>
      </c>
      <c r="G11">
        <v>7.3831416126709501E-2</v>
      </c>
      <c r="H11">
        <v>8.7069434324101594E-2</v>
      </c>
      <c r="I11">
        <v>5.9114957323794702E-2</v>
      </c>
      <c r="J11">
        <v>0.11974744836020799</v>
      </c>
      <c r="K11">
        <v>3.1788415497229702E-2</v>
      </c>
      <c r="L11">
        <v>3932.0260304341</v>
      </c>
      <c r="M11">
        <v>75.639959532777794</v>
      </c>
      <c r="N11">
        <v>52.0938824943442</v>
      </c>
      <c r="O11">
        <v>51.947149959891199</v>
      </c>
      <c r="P11">
        <v>-0.33705530422726798</v>
      </c>
      <c r="Q11">
        <v>7.4084158029721098E-2</v>
      </c>
      <c r="R11">
        <v>0.95460610030744397</v>
      </c>
      <c r="S11" t="s">
        <v>4307</v>
      </c>
      <c r="T11" t="s">
        <v>8590</v>
      </c>
      <c r="U11" t="s">
        <v>8590</v>
      </c>
      <c r="V11" t="s">
        <v>8590</v>
      </c>
      <c r="W11">
        <v>1</v>
      </c>
      <c r="X11" t="s">
        <v>8601</v>
      </c>
      <c r="Y11">
        <v>0.44486448117677962</v>
      </c>
      <c r="Z11" t="str">
        <f>HYPERLINK("Melting_Curves/meltCurve_sp_A3KN83_3_SBNO1_HUMAN_.pdf", "Melting_Curves/meltCurve_sp_A3KN83_3_SBNO1_HUMAN_.pdf")</f>
        <v>Melting_Curves/meltCurve_sp_A3KN83_3_SBNO1_HUMAN_.pdf</v>
      </c>
      <c r="AA11" t="s">
        <v>12893</v>
      </c>
      <c r="AB11" t="s">
        <v>17096</v>
      </c>
    </row>
    <row r="12" spans="1:28" x14ac:dyDescent="0.25">
      <c r="A12" t="s">
        <v>16</v>
      </c>
      <c r="B12">
        <v>0.99876560204751996</v>
      </c>
      <c r="C12">
        <v>0.88255563162855399</v>
      </c>
      <c r="D12">
        <v>0.79944686769273698</v>
      </c>
      <c r="E12">
        <v>0.83135478911660299</v>
      </c>
      <c r="F12">
        <v>0.75651889518661897</v>
      </c>
      <c r="G12">
        <v>0.59129847437762995</v>
      </c>
      <c r="H12">
        <v>0.42538205896846099</v>
      </c>
      <c r="I12">
        <v>0.28770822530943502</v>
      </c>
      <c r="J12">
        <v>0.16734714449000401</v>
      </c>
      <c r="K12">
        <v>7.1652396109011404E-2</v>
      </c>
      <c r="L12">
        <v>579.53253116458598</v>
      </c>
      <c r="M12">
        <v>9.9794860048051</v>
      </c>
      <c r="N12">
        <v>58.072382190192599</v>
      </c>
      <c r="O12">
        <v>55.884938395419098</v>
      </c>
      <c r="P12">
        <v>-4.4664888178661197E-2</v>
      </c>
      <c r="Q12">
        <v>0</v>
      </c>
      <c r="R12">
        <v>0.95861260634868894</v>
      </c>
      <c r="S12" t="s">
        <v>4308</v>
      </c>
      <c r="T12" t="s">
        <v>8590</v>
      </c>
      <c r="U12" t="s">
        <v>8590</v>
      </c>
      <c r="V12" t="s">
        <v>8590</v>
      </c>
      <c r="W12">
        <v>3</v>
      </c>
      <c r="X12" t="s">
        <v>8602</v>
      </c>
      <c r="Y12">
        <v>0.61182859349818841</v>
      </c>
      <c r="Z12" t="str">
        <f>HYPERLINK("Melting_Curves/meltCurve_sp_A4D126_2_ISPD_HUMAN_.pdf", "Melting_Curves/meltCurve_sp_A4D126_2_ISPD_HUMAN_.pdf")</f>
        <v>Melting_Curves/meltCurve_sp_A4D126_2_ISPD_HUMAN_.pdf</v>
      </c>
      <c r="AA12" t="s">
        <v>12894</v>
      </c>
      <c r="AB12" t="s">
        <v>17097</v>
      </c>
    </row>
    <row r="13" spans="1:28" x14ac:dyDescent="0.25">
      <c r="A13" t="s">
        <v>17</v>
      </c>
      <c r="B13">
        <v>0.99876560204751996</v>
      </c>
      <c r="C13">
        <v>1.0628514867123999</v>
      </c>
      <c r="D13">
        <v>1.1055692790053999</v>
      </c>
      <c r="E13">
        <v>0.87387840391999105</v>
      </c>
      <c r="F13">
        <v>0.85521816944312401</v>
      </c>
      <c r="G13">
        <v>0.70330776545205897</v>
      </c>
      <c r="H13">
        <v>0.57788898920022402</v>
      </c>
      <c r="I13">
        <v>0.56318296525727396</v>
      </c>
      <c r="J13">
        <v>0.50439691843352297</v>
      </c>
      <c r="K13">
        <v>0.383691479619097</v>
      </c>
      <c r="L13">
        <v>743.34212575950698</v>
      </c>
      <c r="M13">
        <v>12.8246653975255</v>
      </c>
      <c r="N13">
        <v>64.964320040087102</v>
      </c>
      <c r="O13">
        <v>56.606868886604602</v>
      </c>
      <c r="P13">
        <v>-3.5434056065033803E-2</v>
      </c>
      <c r="Q13">
        <v>0.37450620037661297</v>
      </c>
      <c r="R13">
        <v>0.94664440697851804</v>
      </c>
      <c r="S13" t="s">
        <v>4309</v>
      </c>
      <c r="T13" t="s">
        <v>8590</v>
      </c>
      <c r="U13" t="s">
        <v>8590</v>
      </c>
      <c r="V13" t="s">
        <v>8590</v>
      </c>
      <c r="W13">
        <v>5</v>
      </c>
      <c r="X13" t="s">
        <v>8603</v>
      </c>
      <c r="Y13">
        <v>0.75735959677432119</v>
      </c>
      <c r="Z13" t="str">
        <f>HYPERLINK("Melting_Curves/meltCurve_sp_A4D1P6_2_WDR91_HUMAN_.pdf", "Melting_Curves/meltCurve_sp_A4D1P6_2_WDR91_HUMAN_.pdf")</f>
        <v>Melting_Curves/meltCurve_sp_A4D1P6_2_WDR91_HUMAN_.pdf</v>
      </c>
      <c r="AA13" t="s">
        <v>12895</v>
      </c>
      <c r="AB13" t="s">
        <v>17098</v>
      </c>
    </row>
    <row r="14" spans="1:28" x14ac:dyDescent="0.25">
      <c r="A14" t="s">
        <v>18</v>
      </c>
      <c r="B14">
        <v>0.99876560204751996</v>
      </c>
      <c r="C14">
        <v>1.25840593311964</v>
      </c>
      <c r="D14">
        <v>1.03097939223574</v>
      </c>
      <c r="E14">
        <v>0.72516448647604004</v>
      </c>
      <c r="F14">
        <v>0.232779840567262</v>
      </c>
      <c r="G14">
        <v>0.20972645377952601</v>
      </c>
      <c r="H14">
        <v>0.110102869846678</v>
      </c>
      <c r="I14">
        <v>5.1210685711361899E-2</v>
      </c>
      <c r="J14">
        <v>3.0648187694906699E-2</v>
      </c>
      <c r="K14">
        <v>3.3400820612023603E-2</v>
      </c>
      <c r="L14">
        <v>2066.1784670556299</v>
      </c>
      <c r="M14">
        <v>40.4785594224712</v>
      </c>
      <c r="N14">
        <v>51.268175395697298</v>
      </c>
      <c r="O14">
        <v>50.919669437219703</v>
      </c>
      <c r="P14">
        <v>-0.18260441212304701</v>
      </c>
      <c r="Q14">
        <v>8.1178968376420899E-2</v>
      </c>
      <c r="R14">
        <v>0.95755917026851001</v>
      </c>
      <c r="S14" t="s">
        <v>4310</v>
      </c>
      <c r="T14" t="s">
        <v>8590</v>
      </c>
      <c r="U14" t="s">
        <v>8590</v>
      </c>
      <c r="V14" t="s">
        <v>8590</v>
      </c>
      <c r="W14">
        <v>1</v>
      </c>
      <c r="X14" t="s">
        <v>8604</v>
      </c>
      <c r="Y14">
        <v>0.42258559850657262</v>
      </c>
      <c r="Z14" t="str">
        <f>HYPERLINK("Melting_Curves/meltCurve_sp_A5PLN9_2_TPC13_HUMAN_.pdf", "Melting_Curves/meltCurve_sp_A5PLN9_2_TPC13_HUMAN_.pdf")</f>
        <v>Melting_Curves/meltCurve_sp_A5PLN9_2_TPC13_HUMAN_.pdf</v>
      </c>
      <c r="AA14" t="s">
        <v>12896</v>
      </c>
      <c r="AB14" t="s">
        <v>17099</v>
      </c>
    </row>
    <row r="15" spans="1:28" x14ac:dyDescent="0.25">
      <c r="A15" t="s">
        <v>19</v>
      </c>
      <c r="B15">
        <v>0.99876560204751996</v>
      </c>
      <c r="C15">
        <v>1.08440302457612</v>
      </c>
      <c r="D15">
        <v>0.98396915319379996</v>
      </c>
      <c r="E15">
        <v>0.92380954360093204</v>
      </c>
      <c r="F15">
        <v>0.51463795721328898</v>
      </c>
      <c r="G15">
        <v>0.223077332376936</v>
      </c>
      <c r="H15">
        <v>0.135092923858042</v>
      </c>
      <c r="I15">
        <v>0.107474636721477</v>
      </c>
      <c r="J15">
        <v>9.8867429706861895E-2</v>
      </c>
      <c r="K15">
        <v>8.7002215603121796E-2</v>
      </c>
      <c r="L15">
        <v>1773.4008748486001</v>
      </c>
      <c r="M15">
        <v>33.5184808312911</v>
      </c>
      <c r="N15">
        <v>53.303828989384698</v>
      </c>
      <c r="O15">
        <v>52.720915472053498</v>
      </c>
      <c r="P15">
        <v>-0.14143849983888099</v>
      </c>
      <c r="Q15">
        <v>0.110134788180134</v>
      </c>
      <c r="R15">
        <v>0.99308634815292396</v>
      </c>
      <c r="S15" t="s">
        <v>4311</v>
      </c>
      <c r="T15" t="s">
        <v>8590</v>
      </c>
      <c r="U15" t="s">
        <v>8590</v>
      </c>
      <c r="V15" t="s">
        <v>8590</v>
      </c>
      <c r="W15">
        <v>18</v>
      </c>
      <c r="X15" t="s">
        <v>8605</v>
      </c>
      <c r="Y15">
        <v>0.49764792257869439</v>
      </c>
      <c r="Z15" t="str">
        <f>HYPERLINK("Melting_Curves/meltCurve_sp_A5YKK6_2_CNOT1_HUMAN_.pdf", "Melting_Curves/meltCurve_sp_A5YKK6_2_CNOT1_HUMAN_.pdf")</f>
        <v>Melting_Curves/meltCurve_sp_A5YKK6_2_CNOT1_HUMAN_.pdf</v>
      </c>
      <c r="AA15" t="s">
        <v>12897</v>
      </c>
      <c r="AB15" t="s">
        <v>17100</v>
      </c>
    </row>
    <row r="16" spans="1:28" x14ac:dyDescent="0.25">
      <c r="A16" t="s">
        <v>20</v>
      </c>
      <c r="B16">
        <v>0.99876560204751996</v>
      </c>
      <c r="C16">
        <v>0.910412224203483</v>
      </c>
      <c r="D16">
        <v>0.68103104243841095</v>
      </c>
      <c r="E16">
        <v>0.54684193768600797</v>
      </c>
      <c r="F16">
        <v>0.42809002347104202</v>
      </c>
      <c r="G16">
        <v>0.29585726818546298</v>
      </c>
      <c r="H16">
        <v>0.25414496553437699</v>
      </c>
      <c r="I16">
        <v>0.23519864705707499</v>
      </c>
      <c r="J16">
        <v>0.322607759757575</v>
      </c>
      <c r="K16">
        <v>0.278270353657044</v>
      </c>
      <c r="L16">
        <v>712.07347136793805</v>
      </c>
      <c r="M16">
        <v>14.877381943955999</v>
      </c>
      <c r="N16">
        <v>50.324395765477199</v>
      </c>
      <c r="O16">
        <v>47.023033696246401</v>
      </c>
      <c r="P16">
        <v>-5.8656461294438099E-2</v>
      </c>
      <c r="Q16">
        <v>0.25849414104353802</v>
      </c>
      <c r="R16">
        <v>0.98131682276316401</v>
      </c>
      <c r="S16" t="s">
        <v>4312</v>
      </c>
      <c r="T16" t="s">
        <v>8590</v>
      </c>
      <c r="U16" t="s">
        <v>8590</v>
      </c>
      <c r="V16" t="s">
        <v>8590</v>
      </c>
      <c r="W16">
        <v>2</v>
      </c>
      <c r="X16" t="s">
        <v>8606</v>
      </c>
      <c r="Y16">
        <v>0.47236201552113261</v>
      </c>
      <c r="Z16" t="str">
        <f>HYPERLINK("Melting_Curves/meltCurve_sp_A6ND36_2_FA83G_HUMAN_.pdf", "Melting_Curves/meltCurve_sp_A6ND36_2_FA83G_HUMAN_.pdf")</f>
        <v>Melting_Curves/meltCurve_sp_A6ND36_2_FA83G_HUMAN_.pdf</v>
      </c>
      <c r="AA16" t="s">
        <v>12898</v>
      </c>
      <c r="AB16" t="s">
        <v>17101</v>
      </c>
    </row>
    <row r="17" spans="1:28" x14ac:dyDescent="0.25">
      <c r="A17" t="s">
        <v>21</v>
      </c>
      <c r="B17">
        <v>0.99876560204751996</v>
      </c>
      <c r="C17">
        <v>1.0084688761299601</v>
      </c>
      <c r="D17">
        <v>1.0256580055808799</v>
      </c>
      <c r="E17">
        <v>0.93334810318074501</v>
      </c>
      <c r="F17">
        <v>0.89477411784726701</v>
      </c>
      <c r="G17">
        <v>0.69732496831722601</v>
      </c>
      <c r="H17">
        <v>0.57732705193339395</v>
      </c>
      <c r="I17">
        <v>0.57816870398258302</v>
      </c>
      <c r="J17">
        <v>0.68801551175234299</v>
      </c>
      <c r="K17">
        <v>0.59654374311134895</v>
      </c>
      <c r="L17">
        <v>1638.9146832814899</v>
      </c>
      <c r="M17">
        <v>30.083094799226998</v>
      </c>
      <c r="O17">
        <v>54.240553885013</v>
      </c>
      <c r="P17">
        <v>-5.4483317612439797E-2</v>
      </c>
      <c r="Q17">
        <v>0.60706353027493498</v>
      </c>
      <c r="R17">
        <v>0.961793382223886</v>
      </c>
      <c r="S17" t="s">
        <v>4313</v>
      </c>
      <c r="T17" t="s">
        <v>8590</v>
      </c>
      <c r="U17" t="s">
        <v>8590</v>
      </c>
      <c r="V17" t="s">
        <v>8590</v>
      </c>
      <c r="W17">
        <v>13</v>
      </c>
      <c r="X17" t="s">
        <v>8607</v>
      </c>
      <c r="Y17">
        <v>0.79929624411534095</v>
      </c>
      <c r="Z17" t="str">
        <f>HYPERLINK("Melting_Curves/meltCurve_sp_A6ND91_ASPD_HUMAN_.pdf", "Melting_Curves/meltCurve_sp_A6ND91_ASPD_HUMAN_.pdf")</f>
        <v>Melting_Curves/meltCurve_sp_A6ND91_ASPD_HUMAN_.pdf</v>
      </c>
      <c r="AA17" t="s">
        <v>12899</v>
      </c>
      <c r="AB17" t="s">
        <v>17102</v>
      </c>
    </row>
    <row r="18" spans="1:28" x14ac:dyDescent="0.25">
      <c r="A18" t="s">
        <v>22</v>
      </c>
      <c r="B18">
        <v>0.99876560204751996</v>
      </c>
      <c r="C18">
        <v>0.97726924012775795</v>
      </c>
      <c r="D18">
        <v>1.0068280049367599</v>
      </c>
      <c r="E18">
        <v>0.94013319574921494</v>
      </c>
      <c r="F18">
        <v>1.03448543605299</v>
      </c>
      <c r="G18">
        <v>0.80160595459072304</v>
      </c>
      <c r="H18">
        <v>0.76954082323036099</v>
      </c>
      <c r="I18">
        <v>0.79703471164961004</v>
      </c>
      <c r="J18">
        <v>0.964742264033284</v>
      </c>
      <c r="K18">
        <v>0.94735783664170403</v>
      </c>
      <c r="L18">
        <v>5426.5364500471196</v>
      </c>
      <c r="M18">
        <v>99.002299277937396</v>
      </c>
      <c r="O18">
        <v>54.789859024252401</v>
      </c>
      <c r="P18">
        <v>-6.5083098310424206E-2</v>
      </c>
      <c r="Q18">
        <v>0.85592680178196601</v>
      </c>
      <c r="R18">
        <v>0.527543680026206</v>
      </c>
      <c r="S18" t="s">
        <v>4314</v>
      </c>
      <c r="T18" t="s">
        <v>8590</v>
      </c>
      <c r="U18" t="s">
        <v>8590</v>
      </c>
      <c r="V18" t="s">
        <v>8590</v>
      </c>
      <c r="W18">
        <v>23</v>
      </c>
      <c r="X18" t="s">
        <v>8608</v>
      </c>
      <c r="Y18">
        <v>0.92715010901442141</v>
      </c>
      <c r="Z18" t="str">
        <f>HYPERLINK("Melting_Curves/meltCurve_sp_A6NDB9_PALM3_HUMAN_.pdf", "Melting_Curves/meltCurve_sp_A6NDB9_PALM3_HUMAN_.pdf")</f>
        <v>Melting_Curves/meltCurve_sp_A6NDB9_PALM3_HUMAN_.pdf</v>
      </c>
      <c r="AA18" t="s">
        <v>12900</v>
      </c>
      <c r="AB18" t="s">
        <v>17103</v>
      </c>
    </row>
    <row r="19" spans="1:28" x14ac:dyDescent="0.25">
      <c r="A19" t="s">
        <v>23</v>
      </c>
      <c r="B19">
        <v>0.99876560204751996</v>
      </c>
      <c r="C19">
        <v>0.92093280788767695</v>
      </c>
      <c r="D19">
        <v>0.979655065094999</v>
      </c>
      <c r="E19">
        <v>0.94958320697227105</v>
      </c>
      <c r="F19">
        <v>0.95687983596343795</v>
      </c>
      <c r="G19">
        <v>0.802697982437655</v>
      </c>
      <c r="H19">
        <v>0.64807942343472003</v>
      </c>
      <c r="I19">
        <v>0.42358568186082701</v>
      </c>
      <c r="J19">
        <v>8.6238541682279901E-2</v>
      </c>
      <c r="K19">
        <v>6.3658343978584594E-2</v>
      </c>
      <c r="L19">
        <v>1348.38920310295</v>
      </c>
      <c r="M19">
        <v>21.653408667156999</v>
      </c>
      <c r="N19">
        <v>62.271459881114403</v>
      </c>
      <c r="O19">
        <v>61.747637517542501</v>
      </c>
      <c r="P19">
        <v>-8.7671060760420402E-2</v>
      </c>
      <c r="Q19">
        <v>0</v>
      </c>
      <c r="R19">
        <v>0.97537242236723498</v>
      </c>
      <c r="S19" t="s">
        <v>4315</v>
      </c>
      <c r="T19" t="s">
        <v>8590</v>
      </c>
      <c r="U19" t="s">
        <v>8590</v>
      </c>
      <c r="V19" t="s">
        <v>8590</v>
      </c>
      <c r="W19">
        <v>8</v>
      </c>
      <c r="X19" t="s">
        <v>8609</v>
      </c>
      <c r="Y19">
        <v>0.74544058533500213</v>
      </c>
      <c r="Z19" t="str">
        <f>HYPERLINK("Melting_Curves/meltCurve_sp_A6NDG6_PGP_HUMAN_.pdf", "Melting_Curves/meltCurve_sp_A6NDG6_PGP_HUMAN_.pdf")</f>
        <v>Melting_Curves/meltCurve_sp_A6NDG6_PGP_HUMAN_.pdf</v>
      </c>
      <c r="AA19" t="s">
        <v>12901</v>
      </c>
      <c r="AB19" t="s">
        <v>17104</v>
      </c>
    </row>
    <row r="20" spans="1:28" x14ac:dyDescent="0.25">
      <c r="A20" t="s">
        <v>24</v>
      </c>
      <c r="B20">
        <v>0.99876560204751996</v>
      </c>
      <c r="C20">
        <v>0.95288746719749795</v>
      </c>
      <c r="D20">
        <v>0.85071811860665503</v>
      </c>
      <c r="E20">
        <v>0.84345569766989203</v>
      </c>
      <c r="F20">
        <v>0.66901263594763505</v>
      </c>
      <c r="G20">
        <v>0.39817227941176397</v>
      </c>
      <c r="H20">
        <v>0.24088803727246499</v>
      </c>
      <c r="I20">
        <v>0.229840341094047</v>
      </c>
      <c r="J20">
        <v>0.232069131027621</v>
      </c>
      <c r="K20">
        <v>0.201131433994481</v>
      </c>
      <c r="L20">
        <v>843.42468450753904</v>
      </c>
      <c r="M20">
        <v>15.6556816736367</v>
      </c>
      <c r="N20">
        <v>55.321794411897201</v>
      </c>
      <c r="O20">
        <v>53.017368921388403</v>
      </c>
      <c r="P20">
        <v>-6.14161402911476E-2</v>
      </c>
      <c r="Q20">
        <v>0.16813728030563099</v>
      </c>
      <c r="R20">
        <v>0.98459878249672605</v>
      </c>
      <c r="S20" t="s">
        <v>4316</v>
      </c>
      <c r="T20" t="s">
        <v>8590</v>
      </c>
      <c r="U20" t="s">
        <v>8590</v>
      </c>
      <c r="V20" t="s">
        <v>8590</v>
      </c>
      <c r="W20">
        <v>5</v>
      </c>
      <c r="X20" t="s">
        <v>8610</v>
      </c>
      <c r="Y20">
        <v>0.56908983912093614</v>
      </c>
      <c r="Z20" t="str">
        <f>HYPERLINK("Melting_Curves/meltCurve_sp_A6NED2_RCCD1_HUMAN_.pdf", "Melting_Curves/meltCurve_sp_A6NED2_RCCD1_HUMAN_.pdf")</f>
        <v>Melting_Curves/meltCurve_sp_A6NED2_RCCD1_HUMAN_.pdf</v>
      </c>
      <c r="AA20" t="s">
        <v>12902</v>
      </c>
      <c r="AB20" t="s">
        <v>17105</v>
      </c>
    </row>
    <row r="21" spans="1:28" x14ac:dyDescent="0.25">
      <c r="A21" t="s">
        <v>25</v>
      </c>
      <c r="B21">
        <v>0.99876560204751996</v>
      </c>
      <c r="C21">
        <v>1.13623692564249</v>
      </c>
      <c r="D21">
        <v>1.0791191410937599</v>
      </c>
      <c r="E21">
        <v>0.92694383766465405</v>
      </c>
      <c r="F21">
        <v>0.82638150531559296</v>
      </c>
      <c r="G21">
        <v>0.91117588412171402</v>
      </c>
      <c r="H21">
        <v>0.52037622902070102</v>
      </c>
      <c r="I21">
        <v>0.56258462172919699</v>
      </c>
      <c r="J21">
        <v>0.60951010268330197</v>
      </c>
      <c r="K21">
        <v>0.50859511945152402</v>
      </c>
      <c r="L21">
        <v>1064.1199011086001</v>
      </c>
      <c r="M21">
        <v>18.484760256517099</v>
      </c>
      <c r="O21">
        <v>56.9063561974653</v>
      </c>
      <c r="P21">
        <v>-4.0086225236877798E-2</v>
      </c>
      <c r="Q21">
        <v>0.50639129184554199</v>
      </c>
      <c r="R21">
        <v>0.85895261198559603</v>
      </c>
      <c r="S21" t="s">
        <v>4317</v>
      </c>
      <c r="T21" t="s">
        <v>8590</v>
      </c>
      <c r="U21" t="s">
        <v>8590</v>
      </c>
      <c r="V21" t="s">
        <v>8590</v>
      </c>
      <c r="W21">
        <v>3</v>
      </c>
      <c r="X21" t="s">
        <v>8611</v>
      </c>
      <c r="Y21">
        <v>0.80171111303892029</v>
      </c>
      <c r="Z21" t="str">
        <f>HYPERLINK("Melting_Curves/meltCurve_sp_A6NEL2_SWAHB_HUMAN_.pdf", "Melting_Curves/meltCurve_sp_A6NEL2_SWAHB_HUMAN_.pdf")</f>
        <v>Melting_Curves/meltCurve_sp_A6NEL2_SWAHB_HUMAN_.pdf</v>
      </c>
      <c r="AA21" t="s">
        <v>12903</v>
      </c>
      <c r="AB21" t="s">
        <v>17106</v>
      </c>
    </row>
    <row r="22" spans="1:28" x14ac:dyDescent="0.25">
      <c r="A22" t="s">
        <v>26</v>
      </c>
      <c r="B22">
        <v>0.99876560204751996</v>
      </c>
      <c r="C22">
        <v>0.99028618701252302</v>
      </c>
      <c r="D22">
        <v>1.17822485093329</v>
      </c>
      <c r="E22">
        <v>0.35748445761147901</v>
      </c>
      <c r="F22">
        <v>0.32293073075456502</v>
      </c>
      <c r="G22">
        <v>0.67135444055190696</v>
      </c>
      <c r="H22">
        <v>0.38735281017013501</v>
      </c>
      <c r="I22">
        <v>0.82506491224118395</v>
      </c>
      <c r="J22">
        <v>1.1802354417577801</v>
      </c>
      <c r="K22">
        <v>0.54589254204128601</v>
      </c>
      <c r="L22">
        <v>11971.350693136201</v>
      </c>
      <c r="M22">
        <v>250</v>
      </c>
      <c r="O22">
        <v>47.882338395375903</v>
      </c>
      <c r="P22">
        <v>-0.50527162142392301</v>
      </c>
      <c r="Q22">
        <v>0.61290261208160501</v>
      </c>
      <c r="R22">
        <v>0.39878247083420498</v>
      </c>
      <c r="S22" t="s">
        <v>4318</v>
      </c>
      <c r="T22" t="s">
        <v>8590</v>
      </c>
      <c r="U22" t="s">
        <v>8590</v>
      </c>
      <c r="V22" t="s">
        <v>8590</v>
      </c>
      <c r="W22">
        <v>1</v>
      </c>
      <c r="X22" t="s">
        <v>8612</v>
      </c>
      <c r="Y22">
        <v>0.71468243688932376</v>
      </c>
      <c r="Z22" t="str">
        <f>HYPERLINK("Melting_Curves/meltCurve_sp_A6NFY7_SDHF1_HUMAN_.pdf", "Melting_Curves/meltCurve_sp_A6NFY7_SDHF1_HUMAN_.pdf")</f>
        <v>Melting_Curves/meltCurve_sp_A6NFY7_SDHF1_HUMAN_.pdf</v>
      </c>
      <c r="AA22" t="s">
        <v>12904</v>
      </c>
      <c r="AB22" t="s">
        <v>17107</v>
      </c>
    </row>
    <row r="23" spans="1:28" x14ac:dyDescent="0.25">
      <c r="A23" t="s">
        <v>27</v>
      </c>
      <c r="B23">
        <v>0.99876560204751996</v>
      </c>
      <c r="C23">
        <v>0.96142649048966899</v>
      </c>
      <c r="D23">
        <v>0.97370777527723495</v>
      </c>
      <c r="E23">
        <v>0.69742547969407798</v>
      </c>
      <c r="F23">
        <v>0.426874916885294</v>
      </c>
      <c r="G23">
        <v>0.26581383698024302</v>
      </c>
      <c r="H23">
        <v>0.157451873894037</v>
      </c>
      <c r="I23">
        <v>0.138013740202132</v>
      </c>
      <c r="J23">
        <v>0.123491652545444</v>
      </c>
      <c r="K23">
        <v>7.2905945998151797E-2</v>
      </c>
      <c r="L23">
        <v>1016.52123139395</v>
      </c>
      <c r="M23">
        <v>19.636715497115301</v>
      </c>
      <c r="N23">
        <v>52.405208593644197</v>
      </c>
      <c r="O23">
        <v>51.238465764444001</v>
      </c>
      <c r="P23">
        <v>-8.5615355923717704E-2</v>
      </c>
      <c r="Q23">
        <v>0.106439980620925</v>
      </c>
      <c r="R23">
        <v>0.99556817740509995</v>
      </c>
      <c r="S23" t="s">
        <v>4319</v>
      </c>
      <c r="T23" t="s">
        <v>8590</v>
      </c>
      <c r="U23" t="s">
        <v>8590</v>
      </c>
      <c r="V23" t="s">
        <v>8590</v>
      </c>
      <c r="W23">
        <v>3</v>
      </c>
      <c r="X23" t="s">
        <v>8613</v>
      </c>
      <c r="Y23">
        <v>0.46969797573105138</v>
      </c>
      <c r="Z23" t="str">
        <f>HYPERLINK("Melting_Curves/meltCurve_sp_A6NIH7_U119B_HUMAN_.pdf", "Melting_Curves/meltCurve_sp_A6NIH7_U119B_HUMAN_.pdf")</f>
        <v>Melting_Curves/meltCurve_sp_A6NIH7_U119B_HUMAN_.pdf</v>
      </c>
      <c r="AA23" t="s">
        <v>12905</v>
      </c>
      <c r="AB23" t="s">
        <v>17108</v>
      </c>
    </row>
    <row r="24" spans="1:28" x14ac:dyDescent="0.25">
      <c r="A24" t="s">
        <v>28</v>
      </c>
      <c r="B24">
        <v>0.99876560204751996</v>
      </c>
      <c r="C24">
        <v>0.91857377733119805</v>
      </c>
      <c r="D24">
        <v>1.0514844326025801</v>
      </c>
      <c r="E24">
        <v>0.92666391304061602</v>
      </c>
      <c r="F24">
        <v>0.98987192008448599</v>
      </c>
      <c r="G24">
        <v>0.83549212934152195</v>
      </c>
      <c r="H24">
        <v>0.76186041182635</v>
      </c>
      <c r="I24">
        <v>0.67238507287789295</v>
      </c>
      <c r="J24">
        <v>0.76507608027901097</v>
      </c>
      <c r="K24">
        <v>0.63687912053539097</v>
      </c>
      <c r="L24">
        <v>1164.3589175925899</v>
      </c>
      <c r="M24">
        <v>20.2502460035215</v>
      </c>
      <c r="O24">
        <v>56.946598874294203</v>
      </c>
      <c r="P24">
        <v>-2.9108516110034899E-2</v>
      </c>
      <c r="Q24">
        <v>0.67258085836478798</v>
      </c>
      <c r="R24">
        <v>0.87141245672343604</v>
      </c>
      <c r="S24" t="s">
        <v>4320</v>
      </c>
      <c r="T24" t="s">
        <v>8590</v>
      </c>
      <c r="U24" t="s">
        <v>8590</v>
      </c>
      <c r="V24" t="s">
        <v>8590</v>
      </c>
      <c r="W24">
        <v>7</v>
      </c>
      <c r="X24" t="s">
        <v>8614</v>
      </c>
      <c r="Y24">
        <v>0.86737864714488633</v>
      </c>
      <c r="Z24" t="str">
        <f>HYPERLINK("Melting_Curves/meltCurve_sp_A6NK44_GLOD5_HUMAN_.pdf", "Melting_Curves/meltCurve_sp_A6NK44_GLOD5_HUMAN_.pdf")</f>
        <v>Melting_Curves/meltCurve_sp_A6NK44_GLOD5_HUMAN_.pdf</v>
      </c>
      <c r="AA24" t="s">
        <v>12906</v>
      </c>
      <c r="AB24" t="s">
        <v>17109</v>
      </c>
    </row>
    <row r="25" spans="1:28" x14ac:dyDescent="0.25">
      <c r="A25" t="s">
        <v>29</v>
      </c>
      <c r="B25">
        <v>0.99876560204751996</v>
      </c>
      <c r="C25">
        <v>0.94083546519148098</v>
      </c>
      <c r="D25">
        <v>0.96021113051123397</v>
      </c>
      <c r="E25">
        <v>0.78881465806948803</v>
      </c>
      <c r="F25">
        <v>0.77599100955699496</v>
      </c>
      <c r="G25">
        <v>0.520547196101804</v>
      </c>
      <c r="H25">
        <v>0.272455460209169</v>
      </c>
      <c r="I25">
        <v>0.21092896999125499</v>
      </c>
      <c r="J25">
        <v>0.17532617228080899</v>
      </c>
      <c r="K25">
        <v>0.15087152232867801</v>
      </c>
      <c r="L25">
        <v>742.75320185143096</v>
      </c>
      <c r="M25">
        <v>13.1720612338484</v>
      </c>
      <c r="N25">
        <v>56.979552608675498</v>
      </c>
      <c r="O25">
        <v>55.136359159950402</v>
      </c>
      <c r="P25">
        <v>-5.5920757500484301E-2</v>
      </c>
      <c r="Q25">
        <v>6.3851827475294998E-2</v>
      </c>
      <c r="R25">
        <v>0.98869036907362595</v>
      </c>
      <c r="S25" t="s">
        <v>4321</v>
      </c>
      <c r="T25" t="s">
        <v>8590</v>
      </c>
      <c r="U25" t="s">
        <v>8590</v>
      </c>
      <c r="V25" t="s">
        <v>8590</v>
      </c>
      <c r="W25">
        <v>2</v>
      </c>
      <c r="X25" t="s">
        <v>8615</v>
      </c>
      <c r="Y25">
        <v>0.59252416513007877</v>
      </c>
      <c r="Z25" t="str">
        <f>HYPERLINK("Melting_Curves/meltCurve_sp_A6NK58_LIPT2_HUMAN_.pdf", "Melting_Curves/meltCurve_sp_A6NK58_LIPT2_HUMAN_.pdf")</f>
        <v>Melting_Curves/meltCurve_sp_A6NK58_LIPT2_HUMAN_.pdf</v>
      </c>
      <c r="AA25" t="s">
        <v>12907</v>
      </c>
      <c r="AB25" t="s">
        <v>17110</v>
      </c>
    </row>
    <row r="26" spans="1:28" x14ac:dyDescent="0.25">
      <c r="A26" t="s">
        <v>30</v>
      </c>
      <c r="B26">
        <v>0.99876560204751996</v>
      </c>
      <c r="C26">
        <v>0.95171253633714603</v>
      </c>
      <c r="D26">
        <v>0.97561873291980405</v>
      </c>
      <c r="E26">
        <v>0.81641018832560397</v>
      </c>
      <c r="F26">
        <v>0.769571586765326</v>
      </c>
      <c r="G26">
        <v>0.53666335941082799</v>
      </c>
      <c r="H26">
        <v>0.45014217267918</v>
      </c>
      <c r="I26">
        <v>0.42200727631775098</v>
      </c>
      <c r="J26">
        <v>0.54432881507631203</v>
      </c>
      <c r="K26">
        <v>0.42552326201019097</v>
      </c>
      <c r="L26">
        <v>974.44208734689096</v>
      </c>
      <c r="M26">
        <v>18.423149171993298</v>
      </c>
      <c r="N26">
        <v>59.796511797454897</v>
      </c>
      <c r="O26">
        <v>52.280898786704903</v>
      </c>
      <c r="P26">
        <v>-4.9300077410279697E-2</v>
      </c>
      <c r="Q26">
        <v>0.44041351457015498</v>
      </c>
      <c r="R26">
        <v>0.96359128102952296</v>
      </c>
      <c r="S26" t="s">
        <v>4322</v>
      </c>
      <c r="T26" t="s">
        <v>8590</v>
      </c>
      <c r="U26" t="s">
        <v>8590</v>
      </c>
      <c r="V26" t="s">
        <v>8590</v>
      </c>
      <c r="W26">
        <v>4</v>
      </c>
      <c r="X26" t="s">
        <v>8616</v>
      </c>
      <c r="Y26">
        <v>0.68973237562116019</v>
      </c>
      <c r="Z26" t="str">
        <f>HYPERLINK("Melting_Curves/meltCurve_sp_A6NKD9_CC85C_HUMAN_.pdf", "Melting_Curves/meltCurve_sp_A6NKD9_CC85C_HUMAN_.pdf")</f>
        <v>Melting_Curves/meltCurve_sp_A6NKD9_CC85C_HUMAN_.pdf</v>
      </c>
      <c r="AA26" t="s">
        <v>12908</v>
      </c>
      <c r="AB26" t="s">
        <v>17111</v>
      </c>
    </row>
    <row r="27" spans="1:28" x14ac:dyDescent="0.25">
      <c r="A27" t="s">
        <v>31</v>
      </c>
      <c r="B27">
        <v>0.99876560204751996</v>
      </c>
      <c r="C27">
        <v>1.3137880375364599</v>
      </c>
      <c r="D27">
        <v>1.5207925812662</v>
      </c>
      <c r="E27">
        <v>1.6620055601527</v>
      </c>
      <c r="F27">
        <v>2.1558024943931402</v>
      </c>
      <c r="G27">
        <v>1.9978556544975701</v>
      </c>
      <c r="H27">
        <v>2.22992993214883</v>
      </c>
      <c r="I27">
        <v>2.1520085308444599</v>
      </c>
      <c r="J27">
        <v>2.1601662716987802</v>
      </c>
      <c r="K27">
        <v>3.79653621181731</v>
      </c>
      <c r="L27">
        <v>10095.056895793899</v>
      </c>
      <c r="M27">
        <v>235.83784656850901</v>
      </c>
      <c r="O27">
        <v>42.802003780071701</v>
      </c>
      <c r="P27">
        <v>0.68874661055558895</v>
      </c>
      <c r="Q27">
        <v>1.5</v>
      </c>
      <c r="R27">
        <v>-0.42581647130350903</v>
      </c>
      <c r="S27" t="s">
        <v>4323</v>
      </c>
      <c r="T27" t="s">
        <v>8590</v>
      </c>
      <c r="U27" t="s">
        <v>8590</v>
      </c>
      <c r="V27" t="s">
        <v>8590</v>
      </c>
      <c r="W27">
        <v>2</v>
      </c>
      <c r="X27" t="s">
        <v>8617</v>
      </c>
      <c r="Y27">
        <v>1.4532065278692301</v>
      </c>
      <c r="Z27" t="str">
        <f>HYPERLINK("Melting_Curves/meltCurve_sp_A6NKN8_PC4L1_HUMAN_.pdf", "Melting_Curves/meltCurve_sp_A6NKN8_PC4L1_HUMAN_.pdf")</f>
        <v>Melting_Curves/meltCurve_sp_A6NKN8_PC4L1_HUMAN_.pdf</v>
      </c>
      <c r="AA27" t="s">
        <v>12909</v>
      </c>
      <c r="AB27" t="s">
        <v>17112</v>
      </c>
    </row>
    <row r="28" spans="1:28" x14ac:dyDescent="0.25">
      <c r="A28" t="s">
        <v>32</v>
      </c>
      <c r="B28">
        <v>0.99876560204751996</v>
      </c>
      <c r="C28">
        <v>1.00159890208835</v>
      </c>
      <c r="D28">
        <v>0.94578061847359496</v>
      </c>
      <c r="E28">
        <v>0.92819743563452395</v>
      </c>
      <c r="F28">
        <v>0.85785869020878902</v>
      </c>
      <c r="G28">
        <v>0.66789769952753497</v>
      </c>
      <c r="H28">
        <v>0.42536039493316802</v>
      </c>
      <c r="I28">
        <v>0.35897846031257102</v>
      </c>
      <c r="J28">
        <v>0.38894861518576401</v>
      </c>
      <c r="K28">
        <v>0.30124041764114501</v>
      </c>
      <c r="L28">
        <v>1032.6165113949601</v>
      </c>
      <c r="M28">
        <v>18.1488110265926</v>
      </c>
      <c r="N28">
        <v>59.8565088686058</v>
      </c>
      <c r="O28">
        <v>56.219903386635998</v>
      </c>
      <c r="P28">
        <v>-5.6805803010869099E-2</v>
      </c>
      <c r="Q28">
        <v>0.29616012537038</v>
      </c>
      <c r="R28">
        <v>0.99055527392722797</v>
      </c>
      <c r="S28" t="s">
        <v>4324</v>
      </c>
      <c r="T28" t="s">
        <v>8590</v>
      </c>
      <c r="U28" t="s">
        <v>8590</v>
      </c>
      <c r="V28" t="s">
        <v>8590</v>
      </c>
      <c r="W28">
        <v>9</v>
      </c>
      <c r="X28" t="s">
        <v>8618</v>
      </c>
      <c r="Y28">
        <v>0.70225147977495739</v>
      </c>
      <c r="Z28" t="str">
        <f>HYPERLINK("Melting_Curves/meltCurve_sp_A6NLP5_TTC36_HUMAN_.pdf", "Melting_Curves/meltCurve_sp_A6NLP5_TTC36_HUMAN_.pdf")</f>
        <v>Melting_Curves/meltCurve_sp_A6NLP5_TTC36_HUMAN_.pdf</v>
      </c>
      <c r="AA28" t="s">
        <v>12910</v>
      </c>
      <c r="AB28" t="s">
        <v>17113</v>
      </c>
    </row>
    <row r="29" spans="1:28" x14ac:dyDescent="0.25">
      <c r="A29" t="s">
        <v>33</v>
      </c>
      <c r="B29">
        <v>0.99876560204751996</v>
      </c>
      <c r="C29">
        <v>0.86339777457488198</v>
      </c>
      <c r="D29">
        <v>0.98277697666950503</v>
      </c>
      <c r="E29">
        <v>0.79704032075243403</v>
      </c>
      <c r="F29">
        <v>0.78875181813265705</v>
      </c>
      <c r="G29">
        <v>0.50309737731339299</v>
      </c>
      <c r="H29">
        <v>0.27716488132620198</v>
      </c>
      <c r="I29">
        <v>0.22345970485224101</v>
      </c>
      <c r="J29">
        <v>0.25509405075234098</v>
      </c>
      <c r="K29">
        <v>0.229523102757099</v>
      </c>
      <c r="L29">
        <v>867.69863541084305</v>
      </c>
      <c r="M29">
        <v>15.704490539003</v>
      </c>
      <c r="N29">
        <v>56.802209332763603</v>
      </c>
      <c r="O29">
        <v>54.379016442101403</v>
      </c>
      <c r="P29">
        <v>-5.9618307427577698E-2</v>
      </c>
      <c r="Q29">
        <v>0.17432243905779099</v>
      </c>
      <c r="R29">
        <v>0.96672530840798399</v>
      </c>
      <c r="S29" t="s">
        <v>4325</v>
      </c>
      <c r="T29" t="s">
        <v>8590</v>
      </c>
      <c r="U29" t="s">
        <v>8590</v>
      </c>
      <c r="V29" t="s">
        <v>8590</v>
      </c>
      <c r="W29">
        <v>3</v>
      </c>
      <c r="X29" t="s">
        <v>8619</v>
      </c>
      <c r="Y29">
        <v>0.60897720998952209</v>
      </c>
      <c r="Z29" t="str">
        <f>HYPERLINK("Melting_Curves/meltCurve_sp_A8MSI8_LYRM9_HUMAN_.pdf", "Melting_Curves/meltCurve_sp_A8MSI8_LYRM9_HUMAN_.pdf")</f>
        <v>Melting_Curves/meltCurve_sp_A8MSI8_LYRM9_HUMAN_.pdf</v>
      </c>
      <c r="AA29" t="s">
        <v>12911</v>
      </c>
      <c r="AB29" t="s">
        <v>17114</v>
      </c>
    </row>
    <row r="30" spans="1:28" x14ac:dyDescent="0.25">
      <c r="A30" t="s">
        <v>34</v>
      </c>
      <c r="B30">
        <v>0.99876560204751996</v>
      </c>
      <c r="C30">
        <v>1.2095571554483999</v>
      </c>
      <c r="D30">
        <v>1.2398070023782299</v>
      </c>
      <c r="E30">
        <v>1.08618119812564</v>
      </c>
      <c r="F30">
        <v>0.85740714727245104</v>
      </c>
      <c r="G30">
        <v>0.49848175144641999</v>
      </c>
      <c r="H30">
        <v>0.13454815429880199</v>
      </c>
      <c r="I30">
        <v>9.98130032525123E-2</v>
      </c>
      <c r="J30">
        <v>5.5649553878433899E-2</v>
      </c>
      <c r="K30">
        <v>4.66185190479739E-2</v>
      </c>
      <c r="L30">
        <v>1741.66929105804</v>
      </c>
      <c r="M30">
        <v>30.721254576890399</v>
      </c>
      <c r="N30">
        <v>56.893324994598999</v>
      </c>
      <c r="O30">
        <v>56.454057869085098</v>
      </c>
      <c r="P30">
        <v>-0.12906031112572999</v>
      </c>
      <c r="Q30">
        <v>5.1349291756714398E-2</v>
      </c>
      <c r="R30">
        <v>0.95046493501785001</v>
      </c>
      <c r="S30" t="s">
        <v>4326</v>
      </c>
      <c r="T30" t="s">
        <v>8590</v>
      </c>
      <c r="U30" t="s">
        <v>8590</v>
      </c>
      <c r="V30" t="s">
        <v>8590</v>
      </c>
      <c r="W30">
        <v>7</v>
      </c>
      <c r="X30" t="s">
        <v>8620</v>
      </c>
      <c r="Y30">
        <v>0.58526073628222275</v>
      </c>
      <c r="Z30" t="str">
        <f>HYPERLINK("Melting_Curves/meltCurve_sp_A8MXV4_NUD19_HUMAN_.pdf", "Melting_Curves/meltCurve_sp_A8MXV4_NUD19_HUMAN_.pdf")</f>
        <v>Melting_Curves/meltCurve_sp_A8MXV4_NUD19_HUMAN_.pdf</v>
      </c>
      <c r="AA30" t="s">
        <v>12912</v>
      </c>
      <c r="AB30" t="s">
        <v>17115</v>
      </c>
    </row>
    <row r="31" spans="1:28" x14ac:dyDescent="0.25">
      <c r="A31" t="s">
        <v>35</v>
      </c>
      <c r="B31">
        <v>0.99876560204751996</v>
      </c>
      <c r="C31">
        <v>1.08280685739423</v>
      </c>
      <c r="D31">
        <v>1.11777994058241</v>
      </c>
      <c r="E31">
        <v>1.0103972106254</v>
      </c>
      <c r="F31">
        <v>1.05574490625573</v>
      </c>
      <c r="G31">
        <v>0.61563820166059002</v>
      </c>
      <c r="H31">
        <v>0.36446338147040802</v>
      </c>
      <c r="I31">
        <v>0.179300157171212</v>
      </c>
      <c r="J31">
        <v>8.2163203809896307E-2</v>
      </c>
      <c r="K31">
        <v>4.6542466627172902E-2</v>
      </c>
      <c r="L31">
        <v>1433.3432885910599</v>
      </c>
      <c r="M31">
        <v>24.391564015972499</v>
      </c>
      <c r="N31">
        <v>59.001916854962097</v>
      </c>
      <c r="O31">
        <v>58.373180287303803</v>
      </c>
      <c r="P31">
        <v>-9.9570507195185495E-2</v>
      </c>
      <c r="Q31">
        <v>4.6857202355655297E-2</v>
      </c>
      <c r="R31">
        <v>0.97550668547299102</v>
      </c>
      <c r="S31" t="s">
        <v>4327</v>
      </c>
      <c r="T31" t="s">
        <v>8590</v>
      </c>
      <c r="U31" t="s">
        <v>8590</v>
      </c>
      <c r="V31" t="s">
        <v>8590</v>
      </c>
      <c r="W31">
        <v>2</v>
      </c>
      <c r="X31" t="s">
        <v>8621</v>
      </c>
      <c r="Y31">
        <v>0.65119742930211832</v>
      </c>
      <c r="Z31" t="str">
        <f>HYPERLINK("Melting_Curves/meltCurve_sp_B1AJZ9_4_FHAD1_HUMAN_.pdf", "Melting_Curves/meltCurve_sp_B1AJZ9_4_FHAD1_HUMAN_.pdf")</f>
        <v>Melting_Curves/meltCurve_sp_B1AJZ9_4_FHAD1_HUMAN_.pdf</v>
      </c>
      <c r="AA31" t="s">
        <v>12913</v>
      </c>
      <c r="AB31" t="s">
        <v>17116</v>
      </c>
    </row>
    <row r="32" spans="1:28" x14ac:dyDescent="0.25">
      <c r="A32" t="s">
        <v>36</v>
      </c>
      <c r="B32">
        <v>0.99876560204751996</v>
      </c>
      <c r="C32">
        <v>0.93176854456420299</v>
      </c>
      <c r="D32">
        <v>1.09956396508492</v>
      </c>
      <c r="E32">
        <v>0.97396638885527098</v>
      </c>
      <c r="F32">
        <v>1.0875494440632301</v>
      </c>
      <c r="G32">
        <v>0.93376380412036197</v>
      </c>
      <c r="H32">
        <v>0.87569592521873296</v>
      </c>
      <c r="I32">
        <v>0.88970553005225805</v>
      </c>
      <c r="J32">
        <v>1.08483160669548</v>
      </c>
      <c r="K32">
        <v>1.0910696745723101</v>
      </c>
      <c r="L32">
        <v>15000</v>
      </c>
      <c r="M32">
        <v>226.346780370434</v>
      </c>
      <c r="O32">
        <v>66.264821332469694</v>
      </c>
      <c r="P32">
        <v>7.8130840853317396E-2</v>
      </c>
      <c r="Q32">
        <v>1.0914937020870099</v>
      </c>
      <c r="R32">
        <v>0.218678128560577</v>
      </c>
      <c r="S32" t="s">
        <v>4328</v>
      </c>
      <c r="T32" t="s">
        <v>8590</v>
      </c>
      <c r="U32" t="s">
        <v>8590</v>
      </c>
      <c r="V32" t="s">
        <v>8590</v>
      </c>
      <c r="W32">
        <v>3</v>
      </c>
      <c r="X32" t="s">
        <v>8622</v>
      </c>
      <c r="Y32">
        <v>1.0113627562974179</v>
      </c>
      <c r="Z32" t="str">
        <f>HYPERLINK("Melting_Curves/meltCurve_sp_B1AK53_ESPN_HUMAN_.pdf", "Melting_Curves/meltCurve_sp_B1AK53_ESPN_HUMAN_.pdf")</f>
        <v>Melting_Curves/meltCurve_sp_B1AK53_ESPN_HUMAN_.pdf</v>
      </c>
      <c r="AA32" t="s">
        <v>12914</v>
      </c>
      <c r="AB32" t="s">
        <v>17117</v>
      </c>
    </row>
    <row r="33" spans="1:28" x14ac:dyDescent="0.25">
      <c r="A33" t="s">
        <v>37</v>
      </c>
      <c r="B33">
        <v>0.99876560204751996</v>
      </c>
      <c r="C33">
        <v>0.87902294660271396</v>
      </c>
      <c r="D33">
        <v>0.87597010976910905</v>
      </c>
      <c r="E33">
        <v>0.79447796263534098</v>
      </c>
      <c r="F33">
        <v>0.76938793608892797</v>
      </c>
      <c r="G33">
        <v>0.50211709615521205</v>
      </c>
      <c r="H33">
        <v>0.34860205293316598</v>
      </c>
      <c r="I33">
        <v>0.25924634013655501</v>
      </c>
      <c r="J33">
        <v>0.36965518885008503</v>
      </c>
      <c r="K33">
        <v>0.41143118193204198</v>
      </c>
      <c r="L33">
        <v>717.197610841043</v>
      </c>
      <c r="M33">
        <v>13.382163264701401</v>
      </c>
      <c r="N33">
        <v>57.347333153164797</v>
      </c>
      <c r="O33">
        <v>52.439205417056897</v>
      </c>
      <c r="P33">
        <v>-4.51912234233958E-2</v>
      </c>
      <c r="Q33">
        <v>0.29176823990073297</v>
      </c>
      <c r="R33">
        <v>0.93015374869743095</v>
      </c>
      <c r="S33" t="s">
        <v>4329</v>
      </c>
      <c r="T33" t="s">
        <v>8590</v>
      </c>
      <c r="U33" t="s">
        <v>8590</v>
      </c>
      <c r="V33" t="s">
        <v>8590</v>
      </c>
      <c r="W33">
        <v>2</v>
      </c>
      <c r="X33" t="s">
        <v>8623</v>
      </c>
      <c r="Y33">
        <v>0.62974938068178477</v>
      </c>
      <c r="Z33" t="str">
        <f>HYPERLINK("Melting_Curves/meltCurve_sp_B7ZBB8_PP13G_HUMAN_.pdf", "Melting_Curves/meltCurve_sp_B7ZBB8_PP13G_HUMAN_.pdf")</f>
        <v>Melting_Curves/meltCurve_sp_B7ZBB8_PP13G_HUMAN_.pdf</v>
      </c>
      <c r="AA33" t="s">
        <v>12915</v>
      </c>
      <c r="AB33" t="s">
        <v>17118</v>
      </c>
    </row>
    <row r="34" spans="1:28" x14ac:dyDescent="0.25">
      <c r="A34" t="s">
        <v>38</v>
      </c>
      <c r="B34">
        <v>0.99876560204751996</v>
      </c>
      <c r="C34">
        <v>0.85490771302801305</v>
      </c>
      <c r="D34">
        <v>0.92460611059547804</v>
      </c>
      <c r="E34">
        <v>0.90097693818542202</v>
      </c>
      <c r="F34">
        <v>0.98967343229178995</v>
      </c>
      <c r="G34">
        <v>0.789367181269087</v>
      </c>
      <c r="H34">
        <v>0.57083898299731095</v>
      </c>
      <c r="I34">
        <v>0.41095381154030097</v>
      </c>
      <c r="J34">
        <v>0.31701631764878802</v>
      </c>
      <c r="K34">
        <v>0.32747634441246898</v>
      </c>
      <c r="L34">
        <v>1204.59843386229</v>
      </c>
      <c r="M34">
        <v>20.172590392195701</v>
      </c>
      <c r="N34">
        <v>62.084667514190699</v>
      </c>
      <c r="O34">
        <v>59.137078219579003</v>
      </c>
      <c r="P34">
        <v>-6.2382495995956702E-2</v>
      </c>
      <c r="Q34">
        <v>0.26851187763842299</v>
      </c>
      <c r="R34">
        <v>0.94590776437615098</v>
      </c>
      <c r="S34" t="s">
        <v>4330</v>
      </c>
      <c r="T34" t="s">
        <v>8590</v>
      </c>
      <c r="U34" t="s">
        <v>8590</v>
      </c>
      <c r="V34" t="s">
        <v>8590</v>
      </c>
      <c r="W34">
        <v>3</v>
      </c>
      <c r="X34" t="s">
        <v>8624</v>
      </c>
      <c r="Y34">
        <v>0.75570370544845678</v>
      </c>
      <c r="Z34" t="str">
        <f>HYPERLINK("Melting_Curves/meltCurve_sp_B9A064_IGLL5_HUMAN_.pdf", "Melting_Curves/meltCurve_sp_B9A064_IGLL5_HUMAN_.pdf")</f>
        <v>Melting_Curves/meltCurve_sp_B9A064_IGLL5_HUMAN_.pdf</v>
      </c>
      <c r="AA34" t="s">
        <v>12916</v>
      </c>
      <c r="AB34" t="s">
        <v>17119</v>
      </c>
    </row>
    <row r="35" spans="1:28" x14ac:dyDescent="0.25">
      <c r="A35" t="s">
        <v>39</v>
      </c>
      <c r="B35">
        <v>0.99876560204751996</v>
      </c>
      <c r="C35">
        <v>0.93014354640305497</v>
      </c>
      <c r="D35">
        <v>0.82599917124294997</v>
      </c>
      <c r="E35">
        <v>0.96356129752483199</v>
      </c>
      <c r="F35">
        <v>0.94915700834949701</v>
      </c>
      <c r="G35">
        <v>0.811485143166078</v>
      </c>
      <c r="H35">
        <v>0.62868905536474795</v>
      </c>
      <c r="I35">
        <v>0.60742059568394402</v>
      </c>
      <c r="J35">
        <v>0.60929753810175602</v>
      </c>
      <c r="K35">
        <v>0.38597633819369997</v>
      </c>
      <c r="L35">
        <v>484.19651425705598</v>
      </c>
      <c r="M35">
        <v>7.1320218009046901</v>
      </c>
      <c r="N35">
        <v>67.890498334807901</v>
      </c>
      <c r="O35">
        <v>63.160386873181501</v>
      </c>
      <c r="P35">
        <v>-2.8278674130032801E-2</v>
      </c>
      <c r="Q35">
        <v>0</v>
      </c>
      <c r="R35">
        <v>0.88160470131691304</v>
      </c>
      <c r="S35" t="s">
        <v>4331</v>
      </c>
      <c r="T35" t="s">
        <v>8590</v>
      </c>
      <c r="U35" t="s">
        <v>8590</v>
      </c>
      <c r="V35" t="s">
        <v>8590</v>
      </c>
      <c r="W35">
        <v>6</v>
      </c>
      <c r="X35" t="s">
        <v>8625</v>
      </c>
      <c r="Y35">
        <v>0.79500854105457808</v>
      </c>
      <c r="Z35" t="str">
        <f>HYPERLINK("Melting_Curves/meltCurve_sp_C4AMC7_WASH3_HUMAN_.pdf", "Melting_Curves/meltCurve_sp_C4AMC7_WASH3_HUMAN_.pdf")</f>
        <v>Melting_Curves/meltCurve_sp_C4AMC7_WASH3_HUMAN_.pdf</v>
      </c>
      <c r="AA35" t="s">
        <v>12917</v>
      </c>
      <c r="AB35" t="s">
        <v>17120</v>
      </c>
    </row>
    <row r="36" spans="1:28" x14ac:dyDescent="0.25">
      <c r="A36" t="s">
        <v>40</v>
      </c>
      <c r="B36">
        <v>0.99876560204751996</v>
      </c>
      <c r="C36">
        <v>0.98127971048863605</v>
      </c>
      <c r="D36">
        <v>0.89832593142658301</v>
      </c>
      <c r="E36">
        <v>0.90597238313655803</v>
      </c>
      <c r="F36">
        <v>0.68834732894137696</v>
      </c>
      <c r="G36">
        <v>0.57258083739740395</v>
      </c>
      <c r="H36">
        <v>0.46554041343832903</v>
      </c>
      <c r="I36">
        <v>0.43465918055092201</v>
      </c>
      <c r="J36">
        <v>0.35289488572239602</v>
      </c>
      <c r="K36">
        <v>0.30308416534709498</v>
      </c>
      <c r="L36">
        <v>611.12243250520396</v>
      </c>
      <c r="M36">
        <v>10.9344919550374</v>
      </c>
      <c r="N36">
        <v>59.643988170312198</v>
      </c>
      <c r="O36">
        <v>54.117622748526898</v>
      </c>
      <c r="P36">
        <v>-3.7958626436801403E-2</v>
      </c>
      <c r="Q36">
        <v>0.248791186277872</v>
      </c>
      <c r="R36">
        <v>0.98477156975775104</v>
      </c>
      <c r="S36" t="s">
        <v>4332</v>
      </c>
      <c r="T36" t="s">
        <v>8590</v>
      </c>
      <c r="U36" t="s">
        <v>8590</v>
      </c>
      <c r="V36" t="s">
        <v>8590</v>
      </c>
      <c r="W36">
        <v>2</v>
      </c>
      <c r="X36" t="s">
        <v>8626</v>
      </c>
      <c r="Y36">
        <v>0.66273634176983953</v>
      </c>
      <c r="Z36" t="str">
        <f>HYPERLINK("Melting_Curves/meltCurve_sp_F8WCM5_INSR2_HUMAN_.pdf", "Melting_Curves/meltCurve_sp_F8WCM5_INSR2_HUMAN_.pdf")</f>
        <v>Melting_Curves/meltCurve_sp_F8WCM5_INSR2_HUMAN_.pdf</v>
      </c>
      <c r="AA36" t="s">
        <v>12918</v>
      </c>
      <c r="AB36" t="s">
        <v>17121</v>
      </c>
    </row>
    <row r="37" spans="1:28" x14ac:dyDescent="0.25">
      <c r="A37" t="s">
        <v>41</v>
      </c>
      <c r="B37">
        <v>0.99876560204751996</v>
      </c>
      <c r="C37">
        <v>0.86827896289138196</v>
      </c>
      <c r="D37">
        <v>0.91455290386677501</v>
      </c>
      <c r="E37">
        <v>0.60373555410130997</v>
      </c>
      <c r="F37">
        <v>0.28441164559429899</v>
      </c>
      <c r="G37">
        <v>0.109125438906837</v>
      </c>
      <c r="H37">
        <v>4.4735596130036498E-2</v>
      </c>
      <c r="I37">
        <v>5.7410499771143299E-2</v>
      </c>
      <c r="J37">
        <v>3.30785767832995E-2</v>
      </c>
      <c r="K37">
        <v>2.7105717647423599E-2</v>
      </c>
      <c r="L37">
        <v>1068.88510393261</v>
      </c>
      <c r="M37">
        <v>21.0881233893728</v>
      </c>
      <c r="N37">
        <v>50.818098199318896</v>
      </c>
      <c r="O37">
        <v>50.237402538646002</v>
      </c>
      <c r="P37">
        <v>-0.10215834199273301</v>
      </c>
      <c r="Q37">
        <v>2.65545808037423E-2</v>
      </c>
      <c r="R37">
        <v>0.99077201726639896</v>
      </c>
      <c r="S37" t="s">
        <v>4333</v>
      </c>
      <c r="T37" t="s">
        <v>8590</v>
      </c>
      <c r="U37" t="s">
        <v>8590</v>
      </c>
      <c r="V37" t="s">
        <v>8590</v>
      </c>
      <c r="W37">
        <v>2</v>
      </c>
      <c r="X37" t="s">
        <v>8627</v>
      </c>
      <c r="Y37">
        <v>0.38553719896464972</v>
      </c>
      <c r="Z37" t="str">
        <f>HYPERLINK("Melting_Curves/meltCurve_sp_O00116_ADAS_HUMAN_.pdf", "Melting_Curves/meltCurve_sp_O00116_ADAS_HUMAN_.pdf")</f>
        <v>Melting_Curves/meltCurve_sp_O00116_ADAS_HUMAN_.pdf</v>
      </c>
      <c r="AA37" t="s">
        <v>12919</v>
      </c>
      <c r="AB37" t="s">
        <v>17122</v>
      </c>
    </row>
    <row r="38" spans="1:28" x14ac:dyDescent="0.25">
      <c r="A38" t="s">
        <v>42</v>
      </c>
      <c r="B38">
        <v>0.99876560204751996</v>
      </c>
      <c r="C38">
        <v>0.92823716324835703</v>
      </c>
      <c r="D38">
        <v>1.2231310064976</v>
      </c>
      <c r="E38">
        <v>0.87676853323908499</v>
      </c>
      <c r="F38">
        <v>0.95574865940543896</v>
      </c>
      <c r="G38">
        <v>0.75787721437756606</v>
      </c>
      <c r="H38">
        <v>0.50673593042123299</v>
      </c>
      <c r="I38">
        <v>0.41664578582970702</v>
      </c>
      <c r="J38">
        <v>0.46903989130042401</v>
      </c>
      <c r="K38">
        <v>0.426485068467929</v>
      </c>
      <c r="L38">
        <v>1663.4595525513</v>
      </c>
      <c r="M38">
        <v>28.953679552956999</v>
      </c>
      <c r="N38">
        <v>61.4424208096302</v>
      </c>
      <c r="O38">
        <v>57.180467538499798</v>
      </c>
      <c r="P38">
        <v>-7.2951158111593098E-2</v>
      </c>
      <c r="Q38">
        <v>0.42372090461593398</v>
      </c>
      <c r="R38">
        <v>0.90228470055232601</v>
      </c>
      <c r="S38" t="s">
        <v>4334</v>
      </c>
      <c r="T38" t="s">
        <v>8590</v>
      </c>
      <c r="U38" t="s">
        <v>8590</v>
      </c>
      <c r="V38" t="s">
        <v>8590</v>
      </c>
      <c r="W38">
        <v>1</v>
      </c>
      <c r="X38" t="s">
        <v>8628</v>
      </c>
      <c r="Y38">
        <v>0.76303046485850889</v>
      </c>
      <c r="Z38" t="str">
        <f>HYPERLINK("Melting_Curves/meltCurve_sp_O00124_3_UBXN8_HUMAN_.pdf", "Melting_Curves/meltCurve_sp_O00124_3_UBXN8_HUMAN_.pdf")</f>
        <v>Melting_Curves/meltCurve_sp_O00124_3_UBXN8_HUMAN_.pdf</v>
      </c>
      <c r="AA38" t="s">
        <v>12920</v>
      </c>
      <c r="AB38" t="s">
        <v>17123</v>
      </c>
    </row>
    <row r="39" spans="1:28" x14ac:dyDescent="0.25">
      <c r="A39" t="s">
        <v>43</v>
      </c>
      <c r="B39">
        <v>0.99876560204751996</v>
      </c>
      <c r="C39">
        <v>0.99182484293932704</v>
      </c>
      <c r="D39">
        <v>1.03999995687583</v>
      </c>
      <c r="E39">
        <v>0.54771521531043799</v>
      </c>
      <c r="F39">
        <v>0.44783247835934598</v>
      </c>
      <c r="G39">
        <v>0.229051003542457</v>
      </c>
      <c r="H39">
        <v>0.11581493356879601</v>
      </c>
      <c r="I39">
        <v>0.10669838703303899</v>
      </c>
      <c r="J39">
        <v>7.7365476594533897E-2</v>
      </c>
      <c r="K39">
        <v>5.3214275466867599E-2</v>
      </c>
      <c r="L39">
        <v>994.92098697497397</v>
      </c>
      <c r="M39">
        <v>19.379425694231099</v>
      </c>
      <c r="N39">
        <v>51.787558410323697</v>
      </c>
      <c r="O39">
        <v>50.8017477361335</v>
      </c>
      <c r="P39">
        <v>-8.8003518367389094E-2</v>
      </c>
      <c r="Q39">
        <v>7.7254838448356997E-2</v>
      </c>
      <c r="R39">
        <v>0.97871456677694602</v>
      </c>
      <c r="S39" t="s">
        <v>4335</v>
      </c>
      <c r="T39" t="s">
        <v>8590</v>
      </c>
      <c r="U39" t="s">
        <v>8590</v>
      </c>
      <c r="V39" t="s">
        <v>8590</v>
      </c>
      <c r="W39">
        <v>3</v>
      </c>
      <c r="X39" t="s">
        <v>8629</v>
      </c>
      <c r="Y39">
        <v>0.43958278973641751</v>
      </c>
      <c r="Z39" t="str">
        <f>HYPERLINK("Melting_Curves/meltCurve_sp_O00139_2_KIF2A_HUMAN_.pdf", "Melting_Curves/meltCurve_sp_O00139_2_KIF2A_HUMAN_.pdf")</f>
        <v>Melting_Curves/meltCurve_sp_O00139_2_KIF2A_HUMAN_.pdf</v>
      </c>
      <c r="AA39" t="s">
        <v>12921</v>
      </c>
      <c r="AB39" t="s">
        <v>17124</v>
      </c>
    </row>
    <row r="40" spans="1:28" x14ac:dyDescent="0.25">
      <c r="A40" t="s">
        <v>44</v>
      </c>
      <c r="B40">
        <v>0.99876560204751996</v>
      </c>
      <c r="C40">
        <v>0.91278218655869103</v>
      </c>
      <c r="D40">
        <v>0.86738283594514798</v>
      </c>
      <c r="E40">
        <v>0.819785393294167</v>
      </c>
      <c r="F40">
        <v>0.65647123767059401</v>
      </c>
      <c r="G40">
        <v>0.43762415762774098</v>
      </c>
      <c r="H40">
        <v>0.206324988450859</v>
      </c>
      <c r="I40">
        <v>0.12238631490311</v>
      </c>
      <c r="J40">
        <v>9.5868004046440095E-2</v>
      </c>
      <c r="K40">
        <v>5.8697705877681201E-2</v>
      </c>
      <c r="L40">
        <v>715.66650284491698</v>
      </c>
      <c r="M40">
        <v>12.925455830865801</v>
      </c>
      <c r="N40">
        <v>55.3687478425433</v>
      </c>
      <c r="O40">
        <v>54.093679685888397</v>
      </c>
      <c r="P40">
        <v>-5.9747232080716799E-2</v>
      </c>
      <c r="Q40">
        <v>0</v>
      </c>
      <c r="R40">
        <v>0.99103703874921101</v>
      </c>
      <c r="S40" t="s">
        <v>4336</v>
      </c>
      <c r="T40" t="s">
        <v>8590</v>
      </c>
      <c r="U40" t="s">
        <v>8590</v>
      </c>
      <c r="V40" t="s">
        <v>8590</v>
      </c>
      <c r="W40">
        <v>9</v>
      </c>
      <c r="X40" t="s">
        <v>8630</v>
      </c>
      <c r="Y40">
        <v>0.5335988452464433</v>
      </c>
      <c r="Z40" t="str">
        <f>HYPERLINK("Melting_Curves/meltCurve_sp_O00142_KITM_HUMAN_.pdf", "Melting_Curves/meltCurve_sp_O00142_KITM_HUMAN_.pdf")</f>
        <v>Melting_Curves/meltCurve_sp_O00142_KITM_HUMAN_.pdf</v>
      </c>
      <c r="AA40" t="s">
        <v>12922</v>
      </c>
      <c r="AB40" t="s">
        <v>17125</v>
      </c>
    </row>
    <row r="41" spans="1:28" x14ac:dyDescent="0.25">
      <c r="A41" t="s">
        <v>45</v>
      </c>
      <c r="B41">
        <v>0.99876560204751996</v>
      </c>
      <c r="C41">
        <v>0.98358383065814403</v>
      </c>
      <c r="D41">
        <v>1.01110809907619</v>
      </c>
      <c r="E41">
        <v>0.93218745424091998</v>
      </c>
      <c r="F41">
        <v>0.887239651046699</v>
      </c>
      <c r="G41">
        <v>0.71664617053717705</v>
      </c>
      <c r="H41">
        <v>0.63735211528584201</v>
      </c>
      <c r="I41">
        <v>0.63013221615264603</v>
      </c>
      <c r="J41">
        <v>0.76598580650675097</v>
      </c>
      <c r="K41">
        <v>0.79377437045403698</v>
      </c>
      <c r="L41">
        <v>1902.7830029300501</v>
      </c>
      <c r="M41">
        <v>35.716097619337297</v>
      </c>
      <c r="O41">
        <v>53.109035220814299</v>
      </c>
      <c r="P41">
        <v>-4.9705874800420803E-2</v>
      </c>
      <c r="Q41">
        <v>0.70435488423385995</v>
      </c>
      <c r="R41">
        <v>0.87024138471853596</v>
      </c>
      <c r="S41" t="s">
        <v>4337</v>
      </c>
      <c r="T41" t="s">
        <v>8590</v>
      </c>
      <c r="U41" t="s">
        <v>8590</v>
      </c>
      <c r="V41" t="s">
        <v>8590</v>
      </c>
      <c r="W41">
        <v>20</v>
      </c>
      <c r="X41" t="s">
        <v>8631</v>
      </c>
      <c r="Y41">
        <v>0.83654373953761241</v>
      </c>
      <c r="Z41" t="str">
        <f>HYPERLINK("Melting_Curves/meltCurve_sp_O00151_PDLI1_HUMAN_.pdf", "Melting_Curves/meltCurve_sp_O00151_PDLI1_HUMAN_.pdf")</f>
        <v>Melting_Curves/meltCurve_sp_O00151_PDLI1_HUMAN_.pdf</v>
      </c>
      <c r="AA41" t="s">
        <v>12923</v>
      </c>
      <c r="AB41" t="s">
        <v>17126</v>
      </c>
    </row>
    <row r="42" spans="1:28" x14ac:dyDescent="0.25">
      <c r="A42" t="s">
        <v>46</v>
      </c>
      <c r="B42">
        <v>0.99876560204751996</v>
      </c>
      <c r="C42">
        <v>0.87199294481534495</v>
      </c>
      <c r="D42">
        <v>0.72301770832198498</v>
      </c>
      <c r="E42">
        <v>0.67199440842414304</v>
      </c>
      <c r="F42">
        <v>0.47366955542276901</v>
      </c>
      <c r="G42">
        <v>0.40627495205842001</v>
      </c>
      <c r="H42">
        <v>0.26856087235984999</v>
      </c>
      <c r="I42">
        <v>0.116623837826226</v>
      </c>
      <c r="J42">
        <v>7.1593834245937099E-2</v>
      </c>
      <c r="K42">
        <v>4.7016256016986099E-2</v>
      </c>
      <c r="L42">
        <v>491.82960953002998</v>
      </c>
      <c r="M42">
        <v>9.3071221783423308</v>
      </c>
      <c r="N42">
        <v>52.8444330474453</v>
      </c>
      <c r="O42">
        <v>50.5768124999042</v>
      </c>
      <c r="P42">
        <v>-4.6034308940783399E-2</v>
      </c>
      <c r="Q42">
        <v>0</v>
      </c>
      <c r="R42">
        <v>0.97647375122653801</v>
      </c>
      <c r="S42" t="s">
        <v>4338</v>
      </c>
      <c r="T42" t="s">
        <v>8590</v>
      </c>
      <c r="U42" t="s">
        <v>8590</v>
      </c>
      <c r="V42" t="s">
        <v>8590</v>
      </c>
      <c r="W42">
        <v>6</v>
      </c>
      <c r="X42" t="s">
        <v>8632</v>
      </c>
      <c r="Y42">
        <v>0.46525602119960852</v>
      </c>
      <c r="Z42" t="str">
        <f>HYPERLINK("Melting_Curves/meltCurve_sp_O00154_6_BACH_HUMAN_.pdf", "Melting_Curves/meltCurve_sp_O00154_6_BACH_HUMAN_.pdf")</f>
        <v>Melting_Curves/meltCurve_sp_O00154_6_BACH_HUMAN_.pdf</v>
      </c>
      <c r="AA42" t="s">
        <v>12924</v>
      </c>
      <c r="AB42" t="s">
        <v>17127</v>
      </c>
    </row>
    <row r="43" spans="1:28" x14ac:dyDescent="0.25">
      <c r="A43" t="s">
        <v>47</v>
      </c>
      <c r="B43">
        <v>0.99876560204751996</v>
      </c>
      <c r="C43">
        <v>0.89204649476495801</v>
      </c>
      <c r="D43">
        <v>0.85580162486093803</v>
      </c>
      <c r="E43">
        <v>0.87816257080162397</v>
      </c>
      <c r="F43">
        <v>0.59713551537538601</v>
      </c>
      <c r="G43">
        <v>0.41163224283734401</v>
      </c>
      <c r="H43">
        <v>0.27119959833463098</v>
      </c>
      <c r="I43">
        <v>0.18321820279137099</v>
      </c>
      <c r="J43">
        <v>0.218328035478805</v>
      </c>
      <c r="K43">
        <v>0.17722587456484701</v>
      </c>
      <c r="L43">
        <v>748.89179664493702</v>
      </c>
      <c r="M43">
        <v>13.862314758594399</v>
      </c>
      <c r="N43">
        <v>55.238483632915496</v>
      </c>
      <c r="O43">
        <v>52.936564627481097</v>
      </c>
      <c r="P43">
        <v>-5.6872382418145399E-2</v>
      </c>
      <c r="Q43">
        <v>0.13139635522370999</v>
      </c>
      <c r="R43">
        <v>0.97561879213690195</v>
      </c>
      <c r="S43" t="s">
        <v>4339</v>
      </c>
      <c r="T43" t="s">
        <v>8590</v>
      </c>
      <c r="U43" t="s">
        <v>8590</v>
      </c>
      <c r="V43" t="s">
        <v>8590</v>
      </c>
      <c r="W43">
        <v>2</v>
      </c>
      <c r="X43" t="s">
        <v>8633</v>
      </c>
      <c r="Y43">
        <v>0.55696221689096559</v>
      </c>
      <c r="Z43" t="str">
        <f>HYPERLINK("Melting_Curves/meltCurve_sp_O00161_SNP23_HUMAN_.pdf", "Melting_Curves/meltCurve_sp_O00161_SNP23_HUMAN_.pdf")</f>
        <v>Melting_Curves/meltCurve_sp_O00161_SNP23_HUMAN_.pdf</v>
      </c>
      <c r="AA43" t="s">
        <v>12925</v>
      </c>
      <c r="AB43" t="s">
        <v>17128</v>
      </c>
    </row>
    <row r="44" spans="1:28" x14ac:dyDescent="0.25">
      <c r="A44" t="s">
        <v>48</v>
      </c>
      <c r="B44">
        <v>0.99876560204751996</v>
      </c>
      <c r="C44">
        <v>0.96283998635762402</v>
      </c>
      <c r="D44">
        <v>1.0044450479803899</v>
      </c>
      <c r="E44">
        <v>0.87910544648454703</v>
      </c>
      <c r="F44">
        <v>0.63164071727869198</v>
      </c>
      <c r="G44">
        <v>0.31395749003748802</v>
      </c>
      <c r="H44">
        <v>0.18321079809035101</v>
      </c>
      <c r="I44">
        <v>0.138602680308892</v>
      </c>
      <c r="J44">
        <v>0.11309204238908301</v>
      </c>
      <c r="K44">
        <v>0.12220800337556099</v>
      </c>
      <c r="L44">
        <v>1235.5124405429799</v>
      </c>
      <c r="M44">
        <v>22.932829477329701</v>
      </c>
      <c r="N44">
        <v>54.499855104500597</v>
      </c>
      <c r="O44">
        <v>53.470625506892901</v>
      </c>
      <c r="P44">
        <v>-9.4832733415717699E-2</v>
      </c>
      <c r="Q44">
        <v>0.11556142095558899</v>
      </c>
      <c r="R44">
        <v>0.99854423080534205</v>
      </c>
      <c r="S44" t="s">
        <v>4340</v>
      </c>
      <c r="T44" t="s">
        <v>8590</v>
      </c>
      <c r="U44" t="s">
        <v>8590</v>
      </c>
      <c r="V44" t="s">
        <v>8590</v>
      </c>
      <c r="W44">
        <v>9</v>
      </c>
      <c r="X44" t="s">
        <v>8634</v>
      </c>
      <c r="Y44">
        <v>0.53417448149512881</v>
      </c>
      <c r="Z44" t="str">
        <f>HYPERLINK("Melting_Curves/meltCurve_sp_O00170_AIP_HUMAN_.pdf", "Melting_Curves/meltCurve_sp_O00170_AIP_HUMAN_.pdf")</f>
        <v>Melting_Curves/meltCurve_sp_O00170_AIP_HUMAN_.pdf</v>
      </c>
      <c r="AA44" t="s">
        <v>12926</v>
      </c>
      <c r="AB44" t="s">
        <v>17129</v>
      </c>
    </row>
    <row r="45" spans="1:28" x14ac:dyDescent="0.25">
      <c r="A45" t="s">
        <v>49</v>
      </c>
      <c r="B45">
        <v>0.99876560204751996</v>
      </c>
      <c r="C45">
        <v>1.0097328499729199</v>
      </c>
      <c r="D45">
        <v>0.97387353114383401</v>
      </c>
      <c r="E45">
        <v>0.73622327252789299</v>
      </c>
      <c r="F45">
        <v>0.40594571482071701</v>
      </c>
      <c r="G45">
        <v>0.26462677693687597</v>
      </c>
      <c r="H45">
        <v>0.15560406113932401</v>
      </c>
      <c r="I45">
        <v>0.15045414299738499</v>
      </c>
      <c r="J45">
        <v>0.134120844836744</v>
      </c>
      <c r="K45">
        <v>0.14083213742051401</v>
      </c>
      <c r="L45">
        <v>1281.3644978852999</v>
      </c>
      <c r="M45">
        <v>24.8612814845537</v>
      </c>
      <c r="N45">
        <v>52.263026224226103</v>
      </c>
      <c r="O45">
        <v>51.210571107950798</v>
      </c>
      <c r="P45">
        <v>-0.103720131637282</v>
      </c>
      <c r="Q45">
        <v>0.14541914189612001</v>
      </c>
      <c r="R45">
        <v>0.99729500779285696</v>
      </c>
      <c r="S45" t="s">
        <v>4341</v>
      </c>
      <c r="T45" t="s">
        <v>8590</v>
      </c>
      <c r="U45" t="s">
        <v>8590</v>
      </c>
      <c r="V45" t="s">
        <v>8590</v>
      </c>
      <c r="W45">
        <v>5</v>
      </c>
      <c r="X45" t="s">
        <v>8635</v>
      </c>
      <c r="Y45">
        <v>0.48201363726803997</v>
      </c>
      <c r="Z45" t="str">
        <f>HYPERLINK("Melting_Curves/meltCurve_sp_O00178_GTPB1_HUMAN_.pdf", "Melting_Curves/meltCurve_sp_O00178_GTPB1_HUMAN_.pdf")</f>
        <v>Melting_Curves/meltCurve_sp_O00178_GTPB1_HUMAN_.pdf</v>
      </c>
      <c r="AA45" t="s">
        <v>12927</v>
      </c>
      <c r="AB45" t="s">
        <v>17130</v>
      </c>
    </row>
    <row r="46" spans="1:28" x14ac:dyDescent="0.25">
      <c r="A46" t="s">
        <v>50</v>
      </c>
      <c r="B46">
        <v>0.99876560204751996</v>
      </c>
      <c r="C46">
        <v>0.955226973222153</v>
      </c>
      <c r="D46">
        <v>0.87357969164537697</v>
      </c>
      <c r="E46">
        <v>0.75615623365148199</v>
      </c>
      <c r="F46">
        <v>0.37817725292118198</v>
      </c>
      <c r="G46">
        <v>0.16298882698150199</v>
      </c>
      <c r="H46">
        <v>0.10890800540033101</v>
      </c>
      <c r="I46">
        <v>7.8017317313168799E-2</v>
      </c>
      <c r="J46">
        <v>8.4929115761237794E-2</v>
      </c>
      <c r="K46">
        <v>7.2794835361284602E-2</v>
      </c>
      <c r="L46">
        <v>1179.2124781826799</v>
      </c>
      <c r="M46">
        <v>22.8215371648391</v>
      </c>
      <c r="N46">
        <v>52.022771913518802</v>
      </c>
      <c r="O46">
        <v>51.279200787028202</v>
      </c>
      <c r="P46">
        <v>-0.10330899955154001</v>
      </c>
      <c r="Q46">
        <v>7.1491003831369498E-2</v>
      </c>
      <c r="R46">
        <v>0.99278022776534303</v>
      </c>
      <c r="S46" t="s">
        <v>4342</v>
      </c>
      <c r="T46" t="s">
        <v>8590</v>
      </c>
      <c r="U46" t="s">
        <v>8590</v>
      </c>
      <c r="V46" t="s">
        <v>8590</v>
      </c>
      <c r="W46">
        <v>3</v>
      </c>
      <c r="X46" t="s">
        <v>8636</v>
      </c>
      <c r="Y46">
        <v>0.44277732970540679</v>
      </c>
      <c r="Z46" t="str">
        <f>HYPERLINK("Melting_Curves/meltCurve_sp_O00214_LEG8_HUMAN_.pdf", "Melting_Curves/meltCurve_sp_O00214_LEG8_HUMAN_.pdf")</f>
        <v>Melting_Curves/meltCurve_sp_O00214_LEG8_HUMAN_.pdf</v>
      </c>
      <c r="AA46" t="s">
        <v>12928</v>
      </c>
      <c r="AB46" t="s">
        <v>17131</v>
      </c>
    </row>
    <row r="47" spans="1:28" x14ac:dyDescent="0.25">
      <c r="A47" t="s">
        <v>51</v>
      </c>
      <c r="B47">
        <v>0.99876560204751996</v>
      </c>
      <c r="C47">
        <v>1.01876531694127</v>
      </c>
      <c r="D47">
        <v>0.83034523249738001</v>
      </c>
      <c r="E47">
        <v>0.603886192491213</v>
      </c>
      <c r="F47">
        <v>0.25021783314593399</v>
      </c>
      <c r="G47">
        <v>9.68039408249141E-2</v>
      </c>
      <c r="H47">
        <v>4.7804086122690999E-2</v>
      </c>
      <c r="I47">
        <v>3.2511002947836501E-2</v>
      </c>
      <c r="J47">
        <v>3.4360417528466899E-2</v>
      </c>
      <c r="K47">
        <v>2.3274749500382001E-2</v>
      </c>
      <c r="L47">
        <v>1069.27321208946</v>
      </c>
      <c r="M47">
        <v>21.187926036881301</v>
      </c>
      <c r="N47">
        <v>50.567420164099602</v>
      </c>
      <c r="O47">
        <v>50.023065438894001</v>
      </c>
      <c r="P47">
        <v>-0.103694022902776</v>
      </c>
      <c r="Q47">
        <v>2.07709193651626E-2</v>
      </c>
      <c r="R47">
        <v>0.99486454756941001</v>
      </c>
      <c r="S47" t="s">
        <v>4343</v>
      </c>
      <c r="T47" t="s">
        <v>8590</v>
      </c>
      <c r="U47" t="s">
        <v>8590</v>
      </c>
      <c r="V47" t="s">
        <v>8590</v>
      </c>
      <c r="W47">
        <v>9</v>
      </c>
      <c r="X47" t="s">
        <v>8637</v>
      </c>
      <c r="Y47">
        <v>0.37457568959694532</v>
      </c>
      <c r="Z47" t="str">
        <f>HYPERLINK("Melting_Curves/meltCurve_sp_O00231_PSD11_HUMAN_.pdf", "Melting_Curves/meltCurve_sp_O00231_PSD11_HUMAN_.pdf")</f>
        <v>Melting_Curves/meltCurve_sp_O00231_PSD11_HUMAN_.pdf</v>
      </c>
      <c r="AA47" t="s">
        <v>12929</v>
      </c>
      <c r="AB47" t="s">
        <v>17132</v>
      </c>
    </row>
    <row r="48" spans="1:28" x14ac:dyDescent="0.25">
      <c r="A48" t="s">
        <v>52</v>
      </c>
      <c r="B48">
        <v>0.99876560204751996</v>
      </c>
      <c r="C48">
        <v>0.96870967254415696</v>
      </c>
      <c r="D48">
        <v>0.80756115339739298</v>
      </c>
      <c r="E48">
        <v>0.64143157943297602</v>
      </c>
      <c r="F48">
        <v>0.314856442366238</v>
      </c>
      <c r="G48">
        <v>0.14300987629116399</v>
      </c>
      <c r="H48">
        <v>0.105381817526858</v>
      </c>
      <c r="I48">
        <v>8.7615368097323898E-2</v>
      </c>
      <c r="J48">
        <v>8.1934334963795305E-2</v>
      </c>
      <c r="K48">
        <v>7.5953292729837196E-2</v>
      </c>
      <c r="L48">
        <v>920.02449223254496</v>
      </c>
      <c r="M48">
        <v>18.199548034885201</v>
      </c>
      <c r="N48">
        <v>50.926363533896499</v>
      </c>
      <c r="O48">
        <v>49.953574255063202</v>
      </c>
      <c r="P48">
        <v>-8.53842856510693E-2</v>
      </c>
      <c r="Q48">
        <v>6.2603398558036802E-2</v>
      </c>
      <c r="R48">
        <v>0.99315756223408902</v>
      </c>
      <c r="S48" t="s">
        <v>4344</v>
      </c>
      <c r="T48" t="s">
        <v>8590</v>
      </c>
      <c r="U48" t="s">
        <v>8590</v>
      </c>
      <c r="V48" t="s">
        <v>8590</v>
      </c>
      <c r="W48">
        <v>15</v>
      </c>
      <c r="X48" t="s">
        <v>8638</v>
      </c>
      <c r="Y48">
        <v>0.40787548518832561</v>
      </c>
      <c r="Z48" t="str">
        <f>HYPERLINK("Melting_Curves/meltCurve_sp_O00232_PSD12_HUMAN_.pdf", "Melting_Curves/meltCurve_sp_O00232_PSD12_HUMAN_.pdf")</f>
        <v>Melting_Curves/meltCurve_sp_O00232_PSD12_HUMAN_.pdf</v>
      </c>
      <c r="AA48" t="s">
        <v>12930</v>
      </c>
      <c r="AB48" t="s">
        <v>17133</v>
      </c>
    </row>
    <row r="49" spans="1:28" x14ac:dyDescent="0.25">
      <c r="A49" t="s">
        <v>53</v>
      </c>
      <c r="B49">
        <v>0.99876560204751996</v>
      </c>
      <c r="C49">
        <v>0.919638196267071</v>
      </c>
      <c r="D49">
        <v>1.03529945814326</v>
      </c>
      <c r="E49">
        <v>0.86595488722865199</v>
      </c>
      <c r="F49">
        <v>0.92253985514949</v>
      </c>
      <c r="G49">
        <v>0.67264842051041596</v>
      </c>
      <c r="H49">
        <v>0.489384714664369</v>
      </c>
      <c r="I49">
        <v>0.57001991459269197</v>
      </c>
      <c r="J49">
        <v>0.69402681443482495</v>
      </c>
      <c r="K49">
        <v>0.67478832662700505</v>
      </c>
      <c r="L49">
        <v>2023.95082962538</v>
      </c>
      <c r="M49">
        <v>37.201669292262999</v>
      </c>
      <c r="O49">
        <v>54.248348323549699</v>
      </c>
      <c r="P49">
        <v>-6.7334977543620098E-2</v>
      </c>
      <c r="Q49">
        <v>0.60724329654269205</v>
      </c>
      <c r="R49">
        <v>0.83666694891422799</v>
      </c>
      <c r="S49" t="s">
        <v>4345</v>
      </c>
      <c r="T49" t="s">
        <v>8590</v>
      </c>
      <c r="U49" t="s">
        <v>8590</v>
      </c>
      <c r="V49" t="s">
        <v>8590</v>
      </c>
      <c r="W49">
        <v>6</v>
      </c>
      <c r="X49" t="s">
        <v>8639</v>
      </c>
      <c r="Y49">
        <v>0.79753173778017916</v>
      </c>
      <c r="Z49" t="str">
        <f>HYPERLINK("Melting_Curves/meltCurve_sp_O00244_ATOX1_HUMAN_.pdf", "Melting_Curves/meltCurve_sp_O00244_ATOX1_HUMAN_.pdf")</f>
        <v>Melting_Curves/meltCurve_sp_O00244_ATOX1_HUMAN_.pdf</v>
      </c>
      <c r="AA49" t="s">
        <v>12931</v>
      </c>
      <c r="AB49" t="s">
        <v>17134</v>
      </c>
    </row>
    <row r="50" spans="1:28" x14ac:dyDescent="0.25">
      <c r="A50" t="s">
        <v>54</v>
      </c>
      <c r="B50">
        <v>0.99876560204751996</v>
      </c>
      <c r="C50">
        <v>0.98617629790963202</v>
      </c>
      <c r="D50">
        <v>0.71003317984626102</v>
      </c>
      <c r="E50">
        <v>0.60278790169636598</v>
      </c>
      <c r="F50">
        <v>0.45588004422934297</v>
      </c>
      <c r="G50">
        <v>0.26432282456537198</v>
      </c>
      <c r="H50">
        <v>0.17349781314177901</v>
      </c>
      <c r="I50">
        <v>0.11293976148313099</v>
      </c>
      <c r="J50">
        <v>0.106795464033016</v>
      </c>
      <c r="K50">
        <v>8.8354323109497201E-2</v>
      </c>
      <c r="L50">
        <v>596.82768895775098</v>
      </c>
      <c r="M50">
        <v>11.6458397398758</v>
      </c>
      <c r="N50">
        <v>51.655070805036402</v>
      </c>
      <c r="O50">
        <v>49.807015635510403</v>
      </c>
      <c r="P50">
        <v>-5.5907864592987098E-2</v>
      </c>
      <c r="Q50">
        <v>4.3830153572599E-2</v>
      </c>
      <c r="R50">
        <v>0.98606637589977497</v>
      </c>
      <c r="S50" t="s">
        <v>4346</v>
      </c>
      <c r="T50" t="s">
        <v>8590</v>
      </c>
      <c r="U50" t="s">
        <v>8590</v>
      </c>
      <c r="V50" t="s">
        <v>8590</v>
      </c>
      <c r="W50">
        <v>2</v>
      </c>
      <c r="X50" t="s">
        <v>8640</v>
      </c>
      <c r="Y50">
        <v>0.43434415650171337</v>
      </c>
      <c r="Z50" t="str">
        <f>HYPERLINK("Melting_Curves/meltCurve_sp_O00264_PGRC1_HUMAN_.pdf", "Melting_Curves/meltCurve_sp_O00264_PGRC1_HUMAN_.pdf")</f>
        <v>Melting_Curves/meltCurve_sp_O00264_PGRC1_HUMAN_.pdf</v>
      </c>
      <c r="AA50" t="s">
        <v>12932</v>
      </c>
      <c r="AB50" t="s">
        <v>17135</v>
      </c>
    </row>
    <row r="51" spans="1:28" x14ac:dyDescent="0.25">
      <c r="A51" t="s">
        <v>55</v>
      </c>
      <c r="B51">
        <v>0.99876560204751996</v>
      </c>
      <c r="C51">
        <v>0.97847293471741903</v>
      </c>
      <c r="D51">
        <v>0.96066490547765304</v>
      </c>
      <c r="E51">
        <v>0.84179844931294301</v>
      </c>
      <c r="F51">
        <v>0.58661284543099601</v>
      </c>
      <c r="G51">
        <v>0.37869457168409498</v>
      </c>
      <c r="H51">
        <v>0.26007930293597897</v>
      </c>
      <c r="I51">
        <v>0.24011579790187501</v>
      </c>
      <c r="J51">
        <v>0.27221925966809102</v>
      </c>
      <c r="K51">
        <v>0.24614268432118899</v>
      </c>
      <c r="L51">
        <v>1187.9860215068099</v>
      </c>
      <c r="M51">
        <v>22.531199828417801</v>
      </c>
      <c r="N51">
        <v>54.332838537796</v>
      </c>
      <c r="O51">
        <v>52.316192930496697</v>
      </c>
      <c r="P51">
        <v>-8.1487394515304498E-2</v>
      </c>
      <c r="Q51">
        <v>0.24317861617695</v>
      </c>
      <c r="R51">
        <v>0.99782048934392598</v>
      </c>
      <c r="S51" t="s">
        <v>4347</v>
      </c>
      <c r="T51" t="s">
        <v>8590</v>
      </c>
      <c r="U51" t="s">
        <v>8590</v>
      </c>
      <c r="V51" t="s">
        <v>8590</v>
      </c>
      <c r="W51">
        <v>20</v>
      </c>
      <c r="X51" t="s">
        <v>8641</v>
      </c>
      <c r="Y51">
        <v>0.57266646898253604</v>
      </c>
      <c r="Z51" t="str">
        <f>HYPERLINK("Melting_Curves/meltCurve_sp_O00267_2_SPT5H_HUMAN_.pdf", "Melting_Curves/meltCurve_sp_O00267_2_SPT5H_HUMAN_.pdf")</f>
        <v>Melting_Curves/meltCurve_sp_O00267_2_SPT5H_HUMAN_.pdf</v>
      </c>
      <c r="AA51" t="s">
        <v>12933</v>
      </c>
      <c r="AB51" t="s">
        <v>17136</v>
      </c>
    </row>
    <row r="52" spans="1:28" x14ac:dyDescent="0.25">
      <c r="A52" t="s">
        <v>56</v>
      </c>
      <c r="B52">
        <v>0.99876560204751996</v>
      </c>
      <c r="C52">
        <v>0.95659829624925996</v>
      </c>
      <c r="D52">
        <v>0.99135452710463001</v>
      </c>
      <c r="E52">
        <v>0.90444244455296596</v>
      </c>
      <c r="F52">
        <v>0.84662332892021697</v>
      </c>
      <c r="G52">
        <v>0.68618480378824998</v>
      </c>
      <c r="H52">
        <v>0.60426371577272298</v>
      </c>
      <c r="I52">
        <v>0.65171363932708304</v>
      </c>
      <c r="J52">
        <v>0.78049166188993901</v>
      </c>
      <c r="K52">
        <v>0.79954798751585299</v>
      </c>
      <c r="L52">
        <v>1570.9991060622999</v>
      </c>
      <c r="M52">
        <v>30.220040543745299</v>
      </c>
      <c r="O52">
        <v>51.759306796608399</v>
      </c>
      <c r="P52">
        <v>-4.32467905961103E-2</v>
      </c>
      <c r="Q52">
        <v>0.70371856448701198</v>
      </c>
      <c r="R52">
        <v>0.81560431210739703</v>
      </c>
      <c r="S52" t="s">
        <v>4348</v>
      </c>
      <c r="T52" t="s">
        <v>8590</v>
      </c>
      <c r="U52" t="s">
        <v>8590</v>
      </c>
      <c r="V52" t="s">
        <v>8590</v>
      </c>
      <c r="W52">
        <v>13</v>
      </c>
      <c r="X52" t="s">
        <v>8642</v>
      </c>
      <c r="Y52">
        <v>0.82395173029413182</v>
      </c>
      <c r="Z52" t="str">
        <f>HYPERLINK("Melting_Curves/meltCurve_sp_O00273_DFFA_HUMAN_.pdf", "Melting_Curves/meltCurve_sp_O00273_DFFA_HUMAN_.pdf")</f>
        <v>Melting_Curves/meltCurve_sp_O00273_DFFA_HUMAN_.pdf</v>
      </c>
      <c r="AA52" t="s">
        <v>12934</v>
      </c>
      <c r="AB52" t="s">
        <v>17137</v>
      </c>
    </row>
    <row r="53" spans="1:28" x14ac:dyDescent="0.25">
      <c r="A53" t="s">
        <v>57</v>
      </c>
      <c r="B53">
        <v>0.99876560204751996</v>
      </c>
      <c r="C53">
        <v>0.98295325605762995</v>
      </c>
      <c r="D53">
        <v>0.943550693599713</v>
      </c>
      <c r="E53">
        <v>0.793533176577217</v>
      </c>
      <c r="F53">
        <v>0.52468597748671397</v>
      </c>
      <c r="G53">
        <v>0.26859864450207599</v>
      </c>
      <c r="H53">
        <v>0.14147124849489701</v>
      </c>
      <c r="I53">
        <v>0.14094648844399801</v>
      </c>
      <c r="J53">
        <v>0.13432781826001999</v>
      </c>
      <c r="K53">
        <v>0.182209091528786</v>
      </c>
      <c r="L53">
        <v>1188.8646333742099</v>
      </c>
      <c r="M53">
        <v>22.6463431270009</v>
      </c>
      <c r="N53">
        <v>53.251849220293799</v>
      </c>
      <c r="O53">
        <v>52.092801258991898</v>
      </c>
      <c r="P53">
        <v>-9.3762862068136305E-2</v>
      </c>
      <c r="Q53">
        <v>0.13729636167562201</v>
      </c>
      <c r="R53">
        <v>0.997210176952111</v>
      </c>
      <c r="S53" t="s">
        <v>4349</v>
      </c>
      <c r="T53" t="s">
        <v>8590</v>
      </c>
      <c r="U53" t="s">
        <v>8590</v>
      </c>
      <c r="V53" t="s">
        <v>8590</v>
      </c>
      <c r="W53">
        <v>3</v>
      </c>
      <c r="X53" t="s">
        <v>8643</v>
      </c>
      <c r="Y53">
        <v>0.50619213370902005</v>
      </c>
      <c r="Z53" t="str">
        <f>HYPERLINK("Melting_Curves/meltCurve_sp_O00291_HIP1_HUMAN_.pdf", "Melting_Curves/meltCurve_sp_O00291_HIP1_HUMAN_.pdf")</f>
        <v>Melting_Curves/meltCurve_sp_O00291_HIP1_HUMAN_.pdf</v>
      </c>
      <c r="AA53" t="s">
        <v>12935</v>
      </c>
      <c r="AB53" t="s">
        <v>17138</v>
      </c>
    </row>
    <row r="54" spans="1:28" x14ac:dyDescent="0.25">
      <c r="A54" t="s">
        <v>58</v>
      </c>
      <c r="B54">
        <v>0.99876560204751996</v>
      </c>
      <c r="C54">
        <v>0.87080797908504504</v>
      </c>
      <c r="D54">
        <v>0.96584117954813697</v>
      </c>
      <c r="E54">
        <v>0.76019067547862396</v>
      </c>
      <c r="F54">
        <v>0.59187411731794703</v>
      </c>
      <c r="G54">
        <v>0.13253039608125899</v>
      </c>
      <c r="H54">
        <v>6.3096875385391299E-2</v>
      </c>
      <c r="I54">
        <v>3.2394042235059498E-2</v>
      </c>
      <c r="J54">
        <v>2.55044360737622E-2</v>
      </c>
      <c r="K54">
        <v>2.41983167912166E-2</v>
      </c>
      <c r="L54">
        <v>1170.8578026666901</v>
      </c>
      <c r="M54">
        <v>22.003518007503299</v>
      </c>
      <c r="N54">
        <v>53.239741376294198</v>
      </c>
      <c r="O54">
        <v>52.778630637555104</v>
      </c>
      <c r="P54">
        <v>-0.10363966468069601</v>
      </c>
      <c r="Q54">
        <v>5.6431240989251001E-3</v>
      </c>
      <c r="R54">
        <v>0.98427585886846203</v>
      </c>
      <c r="S54" t="s">
        <v>4350</v>
      </c>
      <c r="T54" t="s">
        <v>8590</v>
      </c>
      <c r="U54" t="s">
        <v>8590</v>
      </c>
      <c r="V54" t="s">
        <v>8590</v>
      </c>
      <c r="W54">
        <v>9</v>
      </c>
      <c r="X54" t="s">
        <v>8644</v>
      </c>
      <c r="Y54">
        <v>0.45513756654538801</v>
      </c>
      <c r="Z54" t="str">
        <f>HYPERLINK("Melting_Curves/meltCurve_sp_O00299_CLIC1_HUMAN_.pdf", "Melting_Curves/meltCurve_sp_O00299_CLIC1_HUMAN_.pdf")</f>
        <v>Melting_Curves/meltCurve_sp_O00299_CLIC1_HUMAN_.pdf</v>
      </c>
      <c r="AA54" t="s">
        <v>12936</v>
      </c>
      <c r="AB54" t="s">
        <v>17139</v>
      </c>
    </row>
    <row r="55" spans="1:28" x14ac:dyDescent="0.25">
      <c r="A55" t="s">
        <v>59</v>
      </c>
      <c r="B55">
        <v>0.99876560204751996</v>
      </c>
      <c r="C55">
        <v>1.08947865967214</v>
      </c>
      <c r="D55">
        <v>0.97797223743792905</v>
      </c>
      <c r="E55">
        <v>0.90224577968211395</v>
      </c>
      <c r="F55">
        <v>0.88401460858921899</v>
      </c>
      <c r="G55">
        <v>0.60754240913269597</v>
      </c>
      <c r="H55">
        <v>0.43114644390805701</v>
      </c>
      <c r="I55">
        <v>0.29162599379665499</v>
      </c>
      <c r="J55">
        <v>0.198866863510887</v>
      </c>
      <c r="K55">
        <v>0.14525715882573501</v>
      </c>
      <c r="L55">
        <v>858.26321509108004</v>
      </c>
      <c r="M55">
        <v>14.588278757046201</v>
      </c>
      <c r="N55">
        <v>59.414553791553999</v>
      </c>
      <c r="O55">
        <v>57.760042073490197</v>
      </c>
      <c r="P55">
        <v>-5.894327313956E-2</v>
      </c>
      <c r="Q55">
        <v>6.6597950125461797E-2</v>
      </c>
      <c r="R55">
        <v>0.98908977038997903</v>
      </c>
      <c r="S55" t="s">
        <v>4351</v>
      </c>
      <c r="T55" t="s">
        <v>8590</v>
      </c>
      <c r="U55" t="s">
        <v>8590</v>
      </c>
      <c r="V55" t="s">
        <v>8590</v>
      </c>
      <c r="W55">
        <v>2</v>
      </c>
      <c r="X55" t="s">
        <v>8645</v>
      </c>
      <c r="Y55">
        <v>0.66271077532170863</v>
      </c>
      <c r="Z55" t="str">
        <f>HYPERLINK("Melting_Curves/meltCurve_sp_O00399_DCTN6_HUMAN_.pdf", "Melting_Curves/meltCurve_sp_O00399_DCTN6_HUMAN_.pdf")</f>
        <v>Melting_Curves/meltCurve_sp_O00399_DCTN6_HUMAN_.pdf</v>
      </c>
      <c r="AA55" t="s">
        <v>12937</v>
      </c>
      <c r="AB55" t="s">
        <v>17140</v>
      </c>
    </row>
    <row r="56" spans="1:28" x14ac:dyDescent="0.25">
      <c r="A56" t="s">
        <v>60</v>
      </c>
      <c r="B56">
        <v>0.99876560204751996</v>
      </c>
      <c r="C56">
        <v>0.92226350933477896</v>
      </c>
      <c r="D56">
        <v>0.96909824539260403</v>
      </c>
      <c r="E56">
        <v>0.766635101529892</v>
      </c>
      <c r="F56">
        <v>0.66375713939874503</v>
      </c>
      <c r="G56">
        <v>0.501374922849532</v>
      </c>
      <c r="H56">
        <v>0.43166856437672502</v>
      </c>
      <c r="I56">
        <v>0.48691937930960599</v>
      </c>
      <c r="J56">
        <v>0.57213761690790599</v>
      </c>
      <c r="K56">
        <v>0.56856349317698796</v>
      </c>
      <c r="L56">
        <v>1210.95863002276</v>
      </c>
      <c r="M56">
        <v>24.0021080828739</v>
      </c>
      <c r="O56">
        <v>50.105879286625502</v>
      </c>
      <c r="P56">
        <v>-5.88208346729195E-2</v>
      </c>
      <c r="Q56">
        <v>0.50883931509917302</v>
      </c>
      <c r="R56">
        <v>0.94272418389735702</v>
      </c>
      <c r="S56" t="s">
        <v>4352</v>
      </c>
      <c r="T56" t="s">
        <v>8590</v>
      </c>
      <c r="U56" t="s">
        <v>8590</v>
      </c>
      <c r="V56" t="s">
        <v>8590</v>
      </c>
      <c r="W56">
        <v>12</v>
      </c>
      <c r="X56" t="s">
        <v>8646</v>
      </c>
      <c r="Y56">
        <v>0.68474506201780472</v>
      </c>
      <c r="Z56" t="str">
        <f>HYPERLINK("Melting_Curves/meltCurve_sp_O00401_WASL_HUMAN_.pdf", "Melting_Curves/meltCurve_sp_O00401_WASL_HUMAN_.pdf")</f>
        <v>Melting_Curves/meltCurve_sp_O00401_WASL_HUMAN_.pdf</v>
      </c>
      <c r="AA56" t="s">
        <v>12938</v>
      </c>
      <c r="AB56" t="s">
        <v>17141</v>
      </c>
    </row>
    <row r="57" spans="1:28" x14ac:dyDescent="0.25">
      <c r="A57" t="s">
        <v>61</v>
      </c>
      <c r="B57">
        <v>0.99876560204751996</v>
      </c>
      <c r="C57">
        <v>1.04348011609858</v>
      </c>
      <c r="D57">
        <v>0.95709194748238702</v>
      </c>
      <c r="E57">
        <v>1.0287346765663401</v>
      </c>
      <c r="F57">
        <v>0.86129845544462103</v>
      </c>
      <c r="G57">
        <v>0.38295926270589098</v>
      </c>
      <c r="H57">
        <v>9.29374241006862E-2</v>
      </c>
      <c r="I57">
        <v>5.2554711503721402E-2</v>
      </c>
      <c r="J57">
        <v>3.8955587615388802E-2</v>
      </c>
      <c r="K57">
        <v>3.9590541523090397E-2</v>
      </c>
      <c r="L57">
        <v>1879.50026919642</v>
      </c>
      <c r="M57">
        <v>33.568154440986802</v>
      </c>
      <c r="N57">
        <v>56.119737911566602</v>
      </c>
      <c r="O57">
        <v>55.792987418131098</v>
      </c>
      <c r="P57">
        <v>-0.14482281852210199</v>
      </c>
      <c r="Q57">
        <v>3.7175069652743802E-2</v>
      </c>
      <c r="R57">
        <v>0.99693588201953198</v>
      </c>
      <c r="S57" t="s">
        <v>4353</v>
      </c>
      <c r="T57" t="s">
        <v>8590</v>
      </c>
      <c r="U57" t="s">
        <v>8590</v>
      </c>
      <c r="V57" t="s">
        <v>8590</v>
      </c>
      <c r="W57">
        <v>25</v>
      </c>
      <c r="X57" t="s">
        <v>8647</v>
      </c>
      <c r="Y57">
        <v>0.55558229470190978</v>
      </c>
      <c r="Z57" t="str">
        <f>HYPERLINK("Melting_Curves/meltCurve_sp_O00410_IPO5_HUMAN_.pdf", "Melting_Curves/meltCurve_sp_O00410_IPO5_HUMAN_.pdf")</f>
        <v>Melting_Curves/meltCurve_sp_O00410_IPO5_HUMAN_.pdf</v>
      </c>
      <c r="AA57" t="s">
        <v>12939</v>
      </c>
      <c r="AB57" t="s">
        <v>17142</v>
      </c>
    </row>
    <row r="58" spans="1:28" x14ac:dyDescent="0.25">
      <c r="A58" t="s">
        <v>62</v>
      </c>
      <c r="B58">
        <v>0.99876560204751996</v>
      </c>
      <c r="C58">
        <v>1.01925255630877</v>
      </c>
      <c r="D58">
        <v>0.91453024983350195</v>
      </c>
      <c r="E58">
        <v>0.77050687391329498</v>
      </c>
      <c r="F58">
        <v>0.212892634295403</v>
      </c>
      <c r="G58">
        <v>0.12902033646000299</v>
      </c>
      <c r="H58">
        <v>7.8793604467839895E-2</v>
      </c>
      <c r="I58">
        <v>7.3372417469535905E-2</v>
      </c>
      <c r="J58">
        <v>8.1034113126916898E-2</v>
      </c>
      <c r="K58">
        <v>7.0356360610419402E-2</v>
      </c>
      <c r="L58">
        <v>2462.5909337051799</v>
      </c>
      <c r="M58">
        <v>48.194073494254297</v>
      </c>
      <c r="N58">
        <v>51.292836680057597</v>
      </c>
      <c r="O58">
        <v>51.009644322798202</v>
      </c>
      <c r="P58">
        <v>-0.21638727113376799</v>
      </c>
      <c r="Q58">
        <v>8.3885295205568394E-2</v>
      </c>
      <c r="R58">
        <v>0.99462458851685098</v>
      </c>
      <c r="S58" t="s">
        <v>4354</v>
      </c>
      <c r="T58" t="s">
        <v>8590</v>
      </c>
      <c r="U58" t="s">
        <v>8590</v>
      </c>
      <c r="V58" t="s">
        <v>8590</v>
      </c>
      <c r="W58">
        <v>19</v>
      </c>
      <c r="X58" t="s">
        <v>8648</v>
      </c>
      <c r="Y58">
        <v>0.42499110676582341</v>
      </c>
      <c r="Z58" t="str">
        <f>HYPERLINK("Melting_Curves/meltCurve_sp_O00429_4_DNM1L_HUMAN_.pdf", "Melting_Curves/meltCurve_sp_O00429_4_DNM1L_HUMAN_.pdf")</f>
        <v>Melting_Curves/meltCurve_sp_O00429_4_DNM1L_HUMAN_.pdf</v>
      </c>
      <c r="AA58" t="s">
        <v>12940</v>
      </c>
      <c r="AB58" t="s">
        <v>17143</v>
      </c>
    </row>
    <row r="59" spans="1:28" x14ac:dyDescent="0.25">
      <c r="A59" t="s">
        <v>63</v>
      </c>
      <c r="B59">
        <v>0.99876560204751996</v>
      </c>
      <c r="C59">
        <v>1.4526628548531</v>
      </c>
      <c r="D59">
        <v>1.7805918625581001</v>
      </c>
      <c r="E59">
        <v>0.90627159261869805</v>
      </c>
      <c r="F59">
        <v>0.377876107704544</v>
      </c>
      <c r="G59">
        <v>0.19364386224324001</v>
      </c>
      <c r="H59">
        <v>7.5525464930845901E-2</v>
      </c>
      <c r="I59">
        <v>8.58485831081542E-2</v>
      </c>
      <c r="J59">
        <v>9.6533321044390996E-2</v>
      </c>
      <c r="K59">
        <v>5.8050288298297698E-2</v>
      </c>
      <c r="L59">
        <v>2682.6459119696201</v>
      </c>
      <c r="M59">
        <v>51.390749800846798</v>
      </c>
      <c r="N59">
        <v>52.424849553828103</v>
      </c>
      <c r="O59">
        <v>52.122086033787802</v>
      </c>
      <c r="P59">
        <v>-0.222204721416809</v>
      </c>
      <c r="Q59">
        <v>9.8533117112736102E-2</v>
      </c>
      <c r="R59">
        <v>0.77548125079183206</v>
      </c>
      <c r="S59" t="s">
        <v>4355</v>
      </c>
      <c r="T59" t="s">
        <v>8590</v>
      </c>
      <c r="U59" t="s">
        <v>8590</v>
      </c>
      <c r="V59" t="s">
        <v>8590</v>
      </c>
      <c r="W59">
        <v>3</v>
      </c>
      <c r="X59" t="s">
        <v>8649</v>
      </c>
      <c r="Y59">
        <v>0.4671223531780857</v>
      </c>
      <c r="Z59" t="str">
        <f>HYPERLINK("Melting_Curves/meltCurve_sp_O00459_P85B_HUMAN_.pdf", "Melting_Curves/meltCurve_sp_O00459_P85B_HUMAN_.pdf")</f>
        <v>Melting_Curves/meltCurve_sp_O00459_P85B_HUMAN_.pdf</v>
      </c>
      <c r="AA59" t="s">
        <v>12941</v>
      </c>
      <c r="AB59" t="s">
        <v>17144</v>
      </c>
    </row>
    <row r="60" spans="1:28" x14ac:dyDescent="0.25">
      <c r="A60" t="s">
        <v>64</v>
      </c>
      <c r="B60">
        <v>0.99876560204751996</v>
      </c>
      <c r="C60">
        <v>0.96882984929448301</v>
      </c>
      <c r="D60">
        <v>0.87244693638844495</v>
      </c>
      <c r="E60">
        <v>0.90810947086398297</v>
      </c>
      <c r="F60">
        <v>0.63785134422584</v>
      </c>
      <c r="G60">
        <v>0.32415735335464102</v>
      </c>
      <c r="H60">
        <v>0.15427361547639401</v>
      </c>
      <c r="I60">
        <v>0.14042623079946001</v>
      </c>
      <c r="J60">
        <v>0.124193009860235</v>
      </c>
      <c r="K60">
        <v>0.11768402983800801</v>
      </c>
      <c r="L60">
        <v>1190.67701326063</v>
      </c>
      <c r="M60">
        <v>22.0445830097098</v>
      </c>
      <c r="N60">
        <v>54.608946126349203</v>
      </c>
      <c r="O60">
        <v>53.573650232044002</v>
      </c>
      <c r="P60">
        <v>-9.1861881038089302E-2</v>
      </c>
      <c r="Q60">
        <v>0.107033687235637</v>
      </c>
      <c r="R60">
        <v>0.98921509948618103</v>
      </c>
      <c r="S60" t="s">
        <v>4356</v>
      </c>
      <c r="T60" t="s">
        <v>8590</v>
      </c>
      <c r="U60" t="s">
        <v>8590</v>
      </c>
      <c r="V60" t="s">
        <v>8590</v>
      </c>
      <c r="W60">
        <v>9</v>
      </c>
      <c r="X60" t="s">
        <v>8650</v>
      </c>
      <c r="Y60">
        <v>0.53443761916768906</v>
      </c>
      <c r="Z60" t="str">
        <f>HYPERLINK("Melting_Curves/meltCurve_sp_O00462_MANBA_HUMAN_.pdf", "Melting_Curves/meltCurve_sp_O00462_MANBA_HUMAN_.pdf")</f>
        <v>Melting_Curves/meltCurve_sp_O00462_MANBA_HUMAN_.pdf</v>
      </c>
      <c r="AA60" t="s">
        <v>12942</v>
      </c>
      <c r="AB60" t="s">
        <v>17145</v>
      </c>
    </row>
    <row r="61" spans="1:28" x14ac:dyDescent="0.25">
      <c r="A61" t="s">
        <v>65</v>
      </c>
      <c r="B61">
        <v>0.99876560204751996</v>
      </c>
      <c r="C61">
        <v>1.0387971640914599</v>
      </c>
      <c r="D61">
        <v>0.90362633348552002</v>
      </c>
      <c r="E61">
        <v>0.78243735104315704</v>
      </c>
      <c r="F61">
        <v>0.66244886713061202</v>
      </c>
      <c r="G61">
        <v>0.50353850197116301</v>
      </c>
      <c r="H61">
        <v>0.40487067922379899</v>
      </c>
      <c r="I61">
        <v>0.351133305114598</v>
      </c>
      <c r="J61">
        <v>0.48659591057610802</v>
      </c>
      <c r="K61">
        <v>0.40657211936478299</v>
      </c>
      <c r="L61">
        <v>907.84770837741598</v>
      </c>
      <c r="M61">
        <v>17.528563705808299</v>
      </c>
      <c r="N61">
        <v>56.921406731050801</v>
      </c>
      <c r="O61">
        <v>51.132479362760002</v>
      </c>
      <c r="P61">
        <v>-5.16850089472813E-2</v>
      </c>
      <c r="Q61">
        <v>0.396952783419389</v>
      </c>
      <c r="R61">
        <v>0.97293365651906805</v>
      </c>
      <c r="S61" t="s">
        <v>4357</v>
      </c>
      <c r="T61" t="s">
        <v>8590</v>
      </c>
      <c r="U61" t="s">
        <v>8590</v>
      </c>
      <c r="V61" t="s">
        <v>8590</v>
      </c>
      <c r="W61">
        <v>4</v>
      </c>
      <c r="X61" t="s">
        <v>8651</v>
      </c>
      <c r="Y61">
        <v>0.64453196499031784</v>
      </c>
      <c r="Z61" t="str">
        <f>HYPERLINK("Melting_Curves/meltCurve_sp_O00468_2_AGRIN_HUMAN_.pdf", "Melting_Curves/meltCurve_sp_O00468_2_AGRIN_HUMAN_.pdf")</f>
        <v>Melting_Curves/meltCurve_sp_O00468_2_AGRIN_HUMAN_.pdf</v>
      </c>
      <c r="AA61" t="s">
        <v>12943</v>
      </c>
      <c r="AB61" t="s">
        <v>17146</v>
      </c>
    </row>
    <row r="62" spans="1:28" x14ac:dyDescent="0.25">
      <c r="A62" t="s">
        <v>66</v>
      </c>
      <c r="B62">
        <v>0.99876560204751996</v>
      </c>
      <c r="C62">
        <v>1.0192470110326199</v>
      </c>
      <c r="D62">
        <v>0.95500327371161597</v>
      </c>
      <c r="E62">
        <v>0.576140172459494</v>
      </c>
      <c r="F62">
        <v>0.20411686908245899</v>
      </c>
      <c r="G62">
        <v>0.11351787164189001</v>
      </c>
      <c r="H62">
        <v>7.2693576798698201E-2</v>
      </c>
      <c r="I62">
        <v>6.9167066769718594E-2</v>
      </c>
      <c r="J62">
        <v>7.4453218634862095E-2</v>
      </c>
      <c r="K62">
        <v>5.2285288937226899E-2</v>
      </c>
      <c r="L62">
        <v>1665.78621733725</v>
      </c>
      <c r="M62">
        <v>33.150706606024002</v>
      </c>
      <c r="N62">
        <v>50.481672326064299</v>
      </c>
      <c r="O62">
        <v>50.067097698458198</v>
      </c>
      <c r="P62">
        <v>-0.15379966086717101</v>
      </c>
      <c r="Q62">
        <v>7.0877253204156998E-2</v>
      </c>
      <c r="R62">
        <v>0.999052131035983</v>
      </c>
      <c r="S62" t="s">
        <v>4358</v>
      </c>
      <c r="T62" t="s">
        <v>8590</v>
      </c>
      <c r="U62" t="s">
        <v>8590</v>
      </c>
      <c r="V62" t="s">
        <v>8590</v>
      </c>
      <c r="W62">
        <v>7</v>
      </c>
      <c r="X62" t="s">
        <v>8652</v>
      </c>
      <c r="Y62">
        <v>0.39300941503281978</v>
      </c>
      <c r="Z62" t="str">
        <f>HYPERLINK("Melting_Curves/meltCurve_sp_O00471_EXOC5_HUMAN_.pdf", "Melting_Curves/meltCurve_sp_O00471_EXOC5_HUMAN_.pdf")</f>
        <v>Melting_Curves/meltCurve_sp_O00471_EXOC5_HUMAN_.pdf</v>
      </c>
      <c r="AA62" t="s">
        <v>12944</v>
      </c>
      <c r="AB62" t="s">
        <v>17147</v>
      </c>
    </row>
    <row r="63" spans="1:28" x14ac:dyDescent="0.25">
      <c r="A63" t="s">
        <v>67</v>
      </c>
      <c r="B63">
        <v>0.99876560204751996</v>
      </c>
      <c r="C63">
        <v>0.95996829109964099</v>
      </c>
      <c r="D63">
        <v>1.2089018813633801</v>
      </c>
      <c r="E63">
        <v>1.1984128491133701</v>
      </c>
      <c r="F63">
        <v>1.39760273086289</v>
      </c>
      <c r="G63">
        <v>1.08141664807727</v>
      </c>
      <c r="H63">
        <v>1.0238331836449599</v>
      </c>
      <c r="I63">
        <v>1.1881586339652599</v>
      </c>
      <c r="J63">
        <v>1.3581956448722201</v>
      </c>
      <c r="K63">
        <v>1.72177457809217</v>
      </c>
      <c r="L63">
        <v>341.95467002934902</v>
      </c>
      <c r="M63">
        <v>5.9330828027198299</v>
      </c>
      <c r="O63">
        <v>52.106630174145003</v>
      </c>
      <c r="P63">
        <v>1.42810039332994E-2</v>
      </c>
      <c r="Q63">
        <v>1.5</v>
      </c>
      <c r="R63">
        <v>0.35016448950017598</v>
      </c>
      <c r="S63" t="s">
        <v>4359</v>
      </c>
      <c r="T63" t="s">
        <v>8590</v>
      </c>
      <c r="U63" t="s">
        <v>8590</v>
      </c>
      <c r="V63" t="s">
        <v>8590</v>
      </c>
      <c r="W63">
        <v>1</v>
      </c>
      <c r="X63" t="s">
        <v>8653</v>
      </c>
      <c r="Y63">
        <v>1.2083930027466869</v>
      </c>
      <c r="Z63" t="str">
        <f>HYPERLINK("Melting_Curves/meltCurve_sp_O00479_HMGN4_HUMAN_.pdf", "Melting_Curves/meltCurve_sp_O00479_HMGN4_HUMAN_.pdf")</f>
        <v>Melting_Curves/meltCurve_sp_O00479_HMGN4_HUMAN_.pdf</v>
      </c>
      <c r="AA63" t="s">
        <v>12945</v>
      </c>
      <c r="AB63" t="s">
        <v>17148</v>
      </c>
    </row>
    <row r="64" spans="1:28" x14ac:dyDescent="0.25">
      <c r="A64" t="s">
        <v>68</v>
      </c>
      <c r="B64">
        <v>0.99876560204751996</v>
      </c>
      <c r="C64">
        <v>1.0446485095250599</v>
      </c>
      <c r="D64">
        <v>0.72487913288398298</v>
      </c>
      <c r="E64">
        <v>0.55921575395870304</v>
      </c>
      <c r="F64">
        <v>0.36850300753392201</v>
      </c>
      <c r="G64">
        <v>0.23448944940008201</v>
      </c>
      <c r="H64">
        <v>0.217420506431799</v>
      </c>
      <c r="I64">
        <v>0.16635950403642899</v>
      </c>
      <c r="J64">
        <v>0.14096903016821699</v>
      </c>
      <c r="K64">
        <v>0</v>
      </c>
      <c r="L64">
        <v>701.75021879833105</v>
      </c>
      <c r="M64">
        <v>13.982626936983699</v>
      </c>
      <c r="N64">
        <v>50.891351208427302</v>
      </c>
      <c r="O64">
        <v>49.194213631356</v>
      </c>
      <c r="P64">
        <v>-6.4817948358822805E-2</v>
      </c>
      <c r="Q64">
        <v>8.7941417211410494E-2</v>
      </c>
      <c r="R64">
        <v>0.96910493531447806</v>
      </c>
      <c r="S64" t="s">
        <v>4360</v>
      </c>
      <c r="T64" t="s">
        <v>8590</v>
      </c>
      <c r="U64" t="s">
        <v>8590</v>
      </c>
      <c r="V64" t="s">
        <v>8590</v>
      </c>
      <c r="W64">
        <v>2</v>
      </c>
      <c r="X64" t="s">
        <v>8654</v>
      </c>
      <c r="Y64">
        <v>0.42204914791480469</v>
      </c>
      <c r="Z64" t="str">
        <f>HYPERLINK("Melting_Curves/meltCurve_sp_O00483_NDUA4_HUMAN_.pdf", "Melting_Curves/meltCurve_sp_O00483_NDUA4_HUMAN_.pdf")</f>
        <v>Melting_Curves/meltCurve_sp_O00483_NDUA4_HUMAN_.pdf</v>
      </c>
      <c r="AA64" t="s">
        <v>12946</v>
      </c>
      <c r="AB64" t="s">
        <v>17149</v>
      </c>
    </row>
    <row r="65" spans="1:28" x14ac:dyDescent="0.25">
      <c r="A65" t="s">
        <v>69</v>
      </c>
      <c r="B65">
        <v>0.99876560204751996</v>
      </c>
      <c r="C65">
        <v>1.0266841669673501</v>
      </c>
      <c r="D65">
        <v>0.85545065876403403</v>
      </c>
      <c r="E65">
        <v>0.58922709806974105</v>
      </c>
      <c r="F65">
        <v>0.202979135297159</v>
      </c>
      <c r="G65">
        <v>5.8348903941655698E-2</v>
      </c>
      <c r="H65">
        <v>2.3624204046276499E-2</v>
      </c>
      <c r="I65">
        <v>2.1843094301695599E-2</v>
      </c>
      <c r="J65">
        <v>1.7862080403936199E-2</v>
      </c>
      <c r="K65">
        <v>1.39373634022033E-2</v>
      </c>
      <c r="L65">
        <v>1249.80394164432</v>
      </c>
      <c r="M65">
        <v>24.8138193620943</v>
      </c>
      <c r="N65">
        <v>50.409929884144098</v>
      </c>
      <c r="O65">
        <v>50.043549841335903</v>
      </c>
      <c r="P65">
        <v>-0.12267441455005999</v>
      </c>
      <c r="Q65">
        <v>1.0393725824166301E-2</v>
      </c>
      <c r="R65">
        <v>0.99559248995638205</v>
      </c>
      <c r="S65" t="s">
        <v>4361</v>
      </c>
      <c r="T65" t="s">
        <v>8590</v>
      </c>
      <c r="U65" t="s">
        <v>8590</v>
      </c>
      <c r="V65" t="s">
        <v>8590</v>
      </c>
      <c r="W65">
        <v>7</v>
      </c>
      <c r="X65" t="s">
        <v>8655</v>
      </c>
      <c r="Y65">
        <v>0.36138917152535449</v>
      </c>
      <c r="Z65" t="str">
        <f>HYPERLINK("Melting_Curves/meltCurve_sp_O00487_PSDE_HUMAN_.pdf", "Melting_Curves/meltCurve_sp_O00487_PSDE_HUMAN_.pdf")</f>
        <v>Melting_Curves/meltCurve_sp_O00487_PSDE_HUMAN_.pdf</v>
      </c>
      <c r="AA65" t="s">
        <v>12947</v>
      </c>
      <c r="AB65" t="s">
        <v>17150</v>
      </c>
    </row>
    <row r="66" spans="1:28" x14ac:dyDescent="0.25">
      <c r="A66" t="s">
        <v>70</v>
      </c>
      <c r="B66">
        <v>0.99876560204751996</v>
      </c>
      <c r="C66">
        <v>0.97430688724480097</v>
      </c>
      <c r="D66">
        <v>1.0038193466063701</v>
      </c>
      <c r="E66">
        <v>0.83501666720185297</v>
      </c>
      <c r="F66">
        <v>0.78677751757840997</v>
      </c>
      <c r="G66">
        <v>0.53598403389015803</v>
      </c>
      <c r="H66">
        <v>0.453422647119675</v>
      </c>
      <c r="I66">
        <v>0.41609373767949398</v>
      </c>
      <c r="J66">
        <v>0.55322097035370399</v>
      </c>
      <c r="K66">
        <v>0.51331647266264102</v>
      </c>
      <c r="L66">
        <v>1232.0061348377301</v>
      </c>
      <c r="M66">
        <v>23.296118508898999</v>
      </c>
      <c r="N66">
        <v>60.7050600400352</v>
      </c>
      <c r="O66">
        <v>52.499548860030501</v>
      </c>
      <c r="P66">
        <v>-5.8226773184451901E-2</v>
      </c>
      <c r="Q66">
        <v>0.47513575277272901</v>
      </c>
      <c r="R66">
        <v>0.95831203614288896</v>
      </c>
      <c r="S66" t="s">
        <v>4362</v>
      </c>
      <c r="T66" t="s">
        <v>8590</v>
      </c>
      <c r="U66" t="s">
        <v>8590</v>
      </c>
      <c r="V66" t="s">
        <v>8590</v>
      </c>
      <c r="W66">
        <v>17</v>
      </c>
      <c r="X66" t="s">
        <v>8656</v>
      </c>
      <c r="Y66">
        <v>0.70606478490309921</v>
      </c>
      <c r="Z66" t="str">
        <f>HYPERLINK("Melting_Curves/meltCurve_sp_O00499_6_BIN1_HUMAN_.pdf", "Melting_Curves/meltCurve_sp_O00499_6_BIN1_HUMAN_.pdf")</f>
        <v>Melting_Curves/meltCurve_sp_O00499_6_BIN1_HUMAN_.pdf</v>
      </c>
      <c r="AA66" t="s">
        <v>12948</v>
      </c>
      <c r="AB66" t="s">
        <v>17151</v>
      </c>
    </row>
    <row r="67" spans="1:28" x14ac:dyDescent="0.25">
      <c r="A67" t="s">
        <v>71</v>
      </c>
      <c r="B67">
        <v>0.99876560204751996</v>
      </c>
      <c r="C67">
        <v>0.96414181952907196</v>
      </c>
      <c r="D67">
        <v>1.0400249932702901</v>
      </c>
      <c r="E67">
        <v>0.92111495019132705</v>
      </c>
      <c r="F67">
        <v>0.61425183924950399</v>
      </c>
      <c r="G67">
        <v>0.246653708361291</v>
      </c>
      <c r="H67">
        <v>0.125920797561271</v>
      </c>
      <c r="I67">
        <v>0.103462022318155</v>
      </c>
      <c r="J67">
        <v>5.7563396703344101E-2</v>
      </c>
      <c r="K67">
        <v>5.9430547408375001E-2</v>
      </c>
      <c r="L67">
        <v>1483.9580309819801</v>
      </c>
      <c r="M67">
        <v>27.5767203629375</v>
      </c>
      <c r="N67">
        <v>54.1274655050292</v>
      </c>
      <c r="O67">
        <v>53.531396491707802</v>
      </c>
      <c r="P67">
        <v>-0.119227565348912</v>
      </c>
      <c r="Q67">
        <v>7.4239450748387198E-2</v>
      </c>
      <c r="R67">
        <v>0.99656372970836704</v>
      </c>
      <c r="S67" t="s">
        <v>4363</v>
      </c>
      <c r="T67" t="s">
        <v>8590</v>
      </c>
      <c r="U67" t="s">
        <v>8590</v>
      </c>
      <c r="V67" t="s">
        <v>8590</v>
      </c>
      <c r="W67">
        <v>6</v>
      </c>
      <c r="X67" t="s">
        <v>8657</v>
      </c>
      <c r="Y67">
        <v>0.50758921949704761</v>
      </c>
      <c r="Z67" t="str">
        <f>HYPERLINK("Melting_Curves/meltCurve_sp_O00505_IMA3_HUMAN_.pdf", "Melting_Curves/meltCurve_sp_O00505_IMA3_HUMAN_.pdf")</f>
        <v>Melting_Curves/meltCurve_sp_O00505_IMA3_HUMAN_.pdf</v>
      </c>
      <c r="AA67" t="s">
        <v>12949</v>
      </c>
      <c r="AB67" t="s">
        <v>17152</v>
      </c>
    </row>
    <row r="68" spans="1:28" x14ac:dyDescent="0.25">
      <c r="A68" t="s">
        <v>72</v>
      </c>
      <c r="B68">
        <v>0.99876560204751996</v>
      </c>
      <c r="C68">
        <v>0.88319861187595095</v>
      </c>
      <c r="D68">
        <v>0.68077165010690499</v>
      </c>
      <c r="E68">
        <v>0.38566178096280801</v>
      </c>
      <c r="F68">
        <v>0.23560144025048901</v>
      </c>
      <c r="G68">
        <v>0.116044399409738</v>
      </c>
      <c r="H68">
        <v>9.1562723128845197E-2</v>
      </c>
      <c r="I68">
        <v>0.105746822739202</v>
      </c>
      <c r="J68">
        <v>8.4762346152048001E-2</v>
      </c>
      <c r="K68">
        <v>4.9416224339381698E-2</v>
      </c>
      <c r="L68">
        <v>798.75477245609795</v>
      </c>
      <c r="M68">
        <v>16.6575409754475</v>
      </c>
      <c r="N68">
        <v>48.377895715373803</v>
      </c>
      <c r="O68">
        <v>47.276444383657299</v>
      </c>
      <c r="P68">
        <v>-8.2077765732849098E-2</v>
      </c>
      <c r="Q68">
        <v>6.8269395449158596E-2</v>
      </c>
      <c r="R68">
        <v>0.99776129219739895</v>
      </c>
      <c r="S68" t="s">
        <v>4364</v>
      </c>
      <c r="T68" t="s">
        <v>8590</v>
      </c>
      <c r="U68" t="s">
        <v>8590</v>
      </c>
      <c r="V68" t="s">
        <v>8590</v>
      </c>
      <c r="W68">
        <v>6</v>
      </c>
      <c r="X68" t="s">
        <v>8658</v>
      </c>
      <c r="Y68">
        <v>0.33467034722390188</v>
      </c>
      <c r="Z68" t="str">
        <f>HYPERLINK("Melting_Curves/meltCurve_sp_O00506_STK25_HUMAN_.pdf", "Melting_Curves/meltCurve_sp_O00506_STK25_HUMAN_.pdf")</f>
        <v>Melting_Curves/meltCurve_sp_O00506_STK25_HUMAN_.pdf</v>
      </c>
      <c r="AA68" t="s">
        <v>12950</v>
      </c>
      <c r="AB68" t="s">
        <v>17153</v>
      </c>
    </row>
    <row r="69" spans="1:28" x14ac:dyDescent="0.25">
      <c r="A69" t="s">
        <v>73</v>
      </c>
      <c r="B69">
        <v>0.99876560204751996</v>
      </c>
      <c r="C69">
        <v>0.98806050363576303</v>
      </c>
      <c r="D69">
        <v>1.0464169283139</v>
      </c>
      <c r="E69">
        <v>0.92247138006655305</v>
      </c>
      <c r="F69">
        <v>0.88788940540064898</v>
      </c>
      <c r="G69">
        <v>0.70347508920103796</v>
      </c>
      <c r="H69">
        <v>0.62018001134152601</v>
      </c>
      <c r="I69">
        <v>0.65727307746600505</v>
      </c>
      <c r="J69">
        <v>0.85055883803541699</v>
      </c>
      <c r="K69">
        <v>0.81987622574407604</v>
      </c>
      <c r="L69">
        <v>2041.36967013596</v>
      </c>
      <c r="M69">
        <v>38.607299367347601</v>
      </c>
      <c r="O69">
        <v>52.733959207443696</v>
      </c>
      <c r="P69">
        <v>-4.9516204210739101E-2</v>
      </c>
      <c r="Q69">
        <v>0.72946262985338295</v>
      </c>
      <c r="R69">
        <v>0.75888745805005398</v>
      </c>
      <c r="S69" t="s">
        <v>4365</v>
      </c>
      <c r="T69" t="s">
        <v>8590</v>
      </c>
      <c r="U69" t="s">
        <v>8590</v>
      </c>
      <c r="V69" t="s">
        <v>8590</v>
      </c>
      <c r="W69">
        <v>16</v>
      </c>
      <c r="X69" t="s">
        <v>8659</v>
      </c>
      <c r="Y69">
        <v>0.84663088116696916</v>
      </c>
      <c r="Z69" t="str">
        <f>HYPERLINK("Melting_Curves/meltCurve_sp_O00515_LAD1_HUMAN_.pdf", "Melting_Curves/meltCurve_sp_O00515_LAD1_HUMAN_.pdf")</f>
        <v>Melting_Curves/meltCurve_sp_O00515_LAD1_HUMAN_.pdf</v>
      </c>
      <c r="AA69" t="s">
        <v>12951</v>
      </c>
      <c r="AB69" t="s">
        <v>17154</v>
      </c>
    </row>
    <row r="70" spans="1:28" x14ac:dyDescent="0.25">
      <c r="A70" t="s">
        <v>74</v>
      </c>
      <c r="B70">
        <v>0.99876560204751996</v>
      </c>
      <c r="C70">
        <v>0.94440055016743696</v>
      </c>
      <c r="D70">
        <v>0.89365660850948103</v>
      </c>
      <c r="E70">
        <v>0.83903474704909498</v>
      </c>
      <c r="F70">
        <v>0.75737567728906396</v>
      </c>
      <c r="G70">
        <v>0.51746447104514504</v>
      </c>
      <c r="H70">
        <v>0.43829014356985402</v>
      </c>
      <c r="I70">
        <v>0.35623829663066597</v>
      </c>
      <c r="J70">
        <v>0.32062037491857598</v>
      </c>
      <c r="K70">
        <v>0.224859701519359</v>
      </c>
      <c r="L70">
        <v>537.89522201150805</v>
      </c>
      <c r="M70">
        <v>9.3720617814890694</v>
      </c>
      <c r="N70">
        <v>58.900577045687101</v>
      </c>
      <c r="O70">
        <v>54.962307111319099</v>
      </c>
      <c r="P70">
        <v>-3.8108518148509601E-2</v>
      </c>
      <c r="Q70">
        <v>0.10660917977517601</v>
      </c>
      <c r="R70">
        <v>0.990699114125281</v>
      </c>
      <c r="S70" t="s">
        <v>4366</v>
      </c>
      <c r="T70" t="s">
        <v>8590</v>
      </c>
      <c r="U70" t="s">
        <v>8590</v>
      </c>
      <c r="V70" t="s">
        <v>8590</v>
      </c>
      <c r="W70">
        <v>5</v>
      </c>
      <c r="X70" t="s">
        <v>8660</v>
      </c>
      <c r="Y70">
        <v>0.63572255218931983</v>
      </c>
      <c r="Z70" t="str">
        <f>HYPERLINK("Melting_Curves/meltCurve_sp_O00534_VMA5A_HUMAN_.pdf", "Melting_Curves/meltCurve_sp_O00534_VMA5A_HUMAN_.pdf")</f>
        <v>Melting_Curves/meltCurve_sp_O00534_VMA5A_HUMAN_.pdf</v>
      </c>
      <c r="AA70" t="s">
        <v>12952</v>
      </c>
      <c r="AB70" t="s">
        <v>17155</v>
      </c>
    </row>
    <row r="71" spans="1:28" x14ac:dyDescent="0.25">
      <c r="A71" t="s">
        <v>75</v>
      </c>
      <c r="B71">
        <v>0.99876560204751996</v>
      </c>
      <c r="C71">
        <v>0.98400892814318996</v>
      </c>
      <c r="D71">
        <v>0.94268213773492204</v>
      </c>
      <c r="E71">
        <v>0.87545376009546905</v>
      </c>
      <c r="F71">
        <v>0.69742981651223401</v>
      </c>
      <c r="G71">
        <v>0.44179122179549901</v>
      </c>
      <c r="H71">
        <v>0.37385662175518503</v>
      </c>
      <c r="I71">
        <v>0.35404850343426902</v>
      </c>
      <c r="J71">
        <v>0.38582850425368798</v>
      </c>
      <c r="K71">
        <v>0.355636222542213</v>
      </c>
      <c r="L71">
        <v>1267.91525343492</v>
      </c>
      <c r="M71">
        <v>23.897641843229898</v>
      </c>
      <c r="N71">
        <v>55.944854076492703</v>
      </c>
      <c r="O71">
        <v>52.688756114587001</v>
      </c>
      <c r="P71">
        <v>-7.3202151419363495E-2</v>
      </c>
      <c r="Q71">
        <v>0.35443535319799602</v>
      </c>
      <c r="R71">
        <v>0.99545531746543503</v>
      </c>
      <c r="S71" t="s">
        <v>4367</v>
      </c>
      <c r="T71" t="s">
        <v>8590</v>
      </c>
      <c r="U71" t="s">
        <v>8590</v>
      </c>
      <c r="V71" t="s">
        <v>8590</v>
      </c>
      <c r="W71">
        <v>8</v>
      </c>
      <c r="X71" t="s">
        <v>8661</v>
      </c>
      <c r="Y71">
        <v>0.64185345212994982</v>
      </c>
      <c r="Z71" t="str">
        <f>HYPERLINK("Melting_Curves/meltCurve_sp_O00567_NOP56_HUMAN_.pdf", "Melting_Curves/meltCurve_sp_O00567_NOP56_HUMAN_.pdf")</f>
        <v>Melting_Curves/meltCurve_sp_O00567_NOP56_HUMAN_.pdf</v>
      </c>
      <c r="AA71" t="s">
        <v>12953</v>
      </c>
      <c r="AB71" t="s">
        <v>17156</v>
      </c>
    </row>
    <row r="72" spans="1:28" x14ac:dyDescent="0.25">
      <c r="A72" t="s">
        <v>76</v>
      </c>
      <c r="B72">
        <v>0.99876560204751996</v>
      </c>
      <c r="C72">
        <v>0.93302511861347204</v>
      </c>
      <c r="D72">
        <v>0.89273523568242596</v>
      </c>
      <c r="E72">
        <v>0.38874286866968</v>
      </c>
      <c r="F72">
        <v>0.17312761428634299</v>
      </c>
      <c r="G72">
        <v>0.114661705722193</v>
      </c>
      <c r="H72">
        <v>7.9671884354916997E-2</v>
      </c>
      <c r="I72">
        <v>6.3832266635838297E-2</v>
      </c>
      <c r="J72">
        <v>5.9437860399671902E-2</v>
      </c>
      <c r="K72">
        <v>5.4564696486716503E-2</v>
      </c>
      <c r="L72">
        <v>1380.6037340258399</v>
      </c>
      <c r="M72">
        <v>28.200385905778301</v>
      </c>
      <c r="N72">
        <v>49.219178665305002</v>
      </c>
      <c r="O72">
        <v>48.7127175055954</v>
      </c>
      <c r="P72">
        <v>-0.13463284200878201</v>
      </c>
      <c r="Q72">
        <v>6.9760807891447493E-2</v>
      </c>
      <c r="R72">
        <v>0.99694725914727</v>
      </c>
      <c r="S72" t="s">
        <v>4368</v>
      </c>
      <c r="T72" t="s">
        <v>8590</v>
      </c>
      <c r="U72" t="s">
        <v>8590</v>
      </c>
      <c r="V72" t="s">
        <v>8590</v>
      </c>
      <c r="W72">
        <v>28</v>
      </c>
      <c r="X72" t="s">
        <v>8662</v>
      </c>
      <c r="Y72">
        <v>0.35392591597989431</v>
      </c>
      <c r="Z72" t="str">
        <f>HYPERLINK("Melting_Curves/meltCurve_sp_O00571_DDX3X_HUMAN_.pdf", "Melting_Curves/meltCurve_sp_O00571_DDX3X_HUMAN_.pdf")</f>
        <v>Melting_Curves/meltCurve_sp_O00571_DDX3X_HUMAN_.pdf</v>
      </c>
      <c r="AA72" t="s">
        <v>12954</v>
      </c>
      <c r="AB72" t="s">
        <v>17157</v>
      </c>
    </row>
    <row r="73" spans="1:28" x14ac:dyDescent="0.25">
      <c r="A73" t="s">
        <v>77</v>
      </c>
      <c r="B73">
        <v>0.99876560204751996</v>
      </c>
      <c r="C73">
        <v>0.88546284342662496</v>
      </c>
      <c r="D73">
        <v>0.96296039019722002</v>
      </c>
      <c r="E73">
        <v>0.77519410583400605</v>
      </c>
      <c r="F73">
        <v>0.56139756644704097</v>
      </c>
      <c r="G73">
        <v>0.37195373754247302</v>
      </c>
      <c r="H73">
        <v>0.22108056842249901</v>
      </c>
      <c r="I73">
        <v>0.135492261464566</v>
      </c>
      <c r="J73">
        <v>0.107630967651778</v>
      </c>
      <c r="K73">
        <v>9.2499787611214704E-2</v>
      </c>
      <c r="L73">
        <v>732.50181403080296</v>
      </c>
      <c r="M73">
        <v>13.5520451226348</v>
      </c>
      <c r="N73">
        <v>54.428572581428398</v>
      </c>
      <c r="O73">
        <v>52.914845711635401</v>
      </c>
      <c r="P73">
        <v>-6.1164458176134397E-2</v>
      </c>
      <c r="Q73">
        <v>4.4861339325823202E-2</v>
      </c>
      <c r="R73">
        <v>0.991255668003307</v>
      </c>
      <c r="S73" t="s">
        <v>4369</v>
      </c>
      <c r="T73" t="s">
        <v>8590</v>
      </c>
      <c r="U73" t="s">
        <v>8590</v>
      </c>
      <c r="V73" t="s">
        <v>8590</v>
      </c>
      <c r="W73">
        <v>7</v>
      </c>
      <c r="X73" t="s">
        <v>8663</v>
      </c>
      <c r="Y73">
        <v>0.51419989862528659</v>
      </c>
      <c r="Z73" t="str">
        <f>HYPERLINK("Melting_Curves/meltCurve_sp_O00625_PIR_HUMAN_.pdf", "Melting_Curves/meltCurve_sp_O00625_PIR_HUMAN_.pdf")</f>
        <v>Melting_Curves/meltCurve_sp_O00625_PIR_HUMAN_.pdf</v>
      </c>
      <c r="AA73" t="s">
        <v>12955</v>
      </c>
      <c r="AB73" t="s">
        <v>17158</v>
      </c>
    </row>
    <row r="74" spans="1:28" x14ac:dyDescent="0.25">
      <c r="A74" t="s">
        <v>78</v>
      </c>
      <c r="B74">
        <v>0.99876560204751996</v>
      </c>
      <c r="C74">
        <v>0.99177956141373202</v>
      </c>
      <c r="D74">
        <v>0.90028567399727</v>
      </c>
      <c r="E74">
        <v>0.96178838684393597</v>
      </c>
      <c r="F74">
        <v>0.85657801809452006</v>
      </c>
      <c r="G74">
        <v>0.60206894415222201</v>
      </c>
      <c r="H74">
        <v>0.20918710481699901</v>
      </c>
      <c r="I74">
        <v>0.19615106326812501</v>
      </c>
      <c r="J74">
        <v>0.189655290431407</v>
      </c>
      <c r="K74">
        <v>0.111889745535764</v>
      </c>
      <c r="L74">
        <v>1405.93351455638</v>
      </c>
      <c r="M74">
        <v>24.671478078325102</v>
      </c>
      <c r="N74">
        <v>57.6620992177278</v>
      </c>
      <c r="O74">
        <v>56.6157505180269</v>
      </c>
      <c r="P74">
        <v>-9.5264322395537504E-2</v>
      </c>
      <c r="Q74">
        <v>0.12556764425305</v>
      </c>
      <c r="R74">
        <v>0.98625230409198195</v>
      </c>
      <c r="S74" t="s">
        <v>4370</v>
      </c>
      <c r="T74" t="s">
        <v>8590</v>
      </c>
      <c r="U74" t="s">
        <v>8590</v>
      </c>
      <c r="V74" t="s">
        <v>8590</v>
      </c>
      <c r="W74">
        <v>6</v>
      </c>
      <c r="X74" t="s">
        <v>8664</v>
      </c>
      <c r="Y74">
        <v>0.62871880355378595</v>
      </c>
      <c r="Z74" t="str">
        <f>HYPERLINK("Melting_Curves/meltCurve_sp_O00629_IMA4_HUMAN_.pdf", "Melting_Curves/meltCurve_sp_O00629_IMA4_HUMAN_.pdf")</f>
        <v>Melting_Curves/meltCurve_sp_O00629_IMA4_HUMAN_.pdf</v>
      </c>
      <c r="AA74" t="s">
        <v>12956</v>
      </c>
      <c r="AB74" t="s">
        <v>17159</v>
      </c>
    </row>
    <row r="75" spans="1:28" x14ac:dyDescent="0.25">
      <c r="A75" t="s">
        <v>79</v>
      </c>
      <c r="B75">
        <v>0.99876560204751996</v>
      </c>
      <c r="C75">
        <v>0.90182004081169498</v>
      </c>
      <c r="D75">
        <v>0.772984375797933</v>
      </c>
      <c r="E75">
        <v>0.44820206124653</v>
      </c>
      <c r="F75">
        <v>0.38448269085006598</v>
      </c>
      <c r="G75">
        <v>0.237453882656677</v>
      </c>
      <c r="H75">
        <v>0.20941390868748699</v>
      </c>
      <c r="I75">
        <v>0.18271448629029799</v>
      </c>
      <c r="J75">
        <v>0.12317544484868</v>
      </c>
      <c r="K75">
        <v>8.7601737536636803E-2</v>
      </c>
      <c r="L75">
        <v>688.06751538513004</v>
      </c>
      <c r="M75">
        <v>14.011075754586001</v>
      </c>
      <c r="N75">
        <v>50.100218788971603</v>
      </c>
      <c r="O75">
        <v>48.1409068843341</v>
      </c>
      <c r="P75">
        <v>-6.3960162425714603E-2</v>
      </c>
      <c r="Q75">
        <v>0.121068653208721</v>
      </c>
      <c r="R75">
        <v>0.98980932011857503</v>
      </c>
      <c r="S75" t="s">
        <v>4371</v>
      </c>
      <c r="T75" t="s">
        <v>8590</v>
      </c>
      <c r="U75" t="s">
        <v>8590</v>
      </c>
      <c r="V75" t="s">
        <v>8590</v>
      </c>
      <c r="W75">
        <v>2</v>
      </c>
      <c r="X75" t="s">
        <v>8665</v>
      </c>
      <c r="Y75">
        <v>0.41243382831222891</v>
      </c>
      <c r="Z75" t="str">
        <f>HYPERLINK("Melting_Curves/meltCurve_sp_O00635_TRI38_HUMAN_.pdf", "Melting_Curves/meltCurve_sp_O00635_TRI38_HUMAN_.pdf")</f>
        <v>Melting_Curves/meltCurve_sp_O00635_TRI38_HUMAN_.pdf</v>
      </c>
      <c r="AA75" t="s">
        <v>12957</v>
      </c>
      <c r="AB75" t="s">
        <v>17160</v>
      </c>
    </row>
    <row r="76" spans="1:28" x14ac:dyDescent="0.25">
      <c r="A76" t="s">
        <v>80</v>
      </c>
      <c r="B76">
        <v>0.99876560204751996</v>
      </c>
      <c r="C76">
        <v>1.0350149854642601</v>
      </c>
      <c r="D76">
        <v>0.92388328592865898</v>
      </c>
      <c r="E76">
        <v>0.98734182373075996</v>
      </c>
      <c r="F76">
        <v>0.85057838162144905</v>
      </c>
      <c r="G76">
        <v>0.62777031742592604</v>
      </c>
      <c r="H76">
        <v>0.41062852361678598</v>
      </c>
      <c r="I76">
        <v>0.29228661745867002</v>
      </c>
      <c r="J76">
        <v>0.25796122719815501</v>
      </c>
      <c r="K76">
        <v>0.208659639675843</v>
      </c>
      <c r="L76">
        <v>1038.4217000077299</v>
      </c>
      <c r="M76">
        <v>18.022561816504801</v>
      </c>
      <c r="N76">
        <v>59.129037312654297</v>
      </c>
      <c r="O76">
        <v>56.922549788324602</v>
      </c>
      <c r="P76">
        <v>-6.4549132011447005E-2</v>
      </c>
      <c r="Q76">
        <v>0.184550825767092</v>
      </c>
      <c r="R76">
        <v>0.99254411573542101</v>
      </c>
      <c r="S76" t="s">
        <v>4372</v>
      </c>
      <c r="T76" t="s">
        <v>8590</v>
      </c>
      <c r="U76" t="s">
        <v>8590</v>
      </c>
      <c r="V76" t="s">
        <v>8590</v>
      </c>
      <c r="W76">
        <v>7</v>
      </c>
      <c r="X76" t="s">
        <v>8666</v>
      </c>
      <c r="Y76">
        <v>0.67396825005515404</v>
      </c>
      <c r="Z76" t="str">
        <f>HYPERLINK("Melting_Curves/meltCurve_sp_O00743_PPP6_HUMAN_.pdf", "Melting_Curves/meltCurve_sp_O00743_PPP6_HUMAN_.pdf")</f>
        <v>Melting_Curves/meltCurve_sp_O00743_PPP6_HUMAN_.pdf</v>
      </c>
      <c r="AA76" t="s">
        <v>12958</v>
      </c>
      <c r="AB76" t="s">
        <v>17161</v>
      </c>
    </row>
    <row r="77" spans="1:28" x14ac:dyDescent="0.25">
      <c r="A77" t="s">
        <v>81</v>
      </c>
      <c r="B77">
        <v>0.99876560204751996</v>
      </c>
      <c r="C77">
        <v>0.95159120050577195</v>
      </c>
      <c r="D77">
        <v>0.98432475234086403</v>
      </c>
      <c r="E77">
        <v>0.91589321299076798</v>
      </c>
      <c r="F77">
        <v>0.582345728911008</v>
      </c>
      <c r="G77">
        <v>0.17794215747008699</v>
      </c>
      <c r="H77">
        <v>9.2490340764533593E-2</v>
      </c>
      <c r="I77">
        <v>6.5807017065590806E-2</v>
      </c>
      <c r="J77">
        <v>5.5797830118459103E-2</v>
      </c>
      <c r="K77">
        <v>4.52378087500293E-2</v>
      </c>
      <c r="L77">
        <v>1674.9346812265601</v>
      </c>
      <c r="M77">
        <v>31.343594480630198</v>
      </c>
      <c r="N77">
        <v>53.650311431281303</v>
      </c>
      <c r="O77">
        <v>53.221758743880798</v>
      </c>
      <c r="P77">
        <v>-0.138639153088885</v>
      </c>
      <c r="Q77">
        <v>5.8362230811231403E-2</v>
      </c>
      <c r="R77">
        <v>0.99820990449357305</v>
      </c>
      <c r="S77" t="s">
        <v>4373</v>
      </c>
      <c r="T77" t="s">
        <v>8590</v>
      </c>
      <c r="U77" t="s">
        <v>8590</v>
      </c>
      <c r="V77" t="s">
        <v>8590</v>
      </c>
      <c r="W77">
        <v>17</v>
      </c>
      <c r="X77" t="s">
        <v>8667</v>
      </c>
      <c r="Y77">
        <v>0.48578758823382429</v>
      </c>
      <c r="Z77" t="str">
        <f>HYPERLINK("Melting_Curves/meltCurve_sp_O00748_EST2_HUMAN_.pdf", "Melting_Curves/meltCurve_sp_O00748_EST2_HUMAN_.pdf")</f>
        <v>Melting_Curves/meltCurve_sp_O00748_EST2_HUMAN_.pdf</v>
      </c>
      <c r="AA77" t="s">
        <v>12959</v>
      </c>
      <c r="AB77" t="s">
        <v>17162</v>
      </c>
    </row>
    <row r="78" spans="1:28" x14ac:dyDescent="0.25">
      <c r="A78" t="s">
        <v>82</v>
      </c>
      <c r="B78">
        <v>0.99876560204751996</v>
      </c>
      <c r="C78">
        <v>0.95159708965795498</v>
      </c>
      <c r="D78">
        <v>0.86075834103899496</v>
      </c>
      <c r="E78">
        <v>0.79778180304961499</v>
      </c>
      <c r="F78">
        <v>0.73533111352240299</v>
      </c>
      <c r="G78">
        <v>0.64184666545719304</v>
      </c>
      <c r="H78">
        <v>0.47913471880539799</v>
      </c>
      <c r="I78">
        <v>0.48077359251990698</v>
      </c>
      <c r="J78">
        <v>0.53528219692527901</v>
      </c>
      <c r="K78">
        <v>0.482536639228407</v>
      </c>
      <c r="L78">
        <v>544.51467243324601</v>
      </c>
      <c r="M78">
        <v>10.3296365173889</v>
      </c>
      <c r="N78">
        <v>65.434772424632001</v>
      </c>
      <c r="O78">
        <v>50.852918426129598</v>
      </c>
      <c r="P78">
        <v>-2.8811742777624199E-2</v>
      </c>
      <c r="Q78">
        <v>0.43288150490874799</v>
      </c>
      <c r="R78">
        <v>0.97027467953146396</v>
      </c>
      <c r="S78" t="s">
        <v>4374</v>
      </c>
      <c r="T78" t="s">
        <v>8590</v>
      </c>
      <c r="U78" t="s">
        <v>8590</v>
      </c>
      <c r="V78" t="s">
        <v>8590</v>
      </c>
      <c r="W78">
        <v>24</v>
      </c>
      <c r="X78" t="s">
        <v>8668</v>
      </c>
      <c r="Y78">
        <v>0.69262235253271098</v>
      </c>
      <c r="Z78" t="str">
        <f>HYPERLINK("Melting_Curves/meltCurve_sp_O00754_MA2B1_HUMAN_.pdf", "Melting_Curves/meltCurve_sp_O00754_MA2B1_HUMAN_.pdf")</f>
        <v>Melting_Curves/meltCurve_sp_O00754_MA2B1_HUMAN_.pdf</v>
      </c>
      <c r="AA78" t="s">
        <v>12960</v>
      </c>
      <c r="AB78" t="s">
        <v>17163</v>
      </c>
    </row>
    <row r="79" spans="1:28" x14ac:dyDescent="0.25">
      <c r="A79" t="s">
        <v>83</v>
      </c>
      <c r="B79">
        <v>0.99876560204751996</v>
      </c>
      <c r="C79">
        <v>1.1096034809047699</v>
      </c>
      <c r="D79">
        <v>0.99118967403220204</v>
      </c>
      <c r="E79">
        <v>1.1176482197684201</v>
      </c>
      <c r="F79">
        <v>0.96942937861227796</v>
      </c>
      <c r="G79">
        <v>0.94586772958594401</v>
      </c>
      <c r="H79">
        <v>0.84601377111804998</v>
      </c>
      <c r="I79">
        <v>0.78131631860567097</v>
      </c>
      <c r="J79">
        <v>0.85065194043518499</v>
      </c>
      <c r="K79">
        <v>0.27155055687259699</v>
      </c>
      <c r="L79">
        <v>3344.3688234646402</v>
      </c>
      <c r="M79">
        <v>48.623232991114499</v>
      </c>
      <c r="N79">
        <v>68.781293081553201</v>
      </c>
      <c r="O79">
        <v>68.665257508408601</v>
      </c>
      <c r="P79">
        <v>-0.17703015577908299</v>
      </c>
      <c r="Q79">
        <v>0</v>
      </c>
      <c r="R79">
        <v>0.81997825830670301</v>
      </c>
      <c r="S79" t="s">
        <v>4375</v>
      </c>
      <c r="T79" t="s">
        <v>8590</v>
      </c>
      <c r="U79" t="s">
        <v>8590</v>
      </c>
      <c r="V79" t="s">
        <v>8590</v>
      </c>
      <c r="W79">
        <v>5</v>
      </c>
      <c r="X79" t="s">
        <v>8669</v>
      </c>
      <c r="Y79">
        <v>0.94430028781382902</v>
      </c>
      <c r="Z79" t="str">
        <f>HYPERLINK("Melting_Curves/meltCurve_sp_O00757_F16P2_HUMAN_.pdf", "Melting_Curves/meltCurve_sp_O00757_F16P2_HUMAN_.pdf")</f>
        <v>Melting_Curves/meltCurve_sp_O00757_F16P2_HUMAN_.pdf</v>
      </c>
      <c r="AA79" t="s">
        <v>12961</v>
      </c>
      <c r="AB79" t="s">
        <v>17164</v>
      </c>
    </row>
    <row r="80" spans="1:28" x14ac:dyDescent="0.25">
      <c r="A80" t="s">
        <v>84</v>
      </c>
      <c r="B80">
        <v>0.99876560204751996</v>
      </c>
      <c r="C80">
        <v>1.0367190348158</v>
      </c>
      <c r="D80">
        <v>0.87237005299063897</v>
      </c>
      <c r="E80">
        <v>0.36033470985801502</v>
      </c>
      <c r="F80">
        <v>0.15041888553522201</v>
      </c>
      <c r="G80">
        <v>9.2985586178566698E-2</v>
      </c>
      <c r="H80">
        <v>5.9805823234502301E-2</v>
      </c>
      <c r="I80">
        <v>4.4945831159388799E-2</v>
      </c>
      <c r="J80">
        <v>4.19197138598561E-2</v>
      </c>
      <c r="K80">
        <v>3.28090762873786E-2</v>
      </c>
      <c r="L80">
        <v>1470.22922772782</v>
      </c>
      <c r="M80">
        <v>30.0901318580738</v>
      </c>
      <c r="N80">
        <v>49.042603890934799</v>
      </c>
      <c r="O80">
        <v>48.646559627099499</v>
      </c>
      <c r="P80">
        <v>-0.14647846567788</v>
      </c>
      <c r="Q80">
        <v>5.2762209141883398E-2</v>
      </c>
      <c r="R80">
        <v>0.99737620035271202</v>
      </c>
      <c r="S80" t="s">
        <v>4376</v>
      </c>
      <c r="T80" t="s">
        <v>8590</v>
      </c>
      <c r="U80" t="s">
        <v>8590</v>
      </c>
      <c r="V80" t="s">
        <v>8590</v>
      </c>
      <c r="W80">
        <v>52</v>
      </c>
      <c r="X80" t="s">
        <v>8670</v>
      </c>
      <c r="Y80">
        <v>0.33826243432035752</v>
      </c>
      <c r="Z80" t="str">
        <f>HYPERLINK("Melting_Curves/meltCurve_sp_O00763_ACACB_HUMAN_.pdf", "Melting_Curves/meltCurve_sp_O00763_ACACB_HUMAN_.pdf")</f>
        <v>Melting_Curves/meltCurve_sp_O00763_ACACB_HUMAN_.pdf</v>
      </c>
      <c r="AA80" t="s">
        <v>12962</v>
      </c>
      <c r="AB80" t="s">
        <v>17165</v>
      </c>
    </row>
    <row r="81" spans="1:28" x14ac:dyDescent="0.25">
      <c r="A81" t="s">
        <v>85</v>
      </c>
      <c r="B81">
        <v>0.99876560204751996</v>
      </c>
      <c r="C81">
        <v>0.77810137127936396</v>
      </c>
      <c r="D81">
        <v>0.67465174057761201</v>
      </c>
      <c r="E81">
        <v>0.73993913119833898</v>
      </c>
      <c r="F81">
        <v>0.41189791345598298</v>
      </c>
      <c r="G81">
        <v>9.5754706644773493E-2</v>
      </c>
      <c r="H81">
        <v>5.6057172907154097E-2</v>
      </c>
      <c r="I81">
        <v>3.6666288210183799E-2</v>
      </c>
      <c r="J81">
        <v>3.98786936019861E-2</v>
      </c>
      <c r="K81">
        <v>3.1408660737890302E-2</v>
      </c>
      <c r="L81">
        <v>639.19709877700097</v>
      </c>
      <c r="M81">
        <v>12.5687240528611</v>
      </c>
      <c r="N81">
        <v>50.8561641960166</v>
      </c>
      <c r="O81">
        <v>49.620276743914303</v>
      </c>
      <c r="P81">
        <v>-6.3337291351035094E-2</v>
      </c>
      <c r="Q81">
        <v>0</v>
      </c>
      <c r="R81">
        <v>0.935201507179659</v>
      </c>
      <c r="S81" t="s">
        <v>4377</v>
      </c>
      <c r="T81" t="s">
        <v>8590</v>
      </c>
      <c r="U81" t="s">
        <v>8590</v>
      </c>
      <c r="V81" t="s">
        <v>8590</v>
      </c>
      <c r="W81">
        <v>11</v>
      </c>
      <c r="X81" t="s">
        <v>8671</v>
      </c>
      <c r="Y81">
        <v>0.39260059225011468</v>
      </c>
      <c r="Z81" t="str">
        <f>HYPERLINK("Melting_Curves/meltCurve_sp_O00764_PDXK_HUMAN_.pdf", "Melting_Curves/meltCurve_sp_O00764_PDXK_HUMAN_.pdf")</f>
        <v>Melting_Curves/meltCurve_sp_O00764_PDXK_HUMAN_.pdf</v>
      </c>
      <c r="AA81" t="s">
        <v>12963</v>
      </c>
      <c r="AB81" t="s">
        <v>17166</v>
      </c>
    </row>
    <row r="82" spans="1:28" x14ac:dyDescent="0.25">
      <c r="A82" t="s">
        <v>86</v>
      </c>
      <c r="B82">
        <v>0.99876560204751996</v>
      </c>
      <c r="C82">
        <v>0.96415515304555</v>
      </c>
      <c r="D82">
        <v>1.0487732598078501</v>
      </c>
      <c r="E82">
        <v>0.98474746139622404</v>
      </c>
      <c r="F82">
        <v>0.95099916688277397</v>
      </c>
      <c r="G82">
        <v>0.76877543773045398</v>
      </c>
      <c r="H82">
        <v>0.56196648181382303</v>
      </c>
      <c r="I82">
        <v>0.56184346370085703</v>
      </c>
      <c r="J82">
        <v>0.77528098314564997</v>
      </c>
      <c r="K82">
        <v>0.71649753131261595</v>
      </c>
      <c r="L82">
        <v>2667.7150042725202</v>
      </c>
      <c r="M82">
        <v>47.758185111110102</v>
      </c>
      <c r="O82">
        <v>55.761125728121002</v>
      </c>
      <c r="P82">
        <v>-7.3789738914199904E-2</v>
      </c>
      <c r="Q82">
        <v>0.65538098254450206</v>
      </c>
      <c r="R82">
        <v>0.85937984165984005</v>
      </c>
      <c r="S82" t="s">
        <v>4378</v>
      </c>
      <c r="T82" t="s">
        <v>8590</v>
      </c>
      <c r="U82" t="s">
        <v>8590</v>
      </c>
      <c r="V82" t="s">
        <v>8590</v>
      </c>
      <c r="W82">
        <v>6</v>
      </c>
      <c r="X82" t="s">
        <v>8672</v>
      </c>
      <c r="Y82">
        <v>0.83848558758601188</v>
      </c>
      <c r="Z82" t="str">
        <f>HYPERLINK("Melting_Curves/meltCurve_sp_O14497_ARI1A_HUMAN_.pdf", "Melting_Curves/meltCurve_sp_O14497_ARI1A_HUMAN_.pdf")</f>
        <v>Melting_Curves/meltCurve_sp_O14497_ARI1A_HUMAN_.pdf</v>
      </c>
      <c r="AA82" t="s">
        <v>12964</v>
      </c>
      <c r="AB82" t="s">
        <v>17167</v>
      </c>
    </row>
    <row r="83" spans="1:28" x14ac:dyDescent="0.25">
      <c r="A83" t="s">
        <v>87</v>
      </c>
      <c r="B83">
        <v>0.99876560204751996</v>
      </c>
      <c r="C83">
        <v>0.82066880586087498</v>
      </c>
      <c r="D83">
        <v>0.78483640141738797</v>
      </c>
      <c r="E83">
        <v>0.60324768113437</v>
      </c>
      <c r="F83">
        <v>0.62939444854388304</v>
      </c>
      <c r="G83">
        <v>0.472086908772966</v>
      </c>
      <c r="H83">
        <v>0.35772873445766301</v>
      </c>
      <c r="I83">
        <v>0.39813149814987397</v>
      </c>
      <c r="J83">
        <v>0.45847243608688598</v>
      </c>
      <c r="K83">
        <v>0.45006657942758699</v>
      </c>
      <c r="L83">
        <v>547.85275222808002</v>
      </c>
      <c r="M83">
        <v>11.4031424920717</v>
      </c>
      <c r="N83">
        <v>55.667516022546998</v>
      </c>
      <c r="O83">
        <v>46.6376599452514</v>
      </c>
      <c r="P83">
        <v>-3.6985969967222601E-2</v>
      </c>
      <c r="Q83">
        <v>0.39510263956580599</v>
      </c>
      <c r="R83">
        <v>0.93768565968500495</v>
      </c>
      <c r="S83" t="s">
        <v>4379</v>
      </c>
      <c r="T83" t="s">
        <v>8590</v>
      </c>
      <c r="U83" t="s">
        <v>8590</v>
      </c>
      <c r="V83" t="s">
        <v>8590</v>
      </c>
      <c r="W83">
        <v>1</v>
      </c>
      <c r="X83" t="s">
        <v>8673</v>
      </c>
      <c r="Y83">
        <v>0.5830811741414913</v>
      </c>
      <c r="Z83" t="str">
        <f>HYPERLINK("Melting_Curves/meltCurve_sp_O14519_2_CDKA1_HUMAN_.pdf", "Melting_Curves/meltCurve_sp_O14519_2_CDKA1_HUMAN_.pdf")</f>
        <v>Melting_Curves/meltCurve_sp_O14519_2_CDKA1_HUMAN_.pdf</v>
      </c>
      <c r="AA83" t="s">
        <v>12965</v>
      </c>
      <c r="AB83" t="s">
        <v>17168</v>
      </c>
    </row>
    <row r="84" spans="1:28" x14ac:dyDescent="0.25">
      <c r="A84" t="s">
        <v>88</v>
      </c>
      <c r="B84">
        <v>0.99876560204751996</v>
      </c>
      <c r="C84">
        <v>0.96621303489485799</v>
      </c>
      <c r="D84">
        <v>1.0068824920644099</v>
      </c>
      <c r="E84">
        <v>0.95020789756750701</v>
      </c>
      <c r="F84">
        <v>1.0148810470002201</v>
      </c>
      <c r="G84">
        <v>0.86494675425428802</v>
      </c>
      <c r="H84">
        <v>0.77469791830994295</v>
      </c>
      <c r="I84">
        <v>0.776605324090754</v>
      </c>
      <c r="J84">
        <v>1.1136387919656801</v>
      </c>
      <c r="K84">
        <v>0.97293743657619203</v>
      </c>
      <c r="L84">
        <v>13709.8602090029</v>
      </c>
      <c r="M84">
        <v>250</v>
      </c>
      <c r="O84">
        <v>54.835931520168202</v>
      </c>
      <c r="P84">
        <v>-0.11333265279809999</v>
      </c>
      <c r="Q84">
        <v>0.90056477479210695</v>
      </c>
      <c r="R84">
        <v>0.17181245684097499</v>
      </c>
      <c r="S84" t="s">
        <v>4380</v>
      </c>
      <c r="T84" t="s">
        <v>8590</v>
      </c>
      <c r="U84" t="s">
        <v>8590</v>
      </c>
      <c r="V84" t="s">
        <v>8590</v>
      </c>
      <c r="W84">
        <v>6</v>
      </c>
      <c r="X84" t="s">
        <v>8674</v>
      </c>
      <c r="Y84">
        <v>0.94975978272295813</v>
      </c>
      <c r="Z84" t="str">
        <f>HYPERLINK("Melting_Curves/meltCurve_sp_O14545_TRAD1_HUMAN_.pdf", "Melting_Curves/meltCurve_sp_O14545_TRAD1_HUMAN_.pdf")</f>
        <v>Melting_Curves/meltCurve_sp_O14545_TRAD1_HUMAN_.pdf</v>
      </c>
      <c r="AA84" t="s">
        <v>12966</v>
      </c>
      <c r="AB84" t="s">
        <v>17169</v>
      </c>
    </row>
    <row r="85" spans="1:28" x14ac:dyDescent="0.25">
      <c r="A85" t="s">
        <v>89</v>
      </c>
      <c r="B85">
        <v>0.99876560204751996</v>
      </c>
      <c r="C85">
        <v>0.99326620017380696</v>
      </c>
      <c r="D85">
        <v>1.0516332913236901</v>
      </c>
      <c r="E85">
        <v>0.92047735847646395</v>
      </c>
      <c r="F85">
        <v>0.85801668566221201</v>
      </c>
      <c r="G85">
        <v>0.68945078333208298</v>
      </c>
      <c r="H85">
        <v>0.59806851339619904</v>
      </c>
      <c r="I85">
        <v>0.60150536380268105</v>
      </c>
      <c r="J85">
        <v>0.74955400832723695</v>
      </c>
      <c r="K85">
        <v>0.67415081308545599</v>
      </c>
      <c r="L85">
        <v>1663.7600720238499</v>
      </c>
      <c r="M85">
        <v>31.2764808144798</v>
      </c>
      <c r="O85">
        <v>52.979192684473901</v>
      </c>
      <c r="P85">
        <v>-5.0972425427790097E-2</v>
      </c>
      <c r="Q85">
        <v>0.65463335887638197</v>
      </c>
      <c r="R85">
        <v>0.92089462100874198</v>
      </c>
      <c r="S85" t="s">
        <v>4381</v>
      </c>
      <c r="T85" t="s">
        <v>8590</v>
      </c>
      <c r="U85" t="s">
        <v>8590</v>
      </c>
      <c r="V85" t="s">
        <v>8590</v>
      </c>
      <c r="W85">
        <v>4</v>
      </c>
      <c r="X85" t="s">
        <v>8675</v>
      </c>
      <c r="Y85">
        <v>0.8086095413601242</v>
      </c>
      <c r="Z85" t="str">
        <f>HYPERLINK("Melting_Curves/meltCurve_sp_O14561_ACPM_HUMAN_.pdf", "Melting_Curves/meltCurve_sp_O14561_ACPM_HUMAN_.pdf")</f>
        <v>Melting_Curves/meltCurve_sp_O14561_ACPM_HUMAN_.pdf</v>
      </c>
      <c r="AA85" t="s">
        <v>12967</v>
      </c>
      <c r="AB85" t="s">
        <v>17170</v>
      </c>
    </row>
    <row r="86" spans="1:28" x14ac:dyDescent="0.25">
      <c r="A86" t="s">
        <v>90</v>
      </c>
      <c r="B86">
        <v>0.99876560204751996</v>
      </c>
      <c r="C86">
        <v>0.79319399842345595</v>
      </c>
      <c r="D86">
        <v>0.65852183733348502</v>
      </c>
      <c r="E86">
        <v>0.75162628561785805</v>
      </c>
      <c r="F86">
        <v>0.57199789514322397</v>
      </c>
      <c r="G86">
        <v>0.63301891847945302</v>
      </c>
      <c r="H86">
        <v>0.41423084492963802</v>
      </c>
      <c r="I86">
        <v>0.29706380507525498</v>
      </c>
      <c r="J86">
        <v>0.21211469718229101</v>
      </c>
      <c r="K86">
        <v>0.18047739143699701</v>
      </c>
      <c r="L86">
        <v>339.76191532644702</v>
      </c>
      <c r="M86">
        <v>6.03307217669769</v>
      </c>
      <c r="N86">
        <v>56.316567307396497</v>
      </c>
      <c r="O86">
        <v>51.065724496258603</v>
      </c>
      <c r="P86">
        <v>-2.9629608764730399E-2</v>
      </c>
      <c r="Q86">
        <v>0</v>
      </c>
      <c r="R86">
        <v>0.89730245783390195</v>
      </c>
      <c r="S86" t="s">
        <v>4382</v>
      </c>
      <c r="T86" t="s">
        <v>8590</v>
      </c>
      <c r="U86" t="s">
        <v>8590</v>
      </c>
      <c r="V86" t="s">
        <v>8590</v>
      </c>
      <c r="W86">
        <v>11</v>
      </c>
      <c r="X86" t="s">
        <v>8676</v>
      </c>
      <c r="Y86">
        <v>0.55537372174336097</v>
      </c>
      <c r="Z86" t="str">
        <f>HYPERLINK("Melting_Curves/meltCurve_sp_O14579_2_COPE_HUMAN_.pdf", "Melting_Curves/meltCurve_sp_O14579_2_COPE_HUMAN_.pdf")</f>
        <v>Melting_Curves/meltCurve_sp_O14579_2_COPE_HUMAN_.pdf</v>
      </c>
      <c r="AA86" t="s">
        <v>12968</v>
      </c>
      <c r="AB86" t="s">
        <v>17171</v>
      </c>
    </row>
    <row r="87" spans="1:28" x14ac:dyDescent="0.25">
      <c r="A87" t="s">
        <v>91</v>
      </c>
      <c r="B87">
        <v>0.99876560204751996</v>
      </c>
      <c r="C87">
        <v>0.94725835038035699</v>
      </c>
      <c r="D87">
        <v>0.899318453842615</v>
      </c>
      <c r="E87">
        <v>0.90912296225565503</v>
      </c>
      <c r="F87">
        <v>0.399820477692305</v>
      </c>
      <c r="G87">
        <v>0.18668326059507501</v>
      </c>
      <c r="H87">
        <v>0.10922288552411399</v>
      </c>
      <c r="I87">
        <v>7.8133013794170994E-2</v>
      </c>
      <c r="J87">
        <v>6.7935054177934495E-2</v>
      </c>
      <c r="K87">
        <v>4.6961417605398098E-2</v>
      </c>
      <c r="L87">
        <v>2128.4890002768002</v>
      </c>
      <c r="M87">
        <v>40.702837628884403</v>
      </c>
      <c r="N87">
        <v>52.544222549909399</v>
      </c>
      <c r="O87">
        <v>52.167629448096903</v>
      </c>
      <c r="P87">
        <v>-0.17783422601150001</v>
      </c>
      <c r="Q87">
        <v>8.8302182971657997E-2</v>
      </c>
      <c r="R87">
        <v>0.98687022679617098</v>
      </c>
      <c r="S87" t="s">
        <v>4383</v>
      </c>
      <c r="T87" t="s">
        <v>8590</v>
      </c>
      <c r="U87" t="s">
        <v>8590</v>
      </c>
      <c r="V87" t="s">
        <v>8590</v>
      </c>
      <c r="W87">
        <v>13</v>
      </c>
      <c r="X87" t="s">
        <v>8677</v>
      </c>
      <c r="Y87">
        <v>0.46507729065596409</v>
      </c>
      <c r="Z87" t="str">
        <f>HYPERLINK("Melting_Curves/meltCurve_sp_O14579_COPE_HUMAN_.pdf", "Melting_Curves/meltCurve_sp_O14579_COPE_HUMAN_.pdf")</f>
        <v>Melting_Curves/meltCurve_sp_O14579_COPE_HUMAN_.pdf</v>
      </c>
      <c r="AA87" t="s">
        <v>12968</v>
      </c>
      <c r="AB87" t="s">
        <v>17172</v>
      </c>
    </row>
    <row r="88" spans="1:28" x14ac:dyDescent="0.25">
      <c r="A88" t="s">
        <v>92</v>
      </c>
      <c r="B88">
        <v>0.99876560204751996</v>
      </c>
      <c r="C88">
        <v>1.07516666908217</v>
      </c>
      <c r="D88">
        <v>1.0340410106670901</v>
      </c>
      <c r="E88">
        <v>0.88574447434140402</v>
      </c>
      <c r="F88">
        <v>0.57220757295221203</v>
      </c>
      <c r="G88">
        <v>0.214284870118361</v>
      </c>
      <c r="H88">
        <v>0.107210860992644</v>
      </c>
      <c r="I88">
        <v>7.7822237700511498E-2</v>
      </c>
      <c r="J88">
        <v>6.8713547739465503E-2</v>
      </c>
      <c r="K88">
        <v>8.2668250819092404E-2</v>
      </c>
      <c r="L88">
        <v>1536.3626158945301</v>
      </c>
      <c r="M88">
        <v>28.801200200988799</v>
      </c>
      <c r="N88">
        <v>53.6550022235011</v>
      </c>
      <c r="O88">
        <v>53.088512271309497</v>
      </c>
      <c r="P88">
        <v>-0.125193471632769</v>
      </c>
      <c r="Q88">
        <v>7.6943312902156905E-2</v>
      </c>
      <c r="R88">
        <v>0.99547952188147604</v>
      </c>
      <c r="S88" t="s">
        <v>4384</v>
      </c>
      <c r="T88" t="s">
        <v>8590</v>
      </c>
      <c r="U88" t="s">
        <v>8590</v>
      </c>
      <c r="V88" t="s">
        <v>8590</v>
      </c>
      <c r="W88">
        <v>10</v>
      </c>
      <c r="X88" t="s">
        <v>8678</v>
      </c>
      <c r="Y88">
        <v>0.49401948073995727</v>
      </c>
      <c r="Z88" t="str">
        <f>HYPERLINK("Melting_Curves/meltCurve_sp_O14617_4_AP3D1_HUMAN_.pdf", "Melting_Curves/meltCurve_sp_O14617_4_AP3D1_HUMAN_.pdf")</f>
        <v>Melting_Curves/meltCurve_sp_O14617_4_AP3D1_HUMAN_.pdf</v>
      </c>
      <c r="AA88" t="s">
        <v>12969</v>
      </c>
      <c r="AB88" t="s">
        <v>17173</v>
      </c>
    </row>
    <row r="89" spans="1:28" x14ac:dyDescent="0.25">
      <c r="A89" t="s">
        <v>93</v>
      </c>
      <c r="B89">
        <v>0.99876560204751996</v>
      </c>
      <c r="C89">
        <v>0.95075398803897804</v>
      </c>
      <c r="D89">
        <v>1.09593742851567</v>
      </c>
      <c r="E89">
        <v>0.89144156224307103</v>
      </c>
      <c r="F89">
        <v>0.79679635255165004</v>
      </c>
      <c r="G89">
        <v>0.68131674443993895</v>
      </c>
      <c r="H89">
        <v>0.50616957590692302</v>
      </c>
      <c r="I89">
        <v>0.492901757204804</v>
      </c>
      <c r="J89">
        <v>0.73241278577890201</v>
      </c>
      <c r="K89">
        <v>0.62136608218605704</v>
      </c>
      <c r="L89">
        <v>1442.45281098134</v>
      </c>
      <c r="M89">
        <v>27.3111975192685</v>
      </c>
      <c r="O89">
        <v>52.534714108676901</v>
      </c>
      <c r="P89">
        <v>-5.2792080161942798E-2</v>
      </c>
      <c r="Q89">
        <v>0.59380902762190102</v>
      </c>
      <c r="R89">
        <v>0.85423902216857805</v>
      </c>
      <c r="S89" t="s">
        <v>4385</v>
      </c>
      <c r="T89" t="s">
        <v>8590</v>
      </c>
      <c r="U89" t="s">
        <v>8590</v>
      </c>
      <c r="V89" t="s">
        <v>8590</v>
      </c>
      <c r="W89">
        <v>3</v>
      </c>
      <c r="X89" t="s">
        <v>8679</v>
      </c>
      <c r="Y89">
        <v>0.77048077272864224</v>
      </c>
      <c r="Z89" t="str">
        <f>HYPERLINK("Melting_Curves/meltCurve_sp_O14686_MLL2_HUMAN_.pdf", "Melting_Curves/meltCurve_sp_O14686_MLL2_HUMAN_.pdf")</f>
        <v>Melting_Curves/meltCurve_sp_O14686_MLL2_HUMAN_.pdf</v>
      </c>
      <c r="AA89" t="s">
        <v>12970</v>
      </c>
      <c r="AB89" t="s">
        <v>17174</v>
      </c>
    </row>
    <row r="90" spans="1:28" x14ac:dyDescent="0.25">
      <c r="A90" t="s">
        <v>94</v>
      </c>
      <c r="B90">
        <v>0.99876560204751996</v>
      </c>
      <c r="C90">
        <v>0.96860368334492297</v>
      </c>
      <c r="D90">
        <v>1.01371192778605</v>
      </c>
      <c r="E90">
        <v>0.68290482047340395</v>
      </c>
      <c r="F90">
        <v>0.24924526771014599</v>
      </c>
      <c r="G90">
        <v>7.3275365061841999E-2</v>
      </c>
      <c r="H90">
        <v>4.0779761488375602E-2</v>
      </c>
      <c r="I90">
        <v>2.6570980987911798E-2</v>
      </c>
      <c r="J90">
        <v>2.36274501829636E-2</v>
      </c>
      <c r="K90">
        <v>2.0263757204165699E-2</v>
      </c>
      <c r="L90">
        <v>1750.2107031661301</v>
      </c>
      <c r="M90">
        <v>34.256197163830599</v>
      </c>
      <c r="N90">
        <v>51.184965334435098</v>
      </c>
      <c r="O90">
        <v>50.918629332791703</v>
      </c>
      <c r="P90">
        <v>-0.16310921781499599</v>
      </c>
      <c r="Q90">
        <v>3.0217452918743701E-2</v>
      </c>
      <c r="R90">
        <v>0.99855231319385296</v>
      </c>
      <c r="S90" t="s">
        <v>4386</v>
      </c>
      <c r="T90" t="s">
        <v>8590</v>
      </c>
      <c r="U90" t="s">
        <v>8590</v>
      </c>
      <c r="V90" t="s">
        <v>8590</v>
      </c>
      <c r="W90">
        <v>6</v>
      </c>
      <c r="X90" t="s">
        <v>8680</v>
      </c>
      <c r="Y90">
        <v>0.39345080644166858</v>
      </c>
      <c r="Z90" t="str">
        <f>HYPERLINK("Melting_Curves/meltCurve_sp_O14732_2_IMPA2_HUMAN_.pdf", "Melting_Curves/meltCurve_sp_O14732_2_IMPA2_HUMAN_.pdf")</f>
        <v>Melting_Curves/meltCurve_sp_O14732_2_IMPA2_HUMAN_.pdf</v>
      </c>
      <c r="AA90" t="s">
        <v>12971</v>
      </c>
      <c r="AB90" t="s">
        <v>17175</v>
      </c>
    </row>
    <row r="91" spans="1:28" x14ac:dyDescent="0.25">
      <c r="A91" t="s">
        <v>95</v>
      </c>
      <c r="B91">
        <v>0.99876560204751996</v>
      </c>
      <c r="C91">
        <v>0.90882577591360403</v>
      </c>
      <c r="D91">
        <v>0.77235423579983897</v>
      </c>
      <c r="E91">
        <v>0.56723944668906101</v>
      </c>
      <c r="F91">
        <v>0.22377552169173001</v>
      </c>
      <c r="G91">
        <v>0.109174064718428</v>
      </c>
      <c r="H91">
        <v>5.2197344422434899E-2</v>
      </c>
      <c r="I91">
        <v>4.4520033479806202E-2</v>
      </c>
      <c r="J91">
        <v>3.1631447927013598E-2</v>
      </c>
      <c r="K91">
        <v>2.8953295505591101E-2</v>
      </c>
      <c r="L91">
        <v>835.30716862985901</v>
      </c>
      <c r="M91">
        <v>16.755515133854601</v>
      </c>
      <c r="N91">
        <v>49.925072033391402</v>
      </c>
      <c r="O91">
        <v>49.158823645294703</v>
      </c>
      <c r="P91">
        <v>-8.4193959271659097E-2</v>
      </c>
      <c r="Q91">
        <v>1.2002086963460201E-2</v>
      </c>
      <c r="R91">
        <v>0.99228641400464501</v>
      </c>
      <c r="S91" t="s">
        <v>4387</v>
      </c>
      <c r="T91" t="s">
        <v>8590</v>
      </c>
      <c r="U91" t="s">
        <v>8590</v>
      </c>
      <c r="V91" t="s">
        <v>8590</v>
      </c>
      <c r="W91">
        <v>5</v>
      </c>
      <c r="X91" t="s">
        <v>8681</v>
      </c>
      <c r="Y91">
        <v>0.35581512048671432</v>
      </c>
      <c r="Z91" t="str">
        <f>HYPERLINK("Melting_Curves/meltCurve_sp_O14734_ACOT8_HUMAN_.pdf", "Melting_Curves/meltCurve_sp_O14734_ACOT8_HUMAN_.pdf")</f>
        <v>Melting_Curves/meltCurve_sp_O14734_ACOT8_HUMAN_.pdf</v>
      </c>
      <c r="AA91" t="s">
        <v>12972</v>
      </c>
      <c r="AB91" t="s">
        <v>17176</v>
      </c>
    </row>
    <row r="92" spans="1:28" x14ac:dyDescent="0.25">
      <c r="A92" t="s">
        <v>96</v>
      </c>
      <c r="B92">
        <v>0.99876560204751996</v>
      </c>
      <c r="C92">
        <v>0.96904655816302798</v>
      </c>
      <c r="D92">
        <v>1.04552651136564</v>
      </c>
      <c r="E92">
        <v>0.98128921740370001</v>
      </c>
      <c r="F92">
        <v>0.977061765735038</v>
      </c>
      <c r="G92">
        <v>0.79518172338156301</v>
      </c>
      <c r="H92">
        <v>0.688371983675517</v>
      </c>
      <c r="I92">
        <v>0.66444391133432201</v>
      </c>
      <c r="J92">
        <v>0.81673528183172195</v>
      </c>
      <c r="K92">
        <v>0.77717322332029204</v>
      </c>
      <c r="L92">
        <v>3022.0428313222501</v>
      </c>
      <c r="M92">
        <v>54.393589560116503</v>
      </c>
      <c r="O92">
        <v>55.483860348877599</v>
      </c>
      <c r="P92">
        <v>-6.4426810161767697E-2</v>
      </c>
      <c r="Q92">
        <v>0.73712740824756895</v>
      </c>
      <c r="R92">
        <v>0.88898680207563696</v>
      </c>
      <c r="S92" t="s">
        <v>4388</v>
      </c>
      <c r="T92" t="s">
        <v>8590</v>
      </c>
      <c r="U92" t="s">
        <v>8590</v>
      </c>
      <c r="V92" t="s">
        <v>8590</v>
      </c>
      <c r="W92">
        <v>7</v>
      </c>
      <c r="X92" t="s">
        <v>8682</v>
      </c>
      <c r="Y92">
        <v>0.87400387044821126</v>
      </c>
      <c r="Z92" t="str">
        <f>HYPERLINK("Melting_Curves/meltCurve_sp_O14737_PDCD5_HUMAN_.pdf", "Melting_Curves/meltCurve_sp_O14737_PDCD5_HUMAN_.pdf")</f>
        <v>Melting_Curves/meltCurve_sp_O14737_PDCD5_HUMAN_.pdf</v>
      </c>
      <c r="AA92" t="s">
        <v>12973</v>
      </c>
      <c r="AB92" t="s">
        <v>17177</v>
      </c>
    </row>
    <row r="93" spans="1:28" x14ac:dyDescent="0.25">
      <c r="A93" t="s">
        <v>97</v>
      </c>
      <c r="B93">
        <v>0.99876560204751996</v>
      </c>
      <c r="C93">
        <v>1.08964895420309</v>
      </c>
      <c r="D93">
        <v>0.97500340107396799</v>
      </c>
      <c r="E93">
        <v>1.01002090012663</v>
      </c>
      <c r="F93">
        <v>0.40784947886564199</v>
      </c>
      <c r="G93">
        <v>0.151878473118741</v>
      </c>
      <c r="H93">
        <v>9.0294644161146104E-2</v>
      </c>
      <c r="I93">
        <v>7.3778407802176496E-2</v>
      </c>
      <c r="J93">
        <v>8.2419806546662894E-2</v>
      </c>
      <c r="K93">
        <v>6.2084382393647199E-2</v>
      </c>
      <c r="L93">
        <v>13216.674472869499</v>
      </c>
      <c r="M93">
        <v>250</v>
      </c>
      <c r="N93">
        <v>52.909761635714901</v>
      </c>
      <c r="O93">
        <v>52.8633122743475</v>
      </c>
      <c r="P93">
        <v>-1.07341554772335</v>
      </c>
      <c r="Q93">
        <v>9.2091137319647895E-2</v>
      </c>
      <c r="R93">
        <v>0.99290644792056004</v>
      </c>
      <c r="S93" t="s">
        <v>4389</v>
      </c>
      <c r="T93" t="s">
        <v>8590</v>
      </c>
      <c r="U93" t="s">
        <v>8590</v>
      </c>
      <c r="V93" t="s">
        <v>8590</v>
      </c>
      <c r="W93">
        <v>9</v>
      </c>
      <c r="X93" t="s">
        <v>8683</v>
      </c>
      <c r="Y93">
        <v>0.48156834161802031</v>
      </c>
      <c r="Z93" t="str">
        <f>HYPERLINK("Melting_Curves/meltCurve_sp_O14744_ANM5_HUMAN_.pdf", "Melting_Curves/meltCurve_sp_O14744_ANM5_HUMAN_.pdf")</f>
        <v>Melting_Curves/meltCurve_sp_O14744_ANM5_HUMAN_.pdf</v>
      </c>
      <c r="AA93" t="s">
        <v>12974</v>
      </c>
      <c r="AB93" t="s">
        <v>17178</v>
      </c>
    </row>
    <row r="94" spans="1:28" x14ac:dyDescent="0.25">
      <c r="A94" t="s">
        <v>98</v>
      </c>
      <c r="B94">
        <v>0.99876560204751996</v>
      </c>
      <c r="C94">
        <v>0.949520386896752</v>
      </c>
      <c r="D94">
        <v>1.0392879205913601</v>
      </c>
      <c r="E94">
        <v>0.92190135504012405</v>
      </c>
      <c r="F94">
        <v>0.89684971319827</v>
      </c>
      <c r="G94">
        <v>0.74665991090638195</v>
      </c>
      <c r="H94">
        <v>0.68014166147602795</v>
      </c>
      <c r="I94">
        <v>0.69958738380829899</v>
      </c>
      <c r="J94">
        <v>0.85572739111317797</v>
      </c>
      <c r="K94">
        <v>0.85312329218641303</v>
      </c>
      <c r="L94">
        <v>1734.3169637219</v>
      </c>
      <c r="M94">
        <v>33.075206115265402</v>
      </c>
      <c r="O94">
        <v>52.244993399603302</v>
      </c>
      <c r="P94">
        <v>-3.6916941963235E-2</v>
      </c>
      <c r="Q94">
        <v>0.76674770742145004</v>
      </c>
      <c r="R94">
        <v>0.73398810960399596</v>
      </c>
      <c r="S94" t="s">
        <v>4390</v>
      </c>
      <c r="T94" t="s">
        <v>8590</v>
      </c>
      <c r="U94" t="s">
        <v>8590</v>
      </c>
      <c r="V94" t="s">
        <v>8590</v>
      </c>
      <c r="W94">
        <v>21</v>
      </c>
      <c r="X94" t="s">
        <v>8684</v>
      </c>
      <c r="Y94">
        <v>0.86467139630059764</v>
      </c>
      <c r="Z94" t="str">
        <f>HYPERLINK("Melting_Curves/meltCurve_sp_O14745_NHRF1_HUMAN_.pdf", "Melting_Curves/meltCurve_sp_O14745_NHRF1_HUMAN_.pdf")</f>
        <v>Melting_Curves/meltCurve_sp_O14745_NHRF1_HUMAN_.pdf</v>
      </c>
      <c r="AA94" t="s">
        <v>12975</v>
      </c>
      <c r="AB94" t="s">
        <v>17179</v>
      </c>
    </row>
    <row r="95" spans="1:28" x14ac:dyDescent="0.25">
      <c r="A95" t="s">
        <v>99</v>
      </c>
      <c r="B95">
        <v>0.99876560204751996</v>
      </c>
      <c r="C95">
        <v>1.0901895755075299</v>
      </c>
      <c r="D95">
        <v>0.63997806663548795</v>
      </c>
      <c r="E95">
        <v>0.48532983047388101</v>
      </c>
      <c r="F95">
        <v>0.21721426043453601</v>
      </c>
      <c r="G95">
        <v>0.120739185338379</v>
      </c>
      <c r="H95">
        <v>8.3451724028177895E-2</v>
      </c>
      <c r="I95">
        <v>6.4059536410960294E-2</v>
      </c>
      <c r="J95">
        <v>5.7445531521394103E-2</v>
      </c>
      <c r="K95">
        <v>6.7694792125061895E-2</v>
      </c>
      <c r="L95">
        <v>899.38545547344495</v>
      </c>
      <c r="M95">
        <v>18.446360963026599</v>
      </c>
      <c r="N95">
        <v>49.089664180710201</v>
      </c>
      <c r="O95">
        <v>48.194617687637603</v>
      </c>
      <c r="P95">
        <v>-9.00656706034242E-2</v>
      </c>
      <c r="Q95">
        <v>5.8787498085562002E-2</v>
      </c>
      <c r="R95">
        <v>0.96821202843385201</v>
      </c>
      <c r="S95" t="s">
        <v>4391</v>
      </c>
      <c r="T95" t="s">
        <v>8590</v>
      </c>
      <c r="U95" t="s">
        <v>8590</v>
      </c>
      <c r="V95" t="s">
        <v>8590</v>
      </c>
      <c r="W95">
        <v>10</v>
      </c>
      <c r="X95" t="s">
        <v>8685</v>
      </c>
      <c r="Y95">
        <v>0.3491110519431741</v>
      </c>
      <c r="Z95" t="str">
        <f>HYPERLINK("Melting_Curves/meltCurve_sp_O14756_H17B6_HUMAN_.pdf", "Melting_Curves/meltCurve_sp_O14756_H17B6_HUMAN_.pdf")</f>
        <v>Melting_Curves/meltCurve_sp_O14756_H17B6_HUMAN_.pdf</v>
      </c>
      <c r="AA95" t="s">
        <v>12976</v>
      </c>
      <c r="AB95" t="s">
        <v>17180</v>
      </c>
    </row>
    <row r="96" spans="1:28" x14ac:dyDescent="0.25">
      <c r="A96" t="s">
        <v>100</v>
      </c>
      <c r="B96">
        <v>0.99876560204751996</v>
      </c>
      <c r="C96">
        <v>0.94109881857956501</v>
      </c>
      <c r="D96">
        <v>0.89153823051774905</v>
      </c>
      <c r="E96">
        <v>0.66019000008844397</v>
      </c>
      <c r="F96">
        <v>0.26415398025958098</v>
      </c>
      <c r="G96">
        <v>0.135018162849845</v>
      </c>
      <c r="H96">
        <v>7.2005582650034303E-2</v>
      </c>
      <c r="I96">
        <v>5.2460469541248597E-2</v>
      </c>
      <c r="J96">
        <v>3.0373228684254499E-2</v>
      </c>
      <c r="K96">
        <v>8.9098432362680093E-3</v>
      </c>
      <c r="L96">
        <v>1146.2693384971999</v>
      </c>
      <c r="M96">
        <v>22.512071797753801</v>
      </c>
      <c r="N96">
        <v>51.064774994166903</v>
      </c>
      <c r="O96">
        <v>50.521308165621498</v>
      </c>
      <c r="P96">
        <v>-0.107910788281503</v>
      </c>
      <c r="Q96">
        <v>3.1331585754401703E-2</v>
      </c>
      <c r="R96">
        <v>0.99422173448002304</v>
      </c>
      <c r="S96" t="s">
        <v>4392</v>
      </c>
      <c r="T96" t="s">
        <v>8590</v>
      </c>
      <c r="U96" t="s">
        <v>8590</v>
      </c>
      <c r="V96" t="s">
        <v>8590</v>
      </c>
      <c r="W96">
        <v>4</v>
      </c>
      <c r="X96" t="s">
        <v>8686</v>
      </c>
      <c r="Y96">
        <v>0.39459270932407831</v>
      </c>
      <c r="Z96" t="str">
        <f>HYPERLINK("Melting_Curves/meltCurve_sp_O14772_FPGT_HUMAN_.pdf", "Melting_Curves/meltCurve_sp_O14772_FPGT_HUMAN_.pdf")</f>
        <v>Melting_Curves/meltCurve_sp_O14772_FPGT_HUMAN_.pdf</v>
      </c>
      <c r="AA96" t="s">
        <v>12977</v>
      </c>
      <c r="AB96" t="s">
        <v>17181</v>
      </c>
    </row>
    <row r="97" spans="1:28" x14ac:dyDescent="0.25">
      <c r="A97" t="s">
        <v>101</v>
      </c>
      <c r="B97">
        <v>0.99876560204751996</v>
      </c>
      <c r="C97">
        <v>0.743363706878021</v>
      </c>
      <c r="D97">
        <v>0.50467444907400905</v>
      </c>
      <c r="E97">
        <v>0.36675420867690001</v>
      </c>
      <c r="F97">
        <v>0.210836405404319</v>
      </c>
      <c r="G97">
        <v>9.9049113678208706E-2</v>
      </c>
      <c r="H97">
        <v>6.3921194784718804E-2</v>
      </c>
      <c r="I97">
        <v>4.6286475355905E-2</v>
      </c>
      <c r="J97">
        <v>3.9418746172008398E-2</v>
      </c>
      <c r="K97">
        <v>3.01795895061653E-2</v>
      </c>
      <c r="L97">
        <v>613.22365342480998</v>
      </c>
      <c r="M97">
        <v>13.109745654615701</v>
      </c>
      <c r="N97">
        <v>46.9460630981566</v>
      </c>
      <c r="O97">
        <v>45.727912225276903</v>
      </c>
      <c r="P97">
        <v>-7.0024240139516705E-2</v>
      </c>
      <c r="Q97">
        <v>2.31646121311616E-2</v>
      </c>
      <c r="R97">
        <v>0.98435496246709397</v>
      </c>
      <c r="S97" t="s">
        <v>4393</v>
      </c>
      <c r="T97" t="s">
        <v>8590</v>
      </c>
      <c r="U97" t="s">
        <v>8590</v>
      </c>
      <c r="V97" t="s">
        <v>8590</v>
      </c>
      <c r="W97">
        <v>5</v>
      </c>
      <c r="X97" t="s">
        <v>8687</v>
      </c>
      <c r="Y97">
        <v>0.27909383601729321</v>
      </c>
      <c r="Z97" t="str">
        <f>HYPERLINK("Melting_Curves/meltCurve_sp_O14773_2_TPP1_HUMAN_.pdf", "Melting_Curves/meltCurve_sp_O14773_2_TPP1_HUMAN_.pdf")</f>
        <v>Melting_Curves/meltCurve_sp_O14773_2_TPP1_HUMAN_.pdf</v>
      </c>
      <c r="AA97" t="s">
        <v>12978</v>
      </c>
      <c r="AB97" t="s">
        <v>17182</v>
      </c>
    </row>
    <row r="98" spans="1:28" x14ac:dyDescent="0.25">
      <c r="A98" t="s">
        <v>102</v>
      </c>
      <c r="B98">
        <v>0.99876560204751996</v>
      </c>
      <c r="C98">
        <v>0.96446612655835895</v>
      </c>
      <c r="D98">
        <v>0.96994048849730796</v>
      </c>
      <c r="E98">
        <v>0.73363229128510399</v>
      </c>
      <c r="F98">
        <v>0.49794379040977499</v>
      </c>
      <c r="G98">
        <v>0.35216354230034103</v>
      </c>
      <c r="H98">
        <v>0.26652763235698002</v>
      </c>
      <c r="I98">
        <v>0.24461888597700901</v>
      </c>
      <c r="J98">
        <v>0.27455271552624599</v>
      </c>
      <c r="K98">
        <v>0.247533014892755</v>
      </c>
      <c r="L98">
        <v>1129.4329828663001</v>
      </c>
      <c r="M98">
        <v>21.972839295098701</v>
      </c>
      <c r="N98">
        <v>53.097554987119203</v>
      </c>
      <c r="O98">
        <v>50.981263500478903</v>
      </c>
      <c r="P98">
        <v>-8.05782725928222E-2</v>
      </c>
      <c r="Q98">
        <v>0.25218780385925699</v>
      </c>
      <c r="R98">
        <v>0.99738312760967796</v>
      </c>
      <c r="S98" t="s">
        <v>4394</v>
      </c>
      <c r="T98" t="s">
        <v>8590</v>
      </c>
      <c r="U98" t="s">
        <v>8590</v>
      </c>
      <c r="V98" t="s">
        <v>8590</v>
      </c>
      <c r="W98">
        <v>11</v>
      </c>
      <c r="X98" t="s">
        <v>8688</v>
      </c>
      <c r="Y98">
        <v>0.54508769158271997</v>
      </c>
      <c r="Z98" t="str">
        <f>HYPERLINK("Melting_Curves/meltCurve_sp_O14776_2_TCRG1_HUMAN_.pdf", "Melting_Curves/meltCurve_sp_O14776_2_TCRG1_HUMAN_.pdf")</f>
        <v>Melting_Curves/meltCurve_sp_O14776_2_TCRG1_HUMAN_.pdf</v>
      </c>
      <c r="AA98" t="s">
        <v>12979</v>
      </c>
      <c r="AB98" t="s">
        <v>17183</v>
      </c>
    </row>
    <row r="99" spans="1:28" x14ac:dyDescent="0.25">
      <c r="A99" t="s">
        <v>103</v>
      </c>
      <c r="B99">
        <v>0.99876560204751996</v>
      </c>
      <c r="C99">
        <v>1.0102860811371699</v>
      </c>
      <c r="D99">
        <v>0.90830037530239904</v>
      </c>
      <c r="E99">
        <v>0.76169175215239304</v>
      </c>
      <c r="F99">
        <v>0.31666937003444601</v>
      </c>
      <c r="G99">
        <v>0.137538247712714</v>
      </c>
      <c r="H99">
        <v>7.3177188513015107E-2</v>
      </c>
      <c r="I99">
        <v>7.7009547415654606E-2</v>
      </c>
      <c r="J99">
        <v>7.0400331295302904E-2</v>
      </c>
      <c r="K99">
        <v>4.1269519470149403E-2</v>
      </c>
      <c r="L99">
        <v>1587.13750677913</v>
      </c>
      <c r="M99">
        <v>30.8190124837203</v>
      </c>
      <c r="N99">
        <v>51.7367089886842</v>
      </c>
      <c r="O99">
        <v>51.283275398477002</v>
      </c>
      <c r="P99">
        <v>-0.14030807366561601</v>
      </c>
      <c r="Q99">
        <v>6.6106862798439497E-2</v>
      </c>
      <c r="R99">
        <v>0.99532098349657305</v>
      </c>
      <c r="S99" t="s">
        <v>4395</v>
      </c>
      <c r="T99" t="s">
        <v>8590</v>
      </c>
      <c r="U99" t="s">
        <v>8590</v>
      </c>
      <c r="V99" t="s">
        <v>8590</v>
      </c>
      <c r="W99">
        <v>8</v>
      </c>
      <c r="X99" t="s">
        <v>8689</v>
      </c>
      <c r="Y99">
        <v>0.42966711894765602</v>
      </c>
      <c r="Z99" t="str">
        <f>HYPERLINK("Melting_Curves/meltCurve_sp_O14787_2_TNPO2_HUMAN_.pdf", "Melting_Curves/meltCurve_sp_O14787_2_TNPO2_HUMAN_.pdf")</f>
        <v>Melting_Curves/meltCurve_sp_O14787_2_TNPO2_HUMAN_.pdf</v>
      </c>
      <c r="AA99" t="s">
        <v>12980</v>
      </c>
      <c r="AB99" t="s">
        <v>17184</v>
      </c>
    </row>
    <row r="100" spans="1:28" x14ac:dyDescent="0.25">
      <c r="A100" t="s">
        <v>104</v>
      </c>
      <c r="B100">
        <v>0.99876560204751996</v>
      </c>
      <c r="C100">
        <v>1.075922108466</v>
      </c>
      <c r="D100">
        <v>1.0046524007739199</v>
      </c>
      <c r="E100">
        <v>1.0327375726252099</v>
      </c>
      <c r="F100">
        <v>0.91980480022391098</v>
      </c>
      <c r="G100">
        <v>0.77782098272928302</v>
      </c>
      <c r="H100">
        <v>0.65605794570151499</v>
      </c>
      <c r="I100">
        <v>0.61066440663796995</v>
      </c>
      <c r="J100">
        <v>0.75043491187082201</v>
      </c>
      <c r="K100">
        <v>0.54897604182843196</v>
      </c>
      <c r="L100">
        <v>1617.44676694944</v>
      </c>
      <c r="M100">
        <v>28.8864307036974</v>
      </c>
      <c r="O100">
        <v>55.726998448900503</v>
      </c>
      <c r="P100">
        <v>-4.7801131545460999E-2</v>
      </c>
      <c r="Q100">
        <v>0.63113556642096202</v>
      </c>
      <c r="R100">
        <v>0.91158155042954803</v>
      </c>
      <c r="S100" t="s">
        <v>4396</v>
      </c>
      <c r="T100" t="s">
        <v>8590</v>
      </c>
      <c r="U100" t="s">
        <v>8590</v>
      </c>
      <c r="V100" t="s">
        <v>8590</v>
      </c>
      <c r="W100">
        <v>18</v>
      </c>
      <c r="X100" t="s">
        <v>8690</v>
      </c>
      <c r="Y100">
        <v>0.83041582423162319</v>
      </c>
      <c r="Z100" t="str">
        <f>HYPERLINK("Melting_Curves/meltCurve_sp_O14818_PSA7_HUMAN_.pdf", "Melting_Curves/meltCurve_sp_O14818_PSA7_HUMAN_.pdf")</f>
        <v>Melting_Curves/meltCurve_sp_O14818_PSA7_HUMAN_.pdf</v>
      </c>
      <c r="AA100" t="s">
        <v>12981</v>
      </c>
      <c r="AB100" t="s">
        <v>17185</v>
      </c>
    </row>
    <row r="101" spans="1:28" x14ac:dyDescent="0.25">
      <c r="A101" t="s">
        <v>105</v>
      </c>
      <c r="B101">
        <v>0.99876560204751996</v>
      </c>
      <c r="C101">
        <v>0.95543544505641298</v>
      </c>
      <c r="D101">
        <v>0.99530578732481101</v>
      </c>
      <c r="E101">
        <v>0.57303056398126695</v>
      </c>
      <c r="F101">
        <v>0.38330892217220303</v>
      </c>
      <c r="G101">
        <v>0.227689623971088</v>
      </c>
      <c r="H101">
        <v>0.13535312815037001</v>
      </c>
      <c r="I101">
        <v>9.4519897543227593E-2</v>
      </c>
      <c r="J101">
        <v>7.6591436230804194E-2</v>
      </c>
      <c r="K101">
        <v>5.5793345100535401E-2</v>
      </c>
      <c r="L101">
        <v>1010.74660582568</v>
      </c>
      <c r="M101">
        <v>19.8173293315667</v>
      </c>
      <c r="N101">
        <v>51.468597459795397</v>
      </c>
      <c r="O101">
        <v>50.492345494753202</v>
      </c>
      <c r="P101">
        <v>-9.0074333774194298E-2</v>
      </c>
      <c r="Q101">
        <v>8.2033626939830601E-2</v>
      </c>
      <c r="R101">
        <v>0.98918938873628903</v>
      </c>
      <c r="S101" t="s">
        <v>4397</v>
      </c>
      <c r="T101" t="s">
        <v>8590</v>
      </c>
      <c r="U101" t="s">
        <v>8590</v>
      </c>
      <c r="V101" t="s">
        <v>8590</v>
      </c>
      <c r="W101">
        <v>22</v>
      </c>
      <c r="X101" t="s">
        <v>8691</v>
      </c>
      <c r="Y101">
        <v>0.4316813760044646</v>
      </c>
      <c r="Z101" t="str">
        <f>HYPERLINK("Melting_Curves/meltCurve_sp_O14832_PAHX_HUMAN_.pdf", "Melting_Curves/meltCurve_sp_O14832_PAHX_HUMAN_.pdf")</f>
        <v>Melting_Curves/meltCurve_sp_O14832_PAHX_HUMAN_.pdf</v>
      </c>
      <c r="AA101" t="s">
        <v>12982</v>
      </c>
      <c r="AB101" t="s">
        <v>17186</v>
      </c>
    </row>
    <row r="102" spans="1:28" x14ac:dyDescent="0.25">
      <c r="A102" t="s">
        <v>106</v>
      </c>
      <c r="B102">
        <v>0.99876560204751996</v>
      </c>
      <c r="C102">
        <v>1.0182589916540301</v>
      </c>
      <c r="D102">
        <v>0.89090932712135396</v>
      </c>
      <c r="E102">
        <v>0.82487384866730995</v>
      </c>
      <c r="F102">
        <v>0.41872808963339703</v>
      </c>
      <c r="G102">
        <v>0.14265784392665501</v>
      </c>
      <c r="H102">
        <v>6.2494810513836901E-2</v>
      </c>
      <c r="I102">
        <v>5.1956714476858401E-2</v>
      </c>
      <c r="J102">
        <v>4.7321838456469499E-2</v>
      </c>
      <c r="K102">
        <v>4.1614102619535701E-2</v>
      </c>
      <c r="L102">
        <v>1450.95204788917</v>
      </c>
      <c r="M102">
        <v>27.737244585106499</v>
      </c>
      <c r="N102">
        <v>52.488206836530303</v>
      </c>
      <c r="O102">
        <v>52.040966046574702</v>
      </c>
      <c r="P102">
        <v>-0.12728028175148001</v>
      </c>
      <c r="Q102">
        <v>4.4789037836173502E-2</v>
      </c>
      <c r="R102">
        <v>0.994261492855674</v>
      </c>
      <c r="S102" t="s">
        <v>4398</v>
      </c>
      <c r="T102" t="s">
        <v>8590</v>
      </c>
      <c r="U102" t="s">
        <v>8590</v>
      </c>
      <c r="V102" t="s">
        <v>8590</v>
      </c>
      <c r="W102">
        <v>50</v>
      </c>
      <c r="X102" t="s">
        <v>8692</v>
      </c>
      <c r="Y102">
        <v>0.44391739390637708</v>
      </c>
      <c r="Z102" t="str">
        <f>HYPERLINK("Melting_Curves/meltCurve_sp_O14841_OPLA_HUMAN_.pdf", "Melting_Curves/meltCurve_sp_O14841_OPLA_HUMAN_.pdf")</f>
        <v>Melting_Curves/meltCurve_sp_O14841_OPLA_HUMAN_.pdf</v>
      </c>
      <c r="AA102" t="s">
        <v>12983</v>
      </c>
      <c r="AB102" t="s">
        <v>17187</v>
      </c>
    </row>
    <row r="103" spans="1:28" x14ac:dyDescent="0.25">
      <c r="A103" t="s">
        <v>107</v>
      </c>
      <c r="B103">
        <v>0.99876560204751996</v>
      </c>
      <c r="C103">
        <v>0.89056138368784399</v>
      </c>
      <c r="D103">
        <v>1.12233122969012</v>
      </c>
      <c r="E103">
        <v>0.96373055515899597</v>
      </c>
      <c r="F103">
        <v>1.03712379272371</v>
      </c>
      <c r="G103">
        <v>0.75920250355763896</v>
      </c>
      <c r="H103">
        <v>0.67323636211796001</v>
      </c>
      <c r="I103">
        <v>0.57818282325784398</v>
      </c>
      <c r="J103">
        <v>0.70815749297867703</v>
      </c>
      <c r="K103">
        <v>0.78165251126197099</v>
      </c>
      <c r="L103">
        <v>14182.6654287868</v>
      </c>
      <c r="M103">
        <v>250</v>
      </c>
      <c r="O103">
        <v>56.727031359785499</v>
      </c>
      <c r="P103">
        <v>-0.34671819802748099</v>
      </c>
      <c r="Q103">
        <v>0.68530729505896903</v>
      </c>
      <c r="R103">
        <v>0.82022591688881497</v>
      </c>
      <c r="S103" t="s">
        <v>4399</v>
      </c>
      <c r="T103" t="s">
        <v>8590</v>
      </c>
      <c r="U103" t="s">
        <v>8590</v>
      </c>
      <c r="V103" t="s">
        <v>8590</v>
      </c>
      <c r="W103">
        <v>2</v>
      </c>
      <c r="X103" t="s">
        <v>8693</v>
      </c>
      <c r="Y103">
        <v>0.86083919933394304</v>
      </c>
      <c r="Z103" t="str">
        <f>HYPERLINK("Melting_Curves/meltCurve_sp_O14867_BACH1_HUMAN_.pdf", "Melting_Curves/meltCurve_sp_O14867_BACH1_HUMAN_.pdf")</f>
        <v>Melting_Curves/meltCurve_sp_O14867_BACH1_HUMAN_.pdf</v>
      </c>
      <c r="AA103" t="s">
        <v>12984</v>
      </c>
      <c r="AB103" t="s">
        <v>17188</v>
      </c>
    </row>
    <row r="104" spans="1:28" x14ac:dyDescent="0.25">
      <c r="A104" t="s">
        <v>108</v>
      </c>
      <c r="B104">
        <v>0.99876560204751996</v>
      </c>
      <c r="C104">
        <v>0.96717495349409</v>
      </c>
      <c r="D104">
        <v>0.94505528338438405</v>
      </c>
      <c r="E104">
        <v>0.74071029016324397</v>
      </c>
      <c r="F104">
        <v>0.46463235522558899</v>
      </c>
      <c r="G104">
        <v>0.210057924113699</v>
      </c>
      <c r="H104">
        <v>0.1005380028765</v>
      </c>
      <c r="I104">
        <v>7.3123742985093901E-2</v>
      </c>
      <c r="J104">
        <v>6.43257422841155E-2</v>
      </c>
      <c r="K104">
        <v>7.0406247457578799E-2</v>
      </c>
      <c r="L104">
        <v>1062.2596318754299</v>
      </c>
      <c r="M104">
        <v>20.2971345084846</v>
      </c>
      <c r="N104">
        <v>52.640094250091103</v>
      </c>
      <c r="O104">
        <v>51.835377154794998</v>
      </c>
      <c r="P104">
        <v>-9.2470446703225601E-2</v>
      </c>
      <c r="Q104">
        <v>5.54147828671109E-2</v>
      </c>
      <c r="R104">
        <v>0.99955212306588803</v>
      </c>
      <c r="S104" t="s">
        <v>4400</v>
      </c>
      <c r="T104" t="s">
        <v>8590</v>
      </c>
      <c r="U104" t="s">
        <v>8590</v>
      </c>
      <c r="V104" t="s">
        <v>8590</v>
      </c>
      <c r="W104">
        <v>9</v>
      </c>
      <c r="X104" t="s">
        <v>8694</v>
      </c>
      <c r="Y104">
        <v>0.4565256212516236</v>
      </c>
      <c r="Z104" t="str">
        <f>HYPERLINK("Melting_Curves/meltCurve_sp_O14879_IFIT3_HUMAN_.pdf", "Melting_Curves/meltCurve_sp_O14879_IFIT3_HUMAN_.pdf")</f>
        <v>Melting_Curves/meltCurve_sp_O14879_IFIT3_HUMAN_.pdf</v>
      </c>
      <c r="AA104" t="s">
        <v>12985</v>
      </c>
      <c r="AB104" t="s">
        <v>17189</v>
      </c>
    </row>
    <row r="105" spans="1:28" x14ac:dyDescent="0.25">
      <c r="A105" t="s">
        <v>109</v>
      </c>
      <c r="B105">
        <v>0.99876560204751996</v>
      </c>
      <c r="C105">
        <v>0.89825165994105705</v>
      </c>
      <c r="D105">
        <v>0.93288615282965603</v>
      </c>
      <c r="E105">
        <v>0.71687736745445096</v>
      </c>
      <c r="F105">
        <v>0.42217499851690199</v>
      </c>
      <c r="G105">
        <v>0.19715647323796101</v>
      </c>
      <c r="H105">
        <v>0.106581924231821</v>
      </c>
      <c r="I105">
        <v>8.81963915822295E-2</v>
      </c>
      <c r="J105">
        <v>7.3837456505280993E-2</v>
      </c>
      <c r="K105">
        <v>6.8923103412298806E-2</v>
      </c>
      <c r="L105">
        <v>1016.55171181919</v>
      </c>
      <c r="M105">
        <v>19.5939017251773</v>
      </c>
      <c r="N105">
        <v>52.231483742029297</v>
      </c>
      <c r="O105">
        <v>51.349672614890302</v>
      </c>
      <c r="P105">
        <v>-8.9521619989585799E-2</v>
      </c>
      <c r="Q105">
        <v>6.1596783814564002E-2</v>
      </c>
      <c r="R105">
        <v>0.99422892593662104</v>
      </c>
      <c r="S105" t="s">
        <v>4401</v>
      </c>
      <c r="T105" t="s">
        <v>8590</v>
      </c>
      <c r="U105" t="s">
        <v>8590</v>
      </c>
      <c r="V105" t="s">
        <v>8590</v>
      </c>
      <c r="W105">
        <v>7</v>
      </c>
      <c r="X105" t="s">
        <v>8695</v>
      </c>
      <c r="Y105">
        <v>0.44671615280264959</v>
      </c>
      <c r="Z105" t="str">
        <f>HYPERLINK("Melting_Curves/meltCurve_sp_O14896_IRF6_HUMAN_.pdf", "Melting_Curves/meltCurve_sp_O14896_IRF6_HUMAN_.pdf")</f>
        <v>Melting_Curves/meltCurve_sp_O14896_IRF6_HUMAN_.pdf</v>
      </c>
      <c r="AA105" t="s">
        <v>12986</v>
      </c>
      <c r="AB105" t="s">
        <v>17190</v>
      </c>
    </row>
    <row r="106" spans="1:28" x14ac:dyDescent="0.25">
      <c r="A106" t="s">
        <v>110</v>
      </c>
      <c r="B106">
        <v>0.99876560204751996</v>
      </c>
      <c r="C106">
        <v>0.98105000075003201</v>
      </c>
      <c r="D106">
        <v>1.2550417248808201</v>
      </c>
      <c r="E106">
        <v>0.94920686945268895</v>
      </c>
      <c r="F106">
        <v>0.64377644791694699</v>
      </c>
      <c r="G106">
        <v>0.38299002999356202</v>
      </c>
      <c r="H106">
        <v>0.32338501186545698</v>
      </c>
      <c r="I106">
        <v>0.23837079246815801</v>
      </c>
      <c r="J106">
        <v>0.31760071500339798</v>
      </c>
      <c r="K106">
        <v>0.34463835016044297</v>
      </c>
      <c r="L106">
        <v>2127.0892739415199</v>
      </c>
      <c r="M106">
        <v>40.139220629412897</v>
      </c>
      <c r="N106">
        <v>54.312989219375503</v>
      </c>
      <c r="O106">
        <v>52.861766917440697</v>
      </c>
      <c r="P106">
        <v>-0.130693075561474</v>
      </c>
      <c r="Q106">
        <v>0.31153094929879099</v>
      </c>
      <c r="R106">
        <v>0.94014071147782996</v>
      </c>
      <c r="S106" t="s">
        <v>4402</v>
      </c>
      <c r="T106" t="s">
        <v>8590</v>
      </c>
      <c r="U106" t="s">
        <v>8590</v>
      </c>
      <c r="V106" t="s">
        <v>8590</v>
      </c>
      <c r="W106">
        <v>2</v>
      </c>
      <c r="X106" t="s">
        <v>8696</v>
      </c>
      <c r="Y106">
        <v>0.61220377817604255</v>
      </c>
      <c r="Z106" t="str">
        <f>HYPERLINK("Melting_Curves/meltCurve_sp_O14907_TX1B3_HUMAN_.pdf", "Melting_Curves/meltCurve_sp_O14907_TX1B3_HUMAN_.pdf")</f>
        <v>Melting_Curves/meltCurve_sp_O14907_TX1B3_HUMAN_.pdf</v>
      </c>
      <c r="AA106" t="s">
        <v>12987</v>
      </c>
      <c r="AB106" t="s">
        <v>17191</v>
      </c>
    </row>
    <row r="107" spans="1:28" x14ac:dyDescent="0.25">
      <c r="A107" t="s">
        <v>111</v>
      </c>
      <c r="B107">
        <v>0.99876560204751996</v>
      </c>
      <c r="C107">
        <v>0.87116465268103704</v>
      </c>
      <c r="D107">
        <v>0.78108996641131201</v>
      </c>
      <c r="E107">
        <v>0.69540430878584003</v>
      </c>
      <c r="F107">
        <v>0.39416775337173598</v>
      </c>
      <c r="G107">
        <v>0.322353153954545</v>
      </c>
      <c r="H107">
        <v>0.117943880713238</v>
      </c>
      <c r="I107">
        <v>7.4034337479224499E-2</v>
      </c>
      <c r="J107">
        <v>3.4827826130727803E-2</v>
      </c>
      <c r="K107">
        <v>1.6772086006572599E-2</v>
      </c>
      <c r="L107">
        <v>623.08500806432403</v>
      </c>
      <c r="M107">
        <v>11.9803624455775</v>
      </c>
      <c r="N107">
        <v>52.0088454926235</v>
      </c>
      <c r="O107">
        <v>50.623346233363698</v>
      </c>
      <c r="P107">
        <v>-5.91785698061493E-2</v>
      </c>
      <c r="Q107">
        <v>0</v>
      </c>
      <c r="R107">
        <v>0.98337517498559102</v>
      </c>
      <c r="S107" t="s">
        <v>4403</v>
      </c>
      <c r="T107" t="s">
        <v>8590</v>
      </c>
      <c r="U107" t="s">
        <v>8590</v>
      </c>
      <c r="V107" t="s">
        <v>8590</v>
      </c>
      <c r="W107">
        <v>4</v>
      </c>
      <c r="X107" t="s">
        <v>8697</v>
      </c>
      <c r="Y107">
        <v>0.43094483254519178</v>
      </c>
      <c r="Z107" t="str">
        <f>HYPERLINK("Melting_Curves/meltCurve_sp_O14929_HAT1_HUMAN_.pdf", "Melting_Curves/meltCurve_sp_O14929_HAT1_HUMAN_.pdf")</f>
        <v>Melting_Curves/meltCurve_sp_O14929_HAT1_HUMAN_.pdf</v>
      </c>
      <c r="AA107" t="s">
        <v>12988</v>
      </c>
      <c r="AB107" t="s">
        <v>17192</v>
      </c>
    </row>
    <row r="108" spans="1:28" x14ac:dyDescent="0.25">
      <c r="A108" t="s">
        <v>112</v>
      </c>
      <c r="B108">
        <v>0.99876560204751996</v>
      </c>
      <c r="C108">
        <v>1.0023062193057599</v>
      </c>
      <c r="D108">
        <v>1.04294660433667</v>
      </c>
      <c r="E108">
        <v>0.84931803037495501</v>
      </c>
      <c r="F108">
        <v>0.698045296358625</v>
      </c>
      <c r="G108">
        <v>0.38259051919231901</v>
      </c>
      <c r="H108">
        <v>0.242020433858981</v>
      </c>
      <c r="I108">
        <v>0.202397961515384</v>
      </c>
      <c r="J108">
        <v>0.18923385609726801</v>
      </c>
      <c r="K108">
        <v>0.22057168150737599</v>
      </c>
      <c r="L108">
        <v>1213.79481179959</v>
      </c>
      <c r="M108">
        <v>22.467317207804498</v>
      </c>
      <c r="N108">
        <v>55.2026562794697</v>
      </c>
      <c r="O108">
        <v>53.602379651247801</v>
      </c>
      <c r="P108">
        <v>-8.4836760419363499E-2</v>
      </c>
      <c r="Q108">
        <v>0.190404743091972</v>
      </c>
      <c r="R108">
        <v>0.99510655371798196</v>
      </c>
      <c r="S108" t="s">
        <v>4404</v>
      </c>
      <c r="T108" t="s">
        <v>8590</v>
      </c>
      <c r="U108" t="s">
        <v>8590</v>
      </c>
      <c r="V108" t="s">
        <v>8590</v>
      </c>
      <c r="W108">
        <v>6</v>
      </c>
      <c r="X108" t="s">
        <v>8698</v>
      </c>
      <c r="Y108">
        <v>0.57794525964415322</v>
      </c>
      <c r="Z108" t="str">
        <f>HYPERLINK("Melting_Curves/meltCurve_sp_O14933_UB2L6_HUMAN_.pdf", "Melting_Curves/meltCurve_sp_O14933_UB2L6_HUMAN_.pdf")</f>
        <v>Melting_Curves/meltCurve_sp_O14933_UB2L6_HUMAN_.pdf</v>
      </c>
      <c r="AA108" t="s">
        <v>12989</v>
      </c>
      <c r="AB108" t="s">
        <v>17193</v>
      </c>
    </row>
    <row r="109" spans="1:28" x14ac:dyDescent="0.25">
      <c r="A109" t="s">
        <v>113</v>
      </c>
      <c r="B109">
        <v>0.99876560204751996</v>
      </c>
      <c r="C109">
        <v>1.04335398090764</v>
      </c>
      <c r="D109">
        <v>0.95029443082538601</v>
      </c>
      <c r="E109">
        <v>0.96998583735856603</v>
      </c>
      <c r="F109">
        <v>0.810092438796159</v>
      </c>
      <c r="G109">
        <v>0.380898487358167</v>
      </c>
      <c r="H109">
        <v>0.147099519496003</v>
      </c>
      <c r="I109">
        <v>8.2977669485811201E-2</v>
      </c>
      <c r="J109">
        <v>7.9896853641449106E-2</v>
      </c>
      <c r="K109">
        <v>6.31742006302808E-2</v>
      </c>
      <c r="L109">
        <v>1534.6184565981</v>
      </c>
      <c r="M109">
        <v>27.5836554260611</v>
      </c>
      <c r="N109">
        <v>55.915955019182697</v>
      </c>
      <c r="O109">
        <v>55.345129705235998</v>
      </c>
      <c r="P109">
        <v>-0.116538275128394</v>
      </c>
      <c r="Q109">
        <v>6.4697469201506194E-2</v>
      </c>
      <c r="R109">
        <v>0.99746470877943905</v>
      </c>
      <c r="S109" t="s">
        <v>4405</v>
      </c>
      <c r="T109" t="s">
        <v>8590</v>
      </c>
      <c r="U109" t="s">
        <v>8590</v>
      </c>
      <c r="V109" t="s">
        <v>8590</v>
      </c>
      <c r="W109">
        <v>20</v>
      </c>
      <c r="X109" t="s">
        <v>8699</v>
      </c>
      <c r="Y109">
        <v>0.55940794376610559</v>
      </c>
      <c r="Z109" t="str">
        <f>HYPERLINK("Melting_Curves/meltCurve_sp_O14936_3_CSKP_HUMAN_.pdf", "Melting_Curves/meltCurve_sp_O14936_3_CSKP_HUMAN_.pdf")</f>
        <v>Melting_Curves/meltCurve_sp_O14936_3_CSKP_HUMAN_.pdf</v>
      </c>
      <c r="AA109" t="s">
        <v>12990</v>
      </c>
      <c r="AB109" t="s">
        <v>17194</v>
      </c>
    </row>
    <row r="110" spans="1:28" x14ac:dyDescent="0.25">
      <c r="A110" t="s">
        <v>114</v>
      </c>
      <c r="B110">
        <v>0.99876560204751996</v>
      </c>
      <c r="C110">
        <v>0.99971233277537497</v>
      </c>
      <c r="D110">
        <v>1.1011260361533199</v>
      </c>
      <c r="E110">
        <v>0.95616224285789497</v>
      </c>
      <c r="F110">
        <v>0.80348775394212801</v>
      </c>
      <c r="G110">
        <v>0.49628803122964299</v>
      </c>
      <c r="H110">
        <v>0.362382490038275</v>
      </c>
      <c r="I110">
        <v>0.28620717228139902</v>
      </c>
      <c r="J110">
        <v>0.29171334941932198</v>
      </c>
      <c r="K110">
        <v>0.232901511584967</v>
      </c>
      <c r="L110">
        <v>1334.7367485457501</v>
      </c>
      <c r="M110">
        <v>24.117119430112599</v>
      </c>
      <c r="N110">
        <v>57.103369372576701</v>
      </c>
      <c r="O110">
        <v>54.967641060569001</v>
      </c>
      <c r="P110">
        <v>-8.0931618045804302E-2</v>
      </c>
      <c r="Q110">
        <v>0.26217525006377701</v>
      </c>
      <c r="R110">
        <v>0.98738406096741005</v>
      </c>
      <c r="S110" t="s">
        <v>4406</v>
      </c>
      <c r="T110" t="s">
        <v>8590</v>
      </c>
      <c r="U110" t="s">
        <v>8590</v>
      </c>
      <c r="V110" t="s">
        <v>8590</v>
      </c>
      <c r="W110">
        <v>13</v>
      </c>
      <c r="X110" t="s">
        <v>8700</v>
      </c>
      <c r="Y110">
        <v>0.64679219858992387</v>
      </c>
      <c r="Z110" t="str">
        <f>HYPERLINK("Melting_Curves/meltCurve_sp_O14964_HGS_HUMAN_.pdf", "Melting_Curves/meltCurve_sp_O14964_HGS_HUMAN_.pdf")</f>
        <v>Melting_Curves/meltCurve_sp_O14964_HGS_HUMAN_.pdf</v>
      </c>
      <c r="AA110" t="s">
        <v>12991</v>
      </c>
      <c r="AB110" t="s">
        <v>17195</v>
      </c>
    </row>
    <row r="111" spans="1:28" x14ac:dyDescent="0.25">
      <c r="A111" t="s">
        <v>115</v>
      </c>
      <c r="B111">
        <v>0.99876560204751996</v>
      </c>
      <c r="C111">
        <v>1.0294068721546501</v>
      </c>
      <c r="D111">
        <v>1.0460546285729899</v>
      </c>
      <c r="E111">
        <v>0.97286705435244503</v>
      </c>
      <c r="F111">
        <v>0.88470152306136396</v>
      </c>
      <c r="G111">
        <v>0.65043893994485902</v>
      </c>
      <c r="H111">
        <v>0.46686857993194403</v>
      </c>
      <c r="I111">
        <v>0.454664994777493</v>
      </c>
      <c r="J111">
        <v>0.55173675763194197</v>
      </c>
      <c r="K111">
        <v>0.52231700880574405</v>
      </c>
      <c r="L111">
        <v>1796.3650842552499</v>
      </c>
      <c r="M111">
        <v>32.553480176548703</v>
      </c>
      <c r="N111">
        <v>64.659387006361499</v>
      </c>
      <c r="O111">
        <v>54.974981430114902</v>
      </c>
      <c r="P111">
        <v>-7.4645966468111294E-2</v>
      </c>
      <c r="Q111">
        <v>0.49576619466580102</v>
      </c>
      <c r="R111">
        <v>0.97838686527212304</v>
      </c>
      <c r="S111" t="s">
        <v>4407</v>
      </c>
      <c r="T111" t="s">
        <v>8590</v>
      </c>
      <c r="U111" t="s">
        <v>8590</v>
      </c>
      <c r="V111" t="s">
        <v>8590</v>
      </c>
      <c r="W111">
        <v>19</v>
      </c>
      <c r="X111" t="s">
        <v>8701</v>
      </c>
      <c r="Y111">
        <v>0.75380894235875207</v>
      </c>
      <c r="Z111" t="str">
        <f>HYPERLINK("Melting_Curves/meltCurve_sp_O14974_MYPT1_HUMAN_.pdf", "Melting_Curves/meltCurve_sp_O14974_MYPT1_HUMAN_.pdf")</f>
        <v>Melting_Curves/meltCurve_sp_O14974_MYPT1_HUMAN_.pdf</v>
      </c>
      <c r="AA111" t="s">
        <v>12992</v>
      </c>
      <c r="AB111" t="s">
        <v>17196</v>
      </c>
    </row>
    <row r="112" spans="1:28" x14ac:dyDescent="0.25">
      <c r="A112" t="s">
        <v>116</v>
      </c>
      <c r="B112">
        <v>0.99876560204751996</v>
      </c>
      <c r="C112">
        <v>0.990852791661749</v>
      </c>
      <c r="D112">
        <v>0.70235924038294595</v>
      </c>
      <c r="E112">
        <v>0.58632756247796403</v>
      </c>
      <c r="F112">
        <v>0.33156006186360598</v>
      </c>
      <c r="G112">
        <v>0.202591737377671</v>
      </c>
      <c r="H112">
        <v>0.13863258079597701</v>
      </c>
      <c r="I112">
        <v>9.9934288006249802E-2</v>
      </c>
      <c r="J112">
        <v>8.9863113921459306E-2</v>
      </c>
      <c r="K112">
        <v>6.7207224602888804E-2</v>
      </c>
      <c r="L112">
        <v>706.323645392049</v>
      </c>
      <c r="M112">
        <v>14.110887664546601</v>
      </c>
      <c r="N112">
        <v>50.512003760483204</v>
      </c>
      <c r="O112">
        <v>49.082091122541499</v>
      </c>
      <c r="P112">
        <v>-6.7577370625786198E-2</v>
      </c>
      <c r="Q112">
        <v>5.9899325576612802E-2</v>
      </c>
      <c r="R112">
        <v>0.98627072118094405</v>
      </c>
      <c r="S112" t="s">
        <v>4408</v>
      </c>
      <c r="T112" t="s">
        <v>8590</v>
      </c>
      <c r="U112" t="s">
        <v>8590</v>
      </c>
      <c r="V112" t="s">
        <v>8590</v>
      </c>
      <c r="W112">
        <v>7</v>
      </c>
      <c r="X112" t="s">
        <v>8702</v>
      </c>
      <c r="Y112">
        <v>0.39988353377227992</v>
      </c>
      <c r="Z112" t="str">
        <f>HYPERLINK("Melting_Curves/meltCurve_sp_O14975_2_S27A2_HUMAN_.pdf", "Melting_Curves/meltCurve_sp_O14975_2_S27A2_HUMAN_.pdf")</f>
        <v>Melting_Curves/meltCurve_sp_O14975_2_S27A2_HUMAN_.pdf</v>
      </c>
      <c r="AA112" t="s">
        <v>12993</v>
      </c>
      <c r="AB112" t="s">
        <v>17197</v>
      </c>
    </row>
    <row r="113" spans="1:28" x14ac:dyDescent="0.25">
      <c r="A113" t="s">
        <v>117</v>
      </c>
      <c r="B113">
        <v>0.99876560204751996</v>
      </c>
      <c r="C113">
        <v>0.975372985203804</v>
      </c>
      <c r="D113">
        <v>0.98970417887962303</v>
      </c>
      <c r="E113">
        <v>0.71581316090073399</v>
      </c>
      <c r="F113">
        <v>0.605082213490577</v>
      </c>
      <c r="G113">
        <v>0.37443495498694501</v>
      </c>
      <c r="H113">
        <v>0.15596797420957201</v>
      </c>
      <c r="I113">
        <v>0.107310892137648</v>
      </c>
      <c r="J113">
        <v>0.101715461812853</v>
      </c>
      <c r="K113">
        <v>7.7540896811192597E-2</v>
      </c>
      <c r="L113">
        <v>796.37163173069405</v>
      </c>
      <c r="M113">
        <v>14.736461575804199</v>
      </c>
      <c r="N113">
        <v>54.314539017602897</v>
      </c>
      <c r="O113">
        <v>53.075018655253899</v>
      </c>
      <c r="P113">
        <v>-6.6937224540933996E-2</v>
      </c>
      <c r="Q113">
        <v>3.5776739294910001E-2</v>
      </c>
      <c r="R113">
        <v>0.992976379816219</v>
      </c>
      <c r="S113" t="s">
        <v>4409</v>
      </c>
      <c r="T113" t="s">
        <v>8590</v>
      </c>
      <c r="U113" t="s">
        <v>8590</v>
      </c>
      <c r="V113" t="s">
        <v>8590</v>
      </c>
      <c r="W113">
        <v>9</v>
      </c>
      <c r="X113" t="s">
        <v>8703</v>
      </c>
      <c r="Y113">
        <v>0.50723345616671334</v>
      </c>
      <c r="Z113" t="str">
        <f>HYPERLINK("Melting_Curves/meltCurve_sp_O14976_GAK_HUMAN_.pdf", "Melting_Curves/meltCurve_sp_O14976_GAK_HUMAN_.pdf")</f>
        <v>Melting_Curves/meltCurve_sp_O14976_GAK_HUMAN_.pdf</v>
      </c>
      <c r="AA113" t="s">
        <v>12994</v>
      </c>
      <c r="AB113" t="s">
        <v>17198</v>
      </c>
    </row>
    <row r="114" spans="1:28" x14ac:dyDescent="0.25">
      <c r="A114" t="s">
        <v>118</v>
      </c>
      <c r="B114">
        <v>0.99876560204751996</v>
      </c>
      <c r="C114">
        <v>1.0507138144664501</v>
      </c>
      <c r="D114">
        <v>1.1137356462299901</v>
      </c>
      <c r="E114">
        <v>0.97512818181406802</v>
      </c>
      <c r="F114">
        <v>0.88279760207452895</v>
      </c>
      <c r="G114">
        <v>0.67992630431254097</v>
      </c>
      <c r="H114">
        <v>0.59252936810684098</v>
      </c>
      <c r="I114">
        <v>0.54058368600737094</v>
      </c>
      <c r="J114">
        <v>0.67449591862514202</v>
      </c>
      <c r="K114">
        <v>0.61316732299218402</v>
      </c>
      <c r="L114">
        <v>1915.87813709072</v>
      </c>
      <c r="M114">
        <v>35.243272536917701</v>
      </c>
      <c r="O114">
        <v>54.187397293648999</v>
      </c>
      <c r="P114">
        <v>-6.4296779820428099E-2</v>
      </c>
      <c r="Q114">
        <v>0.60456984747601605</v>
      </c>
      <c r="R114">
        <v>0.93815999427741703</v>
      </c>
      <c r="S114" t="s">
        <v>4410</v>
      </c>
      <c r="T114" t="s">
        <v>8590</v>
      </c>
      <c r="U114" t="s">
        <v>8590</v>
      </c>
      <c r="V114" t="s">
        <v>8590</v>
      </c>
      <c r="W114">
        <v>6</v>
      </c>
      <c r="X114" t="s">
        <v>8704</v>
      </c>
      <c r="Y114">
        <v>0.79577490015722907</v>
      </c>
      <c r="Z114" t="str">
        <f>HYPERLINK("Melting_Curves/meltCurve_sp_O14979_3_HNRDL_HUMAN_.pdf", "Melting_Curves/meltCurve_sp_O14979_3_HNRDL_HUMAN_.pdf")</f>
        <v>Melting_Curves/meltCurve_sp_O14979_3_HNRDL_HUMAN_.pdf</v>
      </c>
      <c r="AA114" t="s">
        <v>12995</v>
      </c>
      <c r="AB114" t="s">
        <v>17199</v>
      </c>
    </row>
    <row r="115" spans="1:28" x14ac:dyDescent="0.25">
      <c r="A115" t="s">
        <v>119</v>
      </c>
      <c r="B115">
        <v>0.99876560204751996</v>
      </c>
      <c r="C115">
        <v>1.0109987987214</v>
      </c>
      <c r="D115">
        <v>0.92670572971768395</v>
      </c>
      <c r="E115">
        <v>0.82993556787766498</v>
      </c>
      <c r="F115">
        <v>0.19140286531861</v>
      </c>
      <c r="G115">
        <v>0.104976132493712</v>
      </c>
      <c r="H115">
        <v>5.5897560342850497E-2</v>
      </c>
      <c r="I115">
        <v>4.7546917592868103E-2</v>
      </c>
      <c r="J115">
        <v>4.3299467943746901E-2</v>
      </c>
      <c r="K115">
        <v>3.8580119526370499E-2</v>
      </c>
      <c r="L115">
        <v>2867.94281026004</v>
      </c>
      <c r="M115">
        <v>55.867084447340602</v>
      </c>
      <c r="N115">
        <v>51.445795399665002</v>
      </c>
      <c r="O115">
        <v>51.269457963957301</v>
      </c>
      <c r="P115">
        <v>-0.25699249529651103</v>
      </c>
      <c r="Q115">
        <v>5.6628151376502102E-2</v>
      </c>
      <c r="R115">
        <v>0.99565742514730005</v>
      </c>
      <c r="S115" t="s">
        <v>4411</v>
      </c>
      <c r="T115" t="s">
        <v>8590</v>
      </c>
      <c r="U115" t="s">
        <v>8590</v>
      </c>
      <c r="V115" t="s">
        <v>8590</v>
      </c>
      <c r="W115">
        <v>24</v>
      </c>
      <c r="X115" t="s">
        <v>8705</v>
      </c>
      <c r="Y115">
        <v>0.41477801012827858</v>
      </c>
      <c r="Z115" t="str">
        <f>HYPERLINK("Melting_Curves/meltCurve_sp_O14980_XPO1_HUMAN_.pdf", "Melting_Curves/meltCurve_sp_O14980_XPO1_HUMAN_.pdf")</f>
        <v>Melting_Curves/meltCurve_sp_O14980_XPO1_HUMAN_.pdf</v>
      </c>
      <c r="AA115" t="s">
        <v>12996</v>
      </c>
      <c r="AB115" t="s">
        <v>17200</v>
      </c>
    </row>
    <row r="116" spans="1:28" x14ac:dyDescent="0.25">
      <c r="A116" t="s">
        <v>120</v>
      </c>
      <c r="B116">
        <v>0.99876560204751996</v>
      </c>
      <c r="C116">
        <v>1.0003175423139099</v>
      </c>
      <c r="D116">
        <v>0.71234706981303997</v>
      </c>
      <c r="E116">
        <v>0.44628310238817098</v>
      </c>
      <c r="F116">
        <v>0.20798660715981401</v>
      </c>
      <c r="G116">
        <v>0.11041371443496099</v>
      </c>
      <c r="H116">
        <v>7.9546419442472899E-2</v>
      </c>
      <c r="I116">
        <v>9.4212695732052099E-2</v>
      </c>
      <c r="J116">
        <v>8.9328678810419795E-2</v>
      </c>
      <c r="K116">
        <v>8.1300818852937495E-2</v>
      </c>
      <c r="L116">
        <v>962.62453337637703</v>
      </c>
      <c r="M116">
        <v>19.833852937565698</v>
      </c>
      <c r="N116">
        <v>48.944680765616603</v>
      </c>
      <c r="O116">
        <v>48.049109314198098</v>
      </c>
      <c r="P116">
        <v>-9.5295911077066905E-2</v>
      </c>
      <c r="Q116">
        <v>7.6582852182800906E-2</v>
      </c>
      <c r="R116">
        <v>0.99283000850454395</v>
      </c>
      <c r="S116" t="s">
        <v>4412</v>
      </c>
      <c r="T116" t="s">
        <v>8590</v>
      </c>
      <c r="U116" t="s">
        <v>8590</v>
      </c>
      <c r="V116" t="s">
        <v>8590</v>
      </c>
      <c r="W116">
        <v>5</v>
      </c>
      <c r="X116" t="s">
        <v>8706</v>
      </c>
      <c r="Y116">
        <v>0.35250790522736131</v>
      </c>
      <c r="Z116" t="str">
        <f>HYPERLINK("Melting_Curves/meltCurve_sp_O14981_BTAF1_HUMAN_.pdf", "Melting_Curves/meltCurve_sp_O14981_BTAF1_HUMAN_.pdf")</f>
        <v>Melting_Curves/meltCurve_sp_O14981_BTAF1_HUMAN_.pdf</v>
      </c>
      <c r="AA116" t="s">
        <v>12997</v>
      </c>
      <c r="AB116" t="s">
        <v>17201</v>
      </c>
    </row>
    <row r="117" spans="1:28" x14ac:dyDescent="0.25">
      <c r="A117" t="s">
        <v>121</v>
      </c>
      <c r="B117">
        <v>0.99876560204751996</v>
      </c>
      <c r="C117">
        <v>0.98073069580011396</v>
      </c>
      <c r="D117">
        <v>1.0265837438157599</v>
      </c>
      <c r="E117">
        <v>0.91440892682373898</v>
      </c>
      <c r="F117">
        <v>0.92522000599757104</v>
      </c>
      <c r="G117">
        <v>0.71340532703097503</v>
      </c>
      <c r="H117">
        <v>0.65449024763969599</v>
      </c>
      <c r="I117">
        <v>0.56811358403141998</v>
      </c>
      <c r="J117">
        <v>0.69948089986409601</v>
      </c>
      <c r="K117">
        <v>0.67010463508999896</v>
      </c>
      <c r="L117">
        <v>1672.74134758491</v>
      </c>
      <c r="M117">
        <v>30.629706129520699</v>
      </c>
      <c r="O117">
        <v>54.380533695978897</v>
      </c>
      <c r="P117">
        <v>-5.0278936559811201E-2</v>
      </c>
      <c r="Q117">
        <v>0.64293761540610095</v>
      </c>
      <c r="R117">
        <v>0.93770678954351305</v>
      </c>
      <c r="S117" t="s">
        <v>4413</v>
      </c>
      <c r="T117" t="s">
        <v>8590</v>
      </c>
      <c r="U117" t="s">
        <v>8590</v>
      </c>
      <c r="V117" t="s">
        <v>8590</v>
      </c>
      <c r="W117">
        <v>2</v>
      </c>
      <c r="X117" t="s">
        <v>8707</v>
      </c>
      <c r="Y117">
        <v>0.81911635733266175</v>
      </c>
      <c r="Z117" t="str">
        <f>HYPERLINK("Melting_Curves/meltCurve_sp_O15014_ZN609_HUMAN_.pdf", "Melting_Curves/meltCurve_sp_O15014_ZN609_HUMAN_.pdf")</f>
        <v>Melting_Curves/meltCurve_sp_O15014_ZN609_HUMAN_.pdf</v>
      </c>
      <c r="AA117" t="s">
        <v>12998</v>
      </c>
      <c r="AB117" t="s">
        <v>17202</v>
      </c>
    </row>
    <row r="118" spans="1:28" x14ac:dyDescent="0.25">
      <c r="A118" t="s">
        <v>122</v>
      </c>
      <c r="B118">
        <v>0.99876560204751996</v>
      </c>
      <c r="C118">
        <v>1.03768667129909</v>
      </c>
      <c r="D118">
        <v>0.89831395516044199</v>
      </c>
      <c r="E118">
        <v>0.748560046817903</v>
      </c>
      <c r="F118">
        <v>0.31962494228495902</v>
      </c>
      <c r="G118">
        <v>0.18129519908858699</v>
      </c>
      <c r="H118">
        <v>0.116792137397361</v>
      </c>
      <c r="I118">
        <v>9.4834754199510402E-2</v>
      </c>
      <c r="J118">
        <v>0.10658238814991999</v>
      </c>
      <c r="K118">
        <v>8.6522388220865706E-2</v>
      </c>
      <c r="L118">
        <v>1516.46923173045</v>
      </c>
      <c r="M118">
        <v>29.562350337849701</v>
      </c>
      <c r="N118">
        <v>51.698523864926599</v>
      </c>
      <c r="O118">
        <v>51.064292284340198</v>
      </c>
      <c r="P118">
        <v>-0.12989660004126899</v>
      </c>
      <c r="Q118">
        <v>0.102502544619946</v>
      </c>
      <c r="R118">
        <v>0.99289061039471804</v>
      </c>
      <c r="S118" t="s">
        <v>4414</v>
      </c>
      <c r="T118" t="s">
        <v>8590</v>
      </c>
      <c r="U118" t="s">
        <v>8590</v>
      </c>
      <c r="V118" t="s">
        <v>8590</v>
      </c>
      <c r="W118">
        <v>82</v>
      </c>
      <c r="X118" t="s">
        <v>8708</v>
      </c>
      <c r="Y118">
        <v>0.44631886173068108</v>
      </c>
      <c r="Z118" t="str">
        <f>HYPERLINK("Melting_Curves/meltCurve_sp_O15020_SPTN2_HUMAN_.pdf", "Melting_Curves/meltCurve_sp_O15020_SPTN2_HUMAN_.pdf")</f>
        <v>Melting_Curves/meltCurve_sp_O15020_SPTN2_HUMAN_.pdf</v>
      </c>
      <c r="AA118" t="s">
        <v>12999</v>
      </c>
      <c r="AB118" t="s">
        <v>17203</v>
      </c>
    </row>
    <row r="119" spans="1:28" x14ac:dyDescent="0.25">
      <c r="A119" t="s">
        <v>123</v>
      </c>
      <c r="B119">
        <v>0.99876560204751996</v>
      </c>
      <c r="C119">
        <v>0.95048580632407997</v>
      </c>
      <c r="D119">
        <v>1.0189908316887799</v>
      </c>
      <c r="E119">
        <v>0.98336537214606401</v>
      </c>
      <c r="F119">
        <v>0.90250353055375898</v>
      </c>
      <c r="G119">
        <v>0.82421500410334003</v>
      </c>
      <c r="H119">
        <v>0.75935210711364398</v>
      </c>
      <c r="I119">
        <v>0.57427549217894402</v>
      </c>
      <c r="J119">
        <v>0.85446403430222995</v>
      </c>
      <c r="K119">
        <v>0.76239814234589598</v>
      </c>
      <c r="L119">
        <v>1466.19336309863</v>
      </c>
      <c r="M119">
        <v>26.8788414443089</v>
      </c>
      <c r="O119">
        <v>54.248982280986901</v>
      </c>
      <c r="P119">
        <v>-3.2668727693639897E-2</v>
      </c>
      <c r="Q119">
        <v>0.73626431572499096</v>
      </c>
      <c r="R119">
        <v>0.73386361971756298</v>
      </c>
      <c r="S119" t="s">
        <v>4415</v>
      </c>
      <c r="T119" t="s">
        <v>8590</v>
      </c>
      <c r="U119" t="s">
        <v>8590</v>
      </c>
      <c r="V119" t="s">
        <v>8590</v>
      </c>
      <c r="W119">
        <v>4</v>
      </c>
      <c r="X119" t="s">
        <v>8709</v>
      </c>
      <c r="Y119">
        <v>0.86630200026520077</v>
      </c>
      <c r="Z119" t="str">
        <f>HYPERLINK("Melting_Curves/meltCurve_sp_O15021_2_MAST4_HUMAN_.pdf", "Melting_Curves/meltCurve_sp_O15021_2_MAST4_HUMAN_.pdf")</f>
        <v>Melting_Curves/meltCurve_sp_O15021_2_MAST4_HUMAN_.pdf</v>
      </c>
      <c r="AA119" t="s">
        <v>13000</v>
      </c>
      <c r="AB119" t="s">
        <v>17204</v>
      </c>
    </row>
    <row r="120" spans="1:28" x14ac:dyDescent="0.25">
      <c r="A120" t="s">
        <v>124</v>
      </c>
      <c r="B120">
        <v>0.99876560204751996</v>
      </c>
      <c r="C120">
        <v>1.2438125396547199</v>
      </c>
      <c r="D120">
        <v>0.86399636034448701</v>
      </c>
      <c r="E120">
        <v>0.86836352587204402</v>
      </c>
      <c r="F120">
        <v>0.49552275428472498</v>
      </c>
      <c r="G120">
        <v>0.39151945612082401</v>
      </c>
      <c r="H120">
        <v>0.19868343926262799</v>
      </c>
      <c r="I120">
        <v>0.206195999068194</v>
      </c>
      <c r="J120">
        <v>0.212250269333944</v>
      </c>
      <c r="K120">
        <v>0.20365206180839299</v>
      </c>
      <c r="L120">
        <v>1185.22980679946</v>
      </c>
      <c r="M120">
        <v>22.558003220530999</v>
      </c>
      <c r="N120">
        <v>53.7684056638942</v>
      </c>
      <c r="O120">
        <v>52.133753078851399</v>
      </c>
      <c r="P120">
        <v>-8.6413119473551001E-2</v>
      </c>
      <c r="Q120">
        <v>0.201179443550384</v>
      </c>
      <c r="R120">
        <v>0.93650179381342802</v>
      </c>
      <c r="S120" t="s">
        <v>4416</v>
      </c>
      <c r="T120" t="s">
        <v>8590</v>
      </c>
      <c r="U120" t="s">
        <v>8590</v>
      </c>
      <c r="V120" t="s">
        <v>8590</v>
      </c>
      <c r="W120">
        <v>1</v>
      </c>
      <c r="X120" t="s">
        <v>8710</v>
      </c>
      <c r="Y120">
        <v>0.54400704278406664</v>
      </c>
      <c r="Z120" t="str">
        <f>HYPERLINK("Melting_Curves/meltCurve_sp_O15031_PLXB2_HUMAN_.pdf", "Melting_Curves/meltCurve_sp_O15031_PLXB2_HUMAN_.pdf")</f>
        <v>Melting_Curves/meltCurve_sp_O15031_PLXB2_HUMAN_.pdf</v>
      </c>
      <c r="AA120" t="s">
        <v>13001</v>
      </c>
      <c r="AB120" t="s">
        <v>17205</v>
      </c>
    </row>
    <row r="121" spans="1:28" x14ac:dyDescent="0.25">
      <c r="A121" t="s">
        <v>125</v>
      </c>
      <c r="B121">
        <v>0.99876560204751996</v>
      </c>
      <c r="C121">
        <v>1.11105241066181</v>
      </c>
      <c r="D121">
        <v>0.79510739556591903</v>
      </c>
      <c r="E121">
        <v>0.91472573963270498</v>
      </c>
      <c r="F121">
        <v>0.491986010025175</v>
      </c>
      <c r="G121">
        <v>0.14766279850273001</v>
      </c>
      <c r="H121">
        <v>1.11209315620683E-2</v>
      </c>
      <c r="I121">
        <v>7.6028388451855099E-3</v>
      </c>
      <c r="J121">
        <v>0</v>
      </c>
      <c r="K121">
        <v>0</v>
      </c>
      <c r="L121">
        <v>1511.2205184894301</v>
      </c>
      <c r="M121">
        <v>28.435767822015901</v>
      </c>
      <c r="N121">
        <v>53.145057466385602</v>
      </c>
      <c r="O121">
        <v>52.884306034666402</v>
      </c>
      <c r="P121">
        <v>-0.13442550652434099</v>
      </c>
      <c r="Q121">
        <v>0</v>
      </c>
      <c r="R121">
        <v>0.97216712113255199</v>
      </c>
      <c r="S121" t="s">
        <v>4417</v>
      </c>
      <c r="T121" t="s">
        <v>8590</v>
      </c>
      <c r="U121" t="s">
        <v>8590</v>
      </c>
      <c r="V121" t="s">
        <v>8590</v>
      </c>
      <c r="W121">
        <v>2</v>
      </c>
      <c r="X121" t="s">
        <v>8711</v>
      </c>
      <c r="Y121">
        <v>0.44538012918457148</v>
      </c>
      <c r="Z121" t="str">
        <f>HYPERLINK("Melting_Curves/meltCurve_sp_O15056_3_SYNJ2_HUMAN_.pdf", "Melting_Curves/meltCurve_sp_O15056_3_SYNJ2_HUMAN_.pdf")</f>
        <v>Melting_Curves/meltCurve_sp_O15056_3_SYNJ2_HUMAN_.pdf</v>
      </c>
      <c r="AA121" t="s">
        <v>13002</v>
      </c>
      <c r="AB121" t="s">
        <v>17206</v>
      </c>
    </row>
    <row r="122" spans="1:28" x14ac:dyDescent="0.25">
      <c r="A122" t="s">
        <v>126</v>
      </c>
      <c r="B122">
        <v>0.99876560204751996</v>
      </c>
      <c r="C122">
        <v>0.973477282172442</v>
      </c>
      <c r="D122">
        <v>0.80483752130702302</v>
      </c>
      <c r="E122">
        <v>0.36248995952924301</v>
      </c>
      <c r="F122">
        <v>0.16196937140165801</v>
      </c>
      <c r="G122">
        <v>9.2530560447338595E-2</v>
      </c>
      <c r="H122">
        <v>5.2296662019751403E-2</v>
      </c>
      <c r="I122">
        <v>4.2928835021407798E-2</v>
      </c>
      <c r="J122">
        <v>4.2990352500817203E-2</v>
      </c>
      <c r="K122">
        <v>2.7640143111401699E-2</v>
      </c>
      <c r="L122">
        <v>1162.1700856976399</v>
      </c>
      <c r="M122">
        <v>23.905997196950199</v>
      </c>
      <c r="N122">
        <v>48.798952286237601</v>
      </c>
      <c r="O122">
        <v>48.277841293906697</v>
      </c>
      <c r="P122">
        <v>-0.118438698577556</v>
      </c>
      <c r="Q122">
        <v>4.3274266927192301E-2</v>
      </c>
      <c r="R122">
        <v>0.99936790802518305</v>
      </c>
      <c r="S122" t="s">
        <v>4418</v>
      </c>
      <c r="T122" t="s">
        <v>8590</v>
      </c>
      <c r="U122" t="s">
        <v>8590</v>
      </c>
      <c r="V122" t="s">
        <v>8590</v>
      </c>
      <c r="W122">
        <v>20</v>
      </c>
      <c r="X122" t="s">
        <v>8712</v>
      </c>
      <c r="Y122">
        <v>0.32727538692905211</v>
      </c>
      <c r="Z122" t="str">
        <f>HYPERLINK("Melting_Curves/meltCurve_sp_O15067_PUR4_HUMAN_.pdf", "Melting_Curves/meltCurve_sp_O15067_PUR4_HUMAN_.pdf")</f>
        <v>Melting_Curves/meltCurve_sp_O15067_PUR4_HUMAN_.pdf</v>
      </c>
      <c r="AA122" t="s">
        <v>13003</v>
      </c>
      <c r="AB122" t="s">
        <v>17207</v>
      </c>
    </row>
    <row r="123" spans="1:28" x14ac:dyDescent="0.25">
      <c r="A123" t="s">
        <v>127</v>
      </c>
      <c r="B123">
        <v>0.99876560204751996</v>
      </c>
      <c r="C123">
        <v>1.0195443780618501</v>
      </c>
      <c r="D123">
        <v>0.87478009749899499</v>
      </c>
      <c r="E123">
        <v>0.77505555611539201</v>
      </c>
      <c r="F123">
        <v>0.45849427071697801</v>
      </c>
      <c r="G123">
        <v>0.24777104314361001</v>
      </c>
      <c r="H123">
        <v>0.17862724760385501</v>
      </c>
      <c r="I123">
        <v>0.149021909587049</v>
      </c>
      <c r="J123">
        <v>0.13865211978568601</v>
      </c>
      <c r="K123">
        <v>0.15580474827381999</v>
      </c>
      <c r="L123">
        <v>1092.3867334858201</v>
      </c>
      <c r="M123">
        <v>21.042091024285799</v>
      </c>
      <c r="N123">
        <v>52.723598343853901</v>
      </c>
      <c r="O123">
        <v>51.452302996389903</v>
      </c>
      <c r="P123">
        <v>-8.8133735355362799E-2</v>
      </c>
      <c r="Q123">
        <v>0.13800139993964899</v>
      </c>
      <c r="R123">
        <v>0.99346674578106597</v>
      </c>
      <c r="S123" t="s">
        <v>4419</v>
      </c>
      <c r="T123" t="s">
        <v>8590</v>
      </c>
      <c r="U123" t="s">
        <v>8590</v>
      </c>
      <c r="V123" t="s">
        <v>8590</v>
      </c>
      <c r="W123">
        <v>8</v>
      </c>
      <c r="X123" t="s">
        <v>8713</v>
      </c>
      <c r="Y123">
        <v>0.4912211828456105</v>
      </c>
      <c r="Z123" t="str">
        <f>HYPERLINK("Melting_Curves/meltCurve_sp_O15084_ANR28_HUMAN_.pdf", "Melting_Curves/meltCurve_sp_O15084_ANR28_HUMAN_.pdf")</f>
        <v>Melting_Curves/meltCurve_sp_O15084_ANR28_HUMAN_.pdf</v>
      </c>
      <c r="AA123" t="s">
        <v>13004</v>
      </c>
      <c r="AB123" t="s">
        <v>17208</v>
      </c>
    </row>
    <row r="124" spans="1:28" x14ac:dyDescent="0.25">
      <c r="A124" t="s">
        <v>128</v>
      </c>
      <c r="B124">
        <v>0.99876560204751996</v>
      </c>
      <c r="C124">
        <v>0.93924344113939895</v>
      </c>
      <c r="D124">
        <v>0.95862051851619201</v>
      </c>
      <c r="E124">
        <v>0.78949788387407305</v>
      </c>
      <c r="F124">
        <v>0.51705531882794398</v>
      </c>
      <c r="G124">
        <v>0.32117414030792302</v>
      </c>
      <c r="H124">
        <v>0.22688627912158699</v>
      </c>
      <c r="I124">
        <v>0.23521251054922901</v>
      </c>
      <c r="J124">
        <v>0.21850922588879801</v>
      </c>
      <c r="K124">
        <v>0.213770358687324</v>
      </c>
      <c r="L124">
        <v>1169.3293718677801</v>
      </c>
      <c r="M124">
        <v>22.462343737116001</v>
      </c>
      <c r="N124">
        <v>53.3762913568832</v>
      </c>
      <c r="O124">
        <v>51.649992028659703</v>
      </c>
      <c r="P124">
        <v>-8.5569682043007106E-2</v>
      </c>
      <c r="Q124">
        <v>0.212979271409964</v>
      </c>
      <c r="R124">
        <v>0.99651335360778803</v>
      </c>
      <c r="S124" t="s">
        <v>4420</v>
      </c>
      <c r="T124" t="s">
        <v>8590</v>
      </c>
      <c r="U124" t="s">
        <v>8590</v>
      </c>
      <c r="V124" t="s">
        <v>8590</v>
      </c>
      <c r="W124">
        <v>4</v>
      </c>
      <c r="X124" t="s">
        <v>8714</v>
      </c>
      <c r="Y124">
        <v>0.53809713759584055</v>
      </c>
      <c r="Z124" t="str">
        <f>HYPERLINK("Melting_Curves/meltCurve_sp_O15085_ARHGB_HUMAN_.pdf", "Melting_Curves/meltCurve_sp_O15085_ARHGB_HUMAN_.pdf")</f>
        <v>Melting_Curves/meltCurve_sp_O15085_ARHGB_HUMAN_.pdf</v>
      </c>
      <c r="AA124" t="s">
        <v>13005</v>
      </c>
      <c r="AB124" t="s">
        <v>17209</v>
      </c>
    </row>
    <row r="125" spans="1:28" x14ac:dyDescent="0.25">
      <c r="A125" t="s">
        <v>129</v>
      </c>
      <c r="B125">
        <v>0.99876560204751996</v>
      </c>
      <c r="C125">
        <v>0.69402422309406397</v>
      </c>
      <c r="D125">
        <v>0.69104248919988098</v>
      </c>
      <c r="E125">
        <v>0.68158002730398703</v>
      </c>
      <c r="F125">
        <v>0.62638299914812201</v>
      </c>
      <c r="G125">
        <v>0.15259168168201001</v>
      </c>
      <c r="H125">
        <v>0.125664336987206</v>
      </c>
      <c r="I125">
        <v>9.6466973321768901E-2</v>
      </c>
      <c r="J125">
        <v>0</v>
      </c>
      <c r="K125">
        <v>0</v>
      </c>
      <c r="L125">
        <v>541.66680208845105</v>
      </c>
      <c r="M125">
        <v>10.501339122506399</v>
      </c>
      <c r="N125">
        <v>51.580721718023902</v>
      </c>
      <c r="O125">
        <v>49.815575328590398</v>
      </c>
      <c r="P125">
        <v>-5.2722336362692697E-2</v>
      </c>
      <c r="Q125">
        <v>0</v>
      </c>
      <c r="R125">
        <v>0.89741064708896601</v>
      </c>
      <c r="S125" t="s">
        <v>4421</v>
      </c>
      <c r="T125" t="s">
        <v>8590</v>
      </c>
      <c r="U125" t="s">
        <v>8590</v>
      </c>
      <c r="V125" t="s">
        <v>8590</v>
      </c>
      <c r="W125">
        <v>1</v>
      </c>
      <c r="X125" t="s">
        <v>8715</v>
      </c>
      <c r="Y125">
        <v>0.42331182955230129</v>
      </c>
      <c r="Z125" t="str">
        <f>HYPERLINK("Melting_Curves/meltCurve_sp_O15116_LSM1_HUMAN_.pdf", "Melting_Curves/meltCurve_sp_O15116_LSM1_HUMAN_.pdf")</f>
        <v>Melting_Curves/meltCurve_sp_O15116_LSM1_HUMAN_.pdf</v>
      </c>
      <c r="AA125" t="s">
        <v>13006</v>
      </c>
      <c r="AB125" t="s">
        <v>17210</v>
      </c>
    </row>
    <row r="126" spans="1:28" x14ac:dyDescent="0.25">
      <c r="A126" t="s">
        <v>130</v>
      </c>
      <c r="B126">
        <v>0.99876560204751996</v>
      </c>
      <c r="C126">
        <v>1.04447796906014</v>
      </c>
      <c r="D126">
        <v>0.94429832689862303</v>
      </c>
      <c r="E126">
        <v>0.97718201238688296</v>
      </c>
      <c r="F126">
        <v>0.77906164002173806</v>
      </c>
      <c r="G126">
        <v>0.39390566753959499</v>
      </c>
      <c r="H126">
        <v>9.9340065916587297E-2</v>
      </c>
      <c r="I126">
        <v>6.2738892617334396E-2</v>
      </c>
      <c r="J126">
        <v>5.8449216466410103E-2</v>
      </c>
      <c r="K126">
        <v>6.3906389101679395E-2</v>
      </c>
      <c r="L126">
        <v>1483.18157357827</v>
      </c>
      <c r="M126">
        <v>26.661209424419599</v>
      </c>
      <c r="N126">
        <v>55.817787627454202</v>
      </c>
      <c r="O126">
        <v>55.320525494273497</v>
      </c>
      <c r="P126">
        <v>-0.115336315776449</v>
      </c>
      <c r="Q126">
        <v>4.2743846883589898E-2</v>
      </c>
      <c r="R126">
        <v>0.99596630581621104</v>
      </c>
      <c r="S126" t="s">
        <v>4422</v>
      </c>
      <c r="T126" t="s">
        <v>8590</v>
      </c>
      <c r="U126" t="s">
        <v>8590</v>
      </c>
      <c r="V126" t="s">
        <v>8590</v>
      </c>
      <c r="W126">
        <v>16</v>
      </c>
      <c r="X126" t="s">
        <v>8716</v>
      </c>
      <c r="Y126">
        <v>0.5493895247634859</v>
      </c>
      <c r="Z126" t="str">
        <f>HYPERLINK("Melting_Curves/meltCurve_sp_O15143_ARC1B_HUMAN_.pdf", "Melting_Curves/meltCurve_sp_O15143_ARC1B_HUMAN_.pdf")</f>
        <v>Melting_Curves/meltCurve_sp_O15143_ARC1B_HUMAN_.pdf</v>
      </c>
      <c r="AA126" t="s">
        <v>13007</v>
      </c>
      <c r="AB126" t="s">
        <v>17211</v>
      </c>
    </row>
    <row r="127" spans="1:28" x14ac:dyDescent="0.25">
      <c r="A127" t="s">
        <v>131</v>
      </c>
      <c r="B127">
        <v>0.99876560204751996</v>
      </c>
      <c r="C127">
        <v>1.1494783508231901</v>
      </c>
      <c r="D127">
        <v>1.0470346354183599</v>
      </c>
      <c r="E127">
        <v>1.14934956152276</v>
      </c>
      <c r="F127">
        <v>1.0084148981394401</v>
      </c>
      <c r="G127">
        <v>0.581605574183781</v>
      </c>
      <c r="H127">
        <v>0.16805528593501601</v>
      </c>
      <c r="I127">
        <v>9.3737541596764201E-2</v>
      </c>
      <c r="J127">
        <v>7.8998336640241404E-2</v>
      </c>
      <c r="K127">
        <v>6.5947731288973896E-2</v>
      </c>
      <c r="L127">
        <v>2521.2759110894999</v>
      </c>
      <c r="M127">
        <v>44.008509532056202</v>
      </c>
      <c r="N127">
        <v>57.527446185481601</v>
      </c>
      <c r="O127">
        <v>57.172726061541503</v>
      </c>
      <c r="P127">
        <v>-0.176494280745844</v>
      </c>
      <c r="Q127">
        <v>8.2845996700282601E-2</v>
      </c>
      <c r="R127">
        <v>0.97658425498825796</v>
      </c>
      <c r="S127" t="s">
        <v>4423</v>
      </c>
      <c r="T127" t="s">
        <v>8590</v>
      </c>
      <c r="U127" t="s">
        <v>8590</v>
      </c>
      <c r="V127" t="s">
        <v>8590</v>
      </c>
      <c r="W127">
        <v>16</v>
      </c>
      <c r="X127" t="s">
        <v>8717</v>
      </c>
      <c r="Y127">
        <v>0.61442753974154174</v>
      </c>
      <c r="Z127" t="str">
        <f>HYPERLINK("Melting_Curves/meltCurve_sp_O15144_ARPC2_HUMAN_.pdf", "Melting_Curves/meltCurve_sp_O15144_ARPC2_HUMAN_.pdf")</f>
        <v>Melting_Curves/meltCurve_sp_O15144_ARPC2_HUMAN_.pdf</v>
      </c>
      <c r="AA127" t="s">
        <v>13008</v>
      </c>
      <c r="AB127" t="s">
        <v>17212</v>
      </c>
    </row>
    <row r="128" spans="1:28" x14ac:dyDescent="0.25">
      <c r="A128" t="s">
        <v>132</v>
      </c>
      <c r="B128">
        <v>0.99876560204751996</v>
      </c>
      <c r="C128">
        <v>0.98461067659460799</v>
      </c>
      <c r="D128">
        <v>0.97239945360560498</v>
      </c>
      <c r="E128">
        <v>0.97880168238341303</v>
      </c>
      <c r="F128">
        <v>0.927951686447548</v>
      </c>
      <c r="G128">
        <v>0.53671508687022396</v>
      </c>
      <c r="H128">
        <v>0.18522905533041001</v>
      </c>
      <c r="I128">
        <v>0.123166765236954</v>
      </c>
      <c r="J128">
        <v>0.100617081897479</v>
      </c>
      <c r="K128">
        <v>8.2632556155980905E-2</v>
      </c>
      <c r="L128">
        <v>1815.5423460653701</v>
      </c>
      <c r="M128">
        <v>31.880678214145</v>
      </c>
      <c r="N128">
        <v>57.301640848344398</v>
      </c>
      <c r="O128">
        <v>56.725385465652799</v>
      </c>
      <c r="P128">
        <v>-0.127958923433064</v>
      </c>
      <c r="Q128">
        <v>8.9293911315616106E-2</v>
      </c>
      <c r="R128">
        <v>0.99921333370366205</v>
      </c>
      <c r="S128" t="s">
        <v>4424</v>
      </c>
      <c r="T128" t="s">
        <v>8590</v>
      </c>
      <c r="U128" t="s">
        <v>8590</v>
      </c>
      <c r="V128" t="s">
        <v>8590</v>
      </c>
      <c r="W128">
        <v>10</v>
      </c>
      <c r="X128" t="s">
        <v>8718</v>
      </c>
      <c r="Y128">
        <v>0.60922464400220666</v>
      </c>
      <c r="Z128" t="str">
        <f>HYPERLINK("Melting_Curves/meltCurve_sp_O15145_ARPC3_HUMAN_.pdf", "Melting_Curves/meltCurve_sp_O15145_ARPC3_HUMAN_.pdf")</f>
        <v>Melting_Curves/meltCurve_sp_O15145_ARPC3_HUMAN_.pdf</v>
      </c>
      <c r="AA128" t="s">
        <v>13009</v>
      </c>
      <c r="AB128" t="s">
        <v>17213</v>
      </c>
    </row>
    <row r="129" spans="1:28" x14ac:dyDescent="0.25">
      <c r="A129" t="s">
        <v>133</v>
      </c>
      <c r="B129">
        <v>0.99876560204751996</v>
      </c>
      <c r="C129">
        <v>0.87924091941381</v>
      </c>
      <c r="D129">
        <v>0.89608281759405695</v>
      </c>
      <c r="E129">
        <v>0.90498461377446404</v>
      </c>
      <c r="F129">
        <v>0.80979831979252304</v>
      </c>
      <c r="G129">
        <v>0.65876289452139203</v>
      </c>
      <c r="H129">
        <v>0.44708329706030397</v>
      </c>
      <c r="I129">
        <v>0.42383917459095499</v>
      </c>
      <c r="J129">
        <v>0.36378653259407101</v>
      </c>
      <c r="K129">
        <v>0.35404160420783398</v>
      </c>
      <c r="L129">
        <v>603.61770774031095</v>
      </c>
      <c r="M129">
        <v>10.4631509554356</v>
      </c>
      <c r="N129">
        <v>61.108635565491198</v>
      </c>
      <c r="O129">
        <v>55.702013465496201</v>
      </c>
      <c r="P129">
        <v>-3.6571250348450803E-2</v>
      </c>
      <c r="Q129">
        <v>0.221550155772687</v>
      </c>
      <c r="R129">
        <v>0.96660260256216501</v>
      </c>
      <c r="S129" t="s">
        <v>4425</v>
      </c>
      <c r="T129" t="s">
        <v>8590</v>
      </c>
      <c r="U129" t="s">
        <v>8590</v>
      </c>
      <c r="V129" t="s">
        <v>8590</v>
      </c>
      <c r="W129">
        <v>2</v>
      </c>
      <c r="X129" t="s">
        <v>8719</v>
      </c>
      <c r="Y129">
        <v>0.69034930936465766</v>
      </c>
      <c r="Z129" t="str">
        <f>HYPERLINK("Melting_Curves/meltCurve_sp_O15156_ZBT7B_HUMAN_.pdf", "Melting_Curves/meltCurve_sp_O15156_ZBT7B_HUMAN_.pdf")</f>
        <v>Melting_Curves/meltCurve_sp_O15156_ZBT7B_HUMAN_.pdf</v>
      </c>
      <c r="AA129" t="s">
        <v>13010</v>
      </c>
      <c r="AB129" t="s">
        <v>17214</v>
      </c>
    </row>
    <row r="130" spans="1:28" x14ac:dyDescent="0.25">
      <c r="A130" t="s">
        <v>134</v>
      </c>
      <c r="B130">
        <v>0.99876560204751996</v>
      </c>
      <c r="C130">
        <v>1.0942525547578801</v>
      </c>
      <c r="D130">
        <v>0.81562955321033603</v>
      </c>
      <c r="E130">
        <v>0.69601030409982401</v>
      </c>
      <c r="F130">
        <v>0.56163031731943902</v>
      </c>
      <c r="G130">
        <v>0.44254795192740198</v>
      </c>
      <c r="H130">
        <v>0.37473696547299201</v>
      </c>
      <c r="I130">
        <v>0.43300673393373101</v>
      </c>
      <c r="J130">
        <v>0.472913121116593</v>
      </c>
      <c r="K130">
        <v>0.45372803742310802</v>
      </c>
      <c r="L130">
        <v>999.47136991831803</v>
      </c>
      <c r="M130">
        <v>20.271235237362799</v>
      </c>
      <c r="N130">
        <v>54.549609427070997</v>
      </c>
      <c r="O130">
        <v>48.832607837595098</v>
      </c>
      <c r="P130">
        <v>-5.9281439101014903E-2</v>
      </c>
      <c r="Q130">
        <v>0.42879101554351201</v>
      </c>
      <c r="R130">
        <v>0.95195821020954696</v>
      </c>
      <c r="S130" t="s">
        <v>4426</v>
      </c>
      <c r="T130" t="s">
        <v>8590</v>
      </c>
      <c r="U130" t="s">
        <v>8590</v>
      </c>
      <c r="V130" t="s">
        <v>8590</v>
      </c>
      <c r="W130">
        <v>2</v>
      </c>
      <c r="X130" t="s">
        <v>8720</v>
      </c>
      <c r="Y130">
        <v>0.61372745498529535</v>
      </c>
      <c r="Z130" t="str">
        <f>HYPERLINK("Melting_Curves/meltCurve_sp_O15173_PGRC2_HUMAN_.pdf", "Melting_Curves/meltCurve_sp_O15173_PGRC2_HUMAN_.pdf")</f>
        <v>Melting_Curves/meltCurve_sp_O15173_PGRC2_HUMAN_.pdf</v>
      </c>
      <c r="AA130" t="s">
        <v>13011</v>
      </c>
      <c r="AB130" t="s">
        <v>17215</v>
      </c>
    </row>
    <row r="131" spans="1:28" x14ac:dyDescent="0.25">
      <c r="A131" t="s">
        <v>135</v>
      </c>
      <c r="B131">
        <v>0.99876560204751996</v>
      </c>
      <c r="C131">
        <v>1.0285491223274601</v>
      </c>
      <c r="D131">
        <v>0.88281858193979401</v>
      </c>
      <c r="E131">
        <v>0.92524489302902202</v>
      </c>
      <c r="F131">
        <v>0.78139077590738704</v>
      </c>
      <c r="G131">
        <v>0.67795798236919202</v>
      </c>
      <c r="H131">
        <v>0.39666566233898298</v>
      </c>
      <c r="I131">
        <v>0.19664978321203599</v>
      </c>
      <c r="J131">
        <v>0.27067909714097099</v>
      </c>
      <c r="K131">
        <v>0.186310086476384</v>
      </c>
      <c r="L131">
        <v>817.75164642293998</v>
      </c>
      <c r="M131">
        <v>14.0805332188819</v>
      </c>
      <c r="N131">
        <v>58.998971294558302</v>
      </c>
      <c r="O131">
        <v>56.942967056294997</v>
      </c>
      <c r="P131">
        <v>-5.5719490390178997E-2</v>
      </c>
      <c r="Q131">
        <v>9.8777722748772195E-2</v>
      </c>
      <c r="R131">
        <v>0.97296313197692397</v>
      </c>
      <c r="S131" t="s">
        <v>4427</v>
      </c>
      <c r="T131" t="s">
        <v>8590</v>
      </c>
      <c r="U131" t="s">
        <v>8590</v>
      </c>
      <c r="V131" t="s">
        <v>8590</v>
      </c>
      <c r="W131">
        <v>10</v>
      </c>
      <c r="X131" t="s">
        <v>8721</v>
      </c>
      <c r="Y131">
        <v>0.65375674438161391</v>
      </c>
      <c r="Z131" t="str">
        <f>HYPERLINK("Melting_Curves/meltCurve_sp_O15212_PFD6_HUMAN_.pdf", "Melting_Curves/meltCurve_sp_O15212_PFD6_HUMAN_.pdf")</f>
        <v>Melting_Curves/meltCurve_sp_O15212_PFD6_HUMAN_.pdf</v>
      </c>
      <c r="AA131" t="s">
        <v>13012</v>
      </c>
      <c r="AB131" t="s">
        <v>17216</v>
      </c>
    </row>
    <row r="132" spans="1:28" x14ac:dyDescent="0.25">
      <c r="A132" t="s">
        <v>136</v>
      </c>
      <c r="B132">
        <v>0.99876560204751996</v>
      </c>
      <c r="C132">
        <v>1.1050424417526501</v>
      </c>
      <c r="D132">
        <v>1.00875191808523</v>
      </c>
      <c r="E132">
        <v>0.86265554025409596</v>
      </c>
      <c r="F132">
        <v>0.62919954794140898</v>
      </c>
      <c r="G132">
        <v>0.43434676285325102</v>
      </c>
      <c r="H132">
        <v>0.28488905233789902</v>
      </c>
      <c r="I132">
        <v>0.23264505642086999</v>
      </c>
      <c r="J132">
        <v>0.23256981746411301</v>
      </c>
      <c r="K132">
        <v>0.22521494274260101</v>
      </c>
      <c r="L132">
        <v>1098.1219364836099</v>
      </c>
      <c r="M132">
        <v>20.4564559133789</v>
      </c>
      <c r="N132">
        <v>55.247021915521699</v>
      </c>
      <c r="O132">
        <v>53.175854591198899</v>
      </c>
      <c r="P132">
        <v>-7.5016145664792797E-2</v>
      </c>
      <c r="Q132">
        <v>0.220015646278444</v>
      </c>
      <c r="R132">
        <v>0.98698498884764496</v>
      </c>
      <c r="S132" t="s">
        <v>4428</v>
      </c>
      <c r="T132" t="s">
        <v>8590</v>
      </c>
      <c r="U132" t="s">
        <v>8590</v>
      </c>
      <c r="V132" t="s">
        <v>8590</v>
      </c>
      <c r="W132">
        <v>5</v>
      </c>
      <c r="X132" t="s">
        <v>8722</v>
      </c>
      <c r="Y132">
        <v>0.58597262349230284</v>
      </c>
      <c r="Z132" t="str">
        <f>HYPERLINK("Melting_Curves/meltCurve_sp_O15230_LAMA5_HUMAN_.pdf", "Melting_Curves/meltCurve_sp_O15230_LAMA5_HUMAN_.pdf")</f>
        <v>Melting_Curves/meltCurve_sp_O15230_LAMA5_HUMAN_.pdf</v>
      </c>
      <c r="AA132" t="s">
        <v>13013</v>
      </c>
      <c r="AB132" t="s">
        <v>17217</v>
      </c>
    </row>
    <row r="133" spans="1:28" x14ac:dyDescent="0.25">
      <c r="A133" t="s">
        <v>137</v>
      </c>
      <c r="B133">
        <v>0.99876560204751996</v>
      </c>
      <c r="C133">
        <v>1.19330544539706</v>
      </c>
      <c r="D133">
        <v>1.18295672516934</v>
      </c>
      <c r="E133">
        <v>0.94130885392250696</v>
      </c>
      <c r="F133">
        <v>0.82062857493431696</v>
      </c>
      <c r="G133">
        <v>0.70503299332353797</v>
      </c>
      <c r="H133">
        <v>0.74935614589972899</v>
      </c>
      <c r="I133">
        <v>0.64322495748466502</v>
      </c>
      <c r="J133">
        <v>0.83900568142939203</v>
      </c>
      <c r="K133">
        <v>0.87195315133026297</v>
      </c>
      <c r="L133">
        <v>2538.1905650321401</v>
      </c>
      <c r="M133">
        <v>49.340831353425699</v>
      </c>
      <c r="O133">
        <v>51.357700059880997</v>
      </c>
      <c r="P133">
        <v>-5.6908984832277201E-2</v>
      </c>
      <c r="Q133">
        <v>0.76305936756056403</v>
      </c>
      <c r="R133">
        <v>0.65939209433964396</v>
      </c>
      <c r="S133" t="s">
        <v>4429</v>
      </c>
      <c r="T133" t="s">
        <v>8590</v>
      </c>
      <c r="U133" t="s">
        <v>8590</v>
      </c>
      <c r="V133" t="s">
        <v>8590</v>
      </c>
      <c r="W133">
        <v>2</v>
      </c>
      <c r="X133" t="s">
        <v>8723</v>
      </c>
      <c r="Y133">
        <v>0.85398061165762995</v>
      </c>
      <c r="Z133" t="str">
        <f>HYPERLINK("Melting_Curves/meltCurve_sp_O15234_CASC3_HUMAN_.pdf", "Melting_Curves/meltCurve_sp_O15234_CASC3_HUMAN_.pdf")</f>
        <v>Melting_Curves/meltCurve_sp_O15234_CASC3_HUMAN_.pdf</v>
      </c>
      <c r="AA133" t="s">
        <v>13014</v>
      </c>
      <c r="AB133" t="s">
        <v>17218</v>
      </c>
    </row>
    <row r="134" spans="1:28" x14ac:dyDescent="0.25">
      <c r="A134" t="s">
        <v>138</v>
      </c>
      <c r="B134">
        <v>0.99876560204751996</v>
      </c>
      <c r="C134">
        <v>1.05449695083712</v>
      </c>
      <c r="D134">
        <v>0.97329581908418195</v>
      </c>
      <c r="E134">
        <v>0.82951988622693096</v>
      </c>
      <c r="F134">
        <v>0.510144675767079</v>
      </c>
      <c r="G134">
        <v>0.31628615906488899</v>
      </c>
      <c r="H134">
        <v>0.18465757994034099</v>
      </c>
      <c r="I134">
        <v>0.132237566085805</v>
      </c>
      <c r="J134">
        <v>9.7441709764769194E-2</v>
      </c>
      <c r="K134">
        <v>8.1990145193491001E-2</v>
      </c>
      <c r="L134">
        <v>1055.60054274504</v>
      </c>
      <c r="M134">
        <v>19.857353974704001</v>
      </c>
      <c r="N134">
        <v>53.738354990799998</v>
      </c>
      <c r="O134">
        <v>52.628864705253903</v>
      </c>
      <c r="P134">
        <v>-8.5243305651679799E-2</v>
      </c>
      <c r="Q134">
        <v>9.6333202275854499E-2</v>
      </c>
      <c r="R134">
        <v>0.99339496854222098</v>
      </c>
      <c r="S134" t="s">
        <v>4430</v>
      </c>
      <c r="T134" t="s">
        <v>8590</v>
      </c>
      <c r="U134" t="s">
        <v>8590</v>
      </c>
      <c r="V134" t="s">
        <v>8590</v>
      </c>
      <c r="W134">
        <v>21</v>
      </c>
      <c r="X134" t="s">
        <v>8724</v>
      </c>
      <c r="Y134">
        <v>0.50527879381114427</v>
      </c>
      <c r="Z134" t="str">
        <f>HYPERLINK("Melting_Curves/meltCurve_sp_O15254_ACOX3_HUMAN_.pdf", "Melting_Curves/meltCurve_sp_O15254_ACOX3_HUMAN_.pdf")</f>
        <v>Melting_Curves/meltCurve_sp_O15254_ACOX3_HUMAN_.pdf</v>
      </c>
      <c r="AA134" t="s">
        <v>13015</v>
      </c>
      <c r="AB134" t="s">
        <v>17219</v>
      </c>
    </row>
    <row r="135" spans="1:28" x14ac:dyDescent="0.25">
      <c r="A135" t="s">
        <v>139</v>
      </c>
      <c r="B135">
        <v>0.99876560204751996</v>
      </c>
      <c r="C135">
        <v>0.92028391096362705</v>
      </c>
      <c r="D135">
        <v>0.74665444707125095</v>
      </c>
      <c r="E135">
        <v>0.41299115713419399</v>
      </c>
      <c r="F135">
        <v>0.32446148607052</v>
      </c>
      <c r="G135">
        <v>0.15858640464016099</v>
      </c>
      <c r="H135">
        <v>0.117649338085899</v>
      </c>
      <c r="I135">
        <v>9.1697787827690905E-2</v>
      </c>
      <c r="J135">
        <v>8.9758191050174393E-2</v>
      </c>
      <c r="K135">
        <v>7.9478321589067494E-2</v>
      </c>
      <c r="L135">
        <v>781.39154584114704</v>
      </c>
      <c r="M135">
        <v>16.0181178660584</v>
      </c>
      <c r="N135">
        <v>49.309795339226199</v>
      </c>
      <c r="O135">
        <v>48.040428233523897</v>
      </c>
      <c r="P135">
        <v>-7.6793547646366297E-2</v>
      </c>
      <c r="Q135">
        <v>7.8816403943529401E-2</v>
      </c>
      <c r="R135">
        <v>0.99637335287995599</v>
      </c>
      <c r="S135" t="s">
        <v>4431</v>
      </c>
      <c r="T135" t="s">
        <v>8590</v>
      </c>
      <c r="U135" t="s">
        <v>8590</v>
      </c>
      <c r="V135" t="s">
        <v>8590</v>
      </c>
      <c r="W135">
        <v>5</v>
      </c>
      <c r="X135" t="s">
        <v>8725</v>
      </c>
      <c r="Y135">
        <v>0.36866865678741928</v>
      </c>
      <c r="Z135" t="str">
        <f>HYPERLINK("Melting_Curves/meltCurve_sp_O15294_3_OGT1_HUMAN_.pdf", "Melting_Curves/meltCurve_sp_O15294_3_OGT1_HUMAN_.pdf")</f>
        <v>Melting_Curves/meltCurve_sp_O15294_3_OGT1_HUMAN_.pdf</v>
      </c>
      <c r="AA135" t="s">
        <v>13016</v>
      </c>
      <c r="AB135" t="s">
        <v>17220</v>
      </c>
    </row>
    <row r="136" spans="1:28" x14ac:dyDescent="0.25">
      <c r="A136" t="s">
        <v>140</v>
      </c>
      <c r="B136">
        <v>0.99876560204751996</v>
      </c>
      <c r="C136">
        <v>0.88127433019344104</v>
      </c>
      <c r="D136">
        <v>0.89603387766242204</v>
      </c>
      <c r="E136">
        <v>0.65627168854141005</v>
      </c>
      <c r="F136">
        <v>0.40206822314726298</v>
      </c>
      <c r="G136">
        <v>0.138005840453164</v>
      </c>
      <c r="H136">
        <v>5.8103233886321999E-2</v>
      </c>
      <c r="I136">
        <v>4.5255820903802702E-2</v>
      </c>
      <c r="J136">
        <v>4.2230078616659103E-2</v>
      </c>
      <c r="K136">
        <v>3.8797103455873103E-2</v>
      </c>
      <c r="L136">
        <v>908.59813795912601</v>
      </c>
      <c r="M136">
        <v>17.623396023061201</v>
      </c>
      <c r="N136">
        <v>51.635463977654098</v>
      </c>
      <c r="O136">
        <v>50.906276164548899</v>
      </c>
      <c r="P136">
        <v>-8.5400112556749799E-2</v>
      </c>
      <c r="Q136">
        <v>1.3318753841832299E-2</v>
      </c>
      <c r="R136">
        <v>0.99294846096491296</v>
      </c>
      <c r="S136" t="s">
        <v>4432</v>
      </c>
      <c r="T136" t="s">
        <v>8590</v>
      </c>
      <c r="U136" t="s">
        <v>8590</v>
      </c>
      <c r="V136" t="s">
        <v>8590</v>
      </c>
      <c r="W136">
        <v>13</v>
      </c>
      <c r="X136" t="s">
        <v>8726</v>
      </c>
      <c r="Y136">
        <v>0.41053414703604207</v>
      </c>
      <c r="Z136" t="str">
        <f>HYPERLINK("Melting_Curves/meltCurve_sp_O15305_PMM2_HUMAN_.pdf", "Melting_Curves/meltCurve_sp_O15305_PMM2_HUMAN_.pdf")</f>
        <v>Melting_Curves/meltCurve_sp_O15305_PMM2_HUMAN_.pdf</v>
      </c>
      <c r="AA136" t="s">
        <v>13017</v>
      </c>
      <c r="AB136" t="s">
        <v>17221</v>
      </c>
    </row>
    <row r="137" spans="1:28" x14ac:dyDescent="0.25">
      <c r="A137" t="s">
        <v>141</v>
      </c>
      <c r="B137">
        <v>0.99876560204751996</v>
      </c>
      <c r="C137">
        <v>0.92258177709502298</v>
      </c>
      <c r="D137">
        <v>0.79651010639114705</v>
      </c>
      <c r="E137">
        <v>0.71898892354673904</v>
      </c>
      <c r="F137">
        <v>0.63285066293191305</v>
      </c>
      <c r="G137">
        <v>0.43098918542999198</v>
      </c>
      <c r="H137">
        <v>0.32985325859242598</v>
      </c>
      <c r="I137">
        <v>0.303490376553121</v>
      </c>
      <c r="J137">
        <v>0.381496131800525</v>
      </c>
      <c r="K137">
        <v>0.32702214813081298</v>
      </c>
      <c r="L137">
        <v>581.90336077902896</v>
      </c>
      <c r="M137">
        <v>11.311033676059299</v>
      </c>
      <c r="N137">
        <v>55.358132798137902</v>
      </c>
      <c r="O137">
        <v>49.9162871353874</v>
      </c>
      <c r="P137">
        <v>-4.1072091587192799E-2</v>
      </c>
      <c r="Q137">
        <v>0.27520495193716799</v>
      </c>
      <c r="R137">
        <v>0.97493055069326795</v>
      </c>
      <c r="S137" t="s">
        <v>4433</v>
      </c>
      <c r="T137" t="s">
        <v>8590</v>
      </c>
      <c r="U137" t="s">
        <v>8590</v>
      </c>
      <c r="V137" t="s">
        <v>8590</v>
      </c>
      <c r="W137">
        <v>14</v>
      </c>
      <c r="X137" t="s">
        <v>8727</v>
      </c>
      <c r="Y137">
        <v>0.57661434297993919</v>
      </c>
      <c r="Z137" t="str">
        <f>HYPERLINK("Melting_Curves/meltCurve_sp_O15355_PPM1G_HUMAN_.pdf", "Melting_Curves/meltCurve_sp_O15355_PPM1G_HUMAN_.pdf")</f>
        <v>Melting_Curves/meltCurve_sp_O15355_PPM1G_HUMAN_.pdf</v>
      </c>
      <c r="AA137" t="s">
        <v>13018</v>
      </c>
      <c r="AB137" t="s">
        <v>17222</v>
      </c>
    </row>
    <row r="138" spans="1:28" x14ac:dyDescent="0.25">
      <c r="A138" t="s">
        <v>142</v>
      </c>
      <c r="B138">
        <v>0.99876560204751996</v>
      </c>
      <c r="C138">
        <v>1.0853236285777299</v>
      </c>
      <c r="D138">
        <v>0.90968286000978704</v>
      </c>
      <c r="E138">
        <v>0.71178547969969097</v>
      </c>
      <c r="F138">
        <v>0.61189318265787995</v>
      </c>
      <c r="G138">
        <v>0.35774937496113302</v>
      </c>
      <c r="H138">
        <v>0.19492419226803501</v>
      </c>
      <c r="I138">
        <v>0.13238696630375299</v>
      </c>
      <c r="J138">
        <v>7.7942157413427707E-2</v>
      </c>
      <c r="K138">
        <v>5.7662957815625498E-2</v>
      </c>
      <c r="L138">
        <v>731.48840729160304</v>
      </c>
      <c r="M138">
        <v>13.476903383853999</v>
      </c>
      <c r="N138">
        <v>54.390250030445202</v>
      </c>
      <c r="O138">
        <v>53.123932567584497</v>
      </c>
      <c r="P138">
        <v>-6.2555550292645104E-2</v>
      </c>
      <c r="Q138">
        <v>1.38130156083814E-2</v>
      </c>
      <c r="R138">
        <v>0.988754808511912</v>
      </c>
      <c r="S138" t="s">
        <v>4434</v>
      </c>
      <c r="T138" t="s">
        <v>8590</v>
      </c>
      <c r="U138" t="s">
        <v>8590</v>
      </c>
      <c r="V138" t="s">
        <v>8590</v>
      </c>
      <c r="W138">
        <v>4</v>
      </c>
      <c r="X138" t="s">
        <v>8728</v>
      </c>
      <c r="Y138">
        <v>0.50559356039776238</v>
      </c>
      <c r="Z138" t="str">
        <f>HYPERLINK("Melting_Curves/meltCurve_sp_O15372_EIF3H_HUMAN_.pdf", "Melting_Curves/meltCurve_sp_O15372_EIF3H_HUMAN_.pdf")</f>
        <v>Melting_Curves/meltCurve_sp_O15372_EIF3H_HUMAN_.pdf</v>
      </c>
      <c r="AA138" t="s">
        <v>13019</v>
      </c>
      <c r="AB138" t="s">
        <v>17223</v>
      </c>
    </row>
    <row r="139" spans="1:28" x14ac:dyDescent="0.25">
      <c r="A139" t="s">
        <v>143</v>
      </c>
      <c r="B139">
        <v>0.99876560204751996</v>
      </c>
      <c r="C139">
        <v>1.1439398964365299</v>
      </c>
      <c r="D139">
        <v>0.99141380337781704</v>
      </c>
      <c r="E139">
        <v>1.0068860583474999</v>
      </c>
      <c r="F139">
        <v>0.954748463179238</v>
      </c>
      <c r="G139">
        <v>0.62703852108500202</v>
      </c>
      <c r="H139">
        <v>0.27013104079963302</v>
      </c>
      <c r="I139">
        <v>0.144129387309581</v>
      </c>
      <c r="J139">
        <v>9.7382962804953593E-2</v>
      </c>
      <c r="K139">
        <v>3.78165157334251E-2</v>
      </c>
      <c r="L139">
        <v>1522.1776576019499</v>
      </c>
      <c r="M139">
        <v>26.198897285568702</v>
      </c>
      <c r="N139">
        <v>58.353571280090499</v>
      </c>
      <c r="O139">
        <v>57.7654908465734</v>
      </c>
      <c r="P139">
        <v>-0.107304433887028</v>
      </c>
      <c r="Q139">
        <v>5.3635896454945001E-2</v>
      </c>
      <c r="R139">
        <v>0.98690945536948005</v>
      </c>
      <c r="S139" t="s">
        <v>4435</v>
      </c>
      <c r="T139" t="s">
        <v>8590</v>
      </c>
      <c r="U139" t="s">
        <v>8590</v>
      </c>
      <c r="V139" t="s">
        <v>8590</v>
      </c>
      <c r="W139">
        <v>4</v>
      </c>
      <c r="X139" t="s">
        <v>8729</v>
      </c>
      <c r="Y139">
        <v>0.63230378421664613</v>
      </c>
      <c r="Z139" t="str">
        <f>HYPERLINK("Melting_Curves/meltCurve_sp_O15379_HDAC3_HUMAN_.pdf", "Melting_Curves/meltCurve_sp_O15379_HDAC3_HUMAN_.pdf")</f>
        <v>Melting_Curves/meltCurve_sp_O15379_HDAC3_HUMAN_.pdf</v>
      </c>
      <c r="AA139" t="s">
        <v>13020</v>
      </c>
      <c r="AB139" t="s">
        <v>17224</v>
      </c>
    </row>
    <row r="140" spans="1:28" x14ac:dyDescent="0.25">
      <c r="A140" t="s">
        <v>144</v>
      </c>
      <c r="B140">
        <v>0.99876560204751996</v>
      </c>
      <c r="C140">
        <v>0.90658205297879801</v>
      </c>
      <c r="D140">
        <v>0.84110248932890597</v>
      </c>
      <c r="E140">
        <v>0.810370276469907</v>
      </c>
      <c r="F140">
        <v>0.61242878737151596</v>
      </c>
      <c r="G140">
        <v>0.48569608021866501</v>
      </c>
      <c r="H140">
        <v>0.27775578947942497</v>
      </c>
      <c r="I140">
        <v>0.18304243875092799</v>
      </c>
      <c r="J140">
        <v>0.13435343879239001</v>
      </c>
      <c r="K140">
        <v>8.0759379419563404E-2</v>
      </c>
      <c r="L140">
        <v>584.52446377764704</v>
      </c>
      <c r="M140">
        <v>10.5004961174009</v>
      </c>
      <c r="N140">
        <v>55.666366353734198</v>
      </c>
      <c r="O140">
        <v>53.761122323285498</v>
      </c>
      <c r="P140">
        <v>-4.8849129774224301E-2</v>
      </c>
      <c r="Q140">
        <v>0</v>
      </c>
      <c r="R140">
        <v>0.98904698821000703</v>
      </c>
      <c r="S140" t="s">
        <v>4436</v>
      </c>
      <c r="T140" t="s">
        <v>8590</v>
      </c>
      <c r="U140" t="s">
        <v>8590</v>
      </c>
      <c r="V140" t="s">
        <v>8590</v>
      </c>
      <c r="W140">
        <v>12</v>
      </c>
      <c r="X140" t="s">
        <v>8730</v>
      </c>
      <c r="Y140">
        <v>0.54475005851291292</v>
      </c>
      <c r="Z140" t="str">
        <f>HYPERLINK("Melting_Curves/meltCurve_sp_O15382_BCAT2_HUMAN_.pdf", "Melting_Curves/meltCurve_sp_O15382_BCAT2_HUMAN_.pdf")</f>
        <v>Melting_Curves/meltCurve_sp_O15382_BCAT2_HUMAN_.pdf</v>
      </c>
      <c r="AA140" t="s">
        <v>13021</v>
      </c>
      <c r="AB140" t="s">
        <v>17225</v>
      </c>
    </row>
    <row r="141" spans="1:28" x14ac:dyDescent="0.25">
      <c r="A141" t="s">
        <v>145</v>
      </c>
      <c r="B141">
        <v>0.99876560204751996</v>
      </c>
      <c r="C141">
        <v>1.0473490415879401</v>
      </c>
      <c r="D141">
        <v>0.79849266287507303</v>
      </c>
      <c r="E141">
        <v>0.586750286769536</v>
      </c>
      <c r="F141">
        <v>0.24908274454117699</v>
      </c>
      <c r="G141">
        <v>0.14634664385010299</v>
      </c>
      <c r="H141">
        <v>5.3241168873867803E-2</v>
      </c>
      <c r="I141">
        <v>5.1228645461599102E-2</v>
      </c>
      <c r="J141">
        <v>4.75724299448545E-2</v>
      </c>
      <c r="K141">
        <v>4.5738905399846999E-2</v>
      </c>
      <c r="L141">
        <v>993.42111811395102</v>
      </c>
      <c r="M141">
        <v>19.7835056786484</v>
      </c>
      <c r="N141">
        <v>50.419371666732999</v>
      </c>
      <c r="O141">
        <v>49.709993784633397</v>
      </c>
      <c r="P141">
        <v>-9.5657605777318105E-2</v>
      </c>
      <c r="Q141">
        <v>3.8597647098500602E-2</v>
      </c>
      <c r="R141">
        <v>0.99006395039178596</v>
      </c>
      <c r="S141" t="s">
        <v>4437</v>
      </c>
      <c r="T141" t="s">
        <v>8590</v>
      </c>
      <c r="U141" t="s">
        <v>8590</v>
      </c>
      <c r="V141" t="s">
        <v>8590</v>
      </c>
      <c r="W141">
        <v>6</v>
      </c>
      <c r="X141" t="s">
        <v>8731</v>
      </c>
      <c r="Y141">
        <v>0.37960073274203959</v>
      </c>
      <c r="Z141" t="str">
        <f>HYPERLINK("Melting_Curves/meltCurve_sp_O15397_IPO8_HUMAN_.pdf", "Melting_Curves/meltCurve_sp_O15397_IPO8_HUMAN_.pdf")</f>
        <v>Melting_Curves/meltCurve_sp_O15397_IPO8_HUMAN_.pdf</v>
      </c>
      <c r="AA141" t="s">
        <v>13022</v>
      </c>
      <c r="AB141" t="s">
        <v>17226</v>
      </c>
    </row>
    <row r="142" spans="1:28" x14ac:dyDescent="0.25">
      <c r="A142" t="s">
        <v>146</v>
      </c>
      <c r="B142">
        <v>0.99876560204751996</v>
      </c>
      <c r="C142">
        <v>0.99962322614690802</v>
      </c>
      <c r="D142">
        <v>1.0380435071422001</v>
      </c>
      <c r="E142">
        <v>0.88489121737628296</v>
      </c>
      <c r="F142">
        <v>0.82065940194650999</v>
      </c>
      <c r="G142">
        <v>0.66083974789730004</v>
      </c>
      <c r="H142">
        <v>0.57799108334911597</v>
      </c>
      <c r="I142">
        <v>0.67297722797219295</v>
      </c>
      <c r="J142">
        <v>0.792337481614105</v>
      </c>
      <c r="K142">
        <v>0.73322660514702798</v>
      </c>
      <c r="L142">
        <v>1629.5084423098699</v>
      </c>
      <c r="M142">
        <v>31.580395347151999</v>
      </c>
      <c r="O142">
        <v>51.3931643682672</v>
      </c>
      <c r="P142">
        <v>-4.7900793913267799E-2</v>
      </c>
      <c r="Q142">
        <v>0.68819136289685801</v>
      </c>
      <c r="R142">
        <v>0.86075825286644703</v>
      </c>
      <c r="S142" t="s">
        <v>4438</v>
      </c>
      <c r="T142" t="s">
        <v>8590</v>
      </c>
      <c r="U142" t="s">
        <v>8590</v>
      </c>
      <c r="V142" t="s">
        <v>8590</v>
      </c>
      <c r="W142">
        <v>3</v>
      </c>
      <c r="X142" t="s">
        <v>8732</v>
      </c>
      <c r="Y142">
        <v>0.81053113401058974</v>
      </c>
      <c r="Z142" t="str">
        <f>HYPERLINK("Melting_Curves/meltCurve_sp_O15400_2_STX7_HUMAN_.pdf", "Melting_Curves/meltCurve_sp_O15400_2_STX7_HUMAN_.pdf")</f>
        <v>Melting_Curves/meltCurve_sp_O15400_2_STX7_HUMAN_.pdf</v>
      </c>
      <c r="AA142" t="s">
        <v>13023</v>
      </c>
      <c r="AB142" t="s">
        <v>17227</v>
      </c>
    </row>
    <row r="143" spans="1:28" x14ac:dyDescent="0.25">
      <c r="A143" t="s">
        <v>147</v>
      </c>
      <c r="B143">
        <v>0.99876560204751996</v>
      </c>
      <c r="C143">
        <v>1.0224561933251</v>
      </c>
      <c r="D143">
        <v>1.4210613102413301</v>
      </c>
      <c r="E143">
        <v>0.89984539251049001</v>
      </c>
      <c r="F143">
        <v>0.65908392640953195</v>
      </c>
      <c r="G143">
        <v>0.68015649350470997</v>
      </c>
      <c r="H143">
        <v>0.54646152879239596</v>
      </c>
      <c r="I143">
        <v>0.38398354925579697</v>
      </c>
      <c r="J143">
        <v>0.37133036026320698</v>
      </c>
      <c r="K143">
        <v>0.34456863157108703</v>
      </c>
      <c r="L143">
        <v>921.89966333219695</v>
      </c>
      <c r="M143">
        <v>16.470457546196801</v>
      </c>
      <c r="N143">
        <v>60.149512496194198</v>
      </c>
      <c r="O143">
        <v>55.167326244494802</v>
      </c>
      <c r="P143">
        <v>-4.9214649566650899E-2</v>
      </c>
      <c r="Q143">
        <v>0.34067397029492003</v>
      </c>
      <c r="R143">
        <v>0.793736990619202</v>
      </c>
      <c r="S143" t="s">
        <v>4439</v>
      </c>
      <c r="T143" t="s">
        <v>8590</v>
      </c>
      <c r="U143" t="s">
        <v>8590</v>
      </c>
      <c r="V143" t="s">
        <v>8590</v>
      </c>
      <c r="W143">
        <v>1</v>
      </c>
      <c r="X143" t="s">
        <v>8733</v>
      </c>
      <c r="Y143">
        <v>0.70245694510779666</v>
      </c>
      <c r="Z143" t="str">
        <f>HYPERLINK("Melting_Curves/meltCurve_sp_O15467_CCL16_HUMAN_.pdf", "Melting_Curves/meltCurve_sp_O15467_CCL16_HUMAN_.pdf")</f>
        <v>Melting_Curves/meltCurve_sp_O15467_CCL16_HUMAN_.pdf</v>
      </c>
      <c r="AA143" t="s">
        <v>13024</v>
      </c>
      <c r="AB143" t="s">
        <v>17228</v>
      </c>
    </row>
    <row r="144" spans="1:28" x14ac:dyDescent="0.25">
      <c r="A144" t="s">
        <v>148</v>
      </c>
      <c r="B144">
        <v>0.99876560204751996</v>
      </c>
      <c r="C144">
        <v>0.90756397397810895</v>
      </c>
      <c r="D144">
        <v>0.83064903113372301</v>
      </c>
      <c r="E144">
        <v>0.80103057255829002</v>
      </c>
      <c r="F144">
        <v>0.58851473355990802</v>
      </c>
      <c r="G144">
        <v>0.39043218320970502</v>
      </c>
      <c r="H144">
        <v>0.21909008175172201</v>
      </c>
      <c r="I144">
        <v>0.14074868094732601</v>
      </c>
      <c r="J144">
        <v>0.131480932673086</v>
      </c>
      <c r="K144">
        <v>0.103287843401455</v>
      </c>
      <c r="L144">
        <v>602.22216749874303</v>
      </c>
      <c r="M144">
        <v>11.011073153151701</v>
      </c>
      <c r="N144">
        <v>54.694146069983901</v>
      </c>
      <c r="O144">
        <v>52.981362171559098</v>
      </c>
      <c r="P144">
        <v>-5.1965694486298099E-2</v>
      </c>
      <c r="Q144">
        <v>1.7436069710604401E-4</v>
      </c>
      <c r="R144">
        <v>0.989641102419898</v>
      </c>
      <c r="S144" t="s">
        <v>4440</v>
      </c>
      <c r="T144" t="s">
        <v>8590</v>
      </c>
      <c r="U144" t="s">
        <v>8590</v>
      </c>
      <c r="V144" t="s">
        <v>8590</v>
      </c>
      <c r="W144">
        <v>4</v>
      </c>
      <c r="X144" t="s">
        <v>8734</v>
      </c>
      <c r="Y144">
        <v>0.51564970416692435</v>
      </c>
      <c r="Z144" t="str">
        <f>HYPERLINK("Melting_Curves/meltCurve_sp_O15488_4_GLYG2_HUMAN_.pdf", "Melting_Curves/meltCurve_sp_O15488_4_GLYG2_HUMAN_.pdf")</f>
        <v>Melting_Curves/meltCurve_sp_O15488_4_GLYG2_HUMAN_.pdf</v>
      </c>
      <c r="AA144" t="s">
        <v>13025</v>
      </c>
      <c r="AB144" t="s">
        <v>17229</v>
      </c>
    </row>
    <row r="145" spans="1:28" x14ac:dyDescent="0.25">
      <c r="A145" t="s">
        <v>149</v>
      </c>
      <c r="B145">
        <v>0.99876560204751996</v>
      </c>
      <c r="C145">
        <v>0.99399403923697105</v>
      </c>
      <c r="D145">
        <v>1.0714685765279099</v>
      </c>
      <c r="E145">
        <v>0.90239094855536495</v>
      </c>
      <c r="F145">
        <v>0.87436656471001795</v>
      </c>
      <c r="G145">
        <v>0.609640136993435</v>
      </c>
      <c r="H145">
        <v>0.409718505005359</v>
      </c>
      <c r="I145">
        <v>0.203731088010464</v>
      </c>
      <c r="J145">
        <v>0.13356272636570499</v>
      </c>
      <c r="K145">
        <v>0.10284359010397599</v>
      </c>
      <c r="L145">
        <v>941.84000085701803</v>
      </c>
      <c r="M145">
        <v>16.019594334260798</v>
      </c>
      <c r="N145">
        <v>58.951781617154403</v>
      </c>
      <c r="O145">
        <v>57.899720460947698</v>
      </c>
      <c r="P145">
        <v>-6.7714346167303693E-2</v>
      </c>
      <c r="Q145">
        <v>2.1114861227416799E-2</v>
      </c>
      <c r="R145">
        <v>0.99129137352108798</v>
      </c>
      <c r="S145" t="s">
        <v>4441</v>
      </c>
      <c r="T145" t="s">
        <v>8590</v>
      </c>
      <c r="U145" t="s">
        <v>8590</v>
      </c>
      <c r="V145" t="s">
        <v>8590</v>
      </c>
      <c r="W145">
        <v>4</v>
      </c>
      <c r="X145" t="s">
        <v>8735</v>
      </c>
      <c r="Y145">
        <v>0.64534142134955663</v>
      </c>
      <c r="Z145" t="str">
        <f>HYPERLINK("Melting_Curves/meltCurve_sp_O15498_YKT6_HUMAN_.pdf", "Melting_Curves/meltCurve_sp_O15498_YKT6_HUMAN_.pdf")</f>
        <v>Melting_Curves/meltCurve_sp_O15498_YKT6_HUMAN_.pdf</v>
      </c>
      <c r="AA145" t="s">
        <v>13026</v>
      </c>
      <c r="AB145" t="s">
        <v>17230</v>
      </c>
    </row>
    <row r="146" spans="1:28" x14ac:dyDescent="0.25">
      <c r="A146" t="s">
        <v>150</v>
      </c>
      <c r="B146">
        <v>0.99876560204751996</v>
      </c>
      <c r="C146">
        <v>1.0537319476007601</v>
      </c>
      <c r="D146">
        <v>0.96905886549155096</v>
      </c>
      <c r="E146">
        <v>1.0606641758949999</v>
      </c>
      <c r="F146">
        <v>0.96552185459865603</v>
      </c>
      <c r="G146">
        <v>0.60403414065100403</v>
      </c>
      <c r="H146">
        <v>0.241367493854174</v>
      </c>
      <c r="I146">
        <v>0.150922403568342</v>
      </c>
      <c r="J146">
        <v>0.14261331024316101</v>
      </c>
      <c r="K146">
        <v>0.117726252710894</v>
      </c>
      <c r="L146">
        <v>2013.5800232883801</v>
      </c>
      <c r="M146">
        <v>35.102783137248899</v>
      </c>
      <c r="N146">
        <v>57.862047140198499</v>
      </c>
      <c r="O146">
        <v>57.1771936556828</v>
      </c>
      <c r="P146">
        <v>-0.13341603884098799</v>
      </c>
      <c r="Q146">
        <v>0.13074377112997199</v>
      </c>
      <c r="R146">
        <v>0.994503844898734</v>
      </c>
      <c r="S146" t="s">
        <v>4442</v>
      </c>
      <c r="T146" t="s">
        <v>8590</v>
      </c>
      <c r="U146" t="s">
        <v>8590</v>
      </c>
      <c r="V146" t="s">
        <v>8590</v>
      </c>
      <c r="W146">
        <v>6</v>
      </c>
      <c r="X146" t="s">
        <v>8736</v>
      </c>
      <c r="Y146">
        <v>0.63817738254310863</v>
      </c>
      <c r="Z146" t="str">
        <f>HYPERLINK("Melting_Curves/meltCurve_sp_O15511_ARPC5_HUMAN_.pdf", "Melting_Curves/meltCurve_sp_O15511_ARPC5_HUMAN_.pdf")</f>
        <v>Melting_Curves/meltCurve_sp_O15511_ARPC5_HUMAN_.pdf</v>
      </c>
      <c r="AA146" t="s">
        <v>13027</v>
      </c>
      <c r="AB146" t="s">
        <v>17231</v>
      </c>
    </row>
    <row r="147" spans="1:28" x14ac:dyDescent="0.25">
      <c r="A147" t="s">
        <v>151</v>
      </c>
      <c r="B147">
        <v>0.99876560204751996</v>
      </c>
      <c r="C147">
        <v>1.05967535705489</v>
      </c>
      <c r="D147">
        <v>1.0480500415288101</v>
      </c>
      <c r="E147">
        <v>1.07891794205603</v>
      </c>
      <c r="F147">
        <v>0.488834192546799</v>
      </c>
      <c r="G147">
        <v>0.16373993612615401</v>
      </c>
      <c r="H147">
        <v>0.129796834735254</v>
      </c>
      <c r="I147">
        <v>0</v>
      </c>
      <c r="J147">
        <v>0</v>
      </c>
      <c r="K147">
        <v>0</v>
      </c>
      <c r="L147">
        <v>13240.8514965349</v>
      </c>
      <c r="M147">
        <v>250</v>
      </c>
      <c r="N147">
        <v>52.989879811495904</v>
      </c>
      <c r="O147">
        <v>52.960035104104598</v>
      </c>
      <c r="P147">
        <v>-1.1108529553044399</v>
      </c>
      <c r="Q147">
        <v>5.8707342663444198E-2</v>
      </c>
      <c r="R147">
        <v>0.98247001162599501</v>
      </c>
      <c r="S147" t="s">
        <v>4443</v>
      </c>
      <c r="T147" t="s">
        <v>8590</v>
      </c>
      <c r="U147" t="s">
        <v>8590</v>
      </c>
      <c r="V147" t="s">
        <v>8590</v>
      </c>
      <c r="W147">
        <v>3</v>
      </c>
      <c r="X147" t="s">
        <v>8737</v>
      </c>
      <c r="Y147">
        <v>0.46554013139943529</v>
      </c>
      <c r="Z147" t="str">
        <f>HYPERLINK("Melting_Curves/meltCurve_sp_O15514_RPB4_HUMAN_.pdf", "Melting_Curves/meltCurve_sp_O15514_RPB4_HUMAN_.pdf")</f>
        <v>Melting_Curves/meltCurve_sp_O15514_RPB4_HUMAN_.pdf</v>
      </c>
      <c r="AA147" t="s">
        <v>13028</v>
      </c>
      <c r="AB147" t="s">
        <v>17232</v>
      </c>
    </row>
    <row r="148" spans="1:28" x14ac:dyDescent="0.25">
      <c r="A148" t="s">
        <v>152</v>
      </c>
      <c r="B148">
        <v>0.99876560204751996</v>
      </c>
      <c r="C148">
        <v>0.96028493584598995</v>
      </c>
      <c r="D148">
        <v>1.0488465077867599</v>
      </c>
      <c r="E148">
        <v>0.88668229252733799</v>
      </c>
      <c r="F148">
        <v>1.01583530999246</v>
      </c>
      <c r="G148">
        <v>0.85510646865203599</v>
      </c>
      <c r="H148">
        <v>0.82685882511736797</v>
      </c>
      <c r="I148">
        <v>0.84568839115240102</v>
      </c>
      <c r="J148">
        <v>1.0102823808705499</v>
      </c>
      <c r="K148">
        <v>0.96454331454922404</v>
      </c>
      <c r="L148">
        <v>11993.294964786999</v>
      </c>
      <c r="M148">
        <v>250</v>
      </c>
      <c r="O148">
        <v>47.9701116492759</v>
      </c>
      <c r="P148">
        <v>-0.110746826450042</v>
      </c>
      <c r="Q148">
        <v>0.91499940113463896</v>
      </c>
      <c r="R148">
        <v>0.27421549393876699</v>
      </c>
      <c r="S148" t="s">
        <v>4444</v>
      </c>
      <c r="T148" t="s">
        <v>8590</v>
      </c>
      <c r="U148" t="s">
        <v>8590</v>
      </c>
      <c r="V148" t="s">
        <v>8590</v>
      </c>
      <c r="W148">
        <v>5</v>
      </c>
      <c r="X148" t="s">
        <v>8738</v>
      </c>
      <c r="Y148">
        <v>0.9375973929503284</v>
      </c>
      <c r="Z148" t="str">
        <f>HYPERLINK("Melting_Curves/meltCurve_sp_O15541_R113A_HUMAN_.pdf", "Melting_Curves/meltCurve_sp_O15541_R113A_HUMAN_.pdf")</f>
        <v>Melting_Curves/meltCurve_sp_O15541_R113A_HUMAN_.pdf</v>
      </c>
      <c r="AA148" t="s">
        <v>13029</v>
      </c>
      <c r="AB148" t="s">
        <v>17233</v>
      </c>
    </row>
    <row r="149" spans="1:28" x14ac:dyDescent="0.25">
      <c r="A149" t="s">
        <v>153</v>
      </c>
      <c r="B149">
        <v>0.99876560204751996</v>
      </c>
      <c r="C149">
        <v>0.98415041947982296</v>
      </c>
      <c r="D149">
        <v>0.84154009622898196</v>
      </c>
      <c r="E149">
        <v>0.58253516756605495</v>
      </c>
      <c r="F149">
        <v>0.34508516604880901</v>
      </c>
      <c r="G149">
        <v>0.21115829420510801</v>
      </c>
      <c r="H149">
        <v>0.144095069927723</v>
      </c>
      <c r="I149">
        <v>0.118447166264067</v>
      </c>
      <c r="J149">
        <v>0.13486706596272599</v>
      </c>
      <c r="K149">
        <v>0.12532866191995901</v>
      </c>
      <c r="L149">
        <v>930.67239542079903</v>
      </c>
      <c r="M149">
        <v>18.559216251504498</v>
      </c>
      <c r="N149">
        <v>50.876765280647597</v>
      </c>
      <c r="O149">
        <v>49.574777418892801</v>
      </c>
      <c r="P149">
        <v>-8.2646744522866203E-2</v>
      </c>
      <c r="Q149">
        <v>0.11698519255846</v>
      </c>
      <c r="R149">
        <v>0.998803063493375</v>
      </c>
      <c r="S149" t="s">
        <v>4445</v>
      </c>
      <c r="T149" t="s">
        <v>8590</v>
      </c>
      <c r="U149" t="s">
        <v>8590</v>
      </c>
      <c r="V149" t="s">
        <v>8590</v>
      </c>
      <c r="W149">
        <v>20</v>
      </c>
      <c r="X149" t="s">
        <v>8739</v>
      </c>
      <c r="Y149">
        <v>0.42980809908473622</v>
      </c>
      <c r="Z149" t="str">
        <f>HYPERLINK("Melting_Curves/meltCurve_sp_O43143_DHX15_HUMAN_.pdf", "Melting_Curves/meltCurve_sp_O43143_DHX15_HUMAN_.pdf")</f>
        <v>Melting_Curves/meltCurve_sp_O43143_DHX15_HUMAN_.pdf</v>
      </c>
      <c r="AA149" t="s">
        <v>13030</v>
      </c>
      <c r="AB149" t="s">
        <v>17234</v>
      </c>
    </row>
    <row r="150" spans="1:28" x14ac:dyDescent="0.25">
      <c r="A150" t="s">
        <v>154</v>
      </c>
      <c r="B150">
        <v>0.99876560204751996</v>
      </c>
      <c r="C150">
        <v>0.981795980498819</v>
      </c>
      <c r="D150">
        <v>0.89027595555032502</v>
      </c>
      <c r="E150">
        <v>0.89598608960874504</v>
      </c>
      <c r="F150">
        <v>0.687690855922508</v>
      </c>
      <c r="G150">
        <v>0.34161448254646098</v>
      </c>
      <c r="H150">
        <v>0.108399955347354</v>
      </c>
      <c r="I150">
        <v>0.11554559691966799</v>
      </c>
      <c r="J150">
        <v>8.3507661530609303E-2</v>
      </c>
      <c r="K150">
        <v>6.1901031780000303E-2</v>
      </c>
      <c r="L150">
        <v>1155.9544795263801</v>
      </c>
      <c r="M150">
        <v>21.139380456012798</v>
      </c>
      <c r="N150">
        <v>54.976771425787902</v>
      </c>
      <c r="O150">
        <v>54.200225680137599</v>
      </c>
      <c r="P150">
        <v>-9.2292802152852793E-2</v>
      </c>
      <c r="Q150">
        <v>5.3489775115529298E-2</v>
      </c>
      <c r="R150">
        <v>0.99260864823269002</v>
      </c>
      <c r="S150" t="s">
        <v>4446</v>
      </c>
      <c r="T150" t="s">
        <v>8590</v>
      </c>
      <c r="U150" t="s">
        <v>8590</v>
      </c>
      <c r="V150" t="s">
        <v>8590</v>
      </c>
      <c r="W150">
        <v>5</v>
      </c>
      <c r="X150" t="s">
        <v>8740</v>
      </c>
      <c r="Y150">
        <v>0.52837009099081</v>
      </c>
      <c r="Z150" t="str">
        <f>HYPERLINK("Melting_Curves/meltCurve_sp_O43148_MCES_HUMAN_.pdf", "Melting_Curves/meltCurve_sp_O43148_MCES_HUMAN_.pdf")</f>
        <v>Melting_Curves/meltCurve_sp_O43148_MCES_HUMAN_.pdf</v>
      </c>
      <c r="AA150" t="s">
        <v>13031</v>
      </c>
      <c r="AB150" t="s">
        <v>17235</v>
      </c>
    </row>
    <row r="151" spans="1:28" x14ac:dyDescent="0.25">
      <c r="A151" t="s">
        <v>155</v>
      </c>
      <c r="B151">
        <v>0.99876560204751996</v>
      </c>
      <c r="C151">
        <v>0.98046816881460896</v>
      </c>
      <c r="D151">
        <v>0.89122006433600198</v>
      </c>
      <c r="E151">
        <v>0.84866257279620705</v>
      </c>
      <c r="F151">
        <v>0.60593637432950298</v>
      </c>
      <c r="G151">
        <v>0.26931365140397301</v>
      </c>
      <c r="H151">
        <v>0.15277135209540299</v>
      </c>
      <c r="I151">
        <v>0.117987037537926</v>
      </c>
      <c r="J151">
        <v>0.15571454267329299</v>
      </c>
      <c r="K151">
        <v>0.104762442385798</v>
      </c>
      <c r="L151">
        <v>1167.3571568238599</v>
      </c>
      <c r="M151">
        <v>21.860081261489</v>
      </c>
      <c r="N151">
        <v>54.000709210488303</v>
      </c>
      <c r="O151">
        <v>52.960468668009803</v>
      </c>
      <c r="P151">
        <v>-9.2076686734068602E-2</v>
      </c>
      <c r="Q151">
        <v>0.107723065729356</v>
      </c>
      <c r="R151">
        <v>0.99293563725534795</v>
      </c>
      <c r="S151" t="s">
        <v>4447</v>
      </c>
      <c r="T151" t="s">
        <v>8590</v>
      </c>
      <c r="U151" t="s">
        <v>8590</v>
      </c>
      <c r="V151" t="s">
        <v>8590</v>
      </c>
      <c r="W151">
        <v>4</v>
      </c>
      <c r="X151" t="s">
        <v>8741</v>
      </c>
      <c r="Y151">
        <v>0.51680988617197199</v>
      </c>
      <c r="Z151" t="str">
        <f>HYPERLINK("Melting_Curves/meltCurve_sp_O43172_2_PRP4_HUMAN_.pdf", "Melting_Curves/meltCurve_sp_O43172_2_PRP4_HUMAN_.pdf")</f>
        <v>Melting_Curves/meltCurve_sp_O43172_2_PRP4_HUMAN_.pdf</v>
      </c>
      <c r="AA151" t="s">
        <v>13032</v>
      </c>
      <c r="AB151" t="s">
        <v>17236</v>
      </c>
    </row>
    <row r="152" spans="1:28" x14ac:dyDescent="0.25">
      <c r="A152" t="s">
        <v>156</v>
      </c>
      <c r="B152">
        <v>0.99876560204751996</v>
      </c>
      <c r="C152">
        <v>1.0487721493559401</v>
      </c>
      <c r="D152">
        <v>0.84395414082786901</v>
      </c>
      <c r="E152">
        <v>0.58856586520197796</v>
      </c>
      <c r="F152">
        <v>0.32454587286905101</v>
      </c>
      <c r="G152">
        <v>0.122416709014318</v>
      </c>
      <c r="H152">
        <v>4.95767638260785E-2</v>
      </c>
      <c r="I152">
        <v>3.5942020169768898E-2</v>
      </c>
      <c r="J152">
        <v>3.14643045044498E-2</v>
      </c>
      <c r="K152">
        <v>2.42086299842015E-2</v>
      </c>
      <c r="L152">
        <v>980.08425093606695</v>
      </c>
      <c r="M152">
        <v>19.3021690818425</v>
      </c>
      <c r="N152">
        <v>50.874324622101803</v>
      </c>
      <c r="O152">
        <v>50.2402674873263</v>
      </c>
      <c r="P152">
        <v>-9.4291792058089102E-2</v>
      </c>
      <c r="Q152">
        <v>1.8334405484146402E-2</v>
      </c>
      <c r="R152">
        <v>0.99537867037651495</v>
      </c>
      <c r="S152" t="s">
        <v>4448</v>
      </c>
      <c r="T152" t="s">
        <v>8590</v>
      </c>
      <c r="U152" t="s">
        <v>8590</v>
      </c>
      <c r="V152" t="s">
        <v>8590</v>
      </c>
      <c r="W152">
        <v>32</v>
      </c>
      <c r="X152" t="s">
        <v>8742</v>
      </c>
      <c r="Y152">
        <v>0.3855198699406206</v>
      </c>
      <c r="Z152" t="str">
        <f>HYPERLINK("Melting_Curves/meltCurve_sp_O43175_SERA_HUMAN_.pdf", "Melting_Curves/meltCurve_sp_O43175_SERA_HUMAN_.pdf")</f>
        <v>Melting_Curves/meltCurve_sp_O43175_SERA_HUMAN_.pdf</v>
      </c>
      <c r="AA152" t="s">
        <v>13033</v>
      </c>
      <c r="AB152" t="s">
        <v>17237</v>
      </c>
    </row>
    <row r="153" spans="1:28" x14ac:dyDescent="0.25">
      <c r="A153" t="s">
        <v>157</v>
      </c>
      <c r="B153">
        <v>0.99876560204751996</v>
      </c>
      <c r="C153">
        <v>1.2269107067274101</v>
      </c>
      <c r="D153">
        <v>1.0790778839378801</v>
      </c>
      <c r="E153">
        <v>1.0631501098426599</v>
      </c>
      <c r="F153">
        <v>1.04967944166654</v>
      </c>
      <c r="G153">
        <v>0.33151670428770702</v>
      </c>
      <c r="H153">
        <v>9.4457491504507093E-2</v>
      </c>
      <c r="I153">
        <v>5.8440080349741401E-2</v>
      </c>
      <c r="J153">
        <v>4.3601633297224301E-2</v>
      </c>
      <c r="K153">
        <v>7.4260689011089898E-2</v>
      </c>
      <c r="L153">
        <v>14197.0060304585</v>
      </c>
      <c r="M153">
        <v>250</v>
      </c>
      <c r="N153">
        <v>56.821086163851596</v>
      </c>
      <c r="O153">
        <v>56.784410343487998</v>
      </c>
      <c r="P153">
        <v>-1.0261513263736199</v>
      </c>
      <c r="Q153">
        <v>6.7689964317221005E-2</v>
      </c>
      <c r="R153">
        <v>0.97271491143558697</v>
      </c>
      <c r="S153" t="s">
        <v>4449</v>
      </c>
      <c r="T153" t="s">
        <v>8590</v>
      </c>
      <c r="U153" t="s">
        <v>8590</v>
      </c>
      <c r="V153" t="s">
        <v>8590</v>
      </c>
      <c r="W153">
        <v>5</v>
      </c>
      <c r="X153" t="s">
        <v>8743</v>
      </c>
      <c r="Y153">
        <v>0.58950432589419255</v>
      </c>
      <c r="Z153" t="str">
        <f>HYPERLINK("Melting_Curves/meltCurve_sp_O43236_5_SEPT4_HUMAN_.pdf", "Melting_Curves/meltCurve_sp_O43236_5_SEPT4_HUMAN_.pdf")</f>
        <v>Melting_Curves/meltCurve_sp_O43236_5_SEPT4_HUMAN_.pdf</v>
      </c>
      <c r="AA153" t="s">
        <v>13034</v>
      </c>
      <c r="AB153" t="s">
        <v>17238</v>
      </c>
    </row>
    <row r="154" spans="1:28" x14ac:dyDescent="0.25">
      <c r="A154" t="s">
        <v>158</v>
      </c>
      <c r="B154">
        <v>0.99876560204751996</v>
      </c>
      <c r="C154">
        <v>1.0764301100393501</v>
      </c>
      <c r="D154">
        <v>0.98136041195154999</v>
      </c>
      <c r="E154">
        <v>0.78088151704270803</v>
      </c>
      <c r="F154">
        <v>0.496156988657315</v>
      </c>
      <c r="G154">
        <v>0.25979617642298602</v>
      </c>
      <c r="H154">
        <v>0.20130800081087</v>
      </c>
      <c r="I154">
        <v>0.19055159837697599</v>
      </c>
      <c r="J154">
        <v>0.22331351053640999</v>
      </c>
      <c r="K154">
        <v>0.19492708765420999</v>
      </c>
      <c r="L154">
        <v>1419.2031185797</v>
      </c>
      <c r="M154">
        <v>27.343413164581701</v>
      </c>
      <c r="N154">
        <v>52.876395696190798</v>
      </c>
      <c r="O154">
        <v>51.6276952136799</v>
      </c>
      <c r="P154">
        <v>-0.106222815831765</v>
      </c>
      <c r="Q154">
        <v>0.197761098956099</v>
      </c>
      <c r="R154">
        <v>0.99437661327111404</v>
      </c>
      <c r="S154" t="s">
        <v>4450</v>
      </c>
      <c r="T154" t="s">
        <v>8590</v>
      </c>
      <c r="U154" t="s">
        <v>8590</v>
      </c>
      <c r="V154" t="s">
        <v>8590</v>
      </c>
      <c r="W154">
        <v>10</v>
      </c>
      <c r="X154" t="s">
        <v>8744</v>
      </c>
      <c r="Y154">
        <v>0.52220662527483408</v>
      </c>
      <c r="Z154" t="str">
        <f>HYPERLINK("Melting_Curves/meltCurve_sp_O43237_DC1L2_HUMAN_.pdf", "Melting_Curves/meltCurve_sp_O43237_DC1L2_HUMAN_.pdf")</f>
        <v>Melting_Curves/meltCurve_sp_O43237_DC1L2_HUMAN_.pdf</v>
      </c>
      <c r="AA154" t="s">
        <v>13035</v>
      </c>
      <c r="AB154" t="s">
        <v>17239</v>
      </c>
    </row>
    <row r="155" spans="1:28" x14ac:dyDescent="0.25">
      <c r="A155" t="s">
        <v>159</v>
      </c>
      <c r="B155">
        <v>0.99876560204751996</v>
      </c>
      <c r="C155">
        <v>1.0439661676332701</v>
      </c>
      <c r="D155">
        <v>0.86436162451974197</v>
      </c>
      <c r="E155">
        <v>0.62835727154802201</v>
      </c>
      <c r="F155">
        <v>0.29507372660252601</v>
      </c>
      <c r="G155">
        <v>0.135145422580008</v>
      </c>
      <c r="H155">
        <v>7.6836562317306595E-2</v>
      </c>
      <c r="I155">
        <v>6.1871420838949802E-2</v>
      </c>
      <c r="J155">
        <v>6.0294281098793798E-2</v>
      </c>
      <c r="K155">
        <v>5.1782433156163703E-2</v>
      </c>
      <c r="L155">
        <v>1122.9223033283199</v>
      </c>
      <c r="M155">
        <v>22.141178889956201</v>
      </c>
      <c r="N155">
        <v>50.973757935380299</v>
      </c>
      <c r="O155">
        <v>50.308211114176203</v>
      </c>
      <c r="P155">
        <v>-0.104212788120449</v>
      </c>
      <c r="Q155">
        <v>5.2870215635968602E-2</v>
      </c>
      <c r="R155">
        <v>0.99546998473507498</v>
      </c>
      <c r="S155" t="s">
        <v>4451</v>
      </c>
      <c r="T155" t="s">
        <v>8590</v>
      </c>
      <c r="U155" t="s">
        <v>8590</v>
      </c>
      <c r="V155" t="s">
        <v>8590</v>
      </c>
      <c r="W155">
        <v>22</v>
      </c>
      <c r="X155" t="s">
        <v>8745</v>
      </c>
      <c r="Y155">
        <v>0.4020239786663829</v>
      </c>
      <c r="Z155" t="str">
        <f>HYPERLINK("Melting_Curves/meltCurve_sp_O43242_PSMD3_HUMAN_.pdf", "Melting_Curves/meltCurve_sp_O43242_PSMD3_HUMAN_.pdf")</f>
        <v>Melting_Curves/meltCurve_sp_O43242_PSMD3_HUMAN_.pdf</v>
      </c>
      <c r="AA155" t="s">
        <v>13036</v>
      </c>
      <c r="AB155" t="s">
        <v>17240</v>
      </c>
    </row>
    <row r="156" spans="1:28" x14ac:dyDescent="0.25">
      <c r="A156" t="s">
        <v>160</v>
      </c>
      <c r="B156">
        <v>0.99876560204751996</v>
      </c>
      <c r="C156">
        <v>1.06448352393546</v>
      </c>
      <c r="D156">
        <v>0.82913904786405601</v>
      </c>
      <c r="E156">
        <v>0.66633637445951399</v>
      </c>
      <c r="F156">
        <v>0.29106270310212601</v>
      </c>
      <c r="G156">
        <v>0.12191397700618201</v>
      </c>
      <c r="H156">
        <v>7.9713991979349405E-2</v>
      </c>
      <c r="I156">
        <v>5.8298369746993102E-2</v>
      </c>
      <c r="J156">
        <v>6.31943582984031E-2</v>
      </c>
      <c r="K156">
        <v>5.33900858231416E-2</v>
      </c>
      <c r="L156">
        <v>1134.0288230132901</v>
      </c>
      <c r="M156">
        <v>22.303967039124</v>
      </c>
      <c r="N156">
        <v>51.087457129396</v>
      </c>
      <c r="O156">
        <v>50.440839788361203</v>
      </c>
      <c r="P156">
        <v>-0.104979727680139</v>
      </c>
      <c r="Q156">
        <v>5.0365659916725099E-2</v>
      </c>
      <c r="R156">
        <v>0.98864074225625198</v>
      </c>
      <c r="S156" t="s">
        <v>4452</v>
      </c>
      <c r="T156" t="s">
        <v>8590</v>
      </c>
      <c r="U156" t="s">
        <v>8590</v>
      </c>
      <c r="V156" t="s">
        <v>8590</v>
      </c>
      <c r="W156">
        <v>7</v>
      </c>
      <c r="X156" t="s">
        <v>8746</v>
      </c>
      <c r="Y156">
        <v>0.40434183001363971</v>
      </c>
      <c r="Z156" t="str">
        <f>HYPERLINK("Melting_Curves/meltCurve_sp_O43252_PAPS1_HUMAN_.pdf", "Melting_Curves/meltCurve_sp_O43252_PAPS1_HUMAN_.pdf")</f>
        <v>Melting_Curves/meltCurve_sp_O43252_PAPS1_HUMAN_.pdf</v>
      </c>
      <c r="AA156" t="s">
        <v>13037</v>
      </c>
      <c r="AB156" t="s">
        <v>17241</v>
      </c>
    </row>
    <row r="157" spans="1:28" x14ac:dyDescent="0.25">
      <c r="A157" t="s">
        <v>161</v>
      </c>
      <c r="B157">
        <v>0.99876560204751996</v>
      </c>
      <c r="C157">
        <v>1.11318075136115</v>
      </c>
      <c r="D157">
        <v>1.19745332897004</v>
      </c>
      <c r="E157">
        <v>1.10937348848193</v>
      </c>
      <c r="F157">
        <v>1.11867299321797</v>
      </c>
      <c r="G157">
        <v>0.82987884693190594</v>
      </c>
      <c r="H157">
        <v>0.55048581095954496</v>
      </c>
      <c r="I157">
        <v>0.313399061526697</v>
      </c>
      <c r="J157">
        <v>0.22820951377104701</v>
      </c>
      <c r="K157">
        <v>0.14972409844368001</v>
      </c>
      <c r="L157">
        <v>1661.72690548432</v>
      </c>
      <c r="M157">
        <v>27.390722617634999</v>
      </c>
      <c r="N157">
        <v>61.4570183779025</v>
      </c>
      <c r="O157">
        <v>60.346879047141996</v>
      </c>
      <c r="P157">
        <v>-9.6643136490725201E-2</v>
      </c>
      <c r="Q157">
        <v>0.14831610076245799</v>
      </c>
      <c r="R157">
        <v>0.94407485628057997</v>
      </c>
      <c r="S157" t="s">
        <v>4453</v>
      </c>
      <c r="T157" t="s">
        <v>8590</v>
      </c>
      <c r="U157" t="s">
        <v>8590</v>
      </c>
      <c r="V157" t="s">
        <v>8590</v>
      </c>
      <c r="W157">
        <v>1</v>
      </c>
      <c r="X157" t="s">
        <v>8747</v>
      </c>
      <c r="Y157">
        <v>0.74039924526946521</v>
      </c>
      <c r="Z157" t="str">
        <f>HYPERLINK("Melting_Curves/meltCurve_sp_O43264_ZW10_HUMAN_.pdf", "Melting_Curves/meltCurve_sp_O43264_ZW10_HUMAN_.pdf")</f>
        <v>Melting_Curves/meltCurve_sp_O43264_ZW10_HUMAN_.pdf</v>
      </c>
      <c r="AA157" t="s">
        <v>13038</v>
      </c>
      <c r="AB157" t="s">
        <v>17242</v>
      </c>
    </row>
    <row r="158" spans="1:28" x14ac:dyDescent="0.25">
      <c r="A158" t="s">
        <v>162</v>
      </c>
      <c r="B158">
        <v>0.99876560204751996</v>
      </c>
      <c r="C158">
        <v>0.99770727034495299</v>
      </c>
      <c r="D158">
        <v>0.97261763548639502</v>
      </c>
      <c r="E158">
        <v>0.864019802240652</v>
      </c>
      <c r="F158">
        <v>0.80860483281947604</v>
      </c>
      <c r="G158">
        <v>0.58447722579805395</v>
      </c>
      <c r="H158">
        <v>0.57185568267999298</v>
      </c>
      <c r="I158">
        <v>0.49243140470003399</v>
      </c>
      <c r="J158">
        <v>0.56735973640425297</v>
      </c>
      <c r="K158">
        <v>0.496484971040282</v>
      </c>
      <c r="L158">
        <v>1012.58602442223</v>
      </c>
      <c r="M158">
        <v>18.994605064346398</v>
      </c>
      <c r="O158">
        <v>52.728813228461</v>
      </c>
      <c r="P158">
        <v>-4.4211695192978802E-2</v>
      </c>
      <c r="Q158">
        <v>0.50909488951476201</v>
      </c>
      <c r="R158">
        <v>0.98017481647585702</v>
      </c>
      <c r="S158" t="s">
        <v>4454</v>
      </c>
      <c r="T158" t="s">
        <v>8590</v>
      </c>
      <c r="U158" t="s">
        <v>8590</v>
      </c>
      <c r="V158" t="s">
        <v>8590</v>
      </c>
      <c r="W158">
        <v>10</v>
      </c>
      <c r="X158" t="s">
        <v>8748</v>
      </c>
      <c r="Y158">
        <v>0.73420986062073978</v>
      </c>
      <c r="Z158" t="str">
        <f>HYPERLINK("Melting_Curves/meltCurve_sp_O43290_SNUT1_HUMAN_.pdf", "Melting_Curves/meltCurve_sp_O43290_SNUT1_HUMAN_.pdf")</f>
        <v>Melting_Curves/meltCurve_sp_O43290_SNUT1_HUMAN_.pdf</v>
      </c>
      <c r="AA158" t="s">
        <v>13039</v>
      </c>
      <c r="AB158" t="s">
        <v>17243</v>
      </c>
    </row>
    <row r="159" spans="1:28" x14ac:dyDescent="0.25">
      <c r="A159" t="s">
        <v>163</v>
      </c>
      <c r="B159">
        <v>0.99876560204751996</v>
      </c>
      <c r="C159">
        <v>0.93999080406554802</v>
      </c>
      <c r="D159">
        <v>0.91978278136876301</v>
      </c>
      <c r="E159">
        <v>0.83860769833767401</v>
      </c>
      <c r="F159">
        <v>0.75335848866100796</v>
      </c>
      <c r="G159">
        <v>0.582370686468067</v>
      </c>
      <c r="H159">
        <v>0.50637716599327398</v>
      </c>
      <c r="I159">
        <v>0.48955684073484701</v>
      </c>
      <c r="J159">
        <v>0.62473982975231701</v>
      </c>
      <c r="K159">
        <v>0.56193323018497099</v>
      </c>
      <c r="L159">
        <v>900.637493777033</v>
      </c>
      <c r="M159">
        <v>17.444203230845499</v>
      </c>
      <c r="O159">
        <v>50.965450947835897</v>
      </c>
      <c r="P159">
        <v>-4.00391038219036E-2</v>
      </c>
      <c r="Q159">
        <v>0.53210885424084298</v>
      </c>
      <c r="R159">
        <v>0.94111147326514</v>
      </c>
      <c r="S159" t="s">
        <v>4455</v>
      </c>
      <c r="T159" t="s">
        <v>8590</v>
      </c>
      <c r="U159" t="s">
        <v>8590</v>
      </c>
      <c r="V159" t="s">
        <v>8590</v>
      </c>
      <c r="W159">
        <v>3</v>
      </c>
      <c r="X159" t="s">
        <v>8749</v>
      </c>
      <c r="Y159">
        <v>0.72174896525684329</v>
      </c>
      <c r="Z159" t="str">
        <f>HYPERLINK("Melting_Curves/meltCurve_sp_O43312_4_MTSS1_HUMAN_.pdf", "Melting_Curves/meltCurve_sp_O43312_4_MTSS1_HUMAN_.pdf")</f>
        <v>Melting_Curves/meltCurve_sp_O43312_4_MTSS1_HUMAN_.pdf</v>
      </c>
      <c r="AA159" t="s">
        <v>13040</v>
      </c>
      <c r="AB159" t="s">
        <v>17244</v>
      </c>
    </row>
    <row r="160" spans="1:28" x14ac:dyDescent="0.25">
      <c r="A160" t="s">
        <v>164</v>
      </c>
      <c r="B160">
        <v>0.99876560204751996</v>
      </c>
      <c r="C160">
        <v>0.93308174647825903</v>
      </c>
      <c r="D160">
        <v>0.80889511517775403</v>
      </c>
      <c r="E160">
        <v>0.46171839004218501</v>
      </c>
      <c r="F160">
        <v>0.17269298338011399</v>
      </c>
      <c r="G160">
        <v>7.1921561730112799E-2</v>
      </c>
      <c r="H160">
        <v>6.8631537347909596E-2</v>
      </c>
      <c r="I160">
        <v>2.33547670700417E-2</v>
      </c>
      <c r="J160">
        <v>3.2255354294530698E-2</v>
      </c>
      <c r="K160">
        <v>1.6110235708356201E-2</v>
      </c>
      <c r="L160">
        <v>1019.99979522126</v>
      </c>
      <c r="M160">
        <v>20.717166541239699</v>
      </c>
      <c r="N160">
        <v>49.344409936502601</v>
      </c>
      <c r="O160">
        <v>48.782675643575999</v>
      </c>
      <c r="P160">
        <v>-0.103780137660674</v>
      </c>
      <c r="Q160">
        <v>2.2544040732512202E-2</v>
      </c>
      <c r="R160">
        <v>0.99771285026006495</v>
      </c>
      <c r="S160" t="s">
        <v>4456</v>
      </c>
      <c r="T160" t="s">
        <v>8590</v>
      </c>
      <c r="U160" t="s">
        <v>8590</v>
      </c>
      <c r="V160" t="s">
        <v>8590</v>
      </c>
      <c r="W160">
        <v>6</v>
      </c>
      <c r="X160" t="s">
        <v>8750</v>
      </c>
      <c r="Y160">
        <v>0.33614894242112381</v>
      </c>
      <c r="Z160" t="str">
        <f>HYPERLINK("Melting_Curves/meltCurve_sp_O43314_2_VIP2_HUMAN_.pdf", "Melting_Curves/meltCurve_sp_O43314_2_VIP2_HUMAN_.pdf")</f>
        <v>Melting_Curves/meltCurve_sp_O43314_2_VIP2_HUMAN_.pdf</v>
      </c>
      <c r="AA160" t="s">
        <v>13041</v>
      </c>
      <c r="AB160" t="s">
        <v>17245</v>
      </c>
    </row>
    <row r="161" spans="1:28" x14ac:dyDescent="0.25">
      <c r="A161" t="s">
        <v>165</v>
      </c>
      <c r="B161">
        <v>0.99876560204751996</v>
      </c>
      <c r="C161">
        <v>1.4291791291788201</v>
      </c>
      <c r="D161">
        <v>1.23141018719621</v>
      </c>
      <c r="E161">
        <v>0.95608037224426001</v>
      </c>
      <c r="F161">
        <v>0.91805848869248297</v>
      </c>
      <c r="G161">
        <v>0.69540289799446398</v>
      </c>
      <c r="H161">
        <v>0.72874030238362397</v>
      </c>
      <c r="I161">
        <v>0.50320909704986905</v>
      </c>
      <c r="J161">
        <v>0.589896611264903</v>
      </c>
      <c r="K161">
        <v>0.70327760353626301</v>
      </c>
      <c r="L161">
        <v>1757.7592283812801</v>
      </c>
      <c r="M161">
        <v>32.006549722245701</v>
      </c>
      <c r="O161">
        <v>54.705705677202097</v>
      </c>
      <c r="P161">
        <v>-5.5182309897240801E-2</v>
      </c>
      <c r="Q161">
        <v>0.62273088309506597</v>
      </c>
      <c r="R161">
        <v>0.64442124167492998</v>
      </c>
      <c r="S161" t="s">
        <v>4457</v>
      </c>
      <c r="T161" t="s">
        <v>8590</v>
      </c>
      <c r="U161" t="s">
        <v>8590</v>
      </c>
      <c r="V161" t="s">
        <v>8590</v>
      </c>
      <c r="W161">
        <v>5</v>
      </c>
      <c r="X161" t="s">
        <v>8751</v>
      </c>
      <c r="Y161">
        <v>0.81255369274655209</v>
      </c>
      <c r="Z161" t="str">
        <f>HYPERLINK("Melting_Curves/meltCurve_sp_O43318_2_M3K7_HUMAN_.pdf", "Melting_Curves/meltCurve_sp_O43318_2_M3K7_HUMAN_.pdf")</f>
        <v>Melting_Curves/meltCurve_sp_O43318_2_M3K7_HUMAN_.pdf</v>
      </c>
      <c r="AA161" t="s">
        <v>13042</v>
      </c>
      <c r="AB161" t="s">
        <v>17246</v>
      </c>
    </row>
    <row r="162" spans="1:28" x14ac:dyDescent="0.25">
      <c r="A162" t="s">
        <v>166</v>
      </c>
      <c r="B162">
        <v>0.99876560204751996</v>
      </c>
      <c r="C162">
        <v>0.88538696701261399</v>
      </c>
      <c r="D162">
        <v>0.97252153394077701</v>
      </c>
      <c r="E162">
        <v>0.78076702416680999</v>
      </c>
      <c r="F162">
        <v>0.685207949223963</v>
      </c>
      <c r="G162">
        <v>0.35591549108249698</v>
      </c>
      <c r="H162">
        <v>0.13975923730439299</v>
      </c>
      <c r="I162">
        <v>0.113580975600683</v>
      </c>
      <c r="J162">
        <v>0.114915730778668</v>
      </c>
      <c r="K162">
        <v>9.3042888384210903E-2</v>
      </c>
      <c r="L162">
        <v>917.24515807459898</v>
      </c>
      <c r="M162">
        <v>16.850861708801101</v>
      </c>
      <c r="N162">
        <v>54.804000192791101</v>
      </c>
      <c r="O162">
        <v>53.683865690275802</v>
      </c>
      <c r="P162">
        <v>-7.4248866453488105E-2</v>
      </c>
      <c r="Q162">
        <v>5.3885494228863101E-2</v>
      </c>
      <c r="R162">
        <v>0.985834959134546</v>
      </c>
      <c r="S162" t="s">
        <v>4458</v>
      </c>
      <c r="T162" t="s">
        <v>8590</v>
      </c>
      <c r="U162" t="s">
        <v>8590</v>
      </c>
      <c r="V162" t="s">
        <v>8590</v>
      </c>
      <c r="W162">
        <v>9</v>
      </c>
      <c r="X162" t="s">
        <v>8752</v>
      </c>
      <c r="Y162">
        <v>0.52543412245848242</v>
      </c>
      <c r="Z162" t="str">
        <f>HYPERLINK("Melting_Curves/meltCurve_sp_O43325_LYRM1_HUMAN_.pdf", "Melting_Curves/meltCurve_sp_O43325_LYRM1_HUMAN_.pdf")</f>
        <v>Melting_Curves/meltCurve_sp_O43325_LYRM1_HUMAN_.pdf</v>
      </c>
      <c r="AA162" t="s">
        <v>13043</v>
      </c>
      <c r="AB162" t="s">
        <v>17247</v>
      </c>
    </row>
    <row r="163" spans="1:28" x14ac:dyDescent="0.25">
      <c r="A163" t="s">
        <v>167</v>
      </c>
      <c r="B163">
        <v>0.99876560204751996</v>
      </c>
      <c r="C163">
        <v>1.0180844270915399</v>
      </c>
      <c r="D163">
        <v>0.97045961804171998</v>
      </c>
      <c r="E163">
        <v>0.78819635502387797</v>
      </c>
      <c r="F163">
        <v>0.66202878128152798</v>
      </c>
      <c r="G163">
        <v>0.41044697868637597</v>
      </c>
      <c r="H163">
        <v>0.28545040496771501</v>
      </c>
      <c r="I163">
        <v>0.33779715227271701</v>
      </c>
      <c r="J163">
        <v>0.23911305187550799</v>
      </c>
      <c r="K163">
        <v>0.13867026582110201</v>
      </c>
      <c r="L163">
        <v>816.373803321325</v>
      </c>
      <c r="M163">
        <v>15.1264098085915</v>
      </c>
      <c r="N163">
        <v>55.631284972451397</v>
      </c>
      <c r="O163">
        <v>53.053195701290903</v>
      </c>
      <c r="P163">
        <v>-5.8332089170824199E-2</v>
      </c>
      <c r="Q163">
        <v>0.18172220236784101</v>
      </c>
      <c r="R163">
        <v>0.98501724115001199</v>
      </c>
      <c r="S163" t="s">
        <v>4459</v>
      </c>
      <c r="T163" t="s">
        <v>8590</v>
      </c>
      <c r="U163" t="s">
        <v>8590</v>
      </c>
      <c r="V163" t="s">
        <v>8590</v>
      </c>
      <c r="W163">
        <v>4</v>
      </c>
      <c r="X163" t="s">
        <v>8753</v>
      </c>
      <c r="Y163">
        <v>0.57941005871819429</v>
      </c>
      <c r="Z163" t="str">
        <f>HYPERLINK("Melting_Curves/meltCurve_sp_O43353_2_RIPK2_HUMAN_.pdf", "Melting_Curves/meltCurve_sp_O43353_2_RIPK2_HUMAN_.pdf")</f>
        <v>Melting_Curves/meltCurve_sp_O43353_2_RIPK2_HUMAN_.pdf</v>
      </c>
      <c r="AA163" t="s">
        <v>13044</v>
      </c>
      <c r="AB163" t="s">
        <v>17248</v>
      </c>
    </row>
    <row r="164" spans="1:28" x14ac:dyDescent="0.25">
      <c r="A164" t="s">
        <v>168</v>
      </c>
      <c r="B164">
        <v>0.99876560204751996</v>
      </c>
      <c r="C164">
        <v>1.0164445089823799</v>
      </c>
      <c r="D164">
        <v>0.95141323027483404</v>
      </c>
      <c r="E164">
        <v>0.87007199276896396</v>
      </c>
      <c r="F164">
        <v>0.45691963518157702</v>
      </c>
      <c r="G164">
        <v>0.17258816717408201</v>
      </c>
      <c r="H164">
        <v>8.4822262528146494E-2</v>
      </c>
      <c r="I164">
        <v>6.7674600472343693E-2</v>
      </c>
      <c r="J164">
        <v>4.9770869541245003E-2</v>
      </c>
      <c r="K164">
        <v>5.4350574276360003E-2</v>
      </c>
      <c r="L164">
        <v>1610.9105773911799</v>
      </c>
      <c r="M164">
        <v>30.6169401770414</v>
      </c>
      <c r="N164">
        <v>52.849392736370298</v>
      </c>
      <c r="O164">
        <v>52.392083884657197</v>
      </c>
      <c r="P164">
        <v>-0.13682130708340301</v>
      </c>
      <c r="Q164">
        <v>6.3484544546517099E-2</v>
      </c>
      <c r="R164">
        <v>0.99760371825346505</v>
      </c>
      <c r="S164" t="s">
        <v>4460</v>
      </c>
      <c r="T164" t="s">
        <v>8590</v>
      </c>
      <c r="U164" t="s">
        <v>8590</v>
      </c>
      <c r="V164" t="s">
        <v>8590</v>
      </c>
      <c r="W164">
        <v>16</v>
      </c>
      <c r="X164" t="s">
        <v>8754</v>
      </c>
      <c r="Y164">
        <v>0.46309181465849819</v>
      </c>
      <c r="Z164" t="str">
        <f>HYPERLINK("Melting_Curves/meltCurve_sp_O43390_HNRPR_HUMAN_.pdf", "Melting_Curves/meltCurve_sp_O43390_HNRPR_HUMAN_.pdf")</f>
        <v>Melting_Curves/meltCurve_sp_O43390_HNRPR_HUMAN_.pdf</v>
      </c>
      <c r="AA164" t="s">
        <v>13045</v>
      </c>
      <c r="AB164" t="s">
        <v>17249</v>
      </c>
    </row>
    <row r="165" spans="1:28" x14ac:dyDescent="0.25">
      <c r="A165" t="s">
        <v>169</v>
      </c>
      <c r="B165">
        <v>0.99876560204751996</v>
      </c>
      <c r="C165">
        <v>0.91216811541491105</v>
      </c>
      <c r="D165">
        <v>0.97445095498528</v>
      </c>
      <c r="E165">
        <v>0.75551342562794599</v>
      </c>
      <c r="F165">
        <v>0.53503605068928395</v>
      </c>
      <c r="G165">
        <v>0.25501873909567901</v>
      </c>
      <c r="H165">
        <v>0.153827815535901</v>
      </c>
      <c r="I165">
        <v>0.109329126858525</v>
      </c>
      <c r="J165">
        <v>9.7637161318302204E-2</v>
      </c>
      <c r="K165">
        <v>7.2245073724929207E-2</v>
      </c>
      <c r="L165">
        <v>969.98057574483801</v>
      </c>
      <c r="M165">
        <v>18.3351710470914</v>
      </c>
      <c r="N165">
        <v>53.348319400026</v>
      </c>
      <c r="O165">
        <v>52.2854727852582</v>
      </c>
      <c r="P165">
        <v>-8.14481033798483E-2</v>
      </c>
      <c r="Q165">
        <v>7.0997000577158395E-2</v>
      </c>
      <c r="R165">
        <v>0.99495168698090597</v>
      </c>
      <c r="S165" t="s">
        <v>4461</v>
      </c>
      <c r="T165" t="s">
        <v>8590</v>
      </c>
      <c r="U165" t="s">
        <v>8590</v>
      </c>
      <c r="V165" t="s">
        <v>8590</v>
      </c>
      <c r="W165">
        <v>8</v>
      </c>
      <c r="X165" t="s">
        <v>8755</v>
      </c>
      <c r="Y165">
        <v>0.48534291294606269</v>
      </c>
      <c r="Z165" t="str">
        <f>HYPERLINK("Melting_Curves/meltCurve_sp_O43396_TXNL1_HUMAN_.pdf", "Melting_Curves/meltCurve_sp_O43396_TXNL1_HUMAN_.pdf")</f>
        <v>Melting_Curves/meltCurve_sp_O43396_TXNL1_HUMAN_.pdf</v>
      </c>
      <c r="AA165" t="s">
        <v>13046</v>
      </c>
      <c r="AB165" t="s">
        <v>17250</v>
      </c>
    </row>
    <row r="166" spans="1:28" x14ac:dyDescent="0.25">
      <c r="A166" t="s">
        <v>170</v>
      </c>
      <c r="B166">
        <v>0.99876560204751996</v>
      </c>
      <c r="C166">
        <v>0.99550710235405004</v>
      </c>
      <c r="D166">
        <v>0.98632936834472895</v>
      </c>
      <c r="E166">
        <v>0.84150948587573904</v>
      </c>
      <c r="F166">
        <v>0.87495848106228902</v>
      </c>
      <c r="G166">
        <v>0.65580082264151895</v>
      </c>
      <c r="H166">
        <v>0.60047960088375496</v>
      </c>
      <c r="I166">
        <v>0.57356972294296105</v>
      </c>
      <c r="J166">
        <v>0.70098143675426705</v>
      </c>
      <c r="K166">
        <v>0.68404815257217699</v>
      </c>
      <c r="L166">
        <v>1098.6064483216201</v>
      </c>
      <c r="M166">
        <v>20.937785654754801</v>
      </c>
      <c r="O166">
        <v>51.998444016895299</v>
      </c>
      <c r="P166">
        <v>-3.7061073101610303E-2</v>
      </c>
      <c r="Q166">
        <v>0.63184916837394001</v>
      </c>
      <c r="R166">
        <v>0.90200534217003003</v>
      </c>
      <c r="S166" t="s">
        <v>4462</v>
      </c>
      <c r="T166" t="s">
        <v>8590</v>
      </c>
      <c r="U166" t="s">
        <v>8590</v>
      </c>
      <c r="V166" t="s">
        <v>8590</v>
      </c>
      <c r="W166">
        <v>6</v>
      </c>
      <c r="X166" t="s">
        <v>8756</v>
      </c>
      <c r="Y166">
        <v>0.78956414653629636</v>
      </c>
      <c r="Z166" t="str">
        <f>HYPERLINK("Melting_Curves/meltCurve_sp_O43399_TPD54_HUMAN_.pdf", "Melting_Curves/meltCurve_sp_O43399_TPD54_HUMAN_.pdf")</f>
        <v>Melting_Curves/meltCurve_sp_O43399_TPD54_HUMAN_.pdf</v>
      </c>
      <c r="AA166" t="s">
        <v>13047</v>
      </c>
      <c r="AB166" t="s">
        <v>17251</v>
      </c>
    </row>
    <row r="167" spans="1:28" x14ac:dyDescent="0.25">
      <c r="A167" t="s">
        <v>171</v>
      </c>
      <c r="B167">
        <v>0.99876560204751996</v>
      </c>
      <c r="C167">
        <v>0.89206675488084697</v>
      </c>
      <c r="D167">
        <v>0.95496312329079103</v>
      </c>
      <c r="E167">
        <v>0.53679076435664796</v>
      </c>
      <c r="F167">
        <v>0.26693615366449602</v>
      </c>
      <c r="G167">
        <v>0.180806691302629</v>
      </c>
      <c r="H167">
        <v>0.102656594632812</v>
      </c>
      <c r="I167">
        <v>8.5530851571205102E-2</v>
      </c>
      <c r="J167">
        <v>0.105127190423714</v>
      </c>
      <c r="K167">
        <v>8.0053958978687695E-2</v>
      </c>
      <c r="L167">
        <v>1249.1391173596501</v>
      </c>
      <c r="M167">
        <v>24.976412739887301</v>
      </c>
      <c r="N167">
        <v>50.449716373742703</v>
      </c>
      <c r="O167">
        <v>49.695450210043703</v>
      </c>
      <c r="P167">
        <v>-0.113427978529823</v>
      </c>
      <c r="Q167">
        <v>9.7263735236291296E-2</v>
      </c>
      <c r="R167">
        <v>0.98996131520581099</v>
      </c>
      <c r="S167" t="s">
        <v>4463</v>
      </c>
      <c r="T167" t="s">
        <v>8590</v>
      </c>
      <c r="U167" t="s">
        <v>8590</v>
      </c>
      <c r="V167" t="s">
        <v>8590</v>
      </c>
      <c r="W167">
        <v>2</v>
      </c>
      <c r="X167" t="s">
        <v>8757</v>
      </c>
      <c r="Y167">
        <v>0.40664431933647871</v>
      </c>
      <c r="Z167" t="str">
        <f>HYPERLINK("Melting_Curves/meltCurve_sp_O43414_3_ERI3_HUMAN_.pdf", "Melting_Curves/meltCurve_sp_O43414_3_ERI3_HUMAN_.pdf")</f>
        <v>Melting_Curves/meltCurve_sp_O43414_3_ERI3_HUMAN_.pdf</v>
      </c>
      <c r="AA167" t="s">
        <v>13048</v>
      </c>
      <c r="AB167" t="s">
        <v>17252</v>
      </c>
    </row>
    <row r="168" spans="1:28" x14ac:dyDescent="0.25">
      <c r="A168" t="s">
        <v>172</v>
      </c>
      <c r="B168">
        <v>0.99876560204751996</v>
      </c>
      <c r="C168">
        <v>0.83873671346146095</v>
      </c>
      <c r="D168">
        <v>0.86783281093994802</v>
      </c>
      <c r="E168">
        <v>0.56853708517810997</v>
      </c>
      <c r="F168">
        <v>0.123730713066229</v>
      </c>
      <c r="G168">
        <v>8.9819733359280202E-2</v>
      </c>
      <c r="H168">
        <v>0</v>
      </c>
      <c r="I168">
        <v>0</v>
      </c>
      <c r="J168">
        <v>0</v>
      </c>
      <c r="K168">
        <v>0</v>
      </c>
      <c r="L168">
        <v>1177.85787171488</v>
      </c>
      <c r="M168">
        <v>23.555463126754901</v>
      </c>
      <c r="N168">
        <v>50.003615846706801</v>
      </c>
      <c r="O168">
        <v>49.647391172134498</v>
      </c>
      <c r="P168">
        <v>-0.11861582088091401</v>
      </c>
      <c r="Q168">
        <v>0</v>
      </c>
      <c r="R168">
        <v>0.97863795229383199</v>
      </c>
      <c r="S168" t="s">
        <v>4464</v>
      </c>
      <c r="T168" t="s">
        <v>8590</v>
      </c>
      <c r="U168" t="s">
        <v>8590</v>
      </c>
      <c r="V168" t="s">
        <v>8590</v>
      </c>
      <c r="W168">
        <v>1</v>
      </c>
      <c r="X168" t="s">
        <v>8758</v>
      </c>
      <c r="Y168">
        <v>0.34352465467039212</v>
      </c>
      <c r="Z168" t="str">
        <f>HYPERLINK("Melting_Curves/meltCurve_sp_O43426_4_SYNJ1_HUMAN_.pdf", "Melting_Curves/meltCurve_sp_O43426_4_SYNJ1_HUMAN_.pdf")</f>
        <v>Melting_Curves/meltCurve_sp_O43426_4_SYNJ1_HUMAN_.pdf</v>
      </c>
      <c r="AA168" t="s">
        <v>13049</v>
      </c>
      <c r="AB168" t="s">
        <v>17253</v>
      </c>
    </row>
    <row r="169" spans="1:28" x14ac:dyDescent="0.25">
      <c r="A169" t="s">
        <v>173</v>
      </c>
      <c r="B169">
        <v>0.99876560204751996</v>
      </c>
      <c r="C169">
        <v>0.92101820957092695</v>
      </c>
      <c r="D169">
        <v>0.90155461685059801</v>
      </c>
      <c r="E169">
        <v>0.742630466058535</v>
      </c>
      <c r="F169">
        <v>0.62558867455907696</v>
      </c>
      <c r="G169">
        <v>0.33097397535239298</v>
      </c>
      <c r="H169">
        <v>0.305192530239354</v>
      </c>
      <c r="I169">
        <v>0.21186260018762301</v>
      </c>
      <c r="J169">
        <v>0.23905728151897401</v>
      </c>
      <c r="K169">
        <v>0.261328357630151</v>
      </c>
      <c r="L169">
        <v>807.23508313055595</v>
      </c>
      <c r="M169">
        <v>15.390947747209401</v>
      </c>
      <c r="N169">
        <v>54.3321363285392</v>
      </c>
      <c r="O169">
        <v>51.587182966045603</v>
      </c>
      <c r="P169">
        <v>-5.9172684052779E-2</v>
      </c>
      <c r="Q169">
        <v>0.206735453800406</v>
      </c>
      <c r="R169">
        <v>0.98606763516993401</v>
      </c>
      <c r="S169" t="s">
        <v>4465</v>
      </c>
      <c r="T169" t="s">
        <v>8590</v>
      </c>
      <c r="U169" t="s">
        <v>8590</v>
      </c>
      <c r="V169" t="s">
        <v>8590</v>
      </c>
      <c r="W169">
        <v>9</v>
      </c>
      <c r="X169" t="s">
        <v>8759</v>
      </c>
      <c r="Y169">
        <v>0.55270133307047919</v>
      </c>
      <c r="Z169" t="str">
        <f>HYPERLINK("Melting_Curves/meltCurve_sp_O43432_IF4G3_HUMAN_.pdf", "Melting_Curves/meltCurve_sp_O43432_IF4G3_HUMAN_.pdf")</f>
        <v>Melting_Curves/meltCurve_sp_O43432_IF4G3_HUMAN_.pdf</v>
      </c>
      <c r="AA169" t="s">
        <v>13050</v>
      </c>
      <c r="AB169" t="s">
        <v>17254</v>
      </c>
    </row>
    <row r="170" spans="1:28" x14ac:dyDescent="0.25">
      <c r="A170" t="s">
        <v>174</v>
      </c>
      <c r="B170">
        <v>0.99876560204751996</v>
      </c>
      <c r="C170">
        <v>0.99534360806592104</v>
      </c>
      <c r="D170">
        <v>0.91148292665463004</v>
      </c>
      <c r="E170">
        <v>0.93119820905725403</v>
      </c>
      <c r="F170">
        <v>0.73677036632246995</v>
      </c>
      <c r="G170">
        <v>0.57554157164852104</v>
      </c>
      <c r="H170">
        <v>0.49338649858231898</v>
      </c>
      <c r="I170">
        <v>0.47558253196053302</v>
      </c>
      <c r="J170">
        <v>0.57127044767923596</v>
      </c>
      <c r="K170">
        <v>0.43007660118550001</v>
      </c>
      <c r="L170">
        <v>1215.72920353278</v>
      </c>
      <c r="M170">
        <v>22.886305836632499</v>
      </c>
      <c r="N170">
        <v>62.213045119929703</v>
      </c>
      <c r="O170">
        <v>52.7198001390108</v>
      </c>
      <c r="P170">
        <v>-5.6178609162586497E-2</v>
      </c>
      <c r="Q170">
        <v>0.482368456916421</v>
      </c>
      <c r="R170">
        <v>0.96364840404057395</v>
      </c>
      <c r="S170" t="s">
        <v>4466</v>
      </c>
      <c r="T170" t="s">
        <v>8590</v>
      </c>
      <c r="U170" t="s">
        <v>8590</v>
      </c>
      <c r="V170" t="s">
        <v>8590</v>
      </c>
      <c r="W170">
        <v>7</v>
      </c>
      <c r="X170" t="s">
        <v>8760</v>
      </c>
      <c r="Y170">
        <v>0.71436535359347753</v>
      </c>
      <c r="Z170" t="str">
        <f>HYPERLINK("Melting_Curves/meltCurve_sp_O43464_3_HTRA2_HUMAN_.pdf", "Melting_Curves/meltCurve_sp_O43464_3_HTRA2_HUMAN_.pdf")</f>
        <v>Melting_Curves/meltCurve_sp_O43464_3_HTRA2_HUMAN_.pdf</v>
      </c>
      <c r="AA170" t="s">
        <v>13051</v>
      </c>
      <c r="AB170" t="s">
        <v>17255</v>
      </c>
    </row>
    <row r="171" spans="1:28" x14ac:dyDescent="0.25">
      <c r="A171" t="s">
        <v>175</v>
      </c>
      <c r="B171">
        <v>0.99876560204751996</v>
      </c>
      <c r="C171">
        <v>0.92641849063744197</v>
      </c>
      <c r="D171">
        <v>0.96415368601265306</v>
      </c>
      <c r="E171">
        <v>0.84831669293366596</v>
      </c>
      <c r="F171">
        <v>0.81846569448960504</v>
      </c>
      <c r="G171">
        <v>0.59571916034524497</v>
      </c>
      <c r="H171">
        <v>0.41920285169583898</v>
      </c>
      <c r="I171">
        <v>0.44080873048077301</v>
      </c>
      <c r="J171">
        <v>0.54320329721641403</v>
      </c>
      <c r="K171">
        <v>0.55992365705407499</v>
      </c>
      <c r="L171">
        <v>1156.9881198358901</v>
      </c>
      <c r="M171">
        <v>21.676915819716701</v>
      </c>
      <c r="N171">
        <v>63.440410783131902</v>
      </c>
      <c r="O171">
        <v>52.926190414889298</v>
      </c>
      <c r="P171">
        <v>-5.2839730514276199E-2</v>
      </c>
      <c r="Q171">
        <v>0.48395990339092099</v>
      </c>
      <c r="R171">
        <v>0.92713784660423804</v>
      </c>
      <c r="S171" t="s">
        <v>4467</v>
      </c>
      <c r="T171" t="s">
        <v>8590</v>
      </c>
      <c r="U171" t="s">
        <v>8590</v>
      </c>
      <c r="V171" t="s">
        <v>8590</v>
      </c>
      <c r="W171">
        <v>9</v>
      </c>
      <c r="X171" t="s">
        <v>8761</v>
      </c>
      <c r="Y171">
        <v>0.72017578032779073</v>
      </c>
      <c r="Z171" t="str">
        <f>HYPERLINK("Melting_Curves/meltCurve_sp_O43491_4_E41L2_HUMAN_.pdf", "Melting_Curves/meltCurve_sp_O43491_4_E41L2_HUMAN_.pdf")</f>
        <v>Melting_Curves/meltCurve_sp_O43491_4_E41L2_HUMAN_.pdf</v>
      </c>
      <c r="AA171" t="s">
        <v>13052</v>
      </c>
      <c r="AB171" t="s">
        <v>17256</v>
      </c>
    </row>
    <row r="172" spans="1:28" x14ac:dyDescent="0.25">
      <c r="A172" t="s">
        <v>176</v>
      </c>
      <c r="B172">
        <v>0.99876560204751996</v>
      </c>
      <c r="C172">
        <v>0.88843871650032902</v>
      </c>
      <c r="D172">
        <v>0.89319818981613996</v>
      </c>
      <c r="E172">
        <v>0.83554428274069104</v>
      </c>
      <c r="F172">
        <v>0.83889372097325099</v>
      </c>
      <c r="G172">
        <v>0.66878700388590695</v>
      </c>
      <c r="H172">
        <v>0.60116581580044004</v>
      </c>
      <c r="I172">
        <v>0.64962999192971704</v>
      </c>
      <c r="J172">
        <v>0.78095057751180896</v>
      </c>
      <c r="K172">
        <v>0.74644597842281901</v>
      </c>
      <c r="L172">
        <v>578.76126271353598</v>
      </c>
      <c r="M172">
        <v>11.9347190449097</v>
      </c>
      <c r="O172">
        <v>47.192584600348503</v>
      </c>
      <c r="P172">
        <v>-2.0063048698062101E-2</v>
      </c>
      <c r="Q172">
        <v>0.68274280360087403</v>
      </c>
      <c r="R172">
        <v>0.733428102255268</v>
      </c>
      <c r="S172" t="s">
        <v>4468</v>
      </c>
      <c r="T172" t="s">
        <v>8590</v>
      </c>
      <c r="U172" t="s">
        <v>8590</v>
      </c>
      <c r="V172" t="s">
        <v>8590</v>
      </c>
      <c r="W172">
        <v>7</v>
      </c>
      <c r="X172" t="s">
        <v>8762</v>
      </c>
      <c r="Y172">
        <v>0.78470701725504566</v>
      </c>
      <c r="Z172" t="str">
        <f>HYPERLINK("Melting_Curves/meltCurve_sp_O43493_2_TGON2_HUMAN_.pdf", "Melting_Curves/meltCurve_sp_O43493_2_TGON2_HUMAN_.pdf")</f>
        <v>Melting_Curves/meltCurve_sp_O43493_2_TGON2_HUMAN_.pdf</v>
      </c>
      <c r="AA172" t="s">
        <v>13053</v>
      </c>
      <c r="AB172" t="s">
        <v>17257</v>
      </c>
    </row>
    <row r="173" spans="1:28" x14ac:dyDescent="0.25">
      <c r="A173" t="s">
        <v>177</v>
      </c>
      <c r="B173">
        <v>0.99876560204751996</v>
      </c>
      <c r="C173">
        <v>0.94642265479189602</v>
      </c>
      <c r="D173">
        <v>0.90032434693700303</v>
      </c>
      <c r="E173">
        <v>1.0293180348414801</v>
      </c>
      <c r="F173">
        <v>0.74432119483002601</v>
      </c>
      <c r="G173">
        <v>0.34470356536334901</v>
      </c>
      <c r="H173">
        <v>0.230200206810693</v>
      </c>
      <c r="I173">
        <v>0.221232965547698</v>
      </c>
      <c r="J173">
        <v>0.211835148544361</v>
      </c>
      <c r="K173">
        <v>0.19480202588727799</v>
      </c>
      <c r="L173">
        <v>1955.7103438868701</v>
      </c>
      <c r="M173">
        <v>36.040459210362897</v>
      </c>
      <c r="N173">
        <v>55.107152908585697</v>
      </c>
      <c r="O173">
        <v>54.098050927407499</v>
      </c>
      <c r="P173">
        <v>-0.13126301226819001</v>
      </c>
      <c r="Q173">
        <v>0.21188014266115601</v>
      </c>
      <c r="R173">
        <v>0.98564096863181305</v>
      </c>
      <c r="S173" t="s">
        <v>4469</v>
      </c>
      <c r="T173" t="s">
        <v>8590</v>
      </c>
      <c r="U173" t="s">
        <v>8590</v>
      </c>
      <c r="V173" t="s">
        <v>8590</v>
      </c>
      <c r="W173">
        <v>2</v>
      </c>
      <c r="X173" t="s">
        <v>8763</v>
      </c>
      <c r="Y173">
        <v>0.59024129506620349</v>
      </c>
      <c r="Z173" t="str">
        <f>HYPERLINK("Melting_Curves/meltCurve_sp_O43566_5_RGS14_HUMAN_.pdf", "Melting_Curves/meltCurve_sp_O43566_5_RGS14_HUMAN_.pdf")</f>
        <v>Melting_Curves/meltCurve_sp_O43566_5_RGS14_HUMAN_.pdf</v>
      </c>
      <c r="AA173" t="s">
        <v>13054</v>
      </c>
      <c r="AB173" t="s">
        <v>17258</v>
      </c>
    </row>
    <row r="174" spans="1:28" x14ac:dyDescent="0.25">
      <c r="A174" t="s">
        <v>178</v>
      </c>
      <c r="B174">
        <v>0.99876560204751996</v>
      </c>
      <c r="C174">
        <v>0.84588631347728604</v>
      </c>
      <c r="D174">
        <v>0.89132046730909797</v>
      </c>
      <c r="E174">
        <v>0.83462806624306995</v>
      </c>
      <c r="F174">
        <v>1.0352933321655899</v>
      </c>
      <c r="G174">
        <v>0.795265041692507</v>
      </c>
      <c r="H174">
        <v>0.724015239861722</v>
      </c>
      <c r="I174">
        <v>0.71316586703329399</v>
      </c>
      <c r="J174">
        <v>0.86669644768622001</v>
      </c>
      <c r="K174">
        <v>0.95814038746288199</v>
      </c>
      <c r="L174">
        <v>440.20695942080499</v>
      </c>
      <c r="M174">
        <v>10.197031817795899</v>
      </c>
      <c r="O174">
        <v>41.608587551090402</v>
      </c>
      <c r="P174">
        <v>-1.04161719780536E-2</v>
      </c>
      <c r="Q174">
        <v>0.83006562736868394</v>
      </c>
      <c r="R174">
        <v>0.15352382372113299</v>
      </c>
      <c r="S174" t="s">
        <v>4470</v>
      </c>
      <c r="T174" t="s">
        <v>8590</v>
      </c>
      <c r="U174" t="s">
        <v>8590</v>
      </c>
      <c r="V174" t="s">
        <v>8590</v>
      </c>
      <c r="W174">
        <v>5</v>
      </c>
      <c r="X174" t="s">
        <v>8764</v>
      </c>
      <c r="Y174">
        <v>0.86162757217892194</v>
      </c>
      <c r="Z174" t="str">
        <f>HYPERLINK("Melting_Curves/meltCurve_sp_O43583_DENR_HUMAN_.pdf", "Melting_Curves/meltCurve_sp_O43583_DENR_HUMAN_.pdf")</f>
        <v>Melting_Curves/meltCurve_sp_O43583_DENR_HUMAN_.pdf</v>
      </c>
      <c r="AA174" t="s">
        <v>13055</v>
      </c>
      <c r="AB174" t="s">
        <v>17259</v>
      </c>
    </row>
    <row r="175" spans="1:28" x14ac:dyDescent="0.25">
      <c r="A175" t="s">
        <v>179</v>
      </c>
      <c r="B175">
        <v>0.99876560204751996</v>
      </c>
      <c r="C175">
        <v>0.97956590746901595</v>
      </c>
      <c r="D175">
        <v>0.86848107745143999</v>
      </c>
      <c r="E175">
        <v>0.748010505073753</v>
      </c>
      <c r="F175">
        <v>0.24960540328945299</v>
      </c>
      <c r="G175">
        <v>0.12178519797591</v>
      </c>
      <c r="H175">
        <v>7.5394608911416097E-2</v>
      </c>
      <c r="I175">
        <v>6.7002081366051E-2</v>
      </c>
      <c r="J175">
        <v>5.0152836475068602E-2</v>
      </c>
      <c r="K175">
        <v>4.0692979007879597E-2</v>
      </c>
      <c r="L175">
        <v>1798.02276912816</v>
      </c>
      <c r="M175">
        <v>35.120137682547103</v>
      </c>
      <c r="N175">
        <v>51.388833456557698</v>
      </c>
      <c r="O175">
        <v>51.031210457232802</v>
      </c>
      <c r="P175">
        <v>-0.161448930659981</v>
      </c>
      <c r="Q175">
        <v>6.1631753680191803E-2</v>
      </c>
      <c r="R175">
        <v>0.98926877958072701</v>
      </c>
      <c r="S175" t="s">
        <v>4471</v>
      </c>
      <c r="T175" t="s">
        <v>8590</v>
      </c>
      <c r="U175" t="s">
        <v>8590</v>
      </c>
      <c r="V175" t="s">
        <v>8590</v>
      </c>
      <c r="W175">
        <v>15</v>
      </c>
      <c r="X175" t="s">
        <v>8765</v>
      </c>
      <c r="Y175">
        <v>0.41615605508266329</v>
      </c>
      <c r="Z175" t="str">
        <f>HYPERLINK("Melting_Curves/meltCurve_sp_O43592_XPOT_HUMAN_.pdf", "Melting_Curves/meltCurve_sp_O43592_XPOT_HUMAN_.pdf")</f>
        <v>Melting_Curves/meltCurve_sp_O43592_XPOT_HUMAN_.pdf</v>
      </c>
      <c r="AA175" t="s">
        <v>13056</v>
      </c>
      <c r="AB175" t="s">
        <v>17260</v>
      </c>
    </row>
    <row r="176" spans="1:28" x14ac:dyDescent="0.25">
      <c r="A176" t="s">
        <v>180</v>
      </c>
      <c r="B176">
        <v>0.99876560204751996</v>
      </c>
      <c r="C176">
        <v>0.86587150873364005</v>
      </c>
      <c r="D176">
        <v>0.83994465215835901</v>
      </c>
      <c r="E176">
        <v>0.70281554301401605</v>
      </c>
      <c r="F176">
        <v>0.530017630449646</v>
      </c>
      <c r="G176">
        <v>0.37397355133547699</v>
      </c>
      <c r="H176">
        <v>0.20159558088492599</v>
      </c>
      <c r="I176">
        <v>0.16512069400500501</v>
      </c>
      <c r="J176">
        <v>0.16159314919007001</v>
      </c>
      <c r="K176">
        <v>0.14766689558608401</v>
      </c>
      <c r="L176">
        <v>564.37203790687204</v>
      </c>
      <c r="M176">
        <v>10.6521408024871</v>
      </c>
      <c r="N176">
        <v>53.588313351297003</v>
      </c>
      <c r="O176">
        <v>51.217104039464303</v>
      </c>
      <c r="P176">
        <v>-4.9062034801420303E-2</v>
      </c>
      <c r="Q176">
        <v>5.67693525015859E-2</v>
      </c>
      <c r="R176">
        <v>0.99114239539888804</v>
      </c>
      <c r="S176" t="s">
        <v>4472</v>
      </c>
      <c r="T176" t="s">
        <v>8590</v>
      </c>
      <c r="U176" t="s">
        <v>8590</v>
      </c>
      <c r="V176" t="s">
        <v>8590</v>
      </c>
      <c r="W176">
        <v>5</v>
      </c>
      <c r="X176" t="s">
        <v>8766</v>
      </c>
      <c r="Y176">
        <v>0.49540596986619062</v>
      </c>
      <c r="Z176" t="str">
        <f>HYPERLINK("Melting_Curves/meltCurve_sp_O43598_DNPH1_HUMAN_.pdf", "Melting_Curves/meltCurve_sp_O43598_DNPH1_HUMAN_.pdf")</f>
        <v>Melting_Curves/meltCurve_sp_O43598_DNPH1_HUMAN_.pdf</v>
      </c>
      <c r="AA176" t="s">
        <v>13057</v>
      </c>
      <c r="AB176" t="s">
        <v>17261</v>
      </c>
    </row>
    <row r="177" spans="1:28" x14ac:dyDescent="0.25">
      <c r="A177" t="s">
        <v>181</v>
      </c>
      <c r="B177">
        <v>0.99876560204751996</v>
      </c>
      <c r="C177">
        <v>1.0331442046592001</v>
      </c>
      <c r="D177">
        <v>1.03395958774175</v>
      </c>
      <c r="E177">
        <v>0.87001291444923001</v>
      </c>
      <c r="F177">
        <v>0.83309005087895605</v>
      </c>
      <c r="G177">
        <v>0.50502708250450901</v>
      </c>
      <c r="H177">
        <v>0.29190213128185599</v>
      </c>
      <c r="I177">
        <v>0.19132372256734501</v>
      </c>
      <c r="J177">
        <v>0.22404995591150301</v>
      </c>
      <c r="K177">
        <v>0.20866838834364501</v>
      </c>
      <c r="L177">
        <v>1208.14250274652</v>
      </c>
      <c r="M177">
        <v>21.641850445716798</v>
      </c>
      <c r="N177">
        <v>57.020812839231603</v>
      </c>
      <c r="O177">
        <v>55.354287314239897</v>
      </c>
      <c r="P177">
        <v>-7.9907149931368604E-2</v>
      </c>
      <c r="Q177">
        <v>0.182491766931832</v>
      </c>
      <c r="R177">
        <v>0.99115581650806195</v>
      </c>
      <c r="S177" t="s">
        <v>4473</v>
      </c>
      <c r="T177" t="s">
        <v>8590</v>
      </c>
      <c r="U177" t="s">
        <v>8590</v>
      </c>
      <c r="V177" t="s">
        <v>8590</v>
      </c>
      <c r="W177">
        <v>16</v>
      </c>
      <c r="X177" t="s">
        <v>8767</v>
      </c>
      <c r="Y177">
        <v>0.62317237294421046</v>
      </c>
      <c r="Z177" t="str">
        <f>HYPERLINK("Melting_Curves/meltCurve_sp_O43615_TIM44_HUMAN_.pdf", "Melting_Curves/meltCurve_sp_O43615_TIM44_HUMAN_.pdf")</f>
        <v>Melting_Curves/meltCurve_sp_O43615_TIM44_HUMAN_.pdf</v>
      </c>
      <c r="AA177" t="s">
        <v>13058</v>
      </c>
      <c r="AB177" t="s">
        <v>17262</v>
      </c>
    </row>
    <row r="178" spans="1:28" x14ac:dyDescent="0.25">
      <c r="A178" t="s">
        <v>182</v>
      </c>
      <c r="B178">
        <v>0.99876560204751996</v>
      </c>
      <c r="C178">
        <v>1.02468266965999</v>
      </c>
      <c r="D178">
        <v>0.933236009015454</v>
      </c>
      <c r="E178">
        <v>0.84133387083184896</v>
      </c>
      <c r="F178">
        <v>0.77629552131722102</v>
      </c>
      <c r="G178">
        <v>0.64365812628036501</v>
      </c>
      <c r="H178">
        <v>0.52135455010616105</v>
      </c>
      <c r="I178">
        <v>0.39728248599944599</v>
      </c>
      <c r="J178">
        <v>0.413578456884448</v>
      </c>
      <c r="K178">
        <v>0.272759450202255</v>
      </c>
      <c r="L178">
        <v>527.46311144113497</v>
      </c>
      <c r="M178">
        <v>8.8716163998787501</v>
      </c>
      <c r="N178">
        <v>61.379123834179097</v>
      </c>
      <c r="O178">
        <v>56.666805068713302</v>
      </c>
      <c r="P178">
        <v>-3.4414817858523301E-2</v>
      </c>
      <c r="Q178">
        <v>0.121385125903446</v>
      </c>
      <c r="R178">
        <v>0.98738878100365801</v>
      </c>
      <c r="S178" t="s">
        <v>4474</v>
      </c>
      <c r="T178" t="s">
        <v>8590</v>
      </c>
      <c r="U178" t="s">
        <v>8590</v>
      </c>
      <c r="V178" t="s">
        <v>8590</v>
      </c>
      <c r="W178">
        <v>2</v>
      </c>
      <c r="X178" t="s">
        <v>8768</v>
      </c>
      <c r="Y178">
        <v>0.68699238023905129</v>
      </c>
      <c r="Z178" t="str">
        <f>HYPERLINK("Melting_Curves/meltCurve_sp_O43617_TPPC3_HUMAN_.pdf", "Melting_Curves/meltCurve_sp_O43617_TPPC3_HUMAN_.pdf")</f>
        <v>Melting_Curves/meltCurve_sp_O43617_TPPC3_HUMAN_.pdf</v>
      </c>
      <c r="AA178" t="s">
        <v>13059</v>
      </c>
      <c r="AB178" t="s">
        <v>17263</v>
      </c>
    </row>
    <row r="179" spans="1:28" x14ac:dyDescent="0.25">
      <c r="A179" t="s">
        <v>183</v>
      </c>
      <c r="B179">
        <v>0.99876560204751996</v>
      </c>
      <c r="C179">
        <v>0.955489748530015</v>
      </c>
      <c r="D179">
        <v>1.1055835830656999</v>
      </c>
      <c r="E179">
        <v>0.810695470083172</v>
      </c>
      <c r="F179">
        <v>0.80681488502458298</v>
      </c>
      <c r="G179">
        <v>0.45096174319701998</v>
      </c>
      <c r="H179">
        <v>0.45014569665452803</v>
      </c>
      <c r="I179">
        <v>0.39810453766478798</v>
      </c>
      <c r="J179">
        <v>0.31831861727417499</v>
      </c>
      <c r="K179">
        <v>0.10882832609265999</v>
      </c>
      <c r="L179">
        <v>666.41719085979105</v>
      </c>
      <c r="M179">
        <v>11.6080427399718</v>
      </c>
      <c r="N179">
        <v>58.723582794397203</v>
      </c>
      <c r="O179">
        <v>55.785500245780803</v>
      </c>
      <c r="P179">
        <v>-4.6085118318757702E-2</v>
      </c>
      <c r="Q179">
        <v>0.11434608399290599</v>
      </c>
      <c r="R179">
        <v>0.93379643798391998</v>
      </c>
      <c r="S179" t="s">
        <v>4475</v>
      </c>
      <c r="T179" t="s">
        <v>8590</v>
      </c>
      <c r="U179" t="s">
        <v>8590</v>
      </c>
      <c r="V179" t="s">
        <v>8590</v>
      </c>
      <c r="W179">
        <v>8</v>
      </c>
      <c r="X179" t="s">
        <v>8769</v>
      </c>
      <c r="Y179">
        <v>0.64164024934050634</v>
      </c>
      <c r="Z179" t="str">
        <f>HYPERLINK("Melting_Curves/meltCurve_sp_O43633_CHM2A_HUMAN_.pdf", "Melting_Curves/meltCurve_sp_O43633_CHM2A_HUMAN_.pdf")</f>
        <v>Melting_Curves/meltCurve_sp_O43633_CHM2A_HUMAN_.pdf</v>
      </c>
      <c r="AA179" t="s">
        <v>13060</v>
      </c>
      <c r="AB179" t="s">
        <v>17264</v>
      </c>
    </row>
    <row r="180" spans="1:28" x14ac:dyDescent="0.25">
      <c r="A180" t="s">
        <v>184</v>
      </c>
      <c r="B180">
        <v>0.99876560204751996</v>
      </c>
      <c r="C180">
        <v>0.97010326536756697</v>
      </c>
      <c r="D180">
        <v>0.957481110699685</v>
      </c>
      <c r="E180">
        <v>0.81558723367766595</v>
      </c>
      <c r="F180">
        <v>0.74702831899276401</v>
      </c>
      <c r="G180">
        <v>0.466273334202915</v>
      </c>
      <c r="H180">
        <v>0.26673363780255399</v>
      </c>
      <c r="I180">
        <v>0.30356404340189802</v>
      </c>
      <c r="J180">
        <v>0.30150910663241298</v>
      </c>
      <c r="K180">
        <v>0.335336709664038</v>
      </c>
      <c r="L180">
        <v>1058.1508760096399</v>
      </c>
      <c r="M180">
        <v>19.661722865632601</v>
      </c>
      <c r="N180">
        <v>56.142137533113903</v>
      </c>
      <c r="O180">
        <v>53.270370816968999</v>
      </c>
      <c r="P180">
        <v>-6.65810594843666E-2</v>
      </c>
      <c r="Q180">
        <v>0.27846114988874399</v>
      </c>
      <c r="R180">
        <v>0.982600051103244</v>
      </c>
      <c r="S180" t="s">
        <v>4476</v>
      </c>
      <c r="T180" t="s">
        <v>8590</v>
      </c>
      <c r="U180" t="s">
        <v>8590</v>
      </c>
      <c r="V180" t="s">
        <v>8590</v>
      </c>
      <c r="W180">
        <v>3</v>
      </c>
      <c r="X180" t="s">
        <v>8770</v>
      </c>
      <c r="Y180">
        <v>0.62090623705714798</v>
      </c>
      <c r="Z180" t="str">
        <f>HYPERLINK("Melting_Curves/meltCurve_sp_O43660_2_PLRG1_HUMAN_.pdf", "Melting_Curves/meltCurve_sp_O43660_2_PLRG1_HUMAN_.pdf")</f>
        <v>Melting_Curves/meltCurve_sp_O43660_2_PLRG1_HUMAN_.pdf</v>
      </c>
      <c r="AA180" t="s">
        <v>13061</v>
      </c>
      <c r="AB180" t="s">
        <v>17265</v>
      </c>
    </row>
    <row r="181" spans="1:28" x14ac:dyDescent="0.25">
      <c r="A181" t="s">
        <v>185</v>
      </c>
      <c r="B181">
        <v>0.99876560204751996</v>
      </c>
      <c r="C181">
        <v>0.84066265211972302</v>
      </c>
      <c r="D181">
        <v>1.02930103472977</v>
      </c>
      <c r="E181">
        <v>0.80688347224833801</v>
      </c>
      <c r="F181">
        <v>0.72183996858989596</v>
      </c>
      <c r="G181">
        <v>0.610808652305314</v>
      </c>
      <c r="H181">
        <v>0.320494800232688</v>
      </c>
      <c r="I181">
        <v>0.19731023750071899</v>
      </c>
      <c r="J181">
        <v>0.14487517787680601</v>
      </c>
      <c r="K181">
        <v>0.108149339934203</v>
      </c>
      <c r="L181">
        <v>691.90898891773497</v>
      </c>
      <c r="M181">
        <v>12.014577066587</v>
      </c>
      <c r="N181">
        <v>57.589112347921898</v>
      </c>
      <c r="O181">
        <v>56.063297918521798</v>
      </c>
      <c r="P181">
        <v>-5.35888017033819E-2</v>
      </c>
      <c r="Q181">
        <v>0</v>
      </c>
      <c r="R181">
        <v>0.96729757148132101</v>
      </c>
      <c r="S181" t="s">
        <v>4477</v>
      </c>
      <c r="T181" t="s">
        <v>8590</v>
      </c>
      <c r="U181" t="s">
        <v>8590</v>
      </c>
      <c r="V181" t="s">
        <v>8590</v>
      </c>
      <c r="W181">
        <v>1</v>
      </c>
      <c r="X181" t="s">
        <v>8771</v>
      </c>
      <c r="Y181">
        <v>0.6007855215754544</v>
      </c>
      <c r="Z181" t="str">
        <f>HYPERLINK("Melting_Curves/meltCurve_sp_O43663_3_PRC1_HUMAN_.pdf", "Melting_Curves/meltCurve_sp_O43663_3_PRC1_HUMAN_.pdf")</f>
        <v>Melting_Curves/meltCurve_sp_O43663_3_PRC1_HUMAN_.pdf</v>
      </c>
      <c r="AA181" t="s">
        <v>13062</v>
      </c>
      <c r="AB181" t="s">
        <v>17266</v>
      </c>
    </row>
    <row r="182" spans="1:28" x14ac:dyDescent="0.25">
      <c r="A182" t="s">
        <v>186</v>
      </c>
      <c r="B182">
        <v>0.99876560204751996</v>
      </c>
      <c r="C182">
        <v>1.03872054574185</v>
      </c>
      <c r="D182">
        <v>0.94858961996989699</v>
      </c>
      <c r="E182">
        <v>0.91614832944741398</v>
      </c>
      <c r="F182">
        <v>0.83240059426849999</v>
      </c>
      <c r="G182">
        <v>0.54790214630745104</v>
      </c>
      <c r="H182">
        <v>0.45697678008419901</v>
      </c>
      <c r="I182">
        <v>0.40918154273941798</v>
      </c>
      <c r="J182">
        <v>0.47746059385279199</v>
      </c>
      <c r="K182">
        <v>0.43516068613766901</v>
      </c>
      <c r="L182">
        <v>1451.6748137475799</v>
      </c>
      <c r="M182">
        <v>26.7212423734696</v>
      </c>
      <c r="N182">
        <v>58.745304017972202</v>
      </c>
      <c r="O182">
        <v>54.0251067900588</v>
      </c>
      <c r="P182">
        <v>-7.0111468262672894E-2</v>
      </c>
      <c r="Q182">
        <v>0.432999499650708</v>
      </c>
      <c r="R182">
        <v>0.98642885530310598</v>
      </c>
      <c r="S182" t="s">
        <v>4478</v>
      </c>
      <c r="T182" t="s">
        <v>8590</v>
      </c>
      <c r="U182" t="s">
        <v>8590</v>
      </c>
      <c r="V182" t="s">
        <v>8590</v>
      </c>
      <c r="W182">
        <v>2</v>
      </c>
      <c r="X182" t="s">
        <v>8772</v>
      </c>
      <c r="Y182">
        <v>0.70842207232605359</v>
      </c>
      <c r="Z182" t="str">
        <f>HYPERLINK("Melting_Curves/meltCurve_sp_O43670_2_ZN207_HUMAN_.pdf", "Melting_Curves/meltCurve_sp_O43670_2_ZN207_HUMAN_.pdf")</f>
        <v>Melting_Curves/meltCurve_sp_O43670_2_ZN207_HUMAN_.pdf</v>
      </c>
      <c r="AA182" t="s">
        <v>13063</v>
      </c>
      <c r="AB182" t="s">
        <v>17267</v>
      </c>
    </row>
    <row r="183" spans="1:28" x14ac:dyDescent="0.25">
      <c r="A183" t="s">
        <v>187</v>
      </c>
      <c r="B183">
        <v>0.99876560204751996</v>
      </c>
      <c r="C183">
        <v>0.93493274844121199</v>
      </c>
      <c r="D183">
        <v>0.98910624236231803</v>
      </c>
      <c r="E183">
        <v>0.71665920311836295</v>
      </c>
      <c r="F183">
        <v>0.51646335178267699</v>
      </c>
      <c r="G183">
        <v>0.29024185289342602</v>
      </c>
      <c r="H183">
        <v>0.21891563756804999</v>
      </c>
      <c r="I183">
        <v>0.212367799039299</v>
      </c>
      <c r="J183">
        <v>0.30337373105932902</v>
      </c>
      <c r="K183">
        <v>0.26119532130334899</v>
      </c>
      <c r="L183">
        <v>1240.22852941003</v>
      </c>
      <c r="M183">
        <v>24.144247146799799</v>
      </c>
      <c r="N183">
        <v>52.816411635136603</v>
      </c>
      <c r="O183">
        <v>51.018964784805803</v>
      </c>
      <c r="P183">
        <v>-8.9658464598369195E-2</v>
      </c>
      <c r="Q183">
        <v>0.242186117348204</v>
      </c>
      <c r="R183">
        <v>0.98721275077554105</v>
      </c>
      <c r="S183" t="s">
        <v>4479</v>
      </c>
      <c r="T183" t="s">
        <v>8590</v>
      </c>
      <c r="U183" t="s">
        <v>8590</v>
      </c>
      <c r="V183" t="s">
        <v>8590</v>
      </c>
      <c r="W183">
        <v>4</v>
      </c>
      <c r="X183" t="s">
        <v>8773</v>
      </c>
      <c r="Y183">
        <v>0.53668856675995413</v>
      </c>
      <c r="Z183" t="str">
        <f>HYPERLINK("Melting_Curves/meltCurve_sp_O43678_NDUA2_HUMAN_.pdf", "Melting_Curves/meltCurve_sp_O43678_NDUA2_HUMAN_.pdf")</f>
        <v>Melting_Curves/meltCurve_sp_O43678_NDUA2_HUMAN_.pdf</v>
      </c>
      <c r="AA183" t="s">
        <v>13064</v>
      </c>
      <c r="AB183" t="s">
        <v>17268</v>
      </c>
    </row>
    <row r="184" spans="1:28" x14ac:dyDescent="0.25">
      <c r="A184" t="s">
        <v>188</v>
      </c>
      <c r="B184">
        <v>0.99876560204751996</v>
      </c>
      <c r="C184">
        <v>0.96952066576317897</v>
      </c>
      <c r="D184">
        <v>0.95716816962998497</v>
      </c>
      <c r="E184">
        <v>0.63835071747497296</v>
      </c>
      <c r="F184">
        <v>0.29867614502956102</v>
      </c>
      <c r="G184">
        <v>0.125887081273416</v>
      </c>
      <c r="H184">
        <v>7.2299238776744906E-2</v>
      </c>
      <c r="I184">
        <v>2.8411302591036299E-2</v>
      </c>
      <c r="J184">
        <v>1.2231951943896599E-2</v>
      </c>
      <c r="K184">
        <v>1.1052848608989699E-2</v>
      </c>
      <c r="L184">
        <v>1222.0011253276</v>
      </c>
      <c r="M184">
        <v>23.917402895674499</v>
      </c>
      <c r="N184">
        <v>51.206690872387803</v>
      </c>
      <c r="O184">
        <v>50.739398051400698</v>
      </c>
      <c r="P184">
        <v>-0.114787266921852</v>
      </c>
      <c r="Q184">
        <v>2.5957263139398098E-2</v>
      </c>
      <c r="R184">
        <v>0.99817269031906797</v>
      </c>
      <c r="S184" t="s">
        <v>4480</v>
      </c>
      <c r="T184" t="s">
        <v>8590</v>
      </c>
      <c r="U184" t="s">
        <v>8590</v>
      </c>
      <c r="V184" t="s">
        <v>8590</v>
      </c>
      <c r="W184">
        <v>3</v>
      </c>
      <c r="X184" t="s">
        <v>8774</v>
      </c>
      <c r="Y184">
        <v>0.39571651070457559</v>
      </c>
      <c r="Z184" t="str">
        <f>HYPERLINK("Melting_Curves/meltCurve_sp_O43681_ASNA_HUMAN_.pdf", "Melting_Curves/meltCurve_sp_O43681_ASNA_HUMAN_.pdf")</f>
        <v>Melting_Curves/meltCurve_sp_O43681_ASNA_HUMAN_.pdf</v>
      </c>
      <c r="AA184" t="s">
        <v>13065</v>
      </c>
      <c r="AB184" t="s">
        <v>17269</v>
      </c>
    </row>
    <row r="185" spans="1:28" x14ac:dyDescent="0.25">
      <c r="A185" t="s">
        <v>189</v>
      </c>
      <c r="B185">
        <v>0.99876560204751996</v>
      </c>
      <c r="C185">
        <v>0.99462497371209502</v>
      </c>
      <c r="D185">
        <v>0.97856816373065103</v>
      </c>
      <c r="E185">
        <v>0.76222481305976197</v>
      </c>
      <c r="F185">
        <v>0.43187269274044099</v>
      </c>
      <c r="G185">
        <v>0.17655184313569</v>
      </c>
      <c r="H185">
        <v>0.12700957885283501</v>
      </c>
      <c r="I185">
        <v>9.5309125633590702E-2</v>
      </c>
      <c r="J185">
        <v>8.1940634576329704E-2</v>
      </c>
      <c r="K185">
        <v>5.4388301574306297E-2</v>
      </c>
      <c r="L185">
        <v>1308.50563179144</v>
      </c>
      <c r="M185">
        <v>25.1341182935363</v>
      </c>
      <c r="N185">
        <v>52.426165470625797</v>
      </c>
      <c r="O185">
        <v>51.734738091030998</v>
      </c>
      <c r="P185">
        <v>-0.111703780293709</v>
      </c>
      <c r="Q185">
        <v>8.0311741833022393E-2</v>
      </c>
      <c r="R185">
        <v>0.99899574635932697</v>
      </c>
      <c r="S185" t="s">
        <v>4481</v>
      </c>
      <c r="T185" t="s">
        <v>8590</v>
      </c>
      <c r="U185" t="s">
        <v>8590</v>
      </c>
      <c r="V185" t="s">
        <v>8590</v>
      </c>
      <c r="W185">
        <v>11</v>
      </c>
      <c r="X185" t="s">
        <v>8775</v>
      </c>
      <c r="Y185">
        <v>0.45836980911150887</v>
      </c>
      <c r="Z185" t="str">
        <f>HYPERLINK("Melting_Curves/meltCurve_sp_O43684_2_BUB3_HUMAN_.pdf", "Melting_Curves/meltCurve_sp_O43684_2_BUB3_HUMAN_.pdf")</f>
        <v>Melting_Curves/meltCurve_sp_O43684_2_BUB3_HUMAN_.pdf</v>
      </c>
      <c r="AA185" t="s">
        <v>13066</v>
      </c>
      <c r="AB185" t="s">
        <v>17270</v>
      </c>
    </row>
    <row r="186" spans="1:28" x14ac:dyDescent="0.25">
      <c r="A186" t="s">
        <v>190</v>
      </c>
      <c r="B186">
        <v>0.99876560204751996</v>
      </c>
      <c r="C186">
        <v>0.93570115768038298</v>
      </c>
      <c r="D186">
        <v>0.89340338306565903</v>
      </c>
      <c r="E186">
        <v>0.44812052253256202</v>
      </c>
      <c r="F186">
        <v>0.19682644646140801</v>
      </c>
      <c r="G186">
        <v>8.1463238480521102E-2</v>
      </c>
      <c r="H186">
        <v>3.6261941652522202E-2</v>
      </c>
      <c r="I186">
        <v>3.0510644920054002E-2</v>
      </c>
      <c r="J186">
        <v>2.9365707217932101E-2</v>
      </c>
      <c r="K186">
        <v>2.45154485679661E-2</v>
      </c>
      <c r="L186">
        <v>1204.20067087403</v>
      </c>
      <c r="M186">
        <v>24.312458418666299</v>
      </c>
      <c r="N186">
        <v>49.652671042158097</v>
      </c>
      <c r="O186">
        <v>49.198745790442899</v>
      </c>
      <c r="P186">
        <v>-0.119948161490517</v>
      </c>
      <c r="Q186">
        <v>2.9105100840196699E-2</v>
      </c>
      <c r="R186">
        <v>0.99827581935731402</v>
      </c>
      <c r="S186" t="s">
        <v>4482</v>
      </c>
      <c r="T186" t="s">
        <v>8590</v>
      </c>
      <c r="U186" t="s">
        <v>8590</v>
      </c>
      <c r="V186" t="s">
        <v>8590</v>
      </c>
      <c r="W186">
        <v>8</v>
      </c>
      <c r="X186" t="s">
        <v>8776</v>
      </c>
      <c r="Y186">
        <v>0.34667459721133548</v>
      </c>
      <c r="Z186" t="str">
        <f>HYPERLINK("Melting_Curves/meltCurve_sp_O43704_ST1B1_HUMAN_.pdf", "Melting_Curves/meltCurve_sp_O43704_ST1B1_HUMAN_.pdf")</f>
        <v>Melting_Curves/meltCurve_sp_O43704_ST1B1_HUMAN_.pdf</v>
      </c>
      <c r="AA186" t="s">
        <v>13067</v>
      </c>
      <c r="AB186" t="s">
        <v>17271</v>
      </c>
    </row>
    <row r="187" spans="1:28" x14ac:dyDescent="0.25">
      <c r="A187" t="s">
        <v>191</v>
      </c>
      <c r="B187">
        <v>0.99876560204751996</v>
      </c>
      <c r="C187">
        <v>1.0362953805833901</v>
      </c>
      <c r="D187">
        <v>0.951602649923738</v>
      </c>
      <c r="E187">
        <v>1.05790975260095</v>
      </c>
      <c r="F187">
        <v>1.0350848599962299</v>
      </c>
      <c r="G187">
        <v>0.89189522997327897</v>
      </c>
      <c r="H187">
        <v>0.52416032621236797</v>
      </c>
      <c r="I187">
        <v>9.7181248959388594E-2</v>
      </c>
      <c r="J187">
        <v>6.7388107519473606E-2</v>
      </c>
      <c r="K187">
        <v>6.3014811961622896E-2</v>
      </c>
      <c r="L187">
        <v>2591.4855311065198</v>
      </c>
      <c r="M187">
        <v>42.582985459871402</v>
      </c>
      <c r="N187">
        <v>60.972773188850397</v>
      </c>
      <c r="O187">
        <v>60.7235555514171</v>
      </c>
      <c r="P187">
        <v>-0.16852246416577699</v>
      </c>
      <c r="Q187">
        <v>3.8746111254070702E-2</v>
      </c>
      <c r="R187">
        <v>0.99123163557348204</v>
      </c>
      <c r="S187" t="s">
        <v>4483</v>
      </c>
      <c r="T187" t="s">
        <v>8590</v>
      </c>
      <c r="U187" t="s">
        <v>8590</v>
      </c>
      <c r="V187" t="s">
        <v>8590</v>
      </c>
      <c r="W187">
        <v>75</v>
      </c>
      <c r="X187" t="s">
        <v>8777</v>
      </c>
      <c r="Y187">
        <v>0.71037070506759536</v>
      </c>
      <c r="Z187" t="str">
        <f>HYPERLINK("Melting_Curves/meltCurve_sp_O43707_ACTN4_HUMAN_.pdf", "Melting_Curves/meltCurve_sp_O43707_ACTN4_HUMAN_.pdf")</f>
        <v>Melting_Curves/meltCurve_sp_O43707_ACTN4_HUMAN_.pdf</v>
      </c>
      <c r="AA187" t="s">
        <v>13068</v>
      </c>
      <c r="AB187" t="s">
        <v>17272</v>
      </c>
    </row>
    <row r="188" spans="1:28" x14ac:dyDescent="0.25">
      <c r="A188" t="s">
        <v>192</v>
      </c>
      <c r="B188">
        <v>0.99876560204751996</v>
      </c>
      <c r="C188">
        <v>0.98572158951475497</v>
      </c>
      <c r="D188">
        <v>1.1789348004852001</v>
      </c>
      <c r="E188">
        <v>0.98375336653289602</v>
      </c>
      <c r="F188">
        <v>1.05066952716214</v>
      </c>
      <c r="G188">
        <v>0.84525710748899296</v>
      </c>
      <c r="H188">
        <v>0.76167317345969099</v>
      </c>
      <c r="I188">
        <v>0.78942924350446098</v>
      </c>
      <c r="J188">
        <v>0.96190378695265699</v>
      </c>
      <c r="K188">
        <v>0.93625174384530196</v>
      </c>
      <c r="L188">
        <v>5573.6040861626898</v>
      </c>
      <c r="M188">
        <v>100.907488969082</v>
      </c>
      <c r="O188">
        <v>55.213083702059201</v>
      </c>
      <c r="P188">
        <v>-6.4873707625836899E-2</v>
      </c>
      <c r="Q188">
        <v>0.85801336166737396</v>
      </c>
      <c r="R188">
        <v>0.52452159277685895</v>
      </c>
      <c r="S188" t="s">
        <v>4484</v>
      </c>
      <c r="T188" t="s">
        <v>8590</v>
      </c>
      <c r="U188" t="s">
        <v>8590</v>
      </c>
      <c r="V188" t="s">
        <v>8590</v>
      </c>
      <c r="W188">
        <v>9</v>
      </c>
      <c r="X188" t="s">
        <v>8778</v>
      </c>
      <c r="Y188">
        <v>0.9302025001596308</v>
      </c>
      <c r="Z188" t="str">
        <f>HYPERLINK("Melting_Curves/meltCurve_sp_O43715_TRIA1_HUMAN_.pdf", "Melting_Curves/meltCurve_sp_O43715_TRIA1_HUMAN_.pdf")</f>
        <v>Melting_Curves/meltCurve_sp_O43715_TRIA1_HUMAN_.pdf</v>
      </c>
      <c r="AA188" t="s">
        <v>13069</v>
      </c>
      <c r="AB188" t="s">
        <v>17273</v>
      </c>
    </row>
    <row r="189" spans="1:28" x14ac:dyDescent="0.25">
      <c r="A189" t="s">
        <v>193</v>
      </c>
      <c r="B189">
        <v>0.99876560204751996</v>
      </c>
      <c r="C189">
        <v>1.00769648253287</v>
      </c>
      <c r="D189">
        <v>1.1143324735509299</v>
      </c>
      <c r="E189">
        <v>0.91542338756629504</v>
      </c>
      <c r="F189">
        <v>0.78217127502488604</v>
      </c>
      <c r="G189">
        <v>0.52125247578481704</v>
      </c>
      <c r="H189">
        <v>0.42998879179377503</v>
      </c>
      <c r="I189">
        <v>0.37103252685858501</v>
      </c>
      <c r="J189">
        <v>0.49925059920252701</v>
      </c>
      <c r="K189">
        <v>0.36024646995805998</v>
      </c>
      <c r="L189">
        <v>1501.57708141285</v>
      </c>
      <c r="M189">
        <v>27.821460844439699</v>
      </c>
      <c r="N189">
        <v>57.4548913893357</v>
      </c>
      <c r="O189">
        <v>53.695365671363703</v>
      </c>
      <c r="P189">
        <v>-7.6759350467968002E-2</v>
      </c>
      <c r="Q189">
        <v>0.40742361999835602</v>
      </c>
      <c r="R189">
        <v>0.96507476910117995</v>
      </c>
      <c r="S189" t="s">
        <v>4485</v>
      </c>
      <c r="T189" t="s">
        <v>8590</v>
      </c>
      <c r="U189" t="s">
        <v>8590</v>
      </c>
      <c r="V189" t="s">
        <v>8590</v>
      </c>
      <c r="W189">
        <v>2</v>
      </c>
      <c r="X189" t="s">
        <v>8779</v>
      </c>
      <c r="Y189">
        <v>0.68789868442163637</v>
      </c>
      <c r="Z189" t="str">
        <f>HYPERLINK("Melting_Curves/meltCurve_sp_O43716_GATC_HUMAN_.pdf", "Melting_Curves/meltCurve_sp_O43716_GATC_HUMAN_.pdf")</f>
        <v>Melting_Curves/meltCurve_sp_O43716_GATC_HUMAN_.pdf</v>
      </c>
      <c r="AA189" t="s">
        <v>13070</v>
      </c>
      <c r="AB189" t="s">
        <v>17274</v>
      </c>
    </row>
    <row r="190" spans="1:28" x14ac:dyDescent="0.25">
      <c r="A190" t="s">
        <v>194</v>
      </c>
      <c r="B190">
        <v>0.99876560204751996</v>
      </c>
      <c r="C190">
        <v>1.05819701053807</v>
      </c>
      <c r="D190">
        <v>1.0610840815699101</v>
      </c>
      <c r="E190">
        <v>0.92422630451076804</v>
      </c>
      <c r="F190">
        <v>0.77004450898319099</v>
      </c>
      <c r="G190">
        <v>0.52032024749525796</v>
      </c>
      <c r="H190">
        <v>0.33944230385923801</v>
      </c>
      <c r="I190">
        <v>0.269507582339784</v>
      </c>
      <c r="J190">
        <v>0.26676061615943503</v>
      </c>
      <c r="K190">
        <v>0.25168248094479101</v>
      </c>
      <c r="L190">
        <v>1170.3858334086699</v>
      </c>
      <c r="M190">
        <v>21.148186013591602</v>
      </c>
      <c r="N190">
        <v>57.133552070650403</v>
      </c>
      <c r="O190">
        <v>54.854435971251597</v>
      </c>
      <c r="P190">
        <v>-7.3024248337046793E-2</v>
      </c>
      <c r="Q190">
        <v>0.242374902224644</v>
      </c>
      <c r="R190">
        <v>0.99159654162345001</v>
      </c>
      <c r="S190" t="s">
        <v>4486</v>
      </c>
      <c r="T190" t="s">
        <v>8590</v>
      </c>
      <c r="U190" t="s">
        <v>8590</v>
      </c>
      <c r="V190" t="s">
        <v>8590</v>
      </c>
      <c r="W190">
        <v>12</v>
      </c>
      <c r="X190" t="s">
        <v>8780</v>
      </c>
      <c r="Y190">
        <v>0.63902015680479685</v>
      </c>
      <c r="Z190" t="str">
        <f>HYPERLINK("Melting_Curves/meltCurve_sp_O43719_HTSF1_HUMAN_.pdf", "Melting_Curves/meltCurve_sp_O43719_HTSF1_HUMAN_.pdf")</f>
        <v>Melting_Curves/meltCurve_sp_O43719_HTSF1_HUMAN_.pdf</v>
      </c>
      <c r="AA190" t="s">
        <v>13071</v>
      </c>
      <c r="AB190" t="s">
        <v>17275</v>
      </c>
    </row>
    <row r="191" spans="1:28" x14ac:dyDescent="0.25">
      <c r="A191" t="s">
        <v>195</v>
      </c>
      <c r="B191">
        <v>0.99876560204751996</v>
      </c>
      <c r="C191">
        <v>1.1269307841480301</v>
      </c>
      <c r="D191">
        <v>1.0340433638492399</v>
      </c>
      <c r="E191">
        <v>1.0455222951430601</v>
      </c>
      <c r="F191">
        <v>0.83638489119743598</v>
      </c>
      <c r="G191">
        <v>0.39675898603104098</v>
      </c>
      <c r="H191">
        <v>0.127225063977185</v>
      </c>
      <c r="I191">
        <v>5.9937241295671198E-2</v>
      </c>
      <c r="J191">
        <v>4.31314445019821E-2</v>
      </c>
      <c r="K191">
        <v>4.6150846778125303E-2</v>
      </c>
      <c r="L191">
        <v>1724.4411785771999</v>
      </c>
      <c r="M191">
        <v>30.795178520171898</v>
      </c>
      <c r="N191">
        <v>56.165305148712797</v>
      </c>
      <c r="O191">
        <v>55.762573603715403</v>
      </c>
      <c r="P191">
        <v>-0.131983366643145</v>
      </c>
      <c r="Q191">
        <v>4.4046589100648098E-2</v>
      </c>
      <c r="R191">
        <v>0.98886859805163696</v>
      </c>
      <c r="S191" t="s">
        <v>4487</v>
      </c>
      <c r="T191" t="s">
        <v>8590</v>
      </c>
      <c r="U191" t="s">
        <v>8590</v>
      </c>
      <c r="V191" t="s">
        <v>8590</v>
      </c>
      <c r="W191">
        <v>22</v>
      </c>
      <c r="X191" t="s">
        <v>8781</v>
      </c>
      <c r="Y191">
        <v>0.55987124802091981</v>
      </c>
      <c r="Z191" t="str">
        <f>HYPERLINK("Melting_Curves/meltCurve_sp_O43747_AP1G1_HUMAN_.pdf", "Melting_Curves/meltCurve_sp_O43747_AP1G1_HUMAN_.pdf")</f>
        <v>Melting_Curves/meltCurve_sp_O43747_AP1G1_HUMAN_.pdf</v>
      </c>
      <c r="AA191" t="s">
        <v>13072</v>
      </c>
      <c r="AB191" t="s">
        <v>17276</v>
      </c>
    </row>
    <row r="192" spans="1:28" x14ac:dyDescent="0.25">
      <c r="A192" t="s">
        <v>196</v>
      </c>
      <c r="B192">
        <v>0.99876560204751996</v>
      </c>
      <c r="C192">
        <v>0.93301305076470598</v>
      </c>
      <c r="D192">
        <v>0.95052882014284901</v>
      </c>
      <c r="E192">
        <v>0.88913145227107204</v>
      </c>
      <c r="F192">
        <v>0.75194498859205405</v>
      </c>
      <c r="G192">
        <v>0.58702908921538999</v>
      </c>
      <c r="H192">
        <v>0.38780520915104799</v>
      </c>
      <c r="I192">
        <v>0.362855391335624</v>
      </c>
      <c r="J192">
        <v>0.40971498654798499</v>
      </c>
      <c r="K192">
        <v>0.40247138478761701</v>
      </c>
      <c r="L192">
        <v>984.92831098644103</v>
      </c>
      <c r="M192">
        <v>18.137685888881698</v>
      </c>
      <c r="N192">
        <v>58.450058715655302</v>
      </c>
      <c r="O192">
        <v>53.6556778093586</v>
      </c>
      <c r="P192">
        <v>-5.39248391092551E-2</v>
      </c>
      <c r="Q192">
        <v>0.36193953168481102</v>
      </c>
      <c r="R192">
        <v>0.98192601105516297</v>
      </c>
      <c r="S192" t="s">
        <v>4488</v>
      </c>
      <c r="T192" t="s">
        <v>8590</v>
      </c>
      <c r="U192" t="s">
        <v>8590</v>
      </c>
      <c r="V192" t="s">
        <v>8590</v>
      </c>
      <c r="W192">
        <v>7</v>
      </c>
      <c r="X192" t="s">
        <v>8782</v>
      </c>
      <c r="Y192">
        <v>0.67614988656177366</v>
      </c>
      <c r="Z192" t="str">
        <f>HYPERLINK("Melting_Curves/meltCurve_sp_O43765_SGTA_HUMAN_.pdf", "Melting_Curves/meltCurve_sp_O43765_SGTA_HUMAN_.pdf")</f>
        <v>Melting_Curves/meltCurve_sp_O43765_SGTA_HUMAN_.pdf</v>
      </c>
      <c r="AA192" t="s">
        <v>13073</v>
      </c>
      <c r="AB192" t="s">
        <v>17277</v>
      </c>
    </row>
    <row r="193" spans="1:28" x14ac:dyDescent="0.25">
      <c r="A193" t="s">
        <v>197</v>
      </c>
      <c r="B193">
        <v>0.99876560204751996</v>
      </c>
      <c r="C193">
        <v>0.91604315531904001</v>
      </c>
      <c r="D193">
        <v>0.87941682123503995</v>
      </c>
      <c r="E193">
        <v>0.73054051066588099</v>
      </c>
      <c r="F193">
        <v>0.59942434036182402</v>
      </c>
      <c r="G193">
        <v>0.42607718173098602</v>
      </c>
      <c r="H193">
        <v>0.30991478492783697</v>
      </c>
      <c r="I193">
        <v>0.211453900378475</v>
      </c>
      <c r="J193">
        <v>0.204210838914408</v>
      </c>
      <c r="K193">
        <v>0.143580322511282</v>
      </c>
      <c r="L193">
        <v>543.68360519734699</v>
      </c>
      <c r="M193">
        <v>9.9593582154475797</v>
      </c>
      <c r="N193">
        <v>55.2384639931728</v>
      </c>
      <c r="O193">
        <v>52.5261395443789</v>
      </c>
      <c r="P193">
        <v>-4.4809718564595598E-2</v>
      </c>
      <c r="Q193">
        <v>5.5152229556984102E-2</v>
      </c>
      <c r="R193">
        <v>0.99767653376881305</v>
      </c>
      <c r="S193" t="s">
        <v>4489</v>
      </c>
      <c r="T193" t="s">
        <v>8590</v>
      </c>
      <c r="U193" t="s">
        <v>8590</v>
      </c>
      <c r="V193" t="s">
        <v>8590</v>
      </c>
      <c r="W193">
        <v>9</v>
      </c>
      <c r="X193" t="s">
        <v>8783</v>
      </c>
      <c r="Y193">
        <v>0.54089462492699625</v>
      </c>
      <c r="Z193" t="str">
        <f>HYPERLINK("Melting_Curves/meltCurve_sp_O43766_LIAS_HUMAN_.pdf", "Melting_Curves/meltCurve_sp_O43766_LIAS_HUMAN_.pdf")</f>
        <v>Melting_Curves/meltCurve_sp_O43766_LIAS_HUMAN_.pdf</v>
      </c>
      <c r="AA193" t="s">
        <v>13074</v>
      </c>
      <c r="AB193" t="s">
        <v>17278</v>
      </c>
    </row>
    <row r="194" spans="1:28" x14ac:dyDescent="0.25">
      <c r="A194" t="s">
        <v>198</v>
      </c>
      <c r="B194">
        <v>0.99876560204751996</v>
      </c>
      <c r="C194">
        <v>0.88273746502832695</v>
      </c>
      <c r="D194">
        <v>0.94626804885113303</v>
      </c>
      <c r="E194">
        <v>0.86467535615413904</v>
      </c>
      <c r="F194">
        <v>0.87779492823666805</v>
      </c>
      <c r="G194">
        <v>0.70063034054694096</v>
      </c>
      <c r="H194">
        <v>0.61905686035130403</v>
      </c>
      <c r="I194">
        <v>0.638774036793478</v>
      </c>
      <c r="J194">
        <v>0.74316075842838203</v>
      </c>
      <c r="K194">
        <v>0.74441176300373202</v>
      </c>
      <c r="L194">
        <v>673.84078448759499</v>
      </c>
      <c r="M194">
        <v>13.158957783152101</v>
      </c>
      <c r="O194">
        <v>50.068487047736397</v>
      </c>
      <c r="P194">
        <v>-2.15919275836104E-2</v>
      </c>
      <c r="Q194">
        <v>0.67143522369591901</v>
      </c>
      <c r="R194">
        <v>0.77415069659495295</v>
      </c>
      <c r="S194" t="s">
        <v>4490</v>
      </c>
      <c r="T194" t="s">
        <v>8590</v>
      </c>
      <c r="U194" t="s">
        <v>8590</v>
      </c>
      <c r="V194" t="s">
        <v>8590</v>
      </c>
      <c r="W194">
        <v>8</v>
      </c>
      <c r="X194" t="s">
        <v>8784</v>
      </c>
      <c r="Y194">
        <v>0.80344041106995523</v>
      </c>
      <c r="Z194" t="str">
        <f>HYPERLINK("Melting_Curves/meltCurve_sp_O43768_2_ENSA_HUMAN_.pdf", "Melting_Curves/meltCurve_sp_O43768_2_ENSA_HUMAN_.pdf")</f>
        <v>Melting_Curves/meltCurve_sp_O43768_2_ENSA_HUMAN_.pdf</v>
      </c>
      <c r="AA194" t="s">
        <v>13075</v>
      </c>
      <c r="AB194" t="s">
        <v>17279</v>
      </c>
    </row>
    <row r="195" spans="1:28" x14ac:dyDescent="0.25">
      <c r="A195" t="s">
        <v>199</v>
      </c>
      <c r="B195">
        <v>0.99876560204751996</v>
      </c>
      <c r="C195">
        <v>1.0162510344003901</v>
      </c>
      <c r="D195">
        <v>0.88692850514421395</v>
      </c>
      <c r="E195">
        <v>0.59062971908010997</v>
      </c>
      <c r="F195">
        <v>0.14966982375642099</v>
      </c>
      <c r="G195">
        <v>0.10439120621082799</v>
      </c>
      <c r="H195">
        <v>6.6677580570114497E-2</v>
      </c>
      <c r="I195">
        <v>6.2629260186438301E-2</v>
      </c>
      <c r="J195">
        <v>7.1333125893543695E-2</v>
      </c>
      <c r="K195">
        <v>5.70167746735947E-2</v>
      </c>
      <c r="L195">
        <v>1706.8645608024499</v>
      </c>
      <c r="M195">
        <v>34.020836231255799</v>
      </c>
      <c r="N195">
        <v>50.371463670879301</v>
      </c>
      <c r="O195">
        <v>49.998754594355297</v>
      </c>
      <c r="P195">
        <v>-0.15934650848576201</v>
      </c>
      <c r="Q195">
        <v>6.3268703254088496E-2</v>
      </c>
      <c r="R195">
        <v>0.99421540220640003</v>
      </c>
      <c r="S195" t="s">
        <v>4491</v>
      </c>
      <c r="T195" t="s">
        <v>8590</v>
      </c>
      <c r="U195" t="s">
        <v>8590</v>
      </c>
      <c r="V195" t="s">
        <v>8590</v>
      </c>
      <c r="W195">
        <v>13</v>
      </c>
      <c r="X195" t="s">
        <v>8785</v>
      </c>
      <c r="Y195">
        <v>0.38536259435829923</v>
      </c>
      <c r="Z195" t="str">
        <f>HYPERLINK("Melting_Curves/meltCurve_sp_O43776_SYNC_HUMAN_.pdf", "Melting_Curves/meltCurve_sp_O43776_SYNC_HUMAN_.pdf")</f>
        <v>Melting_Curves/meltCurve_sp_O43776_SYNC_HUMAN_.pdf</v>
      </c>
      <c r="AA195" t="s">
        <v>13076</v>
      </c>
      <c r="AB195" t="s">
        <v>17280</v>
      </c>
    </row>
    <row r="196" spans="1:28" x14ac:dyDescent="0.25">
      <c r="A196" t="s">
        <v>200</v>
      </c>
      <c r="B196">
        <v>0.99876560204751996</v>
      </c>
      <c r="C196">
        <v>0.94176936648223797</v>
      </c>
      <c r="D196">
        <v>0.83315028590210505</v>
      </c>
      <c r="E196">
        <v>0.82548296480863403</v>
      </c>
      <c r="F196">
        <v>0.58185423944075298</v>
      </c>
      <c r="G196">
        <v>0.186045015033246</v>
      </c>
      <c r="H196">
        <v>8.9399266143037101E-2</v>
      </c>
      <c r="I196">
        <v>4.6177878667250198E-2</v>
      </c>
      <c r="J196">
        <v>2.2204046513783399E-2</v>
      </c>
      <c r="K196">
        <v>1.0657746457205601E-2</v>
      </c>
      <c r="L196">
        <v>1029.3956408834499</v>
      </c>
      <c r="M196">
        <v>19.236167824346499</v>
      </c>
      <c r="N196">
        <v>53.513550879603997</v>
      </c>
      <c r="O196">
        <v>52.9453072329324</v>
      </c>
      <c r="P196">
        <v>-9.0833861257871601E-2</v>
      </c>
      <c r="Q196">
        <v>0</v>
      </c>
      <c r="R196">
        <v>0.98555065702426004</v>
      </c>
      <c r="S196" t="s">
        <v>4492</v>
      </c>
      <c r="T196" t="s">
        <v>8590</v>
      </c>
      <c r="U196" t="s">
        <v>8590</v>
      </c>
      <c r="V196" t="s">
        <v>8590</v>
      </c>
      <c r="W196">
        <v>8</v>
      </c>
      <c r="X196" t="s">
        <v>8786</v>
      </c>
      <c r="Y196">
        <v>0.46503541970506651</v>
      </c>
      <c r="Z196" t="str">
        <f>HYPERLINK("Melting_Curves/meltCurve_sp_O43809_CPSF5_HUMAN_.pdf", "Melting_Curves/meltCurve_sp_O43809_CPSF5_HUMAN_.pdf")</f>
        <v>Melting_Curves/meltCurve_sp_O43809_CPSF5_HUMAN_.pdf</v>
      </c>
      <c r="AA196" t="s">
        <v>13077</v>
      </c>
      <c r="AB196" t="s">
        <v>17281</v>
      </c>
    </row>
    <row r="197" spans="1:28" x14ac:dyDescent="0.25">
      <c r="A197" t="s">
        <v>201</v>
      </c>
      <c r="B197">
        <v>0.99876560204751996</v>
      </c>
      <c r="C197">
        <v>0.88522304168433297</v>
      </c>
      <c r="D197">
        <v>0.90277957210335802</v>
      </c>
      <c r="E197">
        <v>0.58124951648241796</v>
      </c>
      <c r="F197">
        <v>0.369221333460649</v>
      </c>
      <c r="G197">
        <v>0.102273292582714</v>
      </c>
      <c r="H197">
        <v>5.0053254876314103E-2</v>
      </c>
      <c r="I197">
        <v>3.71087023179184E-2</v>
      </c>
      <c r="J197">
        <v>3.3680178286878901E-2</v>
      </c>
      <c r="K197">
        <v>2.6382529346785699E-2</v>
      </c>
      <c r="L197">
        <v>911.99785367373704</v>
      </c>
      <c r="M197">
        <v>17.8877226585813</v>
      </c>
      <c r="N197">
        <v>51.033517545629799</v>
      </c>
      <c r="O197">
        <v>50.360178011027301</v>
      </c>
      <c r="P197">
        <v>-8.8048164966220893E-2</v>
      </c>
      <c r="Q197">
        <v>8.5050580422297798E-3</v>
      </c>
      <c r="R197">
        <v>0.99332669572992804</v>
      </c>
      <c r="S197" t="s">
        <v>4493</v>
      </c>
      <c r="T197" t="s">
        <v>8590</v>
      </c>
      <c r="U197" t="s">
        <v>8590</v>
      </c>
      <c r="V197" t="s">
        <v>8590</v>
      </c>
      <c r="W197">
        <v>11</v>
      </c>
      <c r="X197" t="s">
        <v>8787</v>
      </c>
      <c r="Y197">
        <v>0.38844187933489549</v>
      </c>
      <c r="Z197" t="str">
        <f>HYPERLINK("Melting_Curves/meltCurve_sp_O43813_LANC1_HUMAN_.pdf", "Melting_Curves/meltCurve_sp_O43813_LANC1_HUMAN_.pdf")</f>
        <v>Melting_Curves/meltCurve_sp_O43813_LANC1_HUMAN_.pdf</v>
      </c>
      <c r="AA197" t="s">
        <v>13078</v>
      </c>
      <c r="AB197" t="s">
        <v>17282</v>
      </c>
    </row>
    <row r="198" spans="1:28" x14ac:dyDescent="0.25">
      <c r="A198" t="s">
        <v>202</v>
      </c>
      <c r="B198">
        <v>0.99876560204751996</v>
      </c>
      <c r="C198">
        <v>1.01309236351272</v>
      </c>
      <c r="D198">
        <v>0.98685388179231204</v>
      </c>
      <c r="E198">
        <v>0.94696645991751704</v>
      </c>
      <c r="F198">
        <v>0.66971507084223603</v>
      </c>
      <c r="G198">
        <v>0.29759585172192998</v>
      </c>
      <c r="H198">
        <v>0.234902358882177</v>
      </c>
      <c r="I198">
        <v>0.213623225832729</v>
      </c>
      <c r="J198">
        <v>0.27373812150215099</v>
      </c>
      <c r="K198">
        <v>0.24041326650882699</v>
      </c>
      <c r="L198">
        <v>2088.02914572292</v>
      </c>
      <c r="M198">
        <v>39.135256327347797</v>
      </c>
      <c r="N198">
        <v>54.256357668244199</v>
      </c>
      <c r="O198">
        <v>53.2154289774804</v>
      </c>
      <c r="P198">
        <v>-0.13988079168145601</v>
      </c>
      <c r="Q198">
        <v>0.23917201843480801</v>
      </c>
      <c r="R198">
        <v>0.99810174686404496</v>
      </c>
      <c r="S198" t="s">
        <v>4494</v>
      </c>
      <c r="T198" t="s">
        <v>8590</v>
      </c>
      <c r="U198" t="s">
        <v>8590</v>
      </c>
      <c r="V198" t="s">
        <v>8590</v>
      </c>
      <c r="W198">
        <v>5</v>
      </c>
      <c r="X198" t="s">
        <v>8788</v>
      </c>
      <c r="Y198">
        <v>0.58077378420321746</v>
      </c>
      <c r="Z198" t="str">
        <f>HYPERLINK("Melting_Curves/meltCurve_sp_O43815_2_STRN_HUMAN_.pdf", "Melting_Curves/meltCurve_sp_O43815_2_STRN_HUMAN_.pdf")</f>
        <v>Melting_Curves/meltCurve_sp_O43815_2_STRN_HUMAN_.pdf</v>
      </c>
      <c r="AA198" t="s">
        <v>13079</v>
      </c>
      <c r="AB198" t="s">
        <v>17283</v>
      </c>
    </row>
    <row r="199" spans="1:28" x14ac:dyDescent="0.25">
      <c r="A199" t="s">
        <v>203</v>
      </c>
      <c r="B199">
        <v>0.99876560204751996</v>
      </c>
      <c r="C199">
        <v>1.0096636024116099</v>
      </c>
      <c r="D199">
        <v>0.977406564298131</v>
      </c>
      <c r="E199">
        <v>0.868981256667402</v>
      </c>
      <c r="F199">
        <v>0.58555946317436802</v>
      </c>
      <c r="G199">
        <v>0.35863930733117699</v>
      </c>
      <c r="H199">
        <v>0.27947233427814</v>
      </c>
      <c r="I199">
        <v>0.25925191068483899</v>
      </c>
      <c r="J199">
        <v>0.16052584142225901</v>
      </c>
      <c r="K199">
        <v>0.13800931885210799</v>
      </c>
      <c r="L199">
        <v>1055.1365983842099</v>
      </c>
      <c r="M199">
        <v>19.733837856414201</v>
      </c>
      <c r="N199">
        <v>54.662817860327998</v>
      </c>
      <c r="O199">
        <v>52.928428811673797</v>
      </c>
      <c r="P199">
        <v>-7.6888139196732E-2</v>
      </c>
      <c r="Q199">
        <v>0.175137194926241</v>
      </c>
      <c r="R199">
        <v>0.99151549896545199</v>
      </c>
      <c r="S199" t="s">
        <v>4495</v>
      </c>
      <c r="T199" t="s">
        <v>8590</v>
      </c>
      <c r="U199" t="s">
        <v>8590</v>
      </c>
      <c r="V199" t="s">
        <v>8590</v>
      </c>
      <c r="W199">
        <v>2</v>
      </c>
      <c r="X199" t="s">
        <v>8789</v>
      </c>
      <c r="Y199">
        <v>0.5570017914334624</v>
      </c>
      <c r="Z199" t="str">
        <f>HYPERLINK("Melting_Curves/meltCurve_sp_O43819_SCO2_HUMAN_.pdf", "Melting_Curves/meltCurve_sp_O43819_SCO2_HUMAN_.pdf")</f>
        <v>Melting_Curves/meltCurve_sp_O43819_SCO2_HUMAN_.pdf</v>
      </c>
      <c r="AA199" t="s">
        <v>13080</v>
      </c>
      <c r="AB199" t="s">
        <v>17284</v>
      </c>
    </row>
    <row r="200" spans="1:28" x14ac:dyDescent="0.25">
      <c r="A200" t="s">
        <v>204</v>
      </c>
      <c r="B200">
        <v>0.99876560204751996</v>
      </c>
      <c r="C200">
        <v>1.0204345241092501</v>
      </c>
      <c r="D200">
        <v>1.20399645176685</v>
      </c>
      <c r="E200">
        <v>1.04057349714644</v>
      </c>
      <c r="F200">
        <v>1.18925360542</v>
      </c>
      <c r="G200">
        <v>0.94079692102871804</v>
      </c>
      <c r="H200">
        <v>0.77724298371173395</v>
      </c>
      <c r="I200">
        <v>0.82567301546933103</v>
      </c>
      <c r="J200">
        <v>1.09963881926719</v>
      </c>
      <c r="K200">
        <v>1.0808880599166799</v>
      </c>
      <c r="L200">
        <v>15000</v>
      </c>
      <c r="M200">
        <v>227.70654541011999</v>
      </c>
      <c r="O200">
        <v>65.869165493288705</v>
      </c>
      <c r="P200">
        <v>7.8654821654658702E-2</v>
      </c>
      <c r="Q200">
        <v>1.0910106194914799</v>
      </c>
      <c r="R200">
        <v>7.4140954749412999E-2</v>
      </c>
      <c r="S200" t="s">
        <v>4496</v>
      </c>
      <c r="T200" t="s">
        <v>8590</v>
      </c>
      <c r="U200" t="s">
        <v>8590</v>
      </c>
      <c r="V200" t="s">
        <v>8590</v>
      </c>
      <c r="W200">
        <v>1</v>
      </c>
      <c r="X200" t="s">
        <v>8790</v>
      </c>
      <c r="Y200">
        <v>1.012503525710315</v>
      </c>
      <c r="Z200" t="str">
        <f>HYPERLINK("Melting_Curves/meltCurve_sp_O43820_4_HYAL3_HUMAN_.pdf", "Melting_Curves/meltCurve_sp_O43820_4_HYAL3_HUMAN_.pdf")</f>
        <v>Melting_Curves/meltCurve_sp_O43820_4_HYAL3_HUMAN_.pdf</v>
      </c>
      <c r="AA200" t="s">
        <v>13081</v>
      </c>
      <c r="AB200" t="s">
        <v>17285</v>
      </c>
    </row>
    <row r="201" spans="1:28" x14ac:dyDescent="0.25">
      <c r="A201" t="s">
        <v>205</v>
      </c>
      <c r="B201">
        <v>0.99876560204751996</v>
      </c>
      <c r="C201">
        <v>0.85398655319231398</v>
      </c>
      <c r="D201">
        <v>0.65576676245001198</v>
      </c>
      <c r="E201">
        <v>0.55973941049353604</v>
      </c>
      <c r="F201">
        <v>0.33322108606543299</v>
      </c>
      <c r="G201">
        <v>0.15246401506500501</v>
      </c>
      <c r="H201">
        <v>7.4062886175948903E-2</v>
      </c>
      <c r="I201">
        <v>4.9740974022990603E-2</v>
      </c>
      <c r="J201">
        <v>4.3407093278940802E-2</v>
      </c>
      <c r="K201">
        <v>3.5926734350445903E-2</v>
      </c>
      <c r="L201">
        <v>595.716107891614</v>
      </c>
      <c r="M201">
        <v>11.973280178241501</v>
      </c>
      <c r="N201">
        <v>49.753793342844403</v>
      </c>
      <c r="O201">
        <v>48.426851968118697</v>
      </c>
      <c r="P201">
        <v>-6.1826190916870603E-2</v>
      </c>
      <c r="Q201">
        <v>0</v>
      </c>
      <c r="R201">
        <v>0.98751603822628498</v>
      </c>
      <c r="S201" t="s">
        <v>4497</v>
      </c>
      <c r="T201" t="s">
        <v>8590</v>
      </c>
      <c r="U201" t="s">
        <v>8590</v>
      </c>
      <c r="V201" t="s">
        <v>8590</v>
      </c>
      <c r="W201">
        <v>11</v>
      </c>
      <c r="X201" t="s">
        <v>8791</v>
      </c>
      <c r="Y201">
        <v>0.36037319568866127</v>
      </c>
      <c r="Z201" t="str">
        <f>HYPERLINK("Melting_Curves/meltCurve_sp_O43837_IDH3B_HUMAN_.pdf", "Melting_Curves/meltCurve_sp_O43837_IDH3B_HUMAN_.pdf")</f>
        <v>Melting_Curves/meltCurve_sp_O43837_IDH3B_HUMAN_.pdf</v>
      </c>
      <c r="AA201" t="s">
        <v>13082</v>
      </c>
      <c r="AB201" t="s">
        <v>17286</v>
      </c>
    </row>
    <row r="202" spans="1:28" x14ac:dyDescent="0.25">
      <c r="A202" t="s">
        <v>206</v>
      </c>
      <c r="B202">
        <v>0.99876560204751996</v>
      </c>
      <c r="C202">
        <v>1.0099230134261501</v>
      </c>
      <c r="D202">
        <v>0.96194838141622296</v>
      </c>
      <c r="E202">
        <v>0.91854748185081003</v>
      </c>
      <c r="F202">
        <v>0.53610959703352801</v>
      </c>
      <c r="G202">
        <v>0.217694916137468</v>
      </c>
      <c r="H202">
        <v>0.1054187888866</v>
      </c>
      <c r="I202">
        <v>8.3282552172697602E-2</v>
      </c>
      <c r="J202">
        <v>7.9001981728364395E-2</v>
      </c>
      <c r="K202">
        <v>6.3127645697324306E-2</v>
      </c>
      <c r="L202">
        <v>1587.67552397293</v>
      </c>
      <c r="M202">
        <v>29.849182421345301</v>
      </c>
      <c r="N202">
        <v>53.500608118088998</v>
      </c>
      <c r="O202">
        <v>52.952901435550999</v>
      </c>
      <c r="P202">
        <v>-0.12971018441621501</v>
      </c>
      <c r="Q202">
        <v>7.9574932471635704E-2</v>
      </c>
      <c r="R202">
        <v>0.99741102000864501</v>
      </c>
      <c r="S202" t="s">
        <v>4498</v>
      </c>
      <c r="T202" t="s">
        <v>8590</v>
      </c>
      <c r="U202" t="s">
        <v>8590</v>
      </c>
      <c r="V202" t="s">
        <v>8590</v>
      </c>
      <c r="W202">
        <v>15</v>
      </c>
      <c r="X202" t="s">
        <v>8792</v>
      </c>
      <c r="Y202">
        <v>0.49029641453895467</v>
      </c>
      <c r="Z202" t="str">
        <f>HYPERLINK("Melting_Curves/meltCurve_sp_O43847_2_NRDC_HUMAN_.pdf", "Melting_Curves/meltCurve_sp_O43847_2_NRDC_HUMAN_.pdf")</f>
        <v>Melting_Curves/meltCurve_sp_O43847_2_NRDC_HUMAN_.pdf</v>
      </c>
      <c r="AA202" t="s">
        <v>13083</v>
      </c>
      <c r="AB202" t="s">
        <v>17287</v>
      </c>
    </row>
    <row r="203" spans="1:28" x14ac:dyDescent="0.25">
      <c r="A203" t="s">
        <v>207</v>
      </c>
      <c r="B203">
        <v>0.99876560204751996</v>
      </c>
      <c r="C203">
        <v>0.95127322895306199</v>
      </c>
      <c r="D203">
        <v>0.96824267470438097</v>
      </c>
      <c r="E203">
        <v>0.94667999647222001</v>
      </c>
      <c r="F203">
        <v>1.0039466192722399</v>
      </c>
      <c r="G203">
        <v>0.85131356461783303</v>
      </c>
      <c r="H203">
        <v>0.78656530843674899</v>
      </c>
      <c r="I203">
        <v>0.80882116101842305</v>
      </c>
      <c r="J203">
        <v>0.97466259951786705</v>
      </c>
      <c r="K203">
        <v>0.97000969533523795</v>
      </c>
      <c r="L203">
        <v>13681.852765588101</v>
      </c>
      <c r="M203">
        <v>250</v>
      </c>
      <c r="O203">
        <v>54.723908864072499</v>
      </c>
      <c r="P203">
        <v>-0.139023092636296</v>
      </c>
      <c r="Q203">
        <v>0.87827380730429105</v>
      </c>
      <c r="R203">
        <v>0.33811766329722598</v>
      </c>
      <c r="S203" t="s">
        <v>4499</v>
      </c>
      <c r="T203" t="s">
        <v>8590</v>
      </c>
      <c r="U203" t="s">
        <v>8590</v>
      </c>
      <c r="V203" t="s">
        <v>8590</v>
      </c>
      <c r="W203">
        <v>12</v>
      </c>
      <c r="X203" t="s">
        <v>8793</v>
      </c>
      <c r="Y203">
        <v>0.93804255448449358</v>
      </c>
      <c r="Z203" t="str">
        <f>HYPERLINK("Melting_Curves/meltCurve_sp_O43852_CALU_HUMAN_.pdf", "Melting_Curves/meltCurve_sp_O43852_CALU_HUMAN_.pdf")</f>
        <v>Melting_Curves/meltCurve_sp_O43852_CALU_HUMAN_.pdf</v>
      </c>
      <c r="AA203" t="s">
        <v>13084</v>
      </c>
      <c r="AB203" t="s">
        <v>17288</v>
      </c>
    </row>
    <row r="204" spans="1:28" x14ac:dyDescent="0.25">
      <c r="A204" t="s">
        <v>208</v>
      </c>
      <c r="B204">
        <v>0.99876560204751996</v>
      </c>
      <c r="C204">
        <v>0.78806942060204699</v>
      </c>
      <c r="D204">
        <v>0.60817208944562995</v>
      </c>
      <c r="E204">
        <v>0.36958589036107697</v>
      </c>
      <c r="F204">
        <v>0.18224642186777601</v>
      </c>
      <c r="G204">
        <v>0.11608228281693</v>
      </c>
      <c r="H204">
        <v>6.48923055790568E-2</v>
      </c>
      <c r="I204">
        <v>5.5427156471239802E-2</v>
      </c>
      <c r="J204">
        <v>4.9980968819472997E-2</v>
      </c>
      <c r="K204">
        <v>3.8708643097937E-2</v>
      </c>
      <c r="L204">
        <v>685.49103160611298</v>
      </c>
      <c r="M204">
        <v>14.476770960178699</v>
      </c>
      <c r="N204">
        <v>47.574188880552001</v>
      </c>
      <c r="O204">
        <v>46.4750970976133</v>
      </c>
      <c r="P204">
        <v>-7.5326759907643107E-2</v>
      </c>
      <c r="Q204">
        <v>3.2819837702160799E-2</v>
      </c>
      <c r="R204">
        <v>0.99403766983589203</v>
      </c>
      <c r="S204" t="s">
        <v>4500</v>
      </c>
      <c r="T204" t="s">
        <v>8590</v>
      </c>
      <c r="U204" t="s">
        <v>8590</v>
      </c>
      <c r="V204" t="s">
        <v>8590</v>
      </c>
      <c r="W204">
        <v>12</v>
      </c>
      <c r="X204" t="s">
        <v>8794</v>
      </c>
      <c r="Y204">
        <v>0.29746238689915372</v>
      </c>
      <c r="Z204" t="str">
        <f>HYPERLINK("Melting_Curves/meltCurve_sp_O43865_SAHH2_HUMAN_.pdf", "Melting_Curves/meltCurve_sp_O43865_SAHH2_HUMAN_.pdf")</f>
        <v>Melting_Curves/meltCurve_sp_O43865_SAHH2_HUMAN_.pdf</v>
      </c>
      <c r="AA204" t="s">
        <v>13085</v>
      </c>
      <c r="AB204" t="s">
        <v>17289</v>
      </c>
    </row>
    <row r="205" spans="1:28" x14ac:dyDescent="0.25">
      <c r="A205" t="s">
        <v>209</v>
      </c>
      <c r="B205">
        <v>0.99876560204751996</v>
      </c>
      <c r="C205">
        <v>0.98449537946079102</v>
      </c>
      <c r="D205">
        <v>0.88658655764962302</v>
      </c>
      <c r="E205">
        <v>0.62357031630259996</v>
      </c>
      <c r="F205">
        <v>0.53204553196263105</v>
      </c>
      <c r="G205">
        <v>0.43200145450370803</v>
      </c>
      <c r="H205">
        <v>0.32381887885021299</v>
      </c>
      <c r="I205">
        <v>0.32283917473041501</v>
      </c>
      <c r="J205">
        <v>0.26260501099526101</v>
      </c>
      <c r="K205">
        <v>0.28370029190454998</v>
      </c>
      <c r="L205">
        <v>747.26597884957096</v>
      </c>
      <c r="M205">
        <v>14.753046520100099</v>
      </c>
      <c r="N205">
        <v>53.544632118237999</v>
      </c>
      <c r="O205">
        <v>49.7483092603863</v>
      </c>
      <c r="P205">
        <v>-5.3779647502529102E-2</v>
      </c>
      <c r="Q205">
        <v>0.27468320338221502</v>
      </c>
      <c r="R205">
        <v>0.99116245790177704</v>
      </c>
      <c r="S205" t="s">
        <v>4501</v>
      </c>
      <c r="T205" t="s">
        <v>8590</v>
      </c>
      <c r="U205" t="s">
        <v>8590</v>
      </c>
      <c r="V205" t="s">
        <v>8590</v>
      </c>
      <c r="W205">
        <v>9</v>
      </c>
      <c r="X205" t="s">
        <v>8795</v>
      </c>
      <c r="Y205">
        <v>0.54963464852781696</v>
      </c>
      <c r="Z205" t="str">
        <f>HYPERLINK("Melting_Curves/meltCurve_sp_O43896_KIF1C_HUMAN_.pdf", "Melting_Curves/meltCurve_sp_O43896_KIF1C_HUMAN_.pdf")</f>
        <v>Melting_Curves/meltCurve_sp_O43896_KIF1C_HUMAN_.pdf</v>
      </c>
      <c r="AA205" t="s">
        <v>13086</v>
      </c>
      <c r="AB205" t="s">
        <v>17290</v>
      </c>
    </row>
    <row r="206" spans="1:28" x14ac:dyDescent="0.25">
      <c r="A206" t="s">
        <v>210</v>
      </c>
      <c r="B206">
        <v>0.99876560204751996</v>
      </c>
      <c r="C206">
        <v>1.03621210145451</v>
      </c>
      <c r="D206">
        <v>0.89328320631785096</v>
      </c>
      <c r="E206">
        <v>0.82939119203783895</v>
      </c>
      <c r="F206">
        <v>0.35299585418375901</v>
      </c>
      <c r="G206">
        <v>0.16973915731804001</v>
      </c>
      <c r="H206">
        <v>0.13631939750456101</v>
      </c>
      <c r="I206">
        <v>0.114942771615876</v>
      </c>
      <c r="J206">
        <v>0.16740745680861799</v>
      </c>
      <c r="K206">
        <v>0.132127515330696</v>
      </c>
      <c r="L206">
        <v>2093.1281991979199</v>
      </c>
      <c r="M206">
        <v>40.550250812926997</v>
      </c>
      <c r="N206">
        <v>52.036635701401998</v>
      </c>
      <c r="O206">
        <v>51.493069136565602</v>
      </c>
      <c r="P206">
        <v>-0.16948019428318301</v>
      </c>
      <c r="Q206">
        <v>0.139138374945981</v>
      </c>
      <c r="R206">
        <v>0.99085721707589103</v>
      </c>
      <c r="S206" t="s">
        <v>4502</v>
      </c>
      <c r="T206" t="s">
        <v>8590</v>
      </c>
      <c r="U206" t="s">
        <v>8590</v>
      </c>
      <c r="V206" t="s">
        <v>8590</v>
      </c>
      <c r="W206">
        <v>3</v>
      </c>
      <c r="X206" t="s">
        <v>8796</v>
      </c>
      <c r="Y206">
        <v>0.47551252183816872</v>
      </c>
      <c r="Z206" t="str">
        <f>HYPERLINK("Melting_Curves/meltCurve_sp_O60216_RAD21_HUMAN_.pdf", "Melting_Curves/meltCurve_sp_O60216_RAD21_HUMAN_.pdf")</f>
        <v>Melting_Curves/meltCurve_sp_O60216_RAD21_HUMAN_.pdf</v>
      </c>
      <c r="AA206" t="s">
        <v>13087</v>
      </c>
      <c r="AB206" t="s">
        <v>17291</v>
      </c>
    </row>
    <row r="207" spans="1:28" x14ac:dyDescent="0.25">
      <c r="A207" t="s">
        <v>211</v>
      </c>
      <c r="B207">
        <v>0.99876560204751996</v>
      </c>
      <c r="C207">
        <v>0.89451832645019402</v>
      </c>
      <c r="D207">
        <v>1.0255547833038601</v>
      </c>
      <c r="E207">
        <v>0.89842111181411999</v>
      </c>
      <c r="F207">
        <v>0.79265791127872498</v>
      </c>
      <c r="G207">
        <v>0.29098430248783702</v>
      </c>
      <c r="H207">
        <v>0.13753540192425601</v>
      </c>
      <c r="I207">
        <v>0.12816775199932801</v>
      </c>
      <c r="J207">
        <v>0.11926445334872</v>
      </c>
      <c r="K207">
        <v>0.11140272075091601</v>
      </c>
      <c r="L207">
        <v>1761.57716341018</v>
      </c>
      <c r="M207">
        <v>32.198519944252297</v>
      </c>
      <c r="N207">
        <v>55.144483873760798</v>
      </c>
      <c r="O207">
        <v>54.500144038059602</v>
      </c>
      <c r="P207">
        <v>-0.13114830686930701</v>
      </c>
      <c r="Q207">
        <v>0.112062729411399</v>
      </c>
      <c r="R207">
        <v>0.98917857464745296</v>
      </c>
      <c r="S207" t="s">
        <v>4503</v>
      </c>
      <c r="T207" t="s">
        <v>8590</v>
      </c>
      <c r="U207" t="s">
        <v>8590</v>
      </c>
      <c r="V207" t="s">
        <v>8590</v>
      </c>
      <c r="W207">
        <v>17</v>
      </c>
      <c r="X207" t="s">
        <v>8797</v>
      </c>
      <c r="Y207">
        <v>0.55257454837180442</v>
      </c>
      <c r="Z207" t="str">
        <f>HYPERLINK("Melting_Curves/meltCurve_sp_O60218_AK1BA_HUMAN_.pdf", "Melting_Curves/meltCurve_sp_O60218_AK1BA_HUMAN_.pdf")</f>
        <v>Melting_Curves/meltCurve_sp_O60218_AK1BA_HUMAN_.pdf</v>
      </c>
      <c r="AA207" t="s">
        <v>13088</v>
      </c>
      <c r="AB207" t="s">
        <v>17292</v>
      </c>
    </row>
    <row r="208" spans="1:28" x14ac:dyDescent="0.25">
      <c r="A208" t="s">
        <v>212</v>
      </c>
      <c r="B208">
        <v>0.99876560204751996</v>
      </c>
      <c r="C208">
        <v>1.0325783658843799</v>
      </c>
      <c r="D208">
        <v>1.0245981822819099</v>
      </c>
      <c r="E208">
        <v>1.0111345771456599</v>
      </c>
      <c r="F208">
        <v>0.88309551078492898</v>
      </c>
      <c r="G208">
        <v>0.67344648723905898</v>
      </c>
      <c r="H208">
        <v>0.56644311619001997</v>
      </c>
      <c r="I208">
        <v>0.56783936005772595</v>
      </c>
      <c r="J208">
        <v>0.68844283516453197</v>
      </c>
      <c r="K208">
        <v>0.58085032889662302</v>
      </c>
      <c r="L208">
        <v>2121.9936678273002</v>
      </c>
      <c r="M208">
        <v>39.034405624501098</v>
      </c>
      <c r="O208">
        <v>54.220062746768598</v>
      </c>
      <c r="P208">
        <v>-7.1618348319753805E-2</v>
      </c>
      <c r="Q208">
        <v>0.60208015024407502</v>
      </c>
      <c r="R208">
        <v>0.96474293101574704</v>
      </c>
      <c r="S208" t="s">
        <v>4504</v>
      </c>
      <c r="T208" t="s">
        <v>8590</v>
      </c>
      <c r="U208" t="s">
        <v>8590</v>
      </c>
      <c r="V208" t="s">
        <v>8590</v>
      </c>
      <c r="W208">
        <v>8</v>
      </c>
      <c r="X208" t="s">
        <v>8798</v>
      </c>
      <c r="Y208">
        <v>0.79414538664893208</v>
      </c>
      <c r="Z208" t="str">
        <f>HYPERLINK("Melting_Curves/meltCurve_sp_O60220_TIM8A_HUMAN_.pdf", "Melting_Curves/meltCurve_sp_O60220_TIM8A_HUMAN_.pdf")</f>
        <v>Melting_Curves/meltCurve_sp_O60220_TIM8A_HUMAN_.pdf</v>
      </c>
      <c r="AA208" t="s">
        <v>13089</v>
      </c>
      <c r="AB208" t="s">
        <v>17293</v>
      </c>
    </row>
    <row r="209" spans="1:28" x14ac:dyDescent="0.25">
      <c r="A209" t="s">
        <v>213</v>
      </c>
      <c r="B209">
        <v>0.99876560204751996</v>
      </c>
      <c r="C209">
        <v>1.01352293532569</v>
      </c>
      <c r="D209">
        <v>0.90946398735431799</v>
      </c>
      <c r="E209">
        <v>0.66194350699642501</v>
      </c>
      <c r="F209">
        <v>0.40675823798643101</v>
      </c>
      <c r="G209">
        <v>0.21765271434126199</v>
      </c>
      <c r="H209">
        <v>0.16480568110566399</v>
      </c>
      <c r="I209">
        <v>0.16339397596227301</v>
      </c>
      <c r="J209">
        <v>0.20407623151051099</v>
      </c>
      <c r="K209">
        <v>0.154506941941736</v>
      </c>
      <c r="L209">
        <v>1149.96760484591</v>
      </c>
      <c r="M209">
        <v>22.625421707741001</v>
      </c>
      <c r="N209">
        <v>51.724649541156097</v>
      </c>
      <c r="O209">
        <v>50.434304939564001</v>
      </c>
      <c r="P209">
        <v>-9.3934068967478204E-2</v>
      </c>
      <c r="Q209">
        <v>0.162463539676241</v>
      </c>
      <c r="R209">
        <v>0.99747077806728701</v>
      </c>
      <c r="S209" t="s">
        <v>4505</v>
      </c>
      <c r="T209" t="s">
        <v>8590</v>
      </c>
      <c r="U209" t="s">
        <v>8590</v>
      </c>
      <c r="V209" t="s">
        <v>8590</v>
      </c>
      <c r="W209">
        <v>7</v>
      </c>
      <c r="X209" t="s">
        <v>8799</v>
      </c>
      <c r="Y209">
        <v>0.47389569819694388</v>
      </c>
      <c r="Z209" t="str">
        <f>HYPERLINK("Melting_Curves/meltCurve_sp_O60231_DHX16_HUMAN_.pdf", "Melting_Curves/meltCurve_sp_O60231_DHX16_HUMAN_.pdf")</f>
        <v>Melting_Curves/meltCurve_sp_O60231_DHX16_HUMAN_.pdf</v>
      </c>
      <c r="AA209" t="s">
        <v>13090</v>
      </c>
      <c r="AB209" t="s">
        <v>17294</v>
      </c>
    </row>
    <row r="210" spans="1:28" x14ac:dyDescent="0.25">
      <c r="A210" t="s">
        <v>214</v>
      </c>
      <c r="B210">
        <v>0.99876560204751996</v>
      </c>
      <c r="C210">
        <v>0.86351065793014203</v>
      </c>
      <c r="D210">
        <v>0.97259505741936503</v>
      </c>
      <c r="E210">
        <v>0.80980422112609296</v>
      </c>
      <c r="F210">
        <v>0.93040478976248797</v>
      </c>
      <c r="G210">
        <v>0.75823693389195101</v>
      </c>
      <c r="H210">
        <v>0.58278810023433003</v>
      </c>
      <c r="I210">
        <v>0.53594110251545002</v>
      </c>
      <c r="J210">
        <v>0.57559690792820295</v>
      </c>
      <c r="K210">
        <v>0.48118938323219601</v>
      </c>
      <c r="L210">
        <v>420.87915605233201</v>
      </c>
      <c r="M210">
        <v>6.7405054464004097</v>
      </c>
      <c r="N210">
        <v>68.612243621482705</v>
      </c>
      <c r="O210">
        <v>57.634136295020703</v>
      </c>
      <c r="P210">
        <v>-2.26397651051665E-2</v>
      </c>
      <c r="Q210">
        <v>0.22732678053448699</v>
      </c>
      <c r="R210">
        <v>0.88855447610764504</v>
      </c>
      <c r="S210" t="s">
        <v>4506</v>
      </c>
      <c r="T210" t="s">
        <v>8590</v>
      </c>
      <c r="U210" t="s">
        <v>8590</v>
      </c>
      <c r="V210" t="s">
        <v>8590</v>
      </c>
      <c r="W210">
        <v>2</v>
      </c>
      <c r="X210" t="s">
        <v>8800</v>
      </c>
      <c r="Y210">
        <v>0.76135472981396368</v>
      </c>
      <c r="Z210" t="str">
        <f>HYPERLINK("Melting_Curves/meltCurve_sp_O60234_GMFG_HUMAN_.pdf", "Melting_Curves/meltCurve_sp_O60234_GMFG_HUMAN_.pdf")</f>
        <v>Melting_Curves/meltCurve_sp_O60234_GMFG_HUMAN_.pdf</v>
      </c>
      <c r="AA210" t="s">
        <v>13091</v>
      </c>
      <c r="AB210" t="s">
        <v>17295</v>
      </c>
    </row>
    <row r="211" spans="1:28" x14ac:dyDescent="0.25">
      <c r="A211" t="s">
        <v>215</v>
      </c>
      <c r="B211">
        <v>0.99876560204751996</v>
      </c>
      <c r="C211">
        <v>1.1087322668470601</v>
      </c>
      <c r="D211">
        <v>1.3931115810053201</v>
      </c>
      <c r="E211">
        <v>1.0817487223864299</v>
      </c>
      <c r="F211">
        <v>1.0574190093945099</v>
      </c>
      <c r="G211">
        <v>0.20005228492553301</v>
      </c>
      <c r="H211">
        <v>0.52588050634538297</v>
      </c>
      <c r="I211">
        <v>0.47079077705283301</v>
      </c>
      <c r="J211">
        <v>0.30624054852398103</v>
      </c>
      <c r="K211">
        <v>0.27823835870969799</v>
      </c>
      <c r="L211">
        <v>13705.785344412199</v>
      </c>
      <c r="M211">
        <v>250</v>
      </c>
      <c r="N211">
        <v>55.097843033260098</v>
      </c>
      <c r="O211">
        <v>54.819646126213399</v>
      </c>
      <c r="P211">
        <v>-0.73395733098544802</v>
      </c>
      <c r="Q211">
        <v>0.35623565512014499</v>
      </c>
      <c r="R211">
        <v>0.84848338813547697</v>
      </c>
      <c r="S211" t="s">
        <v>4507</v>
      </c>
      <c r="T211" t="s">
        <v>8590</v>
      </c>
      <c r="U211" t="s">
        <v>8590</v>
      </c>
      <c r="V211" t="s">
        <v>8590</v>
      </c>
      <c r="W211">
        <v>1</v>
      </c>
      <c r="X211" t="s">
        <v>8801</v>
      </c>
      <c r="Y211">
        <v>0.6743845907096957</v>
      </c>
      <c r="Z211" t="str">
        <f>HYPERLINK("Melting_Curves/meltCurve_sp_O60240_PLIN1_HUMAN_.pdf", "Melting_Curves/meltCurve_sp_O60240_PLIN1_HUMAN_.pdf")</f>
        <v>Melting_Curves/meltCurve_sp_O60240_PLIN1_HUMAN_.pdf</v>
      </c>
      <c r="AA211" t="s">
        <v>13092</v>
      </c>
      <c r="AB211" t="s">
        <v>17296</v>
      </c>
    </row>
    <row r="212" spans="1:28" x14ac:dyDescent="0.25">
      <c r="A212" t="s">
        <v>216</v>
      </c>
      <c r="B212">
        <v>0.99876560204751996</v>
      </c>
      <c r="C212">
        <v>1.0377056675855301</v>
      </c>
      <c r="D212">
        <v>1.00576514246372</v>
      </c>
      <c r="E212">
        <v>0.94499615574315798</v>
      </c>
      <c r="F212">
        <v>0.72353880420352001</v>
      </c>
      <c r="G212">
        <v>0.455750583141798</v>
      </c>
      <c r="H212">
        <v>0.18332336632912699</v>
      </c>
      <c r="I212">
        <v>0.15092820031832699</v>
      </c>
      <c r="J212">
        <v>0.11932175168426901</v>
      </c>
      <c r="K212">
        <v>8.4758463756510596E-2</v>
      </c>
      <c r="L212">
        <v>1150.03635673146</v>
      </c>
      <c r="M212">
        <v>20.674768942568299</v>
      </c>
      <c r="N212">
        <v>56.109078627809602</v>
      </c>
      <c r="O212">
        <v>55.1125536447936</v>
      </c>
      <c r="P212">
        <v>-8.6127743167193904E-2</v>
      </c>
      <c r="Q212">
        <v>8.1666279962389704E-2</v>
      </c>
      <c r="R212">
        <v>0.99639722768513705</v>
      </c>
      <c r="S212" t="s">
        <v>4508</v>
      </c>
      <c r="T212" t="s">
        <v>8590</v>
      </c>
      <c r="U212" t="s">
        <v>8590</v>
      </c>
      <c r="V212" t="s">
        <v>8590</v>
      </c>
      <c r="W212">
        <v>7</v>
      </c>
      <c r="X212" t="s">
        <v>8802</v>
      </c>
      <c r="Y212">
        <v>0.57140758108549605</v>
      </c>
      <c r="Z212" t="str">
        <f>HYPERLINK("Melting_Curves/meltCurve_sp_O60256_KPRB_HUMAN_.pdf", "Melting_Curves/meltCurve_sp_O60256_KPRB_HUMAN_.pdf")</f>
        <v>Melting_Curves/meltCurve_sp_O60256_KPRB_HUMAN_.pdf</v>
      </c>
      <c r="AA212" t="s">
        <v>13093</v>
      </c>
      <c r="AB212" t="s">
        <v>17297</v>
      </c>
    </row>
    <row r="213" spans="1:28" x14ac:dyDescent="0.25">
      <c r="A213" t="s">
        <v>217</v>
      </c>
      <c r="B213">
        <v>0.99876560204751996</v>
      </c>
      <c r="C213">
        <v>0.896127225636978</v>
      </c>
      <c r="D213">
        <v>0.95626594426364797</v>
      </c>
      <c r="E213">
        <v>1.0190477842974901</v>
      </c>
      <c r="F213">
        <v>1.42701388463361</v>
      </c>
      <c r="G213">
        <v>1.15565769365952</v>
      </c>
      <c r="H213">
        <v>0.68823164624028299</v>
      </c>
      <c r="I213">
        <v>0.45443719578908198</v>
      </c>
      <c r="J213">
        <v>0.29479251068263501</v>
      </c>
      <c r="K213">
        <v>9.9311228813726102E-2</v>
      </c>
      <c r="L213">
        <v>2078.6783690999901</v>
      </c>
      <c r="M213">
        <v>33.072345976595699</v>
      </c>
      <c r="N213">
        <v>63.419901456264597</v>
      </c>
      <c r="O213">
        <v>62.624002124539402</v>
      </c>
      <c r="P213">
        <v>-0.115119278297142</v>
      </c>
      <c r="Q213">
        <v>0.12806938727039799</v>
      </c>
      <c r="R213">
        <v>0.83870596555629795</v>
      </c>
      <c r="S213" t="s">
        <v>4509</v>
      </c>
      <c r="T213" t="s">
        <v>8590</v>
      </c>
      <c r="U213" t="s">
        <v>8590</v>
      </c>
      <c r="V213" t="s">
        <v>8590</v>
      </c>
      <c r="W213">
        <v>2</v>
      </c>
      <c r="X213" t="s">
        <v>8803</v>
      </c>
      <c r="Y213">
        <v>0.79535200607065681</v>
      </c>
      <c r="Z213" t="str">
        <f>HYPERLINK("Melting_Curves/meltCurve_sp_O60260_5_PRKN2_HUMAN_.pdf", "Melting_Curves/meltCurve_sp_O60260_5_PRKN2_HUMAN_.pdf")</f>
        <v>Melting_Curves/meltCurve_sp_O60260_5_PRKN2_HUMAN_.pdf</v>
      </c>
      <c r="AA213" t="s">
        <v>13094</v>
      </c>
      <c r="AB213" t="s">
        <v>17298</v>
      </c>
    </row>
    <row r="214" spans="1:28" x14ac:dyDescent="0.25">
      <c r="A214" t="s">
        <v>218</v>
      </c>
      <c r="B214">
        <v>0.99876560204751996</v>
      </c>
      <c r="C214">
        <v>0.97184404406809999</v>
      </c>
      <c r="D214">
        <v>0.90703975346451804</v>
      </c>
      <c r="E214">
        <v>0.87538381572303103</v>
      </c>
      <c r="F214">
        <v>0.787265641706271</v>
      </c>
      <c r="G214">
        <v>0.58048693558888598</v>
      </c>
      <c r="H214">
        <v>0.44883311819877297</v>
      </c>
      <c r="I214">
        <v>0.38164912407482898</v>
      </c>
      <c r="J214">
        <v>0.37620893008151801</v>
      </c>
      <c r="K214">
        <v>0.329217270921212</v>
      </c>
      <c r="L214">
        <v>714.20417075037699</v>
      </c>
      <c r="M214">
        <v>12.798022458182301</v>
      </c>
      <c r="N214">
        <v>59.611075571224902</v>
      </c>
      <c r="O214">
        <v>54.495950001532798</v>
      </c>
      <c r="P214">
        <v>-4.2331891693511599E-2</v>
      </c>
      <c r="Q214">
        <v>0.279112508169648</v>
      </c>
      <c r="R214">
        <v>0.99318473629130199</v>
      </c>
      <c r="S214" t="s">
        <v>4510</v>
      </c>
      <c r="T214" t="s">
        <v>8590</v>
      </c>
      <c r="U214" t="s">
        <v>8590</v>
      </c>
      <c r="V214" t="s">
        <v>8590</v>
      </c>
      <c r="W214">
        <v>26</v>
      </c>
      <c r="X214" t="s">
        <v>8804</v>
      </c>
      <c r="Y214">
        <v>0.67357081477495784</v>
      </c>
      <c r="Z214" t="str">
        <f>HYPERLINK("Melting_Curves/meltCurve_sp_O60271_4_JIP4_HUMAN_.pdf", "Melting_Curves/meltCurve_sp_O60271_4_JIP4_HUMAN_.pdf")</f>
        <v>Melting_Curves/meltCurve_sp_O60271_4_JIP4_HUMAN_.pdf</v>
      </c>
      <c r="AA214" t="s">
        <v>13095</v>
      </c>
      <c r="AB214" t="s">
        <v>17299</v>
      </c>
    </row>
    <row r="215" spans="1:28" x14ac:dyDescent="0.25">
      <c r="A215" t="s">
        <v>219</v>
      </c>
      <c r="B215">
        <v>0.99876560204751996</v>
      </c>
      <c r="C215">
        <v>1.03983230807427</v>
      </c>
      <c r="D215">
        <v>0.86692491194515797</v>
      </c>
      <c r="E215">
        <v>0.59192598789665596</v>
      </c>
      <c r="F215">
        <v>0.31514470844623899</v>
      </c>
      <c r="G215">
        <v>0.131313726660095</v>
      </c>
      <c r="H215">
        <v>7.4103565235484697E-2</v>
      </c>
      <c r="I215">
        <v>5.5393578581023402E-2</v>
      </c>
      <c r="J215">
        <v>5.3911474127021498E-2</v>
      </c>
      <c r="K215">
        <v>3.5931868116132998E-2</v>
      </c>
      <c r="L215">
        <v>1043.79626785351</v>
      </c>
      <c r="M215">
        <v>20.603813488099799</v>
      </c>
      <c r="N215">
        <v>50.878544387187603</v>
      </c>
      <c r="O215">
        <v>50.1903611095861</v>
      </c>
      <c r="P215">
        <v>-9.8291477531125104E-2</v>
      </c>
      <c r="Q215">
        <v>4.2285643757562601E-2</v>
      </c>
      <c r="R215">
        <v>0.99694342545103998</v>
      </c>
      <c r="S215" t="s">
        <v>4511</v>
      </c>
      <c r="T215" t="s">
        <v>8590</v>
      </c>
      <c r="U215" t="s">
        <v>8590</v>
      </c>
      <c r="V215" t="s">
        <v>8590</v>
      </c>
      <c r="W215">
        <v>9</v>
      </c>
      <c r="X215" t="s">
        <v>8805</v>
      </c>
      <c r="Y215">
        <v>0.39517682564026169</v>
      </c>
      <c r="Z215" t="str">
        <f>HYPERLINK("Melting_Curves/meltCurve_sp_O60341_KDM1A_HUMAN_.pdf", "Melting_Curves/meltCurve_sp_O60341_KDM1A_HUMAN_.pdf")</f>
        <v>Melting_Curves/meltCurve_sp_O60341_KDM1A_HUMAN_.pdf</v>
      </c>
      <c r="AA215" t="s">
        <v>13096</v>
      </c>
      <c r="AB215" t="s">
        <v>17300</v>
      </c>
    </row>
    <row r="216" spans="1:28" x14ac:dyDescent="0.25">
      <c r="A216" t="s">
        <v>220</v>
      </c>
      <c r="B216">
        <v>0.99876560204751996</v>
      </c>
      <c r="C216">
        <v>1.01781465948775</v>
      </c>
      <c r="D216">
        <v>0.97174893979268595</v>
      </c>
      <c r="E216">
        <v>0.93593536688601897</v>
      </c>
      <c r="F216">
        <v>0.79233004975099397</v>
      </c>
      <c r="G216">
        <v>0.56216684958798502</v>
      </c>
      <c r="H216">
        <v>0.36196442486598701</v>
      </c>
      <c r="I216">
        <v>0.18989587334923799</v>
      </c>
      <c r="J216">
        <v>0.20964901318738499</v>
      </c>
      <c r="K216">
        <v>0.19427782971353899</v>
      </c>
      <c r="L216">
        <v>1006.76051527017</v>
      </c>
      <c r="M216">
        <v>17.761143497122202</v>
      </c>
      <c r="N216">
        <v>57.820303161286503</v>
      </c>
      <c r="O216">
        <v>55.9794026679373</v>
      </c>
      <c r="P216">
        <v>-6.7632095561199104E-2</v>
      </c>
      <c r="Q216">
        <v>0.14739556751216301</v>
      </c>
      <c r="R216">
        <v>0.99538652728397004</v>
      </c>
      <c r="S216" t="s">
        <v>4512</v>
      </c>
      <c r="T216" t="s">
        <v>8590</v>
      </c>
      <c r="U216" t="s">
        <v>8590</v>
      </c>
      <c r="V216" t="s">
        <v>8590</v>
      </c>
      <c r="W216">
        <v>8</v>
      </c>
      <c r="X216" t="s">
        <v>8806</v>
      </c>
      <c r="Y216">
        <v>0.63370580394185017</v>
      </c>
      <c r="Z216" t="str">
        <f>HYPERLINK("Melting_Curves/meltCurve_sp_O60343_2_TBCD4_HUMAN_.pdf", "Melting_Curves/meltCurve_sp_O60343_2_TBCD4_HUMAN_.pdf")</f>
        <v>Melting_Curves/meltCurve_sp_O60343_2_TBCD4_HUMAN_.pdf</v>
      </c>
      <c r="AA216" t="s">
        <v>13097</v>
      </c>
      <c r="AB216" t="s">
        <v>17301</v>
      </c>
    </row>
    <row r="217" spans="1:28" x14ac:dyDescent="0.25">
      <c r="A217" t="s">
        <v>221</v>
      </c>
      <c r="B217">
        <v>0.99876560204751996</v>
      </c>
      <c r="C217">
        <v>1.04058329629405</v>
      </c>
      <c r="D217">
        <v>0.87724648000132899</v>
      </c>
      <c r="E217">
        <v>0.83104561290274104</v>
      </c>
      <c r="F217">
        <v>0.63035110912104197</v>
      </c>
      <c r="G217">
        <v>0.45177908344543</v>
      </c>
      <c r="H217">
        <v>0.37124679307793002</v>
      </c>
      <c r="I217">
        <v>0.365732678483491</v>
      </c>
      <c r="J217">
        <v>0.47374109794767999</v>
      </c>
      <c r="K217">
        <v>0.43262932445179098</v>
      </c>
      <c r="L217">
        <v>1145.09023896145</v>
      </c>
      <c r="M217">
        <v>22.1618809365667</v>
      </c>
      <c r="N217">
        <v>55.761531492205201</v>
      </c>
      <c r="O217">
        <v>51.254182201294903</v>
      </c>
      <c r="P217">
        <v>-6.4678411679684605E-2</v>
      </c>
      <c r="Q217">
        <v>0.40168125988088599</v>
      </c>
      <c r="R217">
        <v>0.96758663494306696</v>
      </c>
      <c r="S217" t="s">
        <v>4513</v>
      </c>
      <c r="T217" t="s">
        <v>8590</v>
      </c>
      <c r="U217" t="s">
        <v>8590</v>
      </c>
      <c r="V217" t="s">
        <v>8590</v>
      </c>
      <c r="W217">
        <v>97</v>
      </c>
      <c r="X217" t="s">
        <v>8807</v>
      </c>
      <c r="Y217">
        <v>0.64126951139121169</v>
      </c>
      <c r="Z217" t="str">
        <f>HYPERLINK("Melting_Curves/meltCurve_sp_O60437_PEPL_HUMAN_.pdf", "Melting_Curves/meltCurve_sp_O60437_PEPL_HUMAN_.pdf")</f>
        <v>Melting_Curves/meltCurve_sp_O60437_PEPL_HUMAN_.pdf</v>
      </c>
      <c r="AA217" t="s">
        <v>13098</v>
      </c>
      <c r="AB217" t="s">
        <v>17302</v>
      </c>
    </row>
    <row r="218" spans="1:28" x14ac:dyDescent="0.25">
      <c r="A218" t="s">
        <v>222</v>
      </c>
      <c r="B218">
        <v>0.99876560204751996</v>
      </c>
      <c r="C218">
        <v>1.05976620356411</v>
      </c>
      <c r="D218">
        <v>1.0849353823235</v>
      </c>
      <c r="E218">
        <v>0.90022257486883706</v>
      </c>
      <c r="F218">
        <v>0.76713066209470104</v>
      </c>
      <c r="G218">
        <v>0.61121915248402803</v>
      </c>
      <c r="H218">
        <v>0.21604898545436901</v>
      </c>
      <c r="I218">
        <v>0.12744420322491001</v>
      </c>
      <c r="J218">
        <v>0.107752591801598</v>
      </c>
      <c r="K218">
        <v>9.8462348102283104E-2</v>
      </c>
      <c r="L218">
        <v>1074.29781155573</v>
      </c>
      <c r="M218">
        <v>18.800635955828501</v>
      </c>
      <c r="N218">
        <v>57.409360328140401</v>
      </c>
      <c r="O218">
        <v>56.5068583319878</v>
      </c>
      <c r="P218">
        <v>-7.96899333869069E-2</v>
      </c>
      <c r="Q218">
        <v>4.1981205259924999E-2</v>
      </c>
      <c r="R218">
        <v>0.98272314827043705</v>
      </c>
      <c r="S218" t="s">
        <v>4514</v>
      </c>
      <c r="T218" t="s">
        <v>8590</v>
      </c>
      <c r="U218" t="s">
        <v>8590</v>
      </c>
      <c r="V218" t="s">
        <v>8590</v>
      </c>
      <c r="W218">
        <v>5</v>
      </c>
      <c r="X218" t="s">
        <v>8808</v>
      </c>
      <c r="Y218">
        <v>0.60181579600484014</v>
      </c>
      <c r="Z218" t="str">
        <f>HYPERLINK("Melting_Curves/meltCurve_sp_O60443_DFNA5_HUMAN_.pdf", "Melting_Curves/meltCurve_sp_O60443_DFNA5_HUMAN_.pdf")</f>
        <v>Melting_Curves/meltCurve_sp_O60443_DFNA5_HUMAN_.pdf</v>
      </c>
      <c r="AA218" t="s">
        <v>13099</v>
      </c>
      <c r="AB218" t="s">
        <v>17303</v>
      </c>
    </row>
    <row r="219" spans="1:28" x14ac:dyDescent="0.25">
      <c r="A219" t="s">
        <v>223</v>
      </c>
      <c r="B219">
        <v>0.99876560204751996</v>
      </c>
      <c r="C219">
        <v>0.97873237385396605</v>
      </c>
      <c r="D219">
        <v>0.61841320645644604</v>
      </c>
      <c r="E219">
        <v>0.65517908707306505</v>
      </c>
      <c r="F219">
        <v>0.56697197193746796</v>
      </c>
      <c r="G219">
        <v>0.470308140267166</v>
      </c>
      <c r="H219">
        <v>0.41439412605554898</v>
      </c>
      <c r="I219">
        <v>0.35733149973440598</v>
      </c>
      <c r="J219">
        <v>0.28709038884617999</v>
      </c>
      <c r="K219">
        <v>7.2372735406784502E-2</v>
      </c>
      <c r="L219">
        <v>356.61339881125701</v>
      </c>
      <c r="M219">
        <v>6.4340092635342803</v>
      </c>
      <c r="N219">
        <v>55.426311050498903</v>
      </c>
      <c r="O219">
        <v>50.799478663677</v>
      </c>
      <c r="P219">
        <v>-3.1743552980133399E-2</v>
      </c>
      <c r="Q219">
        <v>0</v>
      </c>
      <c r="R219">
        <v>0.90206124338536797</v>
      </c>
      <c r="S219" t="s">
        <v>4515</v>
      </c>
      <c r="T219" t="s">
        <v>8590</v>
      </c>
      <c r="U219" t="s">
        <v>8590</v>
      </c>
      <c r="V219" t="s">
        <v>8590</v>
      </c>
      <c r="W219">
        <v>2</v>
      </c>
      <c r="X219" t="s">
        <v>8809</v>
      </c>
      <c r="Y219">
        <v>0.53652995742519827</v>
      </c>
      <c r="Z219" t="str">
        <f>HYPERLINK("Melting_Curves/meltCurve_sp_O60447_EVI5_HUMAN_.pdf", "Melting_Curves/meltCurve_sp_O60447_EVI5_HUMAN_.pdf")</f>
        <v>Melting_Curves/meltCurve_sp_O60447_EVI5_HUMAN_.pdf</v>
      </c>
      <c r="AA219" t="s">
        <v>13100</v>
      </c>
      <c r="AB219" t="s">
        <v>17304</v>
      </c>
    </row>
    <row r="220" spans="1:28" x14ac:dyDescent="0.25">
      <c r="A220" t="s">
        <v>224</v>
      </c>
      <c r="B220">
        <v>0.99876560204751996</v>
      </c>
      <c r="C220">
        <v>1.2431343114731099</v>
      </c>
      <c r="D220">
        <v>1.3997797967316199</v>
      </c>
      <c r="E220">
        <v>0.87782870042017702</v>
      </c>
      <c r="F220">
        <v>0.51337339068680798</v>
      </c>
      <c r="G220">
        <v>0.205587390036197</v>
      </c>
      <c r="H220">
        <v>0.110696215504902</v>
      </c>
      <c r="I220">
        <v>9.9309974322026803E-2</v>
      </c>
      <c r="J220">
        <v>0.116836960302583</v>
      </c>
      <c r="K220">
        <v>0.118946213755884</v>
      </c>
      <c r="L220">
        <v>1976.63968984093</v>
      </c>
      <c r="M220">
        <v>37.476048072097697</v>
      </c>
      <c r="N220">
        <v>53.123965009973297</v>
      </c>
      <c r="O220">
        <v>52.594570415891297</v>
      </c>
      <c r="P220">
        <v>-0.15719848754889201</v>
      </c>
      <c r="Q220">
        <v>0.117541460126281</v>
      </c>
      <c r="R220">
        <v>0.90641639301910004</v>
      </c>
      <c r="S220" t="s">
        <v>4516</v>
      </c>
      <c r="T220" t="s">
        <v>8590</v>
      </c>
      <c r="U220" t="s">
        <v>8590</v>
      </c>
      <c r="V220" t="s">
        <v>8590</v>
      </c>
      <c r="W220">
        <v>6</v>
      </c>
      <c r="X220" t="s">
        <v>8810</v>
      </c>
      <c r="Y220">
        <v>0.49607556350188942</v>
      </c>
      <c r="Z220" t="str">
        <f>HYPERLINK("Melting_Curves/meltCurve_sp_O60493_SNX3_HUMAN_.pdf", "Melting_Curves/meltCurve_sp_O60493_SNX3_HUMAN_.pdf")</f>
        <v>Melting_Curves/meltCurve_sp_O60493_SNX3_HUMAN_.pdf</v>
      </c>
      <c r="AA220" t="s">
        <v>13101</v>
      </c>
      <c r="AB220" t="s">
        <v>17305</v>
      </c>
    </row>
    <row r="221" spans="1:28" x14ac:dyDescent="0.25">
      <c r="A221" t="s">
        <v>225</v>
      </c>
      <c r="B221">
        <v>0.99876560204751996</v>
      </c>
      <c r="C221">
        <v>0.89574272859225501</v>
      </c>
      <c r="D221">
        <v>0.97770271447016499</v>
      </c>
      <c r="E221">
        <v>0.84599354205392396</v>
      </c>
      <c r="F221">
        <v>0.78749901258527799</v>
      </c>
      <c r="G221">
        <v>0.577245735610175</v>
      </c>
      <c r="H221">
        <v>0.35207877512852498</v>
      </c>
      <c r="I221">
        <v>0.234140509868734</v>
      </c>
      <c r="J221">
        <v>0.194143956676462</v>
      </c>
      <c r="K221">
        <v>0.15337714389746099</v>
      </c>
      <c r="L221">
        <v>712.568479296031</v>
      </c>
      <c r="M221">
        <v>12.340014681703501</v>
      </c>
      <c r="N221">
        <v>58.129839895413902</v>
      </c>
      <c r="O221">
        <v>56.290931104615503</v>
      </c>
      <c r="P221">
        <v>-5.2663860969332697E-2</v>
      </c>
      <c r="Q221">
        <v>3.9269665313129101E-2</v>
      </c>
      <c r="R221">
        <v>0.98874724547654502</v>
      </c>
      <c r="S221" t="s">
        <v>4517</v>
      </c>
      <c r="T221" t="s">
        <v>8590</v>
      </c>
      <c r="U221" t="s">
        <v>8590</v>
      </c>
      <c r="V221" t="s">
        <v>8590</v>
      </c>
      <c r="W221">
        <v>13</v>
      </c>
      <c r="X221" t="s">
        <v>8811</v>
      </c>
      <c r="Y221">
        <v>0.62097379811808862</v>
      </c>
      <c r="Z221" t="str">
        <f>HYPERLINK("Melting_Curves/meltCurve_sp_O60504_VINEX_HUMAN_.pdf", "Melting_Curves/meltCurve_sp_O60504_VINEX_HUMAN_.pdf")</f>
        <v>Melting_Curves/meltCurve_sp_O60504_VINEX_HUMAN_.pdf</v>
      </c>
      <c r="AA221" t="s">
        <v>13102</v>
      </c>
      <c r="AB221" t="s">
        <v>17306</v>
      </c>
    </row>
    <row r="222" spans="1:28" x14ac:dyDescent="0.25">
      <c r="A222" t="s">
        <v>226</v>
      </c>
      <c r="B222">
        <v>0.99876560204751996</v>
      </c>
      <c r="C222">
        <v>1.06762398760142</v>
      </c>
      <c r="D222">
        <v>1.0344059269511401</v>
      </c>
      <c r="E222">
        <v>0.98212057085915905</v>
      </c>
      <c r="F222">
        <v>0.76527674579389304</v>
      </c>
      <c r="G222">
        <v>0.26061832439815102</v>
      </c>
      <c r="H222">
        <v>0.107750889476898</v>
      </c>
      <c r="I222">
        <v>7.0776709226824899E-2</v>
      </c>
      <c r="J222">
        <v>6.7362218418105302E-2</v>
      </c>
      <c r="K222">
        <v>5.5065134130358302E-2</v>
      </c>
      <c r="L222">
        <v>1856.3892590707201</v>
      </c>
      <c r="M222">
        <v>33.900042536390302</v>
      </c>
      <c r="N222">
        <v>54.988508386245002</v>
      </c>
      <c r="O222">
        <v>54.571172563757102</v>
      </c>
      <c r="P222">
        <v>-0.14512725476100699</v>
      </c>
      <c r="Q222">
        <v>6.5519435743785104E-2</v>
      </c>
      <c r="R222">
        <v>0.99659838125403299</v>
      </c>
      <c r="S222" t="s">
        <v>4518</v>
      </c>
      <c r="T222" t="s">
        <v>8590</v>
      </c>
      <c r="U222" t="s">
        <v>8590</v>
      </c>
      <c r="V222" t="s">
        <v>8590</v>
      </c>
      <c r="W222">
        <v>18</v>
      </c>
      <c r="X222" t="s">
        <v>8812</v>
      </c>
      <c r="Y222">
        <v>0.53019290084681414</v>
      </c>
      <c r="Z222" t="str">
        <f>HYPERLINK("Melting_Curves/meltCurve_sp_O60506_3_HNRPQ_HUMAN_.pdf", "Melting_Curves/meltCurve_sp_O60506_3_HNRPQ_HUMAN_.pdf")</f>
        <v>Melting_Curves/meltCurve_sp_O60506_3_HNRPQ_HUMAN_.pdf</v>
      </c>
      <c r="AA222" t="s">
        <v>13103</v>
      </c>
      <c r="AB222" t="s">
        <v>17307</v>
      </c>
    </row>
    <row r="223" spans="1:28" x14ac:dyDescent="0.25">
      <c r="A223" t="s">
        <v>227</v>
      </c>
      <c r="B223">
        <v>0.99876560204751996</v>
      </c>
      <c r="C223">
        <v>1.02061671030041</v>
      </c>
      <c r="D223">
        <v>0.858603516018968</v>
      </c>
      <c r="E223">
        <v>0.76276842767170205</v>
      </c>
      <c r="F223">
        <v>0.44328242820244101</v>
      </c>
      <c r="G223">
        <v>0.16925866050555699</v>
      </c>
      <c r="H223">
        <v>0.107603571543486</v>
      </c>
      <c r="I223">
        <v>7.6288725007390798E-2</v>
      </c>
      <c r="J223">
        <v>5.4381560085643203E-2</v>
      </c>
      <c r="K223">
        <v>5.7872225270380301E-2</v>
      </c>
      <c r="L223">
        <v>1058.1502553079699</v>
      </c>
      <c r="M223">
        <v>20.2786284127925</v>
      </c>
      <c r="N223">
        <v>52.441963873788197</v>
      </c>
      <c r="O223">
        <v>51.681091393555299</v>
      </c>
      <c r="P223">
        <v>-9.3382515657527004E-2</v>
      </c>
      <c r="Q223">
        <v>4.8069702837609897E-2</v>
      </c>
      <c r="R223">
        <v>0.99322620663018402</v>
      </c>
      <c r="S223" t="s">
        <v>4519</v>
      </c>
      <c r="T223" t="s">
        <v>8590</v>
      </c>
      <c r="U223" t="s">
        <v>8590</v>
      </c>
      <c r="V223" t="s">
        <v>8590</v>
      </c>
      <c r="W223">
        <v>9</v>
      </c>
      <c r="X223" t="s">
        <v>8813</v>
      </c>
      <c r="Y223">
        <v>0.44741350476059882</v>
      </c>
      <c r="Z223" t="str">
        <f>HYPERLINK("Melting_Curves/meltCurve_sp_O60518_RNBP6_HUMAN_.pdf", "Melting_Curves/meltCurve_sp_O60518_RNBP6_HUMAN_.pdf")</f>
        <v>Melting_Curves/meltCurve_sp_O60518_RNBP6_HUMAN_.pdf</v>
      </c>
      <c r="AA223" t="s">
        <v>13104</v>
      </c>
      <c r="AB223" t="s">
        <v>17308</v>
      </c>
    </row>
    <row r="224" spans="1:28" x14ac:dyDescent="0.25">
      <c r="A224" t="s">
        <v>228</v>
      </c>
      <c r="B224">
        <v>0.99876560204751996</v>
      </c>
      <c r="C224">
        <v>0.92968522767680195</v>
      </c>
      <c r="D224">
        <v>0.76500151822370199</v>
      </c>
      <c r="E224">
        <v>0.57878379180227901</v>
      </c>
      <c r="F224">
        <v>0.21505672734098899</v>
      </c>
      <c r="G224">
        <v>0.10450850433660799</v>
      </c>
      <c r="H224">
        <v>7.3039016824673203E-2</v>
      </c>
      <c r="I224">
        <v>5.2093893895034299E-2</v>
      </c>
      <c r="J224">
        <v>4.1225116247227599E-2</v>
      </c>
      <c r="K224">
        <v>3.9006002822609499E-2</v>
      </c>
      <c r="L224">
        <v>869.18159269325395</v>
      </c>
      <c r="M224">
        <v>17.455925280522301</v>
      </c>
      <c r="N224">
        <v>49.942174373407603</v>
      </c>
      <c r="O224">
        <v>49.153230851903601</v>
      </c>
      <c r="P224">
        <v>-8.6531664692686805E-2</v>
      </c>
      <c r="Q224">
        <v>2.54142375188414E-2</v>
      </c>
      <c r="R224">
        <v>0.99003368612511999</v>
      </c>
      <c r="S224" t="s">
        <v>4520</v>
      </c>
      <c r="T224" t="s">
        <v>8590</v>
      </c>
      <c r="U224" t="s">
        <v>8590</v>
      </c>
      <c r="V224" t="s">
        <v>8590</v>
      </c>
      <c r="W224">
        <v>12</v>
      </c>
      <c r="X224" t="s">
        <v>8814</v>
      </c>
      <c r="Y224">
        <v>0.36122182426219618</v>
      </c>
      <c r="Z224" t="str">
        <f>HYPERLINK("Melting_Curves/meltCurve_sp_O60547_2_GMDS_HUMAN_.pdf", "Melting_Curves/meltCurve_sp_O60547_2_GMDS_HUMAN_.pdf")</f>
        <v>Melting_Curves/meltCurve_sp_O60547_2_GMDS_HUMAN_.pdf</v>
      </c>
      <c r="AA224" t="s">
        <v>13105</v>
      </c>
      <c r="AB224" t="s">
        <v>17309</v>
      </c>
    </row>
    <row r="225" spans="1:28" x14ac:dyDescent="0.25">
      <c r="A225" t="s">
        <v>229</v>
      </c>
      <c r="B225">
        <v>0.99876560204751996</v>
      </c>
      <c r="C225">
        <v>0.72514179319009997</v>
      </c>
      <c r="D225">
        <v>0.63543486638889302</v>
      </c>
      <c r="E225">
        <v>0.70831895393073796</v>
      </c>
      <c r="F225">
        <v>0.59674782182177399</v>
      </c>
      <c r="G225">
        <v>0.51199959404530004</v>
      </c>
      <c r="H225">
        <v>0.42949074181244001</v>
      </c>
      <c r="I225">
        <v>0.42027897310951201</v>
      </c>
      <c r="J225">
        <v>0.47251172664685298</v>
      </c>
      <c r="K225">
        <v>0.56814187432325003</v>
      </c>
      <c r="L225">
        <v>493.59984668595399</v>
      </c>
      <c r="M225">
        <v>10.944316698362099</v>
      </c>
      <c r="N225">
        <v>60.5754560497044</v>
      </c>
      <c r="O225">
        <v>43.6736662635982</v>
      </c>
      <c r="P225">
        <v>-3.3248395627038498E-2</v>
      </c>
      <c r="Q225">
        <v>0.46946713268113699</v>
      </c>
      <c r="R225">
        <v>0.80818521001133103</v>
      </c>
      <c r="S225" t="s">
        <v>4521</v>
      </c>
      <c r="T225" t="s">
        <v>8590</v>
      </c>
      <c r="U225" t="s">
        <v>8590</v>
      </c>
      <c r="V225" t="s">
        <v>8590</v>
      </c>
      <c r="W225">
        <v>2</v>
      </c>
      <c r="X225" t="s">
        <v>8815</v>
      </c>
      <c r="Y225">
        <v>0.59062902758868951</v>
      </c>
      <c r="Z225" t="str">
        <f>HYPERLINK("Melting_Curves/meltCurve_sp_O60551_NMT2_HUMAN_.pdf", "Melting_Curves/meltCurve_sp_O60551_NMT2_HUMAN_.pdf")</f>
        <v>Melting_Curves/meltCurve_sp_O60551_NMT2_HUMAN_.pdf</v>
      </c>
      <c r="AA225" t="s">
        <v>13106</v>
      </c>
      <c r="AB225" t="s">
        <v>17310</v>
      </c>
    </row>
    <row r="226" spans="1:28" x14ac:dyDescent="0.25">
      <c r="A226" t="s">
        <v>230</v>
      </c>
      <c r="B226">
        <v>0.99876560204751996</v>
      </c>
      <c r="C226">
        <v>1.05224807797536</v>
      </c>
      <c r="D226">
        <v>1.0348405382338799</v>
      </c>
      <c r="E226">
        <v>0.85317769799345999</v>
      </c>
      <c r="F226">
        <v>0.51381369954966505</v>
      </c>
      <c r="G226">
        <v>0.215941451294762</v>
      </c>
      <c r="H226">
        <v>0.14425128208118801</v>
      </c>
      <c r="I226">
        <v>0.10870623322553399</v>
      </c>
      <c r="J226">
        <v>0.11527178184739301</v>
      </c>
      <c r="K226">
        <v>9.1529669393445798E-2</v>
      </c>
      <c r="L226">
        <v>1543.4060577590001</v>
      </c>
      <c r="M226">
        <v>29.2626221551043</v>
      </c>
      <c r="N226">
        <v>53.200035277462099</v>
      </c>
      <c r="O226">
        <v>52.498784338931699</v>
      </c>
      <c r="P226">
        <v>-0.123870608384997</v>
      </c>
      <c r="Q226">
        <v>0.11108316059458299</v>
      </c>
      <c r="R226">
        <v>0.99626435064550201</v>
      </c>
      <c r="S226" t="s">
        <v>4522</v>
      </c>
      <c r="T226" t="s">
        <v>8590</v>
      </c>
      <c r="U226" t="s">
        <v>8590</v>
      </c>
      <c r="V226" t="s">
        <v>8590</v>
      </c>
      <c r="W226">
        <v>2</v>
      </c>
      <c r="X226" t="s">
        <v>8816</v>
      </c>
      <c r="Y226">
        <v>0.49470404854925909</v>
      </c>
      <c r="Z226" t="str">
        <f>HYPERLINK("Melting_Curves/meltCurve_sp_O60568_PLOD3_HUMAN_.pdf", "Melting_Curves/meltCurve_sp_O60568_PLOD3_HUMAN_.pdf")</f>
        <v>Melting_Curves/meltCurve_sp_O60568_PLOD3_HUMAN_.pdf</v>
      </c>
      <c r="AA226" t="s">
        <v>13107</v>
      </c>
      <c r="AB226" t="s">
        <v>17311</v>
      </c>
    </row>
    <row r="227" spans="1:28" x14ac:dyDescent="0.25">
      <c r="A227" t="s">
        <v>231</v>
      </c>
      <c r="B227">
        <v>0.99876560204751996</v>
      </c>
      <c r="C227">
        <v>1.0718908896419299</v>
      </c>
      <c r="D227">
        <v>1.05688759395111</v>
      </c>
      <c r="E227">
        <v>1.03114219341862</v>
      </c>
      <c r="F227">
        <v>0.79768521749953203</v>
      </c>
      <c r="G227">
        <v>0.25713210142211002</v>
      </c>
      <c r="H227">
        <v>0.28206459364997699</v>
      </c>
      <c r="I227">
        <v>0.309756363571421</v>
      </c>
      <c r="J227">
        <v>0.41121404740350298</v>
      </c>
      <c r="K227">
        <v>0.33458443116689401</v>
      </c>
      <c r="L227">
        <v>13295.6500793789</v>
      </c>
      <c r="M227">
        <v>250</v>
      </c>
      <c r="N227">
        <v>53.399576406473798</v>
      </c>
      <c r="O227">
        <v>53.179182702501997</v>
      </c>
      <c r="P227">
        <v>-0.80041837002648297</v>
      </c>
      <c r="Q227">
        <v>0.318950301323565</v>
      </c>
      <c r="R227">
        <v>0.98040243892444301</v>
      </c>
      <c r="S227" t="s">
        <v>4523</v>
      </c>
      <c r="T227" t="s">
        <v>8590</v>
      </c>
      <c r="U227" t="s">
        <v>8590</v>
      </c>
      <c r="V227" t="s">
        <v>8590</v>
      </c>
      <c r="W227">
        <v>4</v>
      </c>
      <c r="X227" t="s">
        <v>8817</v>
      </c>
      <c r="Y227">
        <v>0.61828073264971806</v>
      </c>
      <c r="Z227" t="str">
        <f>HYPERLINK("Melting_Curves/meltCurve_sp_O60613_SEP15_HUMAN_.pdf", "Melting_Curves/meltCurve_sp_O60613_SEP15_HUMAN_.pdf")</f>
        <v>Melting_Curves/meltCurve_sp_O60613_SEP15_HUMAN_.pdf</v>
      </c>
      <c r="AA227" t="s">
        <v>13108</v>
      </c>
      <c r="AB227" t="s">
        <v>17312</v>
      </c>
    </row>
    <row r="228" spans="1:28" x14ac:dyDescent="0.25">
      <c r="A228" t="s">
        <v>232</v>
      </c>
      <c r="B228">
        <v>0.99876560204751996</v>
      </c>
      <c r="C228">
        <v>0.98517030948940498</v>
      </c>
      <c r="D228">
        <v>0.96949106908340799</v>
      </c>
      <c r="E228">
        <v>0.46251080105595999</v>
      </c>
      <c r="F228">
        <v>0.17536696792367101</v>
      </c>
      <c r="G228">
        <v>0.128348269389508</v>
      </c>
      <c r="H228">
        <v>5.1571545602914701E-2</v>
      </c>
      <c r="I228">
        <v>7.3653245476253904E-2</v>
      </c>
      <c r="J228">
        <v>5.4995325879618903E-2</v>
      </c>
      <c r="K228">
        <v>3.04563082120799E-2</v>
      </c>
      <c r="L228">
        <v>1693.4304490204499</v>
      </c>
      <c r="M228">
        <v>34.1130065198859</v>
      </c>
      <c r="N228">
        <v>49.848955351847103</v>
      </c>
      <c r="O228">
        <v>49.472120894298499</v>
      </c>
      <c r="P228">
        <v>-0.16099326625147001</v>
      </c>
      <c r="Q228">
        <v>6.6086784856383196E-2</v>
      </c>
      <c r="R228">
        <v>0.99659500755531405</v>
      </c>
      <c r="S228" t="s">
        <v>4524</v>
      </c>
      <c r="T228" t="s">
        <v>8590</v>
      </c>
      <c r="U228" t="s">
        <v>8590</v>
      </c>
      <c r="V228" t="s">
        <v>8590</v>
      </c>
      <c r="W228">
        <v>10</v>
      </c>
      <c r="X228" t="s">
        <v>8818</v>
      </c>
      <c r="Y228">
        <v>0.37066465205556309</v>
      </c>
      <c r="Z228" t="str">
        <f>HYPERLINK("Melting_Curves/meltCurve_sp_O60645_3_EXOC3_HUMAN_.pdf", "Melting_Curves/meltCurve_sp_O60645_3_EXOC3_HUMAN_.pdf")</f>
        <v>Melting_Curves/meltCurve_sp_O60645_3_EXOC3_HUMAN_.pdf</v>
      </c>
      <c r="AA228" t="s">
        <v>13109</v>
      </c>
      <c r="AB228" t="s">
        <v>17313</v>
      </c>
    </row>
    <row r="229" spans="1:28" x14ac:dyDescent="0.25">
      <c r="A229" t="s">
        <v>233</v>
      </c>
      <c r="B229">
        <v>0.99876560204751996</v>
      </c>
      <c r="C229">
        <v>0.98836685323573403</v>
      </c>
      <c r="D229">
        <v>0.99278590070307704</v>
      </c>
      <c r="E229">
        <v>0.86147687759270197</v>
      </c>
      <c r="F229">
        <v>0.85161905429260099</v>
      </c>
      <c r="G229">
        <v>0.64385420810793204</v>
      </c>
      <c r="H229">
        <v>0.46088866130841699</v>
      </c>
      <c r="I229">
        <v>0.38187103691183799</v>
      </c>
      <c r="J229">
        <v>0.46529079966606202</v>
      </c>
      <c r="K229">
        <v>0.40977721808209999</v>
      </c>
      <c r="L229">
        <v>993.60068672474495</v>
      </c>
      <c r="M229">
        <v>17.897932600435599</v>
      </c>
      <c r="N229">
        <v>60.513292836440101</v>
      </c>
      <c r="O229">
        <v>54.835732136655302</v>
      </c>
      <c r="P229">
        <v>-5.01038275871745E-2</v>
      </c>
      <c r="Q229">
        <v>0.38599826239263402</v>
      </c>
      <c r="R229">
        <v>0.97923158153342904</v>
      </c>
      <c r="S229" t="s">
        <v>4525</v>
      </c>
      <c r="T229" t="s">
        <v>8590</v>
      </c>
      <c r="U229" t="s">
        <v>8590</v>
      </c>
      <c r="V229" t="s">
        <v>8590</v>
      </c>
      <c r="W229">
        <v>10</v>
      </c>
      <c r="X229" t="s">
        <v>8819</v>
      </c>
      <c r="Y229">
        <v>0.71288636706141628</v>
      </c>
      <c r="Z229" t="str">
        <f>HYPERLINK("Melting_Curves/meltCurve_sp_O60664_4_PLIN3_HUMAN_.pdf", "Melting_Curves/meltCurve_sp_O60664_4_PLIN3_HUMAN_.pdf")</f>
        <v>Melting_Curves/meltCurve_sp_O60664_4_PLIN3_HUMAN_.pdf</v>
      </c>
      <c r="AA229" t="s">
        <v>13110</v>
      </c>
      <c r="AB229" t="s">
        <v>17314</v>
      </c>
    </row>
    <row r="230" spans="1:28" x14ac:dyDescent="0.25">
      <c r="A230" t="s">
        <v>234</v>
      </c>
      <c r="B230">
        <v>0.99876560204751996</v>
      </c>
      <c r="C230">
        <v>0.98188865325458496</v>
      </c>
      <c r="D230">
        <v>0.77171727788411604</v>
      </c>
      <c r="E230">
        <v>0.41676671108596602</v>
      </c>
      <c r="F230">
        <v>0.126306137181244</v>
      </c>
      <c r="G230">
        <v>6.5254373109020394E-2</v>
      </c>
      <c r="H230">
        <v>4.2506958693639997E-2</v>
      </c>
      <c r="I230">
        <v>3.4243546149887699E-2</v>
      </c>
      <c r="J230">
        <v>3.45766160448936E-2</v>
      </c>
      <c r="K230">
        <v>3.05619461439047E-2</v>
      </c>
      <c r="L230">
        <v>1102.9320869271</v>
      </c>
      <c r="M230">
        <v>22.618589933806899</v>
      </c>
      <c r="N230">
        <v>48.885277198058503</v>
      </c>
      <c r="O230">
        <v>48.385854207634502</v>
      </c>
      <c r="P230">
        <v>-0.113633336436135</v>
      </c>
      <c r="Q230">
        <v>2.7678704085892299E-2</v>
      </c>
      <c r="R230">
        <v>0.99720872986918496</v>
      </c>
      <c r="S230" t="s">
        <v>4526</v>
      </c>
      <c r="T230" t="s">
        <v>8590</v>
      </c>
      <c r="U230" t="s">
        <v>8590</v>
      </c>
      <c r="V230" t="s">
        <v>8590</v>
      </c>
      <c r="W230">
        <v>22</v>
      </c>
      <c r="X230" t="s">
        <v>8820</v>
      </c>
      <c r="Y230">
        <v>0.32225795684494279</v>
      </c>
      <c r="Z230" t="str">
        <f>HYPERLINK("Melting_Curves/meltCurve_sp_O60701_UGDH_HUMAN_.pdf", "Melting_Curves/meltCurve_sp_O60701_UGDH_HUMAN_.pdf")</f>
        <v>Melting_Curves/meltCurve_sp_O60701_UGDH_HUMAN_.pdf</v>
      </c>
      <c r="AA230" t="s">
        <v>13111</v>
      </c>
      <c r="AB230" t="s">
        <v>17315</v>
      </c>
    </row>
    <row r="231" spans="1:28" x14ac:dyDescent="0.25">
      <c r="A231" t="s">
        <v>235</v>
      </c>
      <c r="B231">
        <v>0.99876560204751996</v>
      </c>
      <c r="C231">
        <v>0.93109943633975101</v>
      </c>
      <c r="D231">
        <v>0.75387093724823695</v>
      </c>
      <c r="E231">
        <v>0.57495331629629098</v>
      </c>
      <c r="F231">
        <v>0.43942981185475499</v>
      </c>
      <c r="G231">
        <v>0.32312250940530601</v>
      </c>
      <c r="H231">
        <v>0.26980119260735203</v>
      </c>
      <c r="I231">
        <v>0.25146445866120698</v>
      </c>
      <c r="J231">
        <v>0.27799150805733103</v>
      </c>
      <c r="K231">
        <v>0.27421667840323199</v>
      </c>
      <c r="L231">
        <v>729.06184757796905</v>
      </c>
      <c r="M231">
        <v>14.929884896811201</v>
      </c>
      <c r="N231">
        <v>51.215347092912303</v>
      </c>
      <c r="O231">
        <v>47.9814230901287</v>
      </c>
      <c r="P231">
        <v>-5.8319043855910503E-2</v>
      </c>
      <c r="Q231">
        <v>0.25037803993830898</v>
      </c>
      <c r="R231">
        <v>0.99537354463930505</v>
      </c>
      <c r="S231" t="s">
        <v>4527</v>
      </c>
      <c r="T231" t="s">
        <v>8590</v>
      </c>
      <c r="U231" t="s">
        <v>8590</v>
      </c>
      <c r="V231" t="s">
        <v>8590</v>
      </c>
      <c r="W231">
        <v>11</v>
      </c>
      <c r="X231" t="s">
        <v>8821</v>
      </c>
      <c r="Y231">
        <v>0.48986143758623879</v>
      </c>
      <c r="Z231" t="str">
        <f>HYPERLINK("Melting_Curves/meltCurve_sp_O60716_5_CTND1_HUMAN_.pdf", "Melting_Curves/meltCurve_sp_O60716_5_CTND1_HUMAN_.pdf")</f>
        <v>Melting_Curves/meltCurve_sp_O60716_5_CTND1_HUMAN_.pdf</v>
      </c>
      <c r="AA231" t="s">
        <v>13112</v>
      </c>
      <c r="AB231" t="s">
        <v>17316</v>
      </c>
    </row>
    <row r="232" spans="1:28" x14ac:dyDescent="0.25">
      <c r="A232" t="s">
        <v>236</v>
      </c>
      <c r="B232">
        <v>0.99876560204751996</v>
      </c>
      <c r="C232">
        <v>0.93754875173165797</v>
      </c>
      <c r="D232">
        <v>0.96729932865225698</v>
      </c>
      <c r="E232">
        <v>0.68604650580187299</v>
      </c>
      <c r="F232">
        <v>0.356114154399996</v>
      </c>
      <c r="G232">
        <v>0.16934023650181401</v>
      </c>
      <c r="H232">
        <v>0.121699823086627</v>
      </c>
      <c r="I232">
        <v>0.104431540260488</v>
      </c>
      <c r="J232">
        <v>0.117409305549613</v>
      </c>
      <c r="K232">
        <v>0.108554909800917</v>
      </c>
      <c r="L232">
        <v>1357.0324484758801</v>
      </c>
      <c r="M232">
        <v>26.5398267993796</v>
      </c>
      <c r="N232">
        <v>51.6109650363559</v>
      </c>
      <c r="O232">
        <v>50.844271527035303</v>
      </c>
      <c r="P232">
        <v>-0.116250659254918</v>
      </c>
      <c r="Q232">
        <v>0.10917016360918801</v>
      </c>
      <c r="R232">
        <v>0.99746810527012197</v>
      </c>
      <c r="S232" t="s">
        <v>4528</v>
      </c>
      <c r="T232" t="s">
        <v>8590</v>
      </c>
      <c r="U232" t="s">
        <v>8590</v>
      </c>
      <c r="V232" t="s">
        <v>8590</v>
      </c>
      <c r="W232">
        <v>17</v>
      </c>
      <c r="X232" t="s">
        <v>8822</v>
      </c>
      <c r="Y232">
        <v>0.44688906365996278</v>
      </c>
      <c r="Z232" t="str">
        <f>HYPERLINK("Melting_Curves/meltCurve_sp_O60749_SNX2_HUMAN_.pdf", "Melting_Curves/meltCurve_sp_O60749_SNX2_HUMAN_.pdf")</f>
        <v>Melting_Curves/meltCurve_sp_O60749_SNX2_HUMAN_.pdf</v>
      </c>
      <c r="AA232" t="s">
        <v>13113</v>
      </c>
      <c r="AB232" t="s">
        <v>17317</v>
      </c>
    </row>
    <row r="233" spans="1:28" x14ac:dyDescent="0.25">
      <c r="A233" t="s">
        <v>237</v>
      </c>
      <c r="B233">
        <v>0.99876560204751996</v>
      </c>
      <c r="C233">
        <v>1.0270145211239901</v>
      </c>
      <c r="D233">
        <v>0.98233988196417099</v>
      </c>
      <c r="E233">
        <v>1.0490456414585201</v>
      </c>
      <c r="F233">
        <v>0.938781888929619</v>
      </c>
      <c r="G233">
        <v>0.35356564268848301</v>
      </c>
      <c r="H233">
        <v>0.109025855214248</v>
      </c>
      <c r="I233">
        <v>7.4670876035947104E-2</v>
      </c>
      <c r="J233">
        <v>6.4660617583172195E-2</v>
      </c>
      <c r="K233">
        <v>5.4116412441269302E-2</v>
      </c>
      <c r="L233">
        <v>2610.4348158358198</v>
      </c>
      <c r="M233">
        <v>46.603483433453398</v>
      </c>
      <c r="N233">
        <v>56.193314281206398</v>
      </c>
      <c r="O233">
        <v>55.910894190971099</v>
      </c>
      <c r="P233">
        <v>-0.19396575732475399</v>
      </c>
      <c r="Q233">
        <v>6.9186811960744901E-2</v>
      </c>
      <c r="R233">
        <v>0.99772253303294101</v>
      </c>
      <c r="S233" t="s">
        <v>4529</v>
      </c>
      <c r="T233" t="s">
        <v>8590</v>
      </c>
      <c r="U233" t="s">
        <v>8590</v>
      </c>
      <c r="V233" t="s">
        <v>8590</v>
      </c>
      <c r="W233">
        <v>37</v>
      </c>
      <c r="X233" t="s">
        <v>8823</v>
      </c>
      <c r="Y233">
        <v>0.56869041285360777</v>
      </c>
      <c r="Z233" t="str">
        <f>HYPERLINK("Melting_Curves/meltCurve_sp_O60763_USO1_HUMAN_.pdf", "Melting_Curves/meltCurve_sp_O60763_USO1_HUMAN_.pdf")</f>
        <v>Melting_Curves/meltCurve_sp_O60763_USO1_HUMAN_.pdf</v>
      </c>
      <c r="AA233" t="s">
        <v>13114</v>
      </c>
      <c r="AB233" t="s">
        <v>17318</v>
      </c>
    </row>
    <row r="234" spans="1:28" x14ac:dyDescent="0.25">
      <c r="A234" t="s">
        <v>238</v>
      </c>
      <c r="B234">
        <v>0.99876560204751996</v>
      </c>
      <c r="C234">
        <v>1.2584198577026</v>
      </c>
      <c r="D234">
        <v>0.99741370826610298</v>
      </c>
      <c r="E234">
        <v>0.85082556474151405</v>
      </c>
      <c r="F234">
        <v>0.25068110290124102</v>
      </c>
      <c r="G234">
        <v>0.134994695769383</v>
      </c>
      <c r="H234">
        <v>8.0922551964261097E-2</v>
      </c>
      <c r="I234">
        <v>5.74541178362446E-2</v>
      </c>
      <c r="J234">
        <v>6.7765849205321693E-2</v>
      </c>
      <c r="K234">
        <v>4.3765386035696199E-2</v>
      </c>
      <c r="L234">
        <v>2685.8400726455002</v>
      </c>
      <c r="M234">
        <v>52.091373421198298</v>
      </c>
      <c r="N234">
        <v>51.721217273983001</v>
      </c>
      <c r="O234">
        <v>51.4843511850355</v>
      </c>
      <c r="P234">
        <v>-0.234011304669342</v>
      </c>
      <c r="Q234">
        <v>7.4863210419375104E-2</v>
      </c>
      <c r="R234">
        <v>0.96693559022919595</v>
      </c>
      <c r="S234" t="s">
        <v>4530</v>
      </c>
      <c r="T234" t="s">
        <v>8590</v>
      </c>
      <c r="U234" t="s">
        <v>8590</v>
      </c>
      <c r="V234" t="s">
        <v>8590</v>
      </c>
      <c r="W234">
        <v>19</v>
      </c>
      <c r="X234" t="s">
        <v>8824</v>
      </c>
      <c r="Y234">
        <v>0.43329209801402552</v>
      </c>
      <c r="Z234" t="str">
        <f>HYPERLINK("Melting_Curves/meltCurve_sp_O60826_CCD22_HUMAN_.pdf", "Melting_Curves/meltCurve_sp_O60826_CCD22_HUMAN_.pdf")</f>
        <v>Melting_Curves/meltCurve_sp_O60826_CCD22_HUMAN_.pdf</v>
      </c>
      <c r="AA234" t="s">
        <v>13115</v>
      </c>
      <c r="AB234" t="s">
        <v>17319</v>
      </c>
    </row>
    <row r="235" spans="1:28" x14ac:dyDescent="0.25">
      <c r="A235" t="s">
        <v>239</v>
      </c>
      <c r="B235">
        <v>0.99876560204751996</v>
      </c>
      <c r="C235">
        <v>1.08044372341967</v>
      </c>
      <c r="D235">
        <v>1.0256973661122899</v>
      </c>
      <c r="E235">
        <v>1.01358593898914</v>
      </c>
      <c r="F235">
        <v>0.68057236216575401</v>
      </c>
      <c r="G235">
        <v>0.24739812382621601</v>
      </c>
      <c r="H235">
        <v>0.17914729818440001</v>
      </c>
      <c r="I235">
        <v>0.17913950926432701</v>
      </c>
      <c r="J235">
        <v>0.26007643233412497</v>
      </c>
      <c r="K235">
        <v>0.23346665655806301</v>
      </c>
      <c r="L235">
        <v>3556.0593541194398</v>
      </c>
      <c r="M235">
        <v>66.712956777796407</v>
      </c>
      <c r="N235">
        <v>53.764274822553801</v>
      </c>
      <c r="O235">
        <v>53.256044954695497</v>
      </c>
      <c r="P235">
        <v>-0.24502527955467299</v>
      </c>
      <c r="Q235">
        <v>0.21759885696972001</v>
      </c>
      <c r="R235">
        <v>0.99113889165299096</v>
      </c>
      <c r="S235" t="s">
        <v>4531</v>
      </c>
      <c r="T235" t="s">
        <v>8590</v>
      </c>
      <c r="U235" t="s">
        <v>8590</v>
      </c>
      <c r="V235" t="s">
        <v>8590</v>
      </c>
      <c r="W235">
        <v>3</v>
      </c>
      <c r="X235" t="s">
        <v>8825</v>
      </c>
      <c r="Y235">
        <v>0.56559533056206057</v>
      </c>
      <c r="Z235" t="str">
        <f>HYPERLINK("Melting_Curves/meltCurve_sp_O60828_2_PQBP1_HUMAN_.pdf", "Melting_Curves/meltCurve_sp_O60828_2_PQBP1_HUMAN_.pdf")</f>
        <v>Melting_Curves/meltCurve_sp_O60828_2_PQBP1_HUMAN_.pdf</v>
      </c>
      <c r="AA235" t="s">
        <v>13116</v>
      </c>
      <c r="AB235" t="s">
        <v>17320</v>
      </c>
    </row>
    <row r="236" spans="1:28" x14ac:dyDescent="0.25">
      <c r="A236" t="s">
        <v>240</v>
      </c>
      <c r="B236">
        <v>0.99876560204751996</v>
      </c>
      <c r="C236">
        <v>1.1169404550164199</v>
      </c>
      <c r="D236">
        <v>1.16170193964153</v>
      </c>
      <c r="E236">
        <v>1.12571531279159</v>
      </c>
      <c r="F236">
        <v>0.84352556081388996</v>
      </c>
      <c r="G236">
        <v>0.92607995944913102</v>
      </c>
      <c r="H236">
        <v>1.33143082632067</v>
      </c>
      <c r="I236">
        <v>0.36443379465989501</v>
      </c>
      <c r="J236">
        <v>0.43064749689077297</v>
      </c>
      <c r="K236">
        <v>0.167146424410415</v>
      </c>
      <c r="L236">
        <v>15000</v>
      </c>
      <c r="M236">
        <v>236.63830600029701</v>
      </c>
      <c r="N236">
        <v>63.632585769445001</v>
      </c>
      <c r="O236">
        <v>63.383348939412897</v>
      </c>
      <c r="P236">
        <v>-0.65452659865167895</v>
      </c>
      <c r="Q236">
        <v>0.298742636478387</v>
      </c>
      <c r="R236">
        <v>0.83343919315827297</v>
      </c>
      <c r="S236" t="s">
        <v>4532</v>
      </c>
      <c r="T236" t="s">
        <v>8590</v>
      </c>
      <c r="U236" t="s">
        <v>8590</v>
      </c>
      <c r="V236" t="s">
        <v>8590</v>
      </c>
      <c r="W236">
        <v>3</v>
      </c>
      <c r="X236" t="s">
        <v>8826</v>
      </c>
      <c r="Y236">
        <v>0.84552709019224048</v>
      </c>
      <c r="Z236" t="str">
        <f>HYPERLINK("Melting_Curves/meltCurve_sp_O60832_DKC1_HUMAN_.pdf", "Melting_Curves/meltCurve_sp_O60832_DKC1_HUMAN_.pdf")</f>
        <v>Melting_Curves/meltCurve_sp_O60832_DKC1_HUMAN_.pdf</v>
      </c>
      <c r="AA236" t="s">
        <v>13117</v>
      </c>
      <c r="AB236" t="s">
        <v>17321</v>
      </c>
    </row>
    <row r="237" spans="1:28" x14ac:dyDescent="0.25">
      <c r="A237" t="s">
        <v>241</v>
      </c>
      <c r="B237">
        <v>0.99876560204751996</v>
      </c>
      <c r="C237">
        <v>0.94532742874410403</v>
      </c>
      <c r="D237">
        <v>0.95511176042750801</v>
      </c>
      <c r="E237">
        <v>0.87470194836264803</v>
      </c>
      <c r="F237">
        <v>0.65802878197697801</v>
      </c>
      <c r="G237">
        <v>0.35650581474665999</v>
      </c>
      <c r="H237">
        <v>0.22774945571785801</v>
      </c>
      <c r="I237">
        <v>0.17621938674440299</v>
      </c>
      <c r="J237">
        <v>0.19543801424853299</v>
      </c>
      <c r="K237">
        <v>0.165425312384609</v>
      </c>
      <c r="L237">
        <v>1155.6570973303899</v>
      </c>
      <c r="M237">
        <v>21.449883728856801</v>
      </c>
      <c r="N237">
        <v>54.891505259805399</v>
      </c>
      <c r="O237">
        <v>53.4153586307377</v>
      </c>
      <c r="P237">
        <v>-8.39666249787408E-2</v>
      </c>
      <c r="Q237">
        <v>0.163632449033628</v>
      </c>
      <c r="R237">
        <v>0.99672275118868703</v>
      </c>
      <c r="S237" t="s">
        <v>4533</v>
      </c>
      <c r="T237" t="s">
        <v>8590</v>
      </c>
      <c r="U237" t="s">
        <v>8590</v>
      </c>
      <c r="V237" t="s">
        <v>8590</v>
      </c>
      <c r="W237">
        <v>25</v>
      </c>
      <c r="X237" t="s">
        <v>8827</v>
      </c>
      <c r="Y237">
        <v>0.56064971009342235</v>
      </c>
      <c r="Z237" t="str">
        <f>HYPERLINK("Melting_Curves/meltCurve_sp_O60841_IF2P_HUMAN_.pdf", "Melting_Curves/meltCurve_sp_O60841_IF2P_HUMAN_.pdf")</f>
        <v>Melting_Curves/meltCurve_sp_O60841_IF2P_HUMAN_.pdf</v>
      </c>
      <c r="AA237" t="s">
        <v>13118</v>
      </c>
      <c r="AB237" t="s">
        <v>17322</v>
      </c>
    </row>
    <row r="238" spans="1:28" x14ac:dyDescent="0.25">
      <c r="A238" t="s">
        <v>242</v>
      </c>
      <c r="B238">
        <v>0.99876560204751996</v>
      </c>
      <c r="C238">
        <v>0.94919222206356102</v>
      </c>
      <c r="D238">
        <v>1.05960970179348</v>
      </c>
      <c r="E238">
        <v>0.91788749139732495</v>
      </c>
      <c r="F238">
        <v>0.96947027839677902</v>
      </c>
      <c r="G238">
        <v>0.74232817601006895</v>
      </c>
      <c r="H238">
        <v>0.61950572557726902</v>
      </c>
      <c r="I238">
        <v>0.67333225513138495</v>
      </c>
      <c r="J238">
        <v>0.85306996439401905</v>
      </c>
      <c r="K238">
        <v>0.84972725013569095</v>
      </c>
      <c r="L238">
        <v>7290.0447357112898</v>
      </c>
      <c r="M238">
        <v>135.566444160933</v>
      </c>
      <c r="O238">
        <v>53.763013505616598</v>
      </c>
      <c r="P238">
        <v>-0.15912904338988901</v>
      </c>
      <c r="Q238">
        <v>0.74757014330860005</v>
      </c>
      <c r="R238">
        <v>0.70161540835299496</v>
      </c>
      <c r="S238" t="s">
        <v>4534</v>
      </c>
      <c r="T238" t="s">
        <v>8590</v>
      </c>
      <c r="U238" t="s">
        <v>8590</v>
      </c>
      <c r="V238" t="s">
        <v>8590</v>
      </c>
      <c r="W238">
        <v>9</v>
      </c>
      <c r="X238" t="s">
        <v>8828</v>
      </c>
      <c r="Y238">
        <v>0.863556045346483</v>
      </c>
      <c r="Z238" t="str">
        <f>HYPERLINK("Melting_Curves/meltCurve_sp_O60869_EDF1_HUMAN_.pdf", "Melting_Curves/meltCurve_sp_O60869_EDF1_HUMAN_.pdf")</f>
        <v>Melting_Curves/meltCurve_sp_O60869_EDF1_HUMAN_.pdf</v>
      </c>
      <c r="AA238" t="s">
        <v>13119</v>
      </c>
      <c r="AB238" t="s">
        <v>17323</v>
      </c>
    </row>
    <row r="239" spans="1:28" x14ac:dyDescent="0.25">
      <c r="A239" t="s">
        <v>243</v>
      </c>
      <c r="B239">
        <v>0.99876560204751996</v>
      </c>
      <c r="C239">
        <v>1.11075173381021</v>
      </c>
      <c r="D239">
        <v>0.99381992320097001</v>
      </c>
      <c r="E239">
        <v>0.89141513484280799</v>
      </c>
      <c r="F239">
        <v>0.64418254116670504</v>
      </c>
      <c r="G239">
        <v>0.24395312103216399</v>
      </c>
      <c r="H239">
        <v>0.13906903346963301</v>
      </c>
      <c r="I239">
        <v>0.117783124658581</v>
      </c>
      <c r="J239">
        <v>0.13725013556190299</v>
      </c>
      <c r="K239">
        <v>0.107503052784582</v>
      </c>
      <c r="L239">
        <v>1563.5168311428199</v>
      </c>
      <c r="M239">
        <v>29.1454459554562</v>
      </c>
      <c r="N239">
        <v>54.132540915812498</v>
      </c>
      <c r="O239">
        <v>53.394673058182498</v>
      </c>
      <c r="P239">
        <v>-0.12071971132902</v>
      </c>
      <c r="Q239">
        <v>0.11536877965128001</v>
      </c>
      <c r="R239">
        <v>0.99201115686807095</v>
      </c>
      <c r="S239" t="s">
        <v>4535</v>
      </c>
      <c r="T239" t="s">
        <v>8590</v>
      </c>
      <c r="U239" t="s">
        <v>8590</v>
      </c>
      <c r="V239" t="s">
        <v>8590</v>
      </c>
      <c r="W239">
        <v>12</v>
      </c>
      <c r="X239" t="s">
        <v>8829</v>
      </c>
      <c r="Y239">
        <v>0.52385693788000409</v>
      </c>
      <c r="Z239" t="str">
        <f>HYPERLINK("Melting_Curves/meltCurve_sp_O60884_DNJA2_HUMAN_.pdf", "Melting_Curves/meltCurve_sp_O60884_DNJA2_HUMAN_.pdf")</f>
        <v>Melting_Curves/meltCurve_sp_O60884_DNJA2_HUMAN_.pdf</v>
      </c>
      <c r="AA239" t="s">
        <v>13120</v>
      </c>
      <c r="AB239" t="s">
        <v>17324</v>
      </c>
    </row>
    <row r="240" spans="1:28" x14ac:dyDescent="0.25">
      <c r="A240" t="s">
        <v>244</v>
      </c>
      <c r="B240">
        <v>0.99876560204751996</v>
      </c>
      <c r="C240">
        <v>0.88439505280365205</v>
      </c>
      <c r="D240">
        <v>0.86792230009429405</v>
      </c>
      <c r="E240">
        <v>0.72282332888731604</v>
      </c>
      <c r="F240">
        <v>0.567621275363135</v>
      </c>
      <c r="G240">
        <v>0.418395748658694</v>
      </c>
      <c r="H240">
        <v>0.32181692554212499</v>
      </c>
      <c r="I240">
        <v>0.27774799812642398</v>
      </c>
      <c r="J240">
        <v>0.35940613237485503</v>
      </c>
      <c r="K240">
        <v>0.33891701642410699</v>
      </c>
      <c r="L240">
        <v>690.67873488304201</v>
      </c>
      <c r="M240">
        <v>13.525553711153499</v>
      </c>
      <c r="N240">
        <v>54.509555063871701</v>
      </c>
      <c r="O240">
        <v>49.987261761356699</v>
      </c>
      <c r="P240">
        <v>-4.8217245591054003E-2</v>
      </c>
      <c r="Q240">
        <v>0.287309701814007</v>
      </c>
      <c r="R240">
        <v>0.98078667835692601</v>
      </c>
      <c r="S240" t="s">
        <v>4536</v>
      </c>
      <c r="T240" t="s">
        <v>8590</v>
      </c>
      <c r="U240" t="s">
        <v>8590</v>
      </c>
      <c r="V240" t="s">
        <v>8590</v>
      </c>
      <c r="W240">
        <v>9</v>
      </c>
      <c r="X240" t="s">
        <v>8830</v>
      </c>
      <c r="Y240">
        <v>0.56955152960373567</v>
      </c>
      <c r="Z240" t="str">
        <f>HYPERLINK("Melting_Curves/meltCurve_sp_O60885_BRD4_HUMAN_.pdf", "Melting_Curves/meltCurve_sp_O60885_BRD4_HUMAN_.pdf")</f>
        <v>Melting_Curves/meltCurve_sp_O60885_BRD4_HUMAN_.pdf</v>
      </c>
      <c r="AA240" t="s">
        <v>13121</v>
      </c>
      <c r="AB240" t="s">
        <v>17325</v>
      </c>
    </row>
    <row r="241" spans="1:28" x14ac:dyDescent="0.25">
      <c r="A241" t="s">
        <v>245</v>
      </c>
      <c r="B241">
        <v>0.99876560204751996</v>
      </c>
      <c r="C241">
        <v>1.00857557855905</v>
      </c>
      <c r="D241">
        <v>1.0128161472344801</v>
      </c>
      <c r="E241">
        <v>0.920122154817124</v>
      </c>
      <c r="F241">
        <v>0.82550216604161697</v>
      </c>
      <c r="G241">
        <v>0.60965075530357704</v>
      </c>
      <c r="H241">
        <v>0.49656913778087097</v>
      </c>
      <c r="I241">
        <v>0.43434931065346399</v>
      </c>
      <c r="J241">
        <v>0.46145123289504902</v>
      </c>
      <c r="K241">
        <v>0.40365760233858999</v>
      </c>
      <c r="L241">
        <v>1103.58845936489</v>
      </c>
      <c r="M241">
        <v>20.020774642016299</v>
      </c>
      <c r="N241">
        <v>60.477439116481897</v>
      </c>
      <c r="O241">
        <v>54.581047598460302</v>
      </c>
      <c r="P241">
        <v>-5.3640550474027E-2</v>
      </c>
      <c r="Q241">
        <v>0.41507489109092499</v>
      </c>
      <c r="R241">
        <v>0.99592960805966901</v>
      </c>
      <c r="S241" t="s">
        <v>4537</v>
      </c>
      <c r="T241" t="s">
        <v>8590</v>
      </c>
      <c r="U241" t="s">
        <v>8590</v>
      </c>
      <c r="V241" t="s">
        <v>8590</v>
      </c>
      <c r="W241">
        <v>4</v>
      </c>
      <c r="X241" t="s">
        <v>8831</v>
      </c>
      <c r="Y241">
        <v>0.71766999064224868</v>
      </c>
      <c r="Z241" t="str">
        <f>HYPERLINK("Melting_Curves/meltCurve_sp_O60888_3_CUTA_HUMAN_.pdf", "Melting_Curves/meltCurve_sp_O60888_3_CUTA_HUMAN_.pdf")</f>
        <v>Melting_Curves/meltCurve_sp_O60888_3_CUTA_HUMAN_.pdf</v>
      </c>
      <c r="AA241" t="s">
        <v>13122</v>
      </c>
      <c r="AB241" t="s">
        <v>17326</v>
      </c>
    </row>
    <row r="242" spans="1:28" x14ac:dyDescent="0.25">
      <c r="A242" t="s">
        <v>246</v>
      </c>
      <c r="B242">
        <v>0.99876560204751996</v>
      </c>
      <c r="C242">
        <v>0.86684725334472501</v>
      </c>
      <c r="D242">
        <v>0.73556310622171195</v>
      </c>
      <c r="E242">
        <v>0.85570318808270995</v>
      </c>
      <c r="F242">
        <v>0.58123980914939199</v>
      </c>
      <c r="G242">
        <v>0.32851937139576498</v>
      </c>
      <c r="H242">
        <v>0.14155716716281899</v>
      </c>
      <c r="I242">
        <v>0.11210180080729799</v>
      </c>
      <c r="J242">
        <v>0.112975981276005</v>
      </c>
      <c r="K242">
        <v>6.7815813272405101E-2</v>
      </c>
      <c r="L242">
        <v>646.09408628368703</v>
      </c>
      <c r="M242">
        <v>11.964941362601801</v>
      </c>
      <c r="N242">
        <v>53.998934332648901</v>
      </c>
      <c r="O242">
        <v>52.556856574317898</v>
      </c>
      <c r="P242">
        <v>-5.6928150782576799E-2</v>
      </c>
      <c r="Q242">
        <v>0</v>
      </c>
      <c r="R242">
        <v>0.95443193100721702</v>
      </c>
      <c r="S242" t="s">
        <v>4538</v>
      </c>
      <c r="T242" t="s">
        <v>8590</v>
      </c>
      <c r="U242" t="s">
        <v>8590</v>
      </c>
      <c r="V242" t="s">
        <v>8590</v>
      </c>
      <c r="W242">
        <v>3</v>
      </c>
      <c r="X242" t="s">
        <v>8832</v>
      </c>
      <c r="Y242">
        <v>0.49282186852386872</v>
      </c>
      <c r="Z242" t="str">
        <f>HYPERLINK("Melting_Curves/meltCurve_sp_O60907_TBL1X_HUMAN_.pdf", "Melting_Curves/meltCurve_sp_O60907_TBL1X_HUMAN_.pdf")</f>
        <v>Melting_Curves/meltCurve_sp_O60907_TBL1X_HUMAN_.pdf</v>
      </c>
      <c r="AA242" t="s">
        <v>13123</v>
      </c>
      <c r="AB242" t="s">
        <v>17327</v>
      </c>
    </row>
    <row r="243" spans="1:28" x14ac:dyDescent="0.25">
      <c r="A243" t="s">
        <v>247</v>
      </c>
      <c r="B243">
        <v>0.99876560204751996</v>
      </c>
      <c r="C243">
        <v>1.0845334194190199</v>
      </c>
      <c r="D243">
        <v>1.0139807177648701</v>
      </c>
      <c r="E243">
        <v>1.09313598476747</v>
      </c>
      <c r="F243">
        <v>1.1078208407210699</v>
      </c>
      <c r="G243">
        <v>0.93129409623152604</v>
      </c>
      <c r="H243">
        <v>0.66049608852638098</v>
      </c>
      <c r="I243">
        <v>0.50157060374116902</v>
      </c>
      <c r="J243">
        <v>0.71036925671897599</v>
      </c>
      <c r="K243">
        <v>0.57971497363270696</v>
      </c>
      <c r="L243">
        <v>3337.0841366883001</v>
      </c>
      <c r="M243">
        <v>56.828933079785102</v>
      </c>
      <c r="O243">
        <v>58.648987380978603</v>
      </c>
      <c r="P243">
        <v>-9.6684523689275603E-2</v>
      </c>
      <c r="Q243">
        <v>0.600876081821619</v>
      </c>
      <c r="R243">
        <v>0.89406957593037995</v>
      </c>
      <c r="S243" t="s">
        <v>4539</v>
      </c>
      <c r="T243" t="s">
        <v>8590</v>
      </c>
      <c r="U243" t="s">
        <v>8590</v>
      </c>
      <c r="V243" t="s">
        <v>8590</v>
      </c>
      <c r="W243">
        <v>5</v>
      </c>
      <c r="X243" t="s">
        <v>8833</v>
      </c>
      <c r="Y243">
        <v>0.8507474062670215</v>
      </c>
      <c r="Z243" t="str">
        <f>HYPERLINK("Melting_Curves/meltCurve_sp_O60925_PFD1_HUMAN_.pdf", "Melting_Curves/meltCurve_sp_O60925_PFD1_HUMAN_.pdf")</f>
        <v>Melting_Curves/meltCurve_sp_O60925_PFD1_HUMAN_.pdf</v>
      </c>
      <c r="AA243" t="s">
        <v>13124</v>
      </c>
      <c r="AB243" t="s">
        <v>17328</v>
      </c>
    </row>
    <row r="244" spans="1:28" x14ac:dyDescent="0.25">
      <c r="A244" t="s">
        <v>248</v>
      </c>
      <c r="B244">
        <v>0.99876560204751996</v>
      </c>
      <c r="C244">
        <v>1.0551768414539699</v>
      </c>
      <c r="D244">
        <v>1.06708844833557</v>
      </c>
      <c r="E244">
        <v>0.96728044969963201</v>
      </c>
      <c r="F244">
        <v>0.92622579016428996</v>
      </c>
      <c r="G244">
        <v>0.60084970820583405</v>
      </c>
      <c r="H244">
        <v>0.49323846162531199</v>
      </c>
      <c r="I244">
        <v>0.52007563079602104</v>
      </c>
      <c r="J244">
        <v>0.61377971656632702</v>
      </c>
      <c r="K244">
        <v>0.57831744393568896</v>
      </c>
      <c r="L244">
        <v>2853.67365864667</v>
      </c>
      <c r="M244">
        <v>52.238519150777002</v>
      </c>
      <c r="O244">
        <v>54.547873690929002</v>
      </c>
      <c r="P244">
        <v>-0.10734294956641099</v>
      </c>
      <c r="Q244">
        <v>0.55164678299138803</v>
      </c>
      <c r="R244">
        <v>0.96560475006433599</v>
      </c>
      <c r="S244" t="s">
        <v>4540</v>
      </c>
      <c r="T244" t="s">
        <v>8590</v>
      </c>
      <c r="U244" t="s">
        <v>8590</v>
      </c>
      <c r="V244" t="s">
        <v>8590</v>
      </c>
      <c r="W244">
        <v>4</v>
      </c>
      <c r="X244" t="s">
        <v>8834</v>
      </c>
      <c r="Y244">
        <v>0.77124935024856256</v>
      </c>
      <c r="Z244" t="str">
        <f>HYPERLINK("Melting_Curves/meltCurve_sp_O60927_PP1RB_HUMAN_.pdf", "Melting_Curves/meltCurve_sp_O60927_PP1RB_HUMAN_.pdf")</f>
        <v>Melting_Curves/meltCurve_sp_O60927_PP1RB_HUMAN_.pdf</v>
      </c>
      <c r="AA244" t="s">
        <v>13125</v>
      </c>
      <c r="AB244" t="s">
        <v>17329</v>
      </c>
    </row>
    <row r="245" spans="1:28" x14ac:dyDescent="0.25">
      <c r="A245" t="s">
        <v>249</v>
      </c>
      <c r="B245">
        <v>0.99876560204751996</v>
      </c>
      <c r="C245">
        <v>0.92749209096421203</v>
      </c>
      <c r="D245">
        <v>0.87202799017476496</v>
      </c>
      <c r="E245">
        <v>0.68446029784073803</v>
      </c>
      <c r="F245">
        <v>0.57954085947123701</v>
      </c>
      <c r="G245">
        <v>0.38300270499348699</v>
      </c>
      <c r="H245">
        <v>0.296558938222029</v>
      </c>
      <c r="I245">
        <v>0.30925210285198801</v>
      </c>
      <c r="J245">
        <v>0.31847984600566298</v>
      </c>
      <c r="K245">
        <v>0.29266494698637802</v>
      </c>
      <c r="L245">
        <v>724.78319859053704</v>
      </c>
      <c r="M245">
        <v>14.1853175969968</v>
      </c>
      <c r="N245">
        <v>54.025995079931803</v>
      </c>
      <c r="O245">
        <v>50.110651741671496</v>
      </c>
      <c r="P245">
        <v>-5.1777423926166397E-2</v>
      </c>
      <c r="Q245">
        <v>0.26846213361091698</v>
      </c>
      <c r="R245">
        <v>0.99323137992785004</v>
      </c>
      <c r="S245" t="s">
        <v>4541</v>
      </c>
      <c r="T245" t="s">
        <v>8590</v>
      </c>
      <c r="U245" t="s">
        <v>8590</v>
      </c>
      <c r="V245" t="s">
        <v>8590</v>
      </c>
      <c r="W245">
        <v>10</v>
      </c>
      <c r="X245" t="s">
        <v>8835</v>
      </c>
      <c r="Y245">
        <v>0.55742558267961706</v>
      </c>
      <c r="Z245" t="str">
        <f>HYPERLINK("Melting_Curves/meltCurve_sp_O60934_NBN_HUMAN_.pdf", "Melting_Curves/meltCurve_sp_O60934_NBN_HUMAN_.pdf")</f>
        <v>Melting_Curves/meltCurve_sp_O60934_NBN_HUMAN_.pdf</v>
      </c>
      <c r="AA245" t="s">
        <v>13126</v>
      </c>
      <c r="AB245" t="s">
        <v>17330</v>
      </c>
    </row>
    <row r="246" spans="1:28" x14ac:dyDescent="0.25">
      <c r="A246" t="s">
        <v>250</v>
      </c>
      <c r="B246">
        <v>0.99876560204751996</v>
      </c>
      <c r="C246">
        <v>0.93805700289361105</v>
      </c>
      <c r="D246">
        <v>0.79835312066525199</v>
      </c>
      <c r="E246">
        <v>0.67433158891906098</v>
      </c>
      <c r="F246">
        <v>0.52039908680889702</v>
      </c>
      <c r="G246">
        <v>0.32831512111227801</v>
      </c>
      <c r="H246">
        <v>0.211178593102295</v>
      </c>
      <c r="I246">
        <v>0.14302322931761499</v>
      </c>
      <c r="J246">
        <v>0.14908169170115301</v>
      </c>
      <c r="K246">
        <v>0.11714995369722001</v>
      </c>
      <c r="L246">
        <v>587.33481855522302</v>
      </c>
      <c r="M246">
        <v>11.175555699068701</v>
      </c>
      <c r="N246">
        <v>53.098096540464297</v>
      </c>
      <c r="O246">
        <v>50.956786698221499</v>
      </c>
      <c r="P246">
        <v>-5.1885660672390498E-2</v>
      </c>
      <c r="Q246">
        <v>5.39758216212846E-2</v>
      </c>
      <c r="R246">
        <v>0.99622687246455399</v>
      </c>
      <c r="S246" t="s">
        <v>4542</v>
      </c>
      <c r="T246" t="s">
        <v>8590</v>
      </c>
      <c r="U246" t="s">
        <v>8590</v>
      </c>
      <c r="V246" t="s">
        <v>8590</v>
      </c>
      <c r="W246">
        <v>1</v>
      </c>
      <c r="X246" t="s">
        <v>8836</v>
      </c>
      <c r="Y246">
        <v>0.48012889378348378</v>
      </c>
      <c r="Z246" t="str">
        <f>HYPERLINK("Melting_Curves/meltCurve_sp_O75052_3_CAPON_HUMAN_.pdf", "Melting_Curves/meltCurve_sp_O75052_3_CAPON_HUMAN_.pdf")</f>
        <v>Melting_Curves/meltCurve_sp_O75052_3_CAPON_HUMAN_.pdf</v>
      </c>
      <c r="AA246" t="s">
        <v>13127</v>
      </c>
      <c r="AB246" t="s">
        <v>17331</v>
      </c>
    </row>
    <row r="247" spans="1:28" x14ac:dyDescent="0.25">
      <c r="A247" t="s">
        <v>251</v>
      </c>
      <c r="B247">
        <v>0.99876560204751996</v>
      </c>
      <c r="C247">
        <v>1.16671999097767</v>
      </c>
      <c r="D247">
        <v>0.97352870859622698</v>
      </c>
      <c r="E247">
        <v>0.94843509345896704</v>
      </c>
      <c r="F247">
        <v>0.82690925654219705</v>
      </c>
      <c r="G247">
        <v>0.55958786300861196</v>
      </c>
      <c r="H247">
        <v>0.595775260974575</v>
      </c>
      <c r="I247">
        <v>0.35932700952179503</v>
      </c>
      <c r="J247">
        <v>0.64954634545994305</v>
      </c>
      <c r="K247">
        <v>0.48500852460660299</v>
      </c>
      <c r="L247">
        <v>1817.5461380327999</v>
      </c>
      <c r="M247">
        <v>33.803091954610203</v>
      </c>
      <c r="O247">
        <v>53.581488035258303</v>
      </c>
      <c r="P247">
        <v>-7.6334315794928595E-2</v>
      </c>
      <c r="Q247">
        <v>0.51600986818259298</v>
      </c>
      <c r="R247">
        <v>0.87469899897547998</v>
      </c>
      <c r="S247" t="s">
        <v>4543</v>
      </c>
      <c r="T247" t="s">
        <v>8590</v>
      </c>
      <c r="U247" t="s">
        <v>8590</v>
      </c>
      <c r="V247" t="s">
        <v>8590</v>
      </c>
      <c r="W247">
        <v>5</v>
      </c>
      <c r="X247" t="s">
        <v>8837</v>
      </c>
      <c r="Y247">
        <v>0.74064939194344082</v>
      </c>
      <c r="Z247" t="str">
        <f>HYPERLINK("Melting_Curves/meltCurve_sp_O75081_2_MTG16_HUMAN_.pdf", "Melting_Curves/meltCurve_sp_O75081_2_MTG16_HUMAN_.pdf")</f>
        <v>Melting_Curves/meltCurve_sp_O75081_2_MTG16_HUMAN_.pdf</v>
      </c>
      <c r="AA247" t="s">
        <v>13128</v>
      </c>
      <c r="AB247" t="s">
        <v>17332</v>
      </c>
    </row>
    <row r="248" spans="1:28" x14ac:dyDescent="0.25">
      <c r="A248" t="s">
        <v>252</v>
      </c>
      <c r="B248">
        <v>0.99876560204751996</v>
      </c>
      <c r="C248">
        <v>0.97291449778525596</v>
      </c>
      <c r="D248">
        <v>0.98191076357898399</v>
      </c>
      <c r="E248">
        <v>0.80843047365746901</v>
      </c>
      <c r="F248">
        <v>0.32268989866771802</v>
      </c>
      <c r="G248">
        <v>0.10012856666740499</v>
      </c>
      <c r="H248">
        <v>5.8342619779919301E-2</v>
      </c>
      <c r="I248">
        <v>4.6804449737776997E-2</v>
      </c>
      <c r="J248">
        <v>4.18855005777099E-2</v>
      </c>
      <c r="K248">
        <v>3.25518324591028E-2</v>
      </c>
      <c r="L248">
        <v>1941.40874021746</v>
      </c>
      <c r="M248">
        <v>37.492259342464301</v>
      </c>
      <c r="N248">
        <v>51.921689883346403</v>
      </c>
      <c r="O248">
        <v>51.634932897361502</v>
      </c>
      <c r="P248">
        <v>-0.17279342152636801</v>
      </c>
      <c r="Q248">
        <v>4.8107216284959502E-2</v>
      </c>
      <c r="R248">
        <v>0.99901886959294495</v>
      </c>
      <c r="S248" t="s">
        <v>4544</v>
      </c>
      <c r="T248" t="s">
        <v>8590</v>
      </c>
      <c r="U248" t="s">
        <v>8590</v>
      </c>
      <c r="V248" t="s">
        <v>8590</v>
      </c>
      <c r="W248">
        <v>26</v>
      </c>
      <c r="X248" t="s">
        <v>8838</v>
      </c>
      <c r="Y248">
        <v>0.42581361340710372</v>
      </c>
      <c r="Z248" t="str">
        <f>HYPERLINK("Melting_Curves/meltCurve_sp_O75083_WDR1_HUMAN_.pdf", "Melting_Curves/meltCurve_sp_O75083_WDR1_HUMAN_.pdf")</f>
        <v>Melting_Curves/meltCurve_sp_O75083_WDR1_HUMAN_.pdf</v>
      </c>
      <c r="AA248" t="s">
        <v>13129</v>
      </c>
      <c r="AB248" t="s">
        <v>17333</v>
      </c>
    </row>
    <row r="249" spans="1:28" x14ac:dyDescent="0.25">
      <c r="A249" t="s">
        <v>253</v>
      </c>
      <c r="B249">
        <v>0.99876560204751996</v>
      </c>
      <c r="C249">
        <v>1.08662313073921</v>
      </c>
      <c r="D249">
        <v>0.95400404745491096</v>
      </c>
      <c r="E249">
        <v>0.86317741599527797</v>
      </c>
      <c r="F249">
        <v>0.372556672729975</v>
      </c>
      <c r="G249">
        <v>0.170546531469013</v>
      </c>
      <c r="H249">
        <v>0.100082763941285</v>
      </c>
      <c r="I249">
        <v>7.7635582457711599E-2</v>
      </c>
      <c r="J249">
        <v>7.8715854839324195E-2</v>
      </c>
      <c r="K249">
        <v>6.3287129141131798E-2</v>
      </c>
      <c r="L249">
        <v>2029.37814273358</v>
      </c>
      <c r="M249">
        <v>38.997132175196498</v>
      </c>
      <c r="N249">
        <v>52.302867897788303</v>
      </c>
      <c r="O249">
        <v>51.902893814015499</v>
      </c>
      <c r="P249">
        <v>-0.17107332732646999</v>
      </c>
      <c r="Q249">
        <v>8.9248007859609194E-2</v>
      </c>
      <c r="R249">
        <v>0.99232910776777605</v>
      </c>
      <c r="S249" t="s">
        <v>4545</v>
      </c>
      <c r="T249" t="s">
        <v>8590</v>
      </c>
      <c r="U249" t="s">
        <v>8590</v>
      </c>
      <c r="V249" t="s">
        <v>8590</v>
      </c>
      <c r="W249">
        <v>36</v>
      </c>
      <c r="X249" t="s">
        <v>8839</v>
      </c>
      <c r="Y249">
        <v>0.45818369368797118</v>
      </c>
      <c r="Z249" t="str">
        <f>HYPERLINK("Melting_Curves/meltCurve_sp_O75116_ROCK2_HUMAN_.pdf", "Melting_Curves/meltCurve_sp_O75116_ROCK2_HUMAN_.pdf")</f>
        <v>Melting_Curves/meltCurve_sp_O75116_ROCK2_HUMAN_.pdf</v>
      </c>
      <c r="AA249" t="s">
        <v>13130</v>
      </c>
      <c r="AB249" t="s">
        <v>17334</v>
      </c>
    </row>
    <row r="250" spans="1:28" x14ac:dyDescent="0.25">
      <c r="A250" t="s">
        <v>254</v>
      </c>
      <c r="B250">
        <v>0.99876560204751996</v>
      </c>
      <c r="C250">
        <v>0.96819941555540501</v>
      </c>
      <c r="D250">
        <v>1.0607731739939501</v>
      </c>
      <c r="E250">
        <v>0.88922173078724398</v>
      </c>
      <c r="F250">
        <v>0.84146194849256195</v>
      </c>
      <c r="G250">
        <v>0.59792460768090505</v>
      </c>
      <c r="H250">
        <v>0.50562549468862195</v>
      </c>
      <c r="I250">
        <v>0.52197438943632801</v>
      </c>
      <c r="J250">
        <v>0.60275236777763097</v>
      </c>
      <c r="K250">
        <v>0.52216353343209998</v>
      </c>
      <c r="L250">
        <v>1503.99421578078</v>
      </c>
      <c r="M250">
        <v>28.013933578999701</v>
      </c>
      <c r="O250">
        <v>53.416027383244597</v>
      </c>
      <c r="P250">
        <v>-6.1327427048008101E-2</v>
      </c>
      <c r="Q250">
        <v>0.53225573709452201</v>
      </c>
      <c r="R250">
        <v>0.96222566329832804</v>
      </c>
      <c r="S250" t="s">
        <v>4546</v>
      </c>
      <c r="T250" t="s">
        <v>8590</v>
      </c>
      <c r="U250" t="s">
        <v>8590</v>
      </c>
      <c r="V250" t="s">
        <v>8590</v>
      </c>
      <c r="W250">
        <v>14</v>
      </c>
      <c r="X250" t="s">
        <v>8840</v>
      </c>
      <c r="Y250">
        <v>0.74915419753418422</v>
      </c>
      <c r="Z250" t="str">
        <f>HYPERLINK("Melting_Curves/meltCurve_sp_O75128_COBL_HUMAN_.pdf", "Melting_Curves/meltCurve_sp_O75128_COBL_HUMAN_.pdf")</f>
        <v>Melting_Curves/meltCurve_sp_O75128_COBL_HUMAN_.pdf</v>
      </c>
      <c r="AA250" t="s">
        <v>13131</v>
      </c>
      <c r="AB250" t="s">
        <v>17335</v>
      </c>
    </row>
    <row r="251" spans="1:28" x14ac:dyDescent="0.25">
      <c r="A251" t="s">
        <v>255</v>
      </c>
      <c r="B251">
        <v>0.99876560204751996</v>
      </c>
      <c r="C251">
        <v>1.00848664272516</v>
      </c>
      <c r="D251">
        <v>0.92423998307153699</v>
      </c>
      <c r="E251">
        <v>0.72200437728203404</v>
      </c>
      <c r="F251">
        <v>0.54023611844059805</v>
      </c>
      <c r="G251">
        <v>0.28163987203581098</v>
      </c>
      <c r="H251">
        <v>0.14791096222285499</v>
      </c>
      <c r="I251">
        <v>0.126554065320095</v>
      </c>
      <c r="J251">
        <v>0.123449278516736</v>
      </c>
      <c r="K251">
        <v>9.5077936127824003E-2</v>
      </c>
      <c r="L251">
        <v>897.51749018902206</v>
      </c>
      <c r="M251">
        <v>17.026627689368699</v>
      </c>
      <c r="N251">
        <v>53.287349254052899</v>
      </c>
      <c r="O251">
        <v>52.001552303473197</v>
      </c>
      <c r="P251">
        <v>-7.4994194825336896E-2</v>
      </c>
      <c r="Q251">
        <v>8.3887569595934797E-2</v>
      </c>
      <c r="R251">
        <v>0.99849292800800604</v>
      </c>
      <c r="S251" t="s">
        <v>4547</v>
      </c>
      <c r="T251" t="s">
        <v>8590</v>
      </c>
      <c r="U251" t="s">
        <v>8590</v>
      </c>
      <c r="V251" t="s">
        <v>8590</v>
      </c>
      <c r="W251">
        <v>3</v>
      </c>
      <c r="X251" t="s">
        <v>8841</v>
      </c>
      <c r="Y251">
        <v>0.48857730750726308</v>
      </c>
      <c r="Z251" t="str">
        <f>HYPERLINK("Melting_Curves/meltCurve_sp_O75131_CPNE3_HUMAN_.pdf", "Melting_Curves/meltCurve_sp_O75131_CPNE3_HUMAN_.pdf")</f>
        <v>Melting_Curves/meltCurve_sp_O75131_CPNE3_HUMAN_.pdf</v>
      </c>
      <c r="AA251" t="s">
        <v>13132</v>
      </c>
      <c r="AB251" t="s">
        <v>17336</v>
      </c>
    </row>
    <row r="252" spans="1:28" x14ac:dyDescent="0.25">
      <c r="A252" t="s">
        <v>256</v>
      </c>
      <c r="B252">
        <v>0.99876560204751996</v>
      </c>
      <c r="C252">
        <v>0.99002475372297105</v>
      </c>
      <c r="D252">
        <v>0.88981477210877502</v>
      </c>
      <c r="E252">
        <v>0.94115903855058403</v>
      </c>
      <c r="F252">
        <v>0.40280014913736001</v>
      </c>
      <c r="G252">
        <v>0.158065708151714</v>
      </c>
      <c r="H252">
        <v>8.6532973656734097E-2</v>
      </c>
      <c r="I252">
        <v>5.9446748425770801E-2</v>
      </c>
      <c r="J252">
        <v>5.3058884576919499E-2</v>
      </c>
      <c r="K252">
        <v>4.5167352828041199E-2</v>
      </c>
      <c r="L252">
        <v>2546.1824891940601</v>
      </c>
      <c r="M252">
        <v>48.582605796355203</v>
      </c>
      <c r="N252">
        <v>52.585548103556199</v>
      </c>
      <c r="O252">
        <v>52.3207770213711</v>
      </c>
      <c r="P252">
        <v>-0.21469914897049699</v>
      </c>
      <c r="Q252">
        <v>7.5124531976168404E-2</v>
      </c>
      <c r="R252">
        <v>0.98917587784747196</v>
      </c>
      <c r="S252" t="s">
        <v>4548</v>
      </c>
      <c r="T252" t="s">
        <v>8590</v>
      </c>
      <c r="U252" t="s">
        <v>8590</v>
      </c>
      <c r="V252" t="s">
        <v>8590</v>
      </c>
      <c r="W252">
        <v>20</v>
      </c>
      <c r="X252" t="s">
        <v>8842</v>
      </c>
      <c r="Y252">
        <v>0.45995960764875421</v>
      </c>
      <c r="Z252" t="str">
        <f>HYPERLINK("Melting_Curves/meltCurve_sp_O75146_HIP1R_HUMAN_.pdf", "Melting_Curves/meltCurve_sp_O75146_HIP1R_HUMAN_.pdf")</f>
        <v>Melting_Curves/meltCurve_sp_O75146_HIP1R_HUMAN_.pdf</v>
      </c>
      <c r="AA252" t="s">
        <v>13133</v>
      </c>
      <c r="AB252" t="s">
        <v>17337</v>
      </c>
    </row>
    <row r="253" spans="1:28" x14ac:dyDescent="0.25">
      <c r="A253" t="s">
        <v>257</v>
      </c>
      <c r="B253">
        <v>0.99876560204751996</v>
      </c>
      <c r="C253">
        <v>0.98443094324595404</v>
      </c>
      <c r="D253">
        <v>0.868490935514592</v>
      </c>
      <c r="E253">
        <v>0.56544353202006403</v>
      </c>
      <c r="F253">
        <v>0.32538450524094098</v>
      </c>
      <c r="G253">
        <v>0.21402157625190801</v>
      </c>
      <c r="H253">
        <v>0.15391917524441201</v>
      </c>
      <c r="I253">
        <v>0.124030406734214</v>
      </c>
      <c r="J253">
        <v>0.13669975738901899</v>
      </c>
      <c r="K253">
        <v>0.127765964398705</v>
      </c>
      <c r="L253">
        <v>1018.3807748688899</v>
      </c>
      <c r="M253">
        <v>20.376021998882301</v>
      </c>
      <c r="N253">
        <v>50.720378982698598</v>
      </c>
      <c r="O253">
        <v>49.505445803638203</v>
      </c>
      <c r="P253">
        <v>-8.9654405612028795E-2</v>
      </c>
      <c r="Q253">
        <v>0.12873138785347699</v>
      </c>
      <c r="R253">
        <v>0.99920279385838395</v>
      </c>
      <c r="S253" t="s">
        <v>4549</v>
      </c>
      <c r="T253" t="s">
        <v>8590</v>
      </c>
      <c r="U253" t="s">
        <v>8590</v>
      </c>
      <c r="V253" t="s">
        <v>8590</v>
      </c>
      <c r="W253">
        <v>9</v>
      </c>
      <c r="X253" t="s">
        <v>8843</v>
      </c>
      <c r="Y253">
        <v>0.4302513235180781</v>
      </c>
      <c r="Z253" t="str">
        <f>HYPERLINK("Melting_Curves/meltCurve_sp_O75150_BRE1B_HUMAN_.pdf", "Melting_Curves/meltCurve_sp_O75150_BRE1B_HUMAN_.pdf")</f>
        <v>Melting_Curves/meltCurve_sp_O75150_BRE1B_HUMAN_.pdf</v>
      </c>
      <c r="AA253" t="s">
        <v>13134</v>
      </c>
      <c r="AB253" t="s">
        <v>17338</v>
      </c>
    </row>
    <row r="254" spans="1:28" x14ac:dyDescent="0.25">
      <c r="A254" t="s">
        <v>258</v>
      </c>
      <c r="B254">
        <v>0.99876560204751996</v>
      </c>
      <c r="C254">
        <v>1.02590743360841</v>
      </c>
      <c r="D254">
        <v>1.03609388607439</v>
      </c>
      <c r="E254">
        <v>1.0051264296263001</v>
      </c>
      <c r="F254">
        <v>1.40010011667939</v>
      </c>
      <c r="G254">
        <v>0.95566145243990497</v>
      </c>
      <c r="H254">
        <v>1.0056653525180299</v>
      </c>
      <c r="I254">
        <v>1.04109333010676</v>
      </c>
      <c r="J254">
        <v>1.3315844291291601</v>
      </c>
      <c r="K254">
        <v>1.3443050694407599</v>
      </c>
      <c r="L254">
        <v>7487.8906291216999</v>
      </c>
      <c r="M254">
        <v>115.00042398822001</v>
      </c>
      <c r="O254">
        <v>65.092168904938106</v>
      </c>
      <c r="P254">
        <v>0.15215266024930299</v>
      </c>
      <c r="Q254">
        <v>1.3444838204842999</v>
      </c>
      <c r="R254">
        <v>0.37688605921128099</v>
      </c>
      <c r="S254" t="s">
        <v>4550</v>
      </c>
      <c r="T254" t="s">
        <v>8590</v>
      </c>
      <c r="U254" t="s">
        <v>8590</v>
      </c>
      <c r="V254" t="s">
        <v>8590</v>
      </c>
      <c r="W254">
        <v>4</v>
      </c>
      <c r="X254" t="s">
        <v>8844</v>
      </c>
      <c r="Y254">
        <v>1.055945900116219</v>
      </c>
      <c r="Z254" t="str">
        <f>HYPERLINK("Melting_Curves/meltCurve_sp_O75152_ZC11A_HUMAN_.pdf", "Melting_Curves/meltCurve_sp_O75152_ZC11A_HUMAN_.pdf")</f>
        <v>Melting_Curves/meltCurve_sp_O75152_ZC11A_HUMAN_.pdf</v>
      </c>
      <c r="AA254" t="s">
        <v>13135</v>
      </c>
      <c r="AB254" t="s">
        <v>17339</v>
      </c>
    </row>
    <row r="255" spans="1:28" x14ac:dyDescent="0.25">
      <c r="A255" t="s">
        <v>259</v>
      </c>
      <c r="B255">
        <v>0.99876560204751996</v>
      </c>
      <c r="C255">
        <v>0.94617918274409696</v>
      </c>
      <c r="D255">
        <v>0.90484636375787098</v>
      </c>
      <c r="E255">
        <v>0.79427963759647902</v>
      </c>
      <c r="F255">
        <v>0.376280003230756</v>
      </c>
      <c r="G255">
        <v>0.195775848058244</v>
      </c>
      <c r="H255">
        <v>0.124814492792282</v>
      </c>
      <c r="I255">
        <v>0.103715477401291</v>
      </c>
      <c r="J255">
        <v>0.12831529674634901</v>
      </c>
      <c r="K255">
        <v>0.112727521739807</v>
      </c>
      <c r="L255">
        <v>1520.44934523347</v>
      </c>
      <c r="M255">
        <v>29.418873559391699</v>
      </c>
      <c r="N255">
        <v>52.155100166185299</v>
      </c>
      <c r="O255">
        <v>51.445751369367997</v>
      </c>
      <c r="P255">
        <v>-0.12624376116532399</v>
      </c>
      <c r="Q255">
        <v>0.11693988236466001</v>
      </c>
      <c r="R255">
        <v>0.99215043820993698</v>
      </c>
      <c r="S255" t="s">
        <v>4551</v>
      </c>
      <c r="T255" t="s">
        <v>8590</v>
      </c>
      <c r="U255" t="s">
        <v>8590</v>
      </c>
      <c r="V255" t="s">
        <v>8590</v>
      </c>
      <c r="W255">
        <v>3</v>
      </c>
      <c r="X255" t="s">
        <v>8845</v>
      </c>
      <c r="Y255">
        <v>0.46666316613490338</v>
      </c>
      <c r="Z255" t="str">
        <f>HYPERLINK("Melting_Curves/meltCurve_sp_O75154_2_RFIP3_HUMAN_.pdf", "Melting_Curves/meltCurve_sp_O75154_2_RFIP3_HUMAN_.pdf")</f>
        <v>Melting_Curves/meltCurve_sp_O75154_2_RFIP3_HUMAN_.pdf</v>
      </c>
      <c r="AA255" t="s">
        <v>13136</v>
      </c>
      <c r="AB255" t="s">
        <v>17340</v>
      </c>
    </row>
    <row r="256" spans="1:28" x14ac:dyDescent="0.25">
      <c r="A256" t="s">
        <v>260</v>
      </c>
      <c r="B256">
        <v>0.99876560204751996</v>
      </c>
      <c r="C256">
        <v>0.84862684053554804</v>
      </c>
      <c r="D256">
        <v>0.87143091394715899</v>
      </c>
      <c r="E256">
        <v>0.76306785758378404</v>
      </c>
      <c r="F256">
        <v>0.79377189624426703</v>
      </c>
      <c r="G256">
        <v>0.54666924041503195</v>
      </c>
      <c r="H256">
        <v>0.47553564494672401</v>
      </c>
      <c r="I256">
        <v>0.42045878077708598</v>
      </c>
      <c r="J256">
        <v>0.57622165757541499</v>
      </c>
      <c r="K256">
        <v>0.47147801123524602</v>
      </c>
      <c r="L256">
        <v>484.32656147508402</v>
      </c>
      <c r="M256">
        <v>9.2648014780034398</v>
      </c>
      <c r="N256">
        <v>64.034440558535906</v>
      </c>
      <c r="O256">
        <v>50.013645999184703</v>
      </c>
      <c r="P256">
        <v>-2.7398290545544799E-2</v>
      </c>
      <c r="Q256">
        <v>0.40877408899616402</v>
      </c>
      <c r="R256">
        <v>0.88700171386901805</v>
      </c>
      <c r="S256" t="s">
        <v>4552</v>
      </c>
      <c r="T256" t="s">
        <v>8590</v>
      </c>
      <c r="U256" t="s">
        <v>8590</v>
      </c>
      <c r="V256" t="s">
        <v>8590</v>
      </c>
      <c r="W256">
        <v>3</v>
      </c>
      <c r="X256" t="s">
        <v>8846</v>
      </c>
      <c r="Y256">
        <v>0.67427190604548259</v>
      </c>
      <c r="Z256" t="str">
        <f>HYPERLINK("Melting_Curves/meltCurve_sp_O75157_2_T22D2_HUMAN_.pdf", "Melting_Curves/meltCurve_sp_O75157_2_T22D2_HUMAN_.pdf")</f>
        <v>Melting_Curves/meltCurve_sp_O75157_2_T22D2_HUMAN_.pdf</v>
      </c>
      <c r="AA256" t="s">
        <v>13137</v>
      </c>
      <c r="AB256" t="s">
        <v>17341</v>
      </c>
    </row>
    <row r="257" spans="1:28" x14ac:dyDescent="0.25">
      <c r="A257" t="s">
        <v>261</v>
      </c>
      <c r="B257">
        <v>0.99876560204751996</v>
      </c>
      <c r="C257">
        <v>1.05336818861048</v>
      </c>
      <c r="D257">
        <v>0.94835964122378202</v>
      </c>
      <c r="E257">
        <v>0.64423984203443496</v>
      </c>
      <c r="F257">
        <v>0.31071583828504001</v>
      </c>
      <c r="G257">
        <v>0.132825100232418</v>
      </c>
      <c r="H257">
        <v>7.8590540241515905E-2</v>
      </c>
      <c r="I257">
        <v>5.7349317139577097E-2</v>
      </c>
      <c r="J257">
        <v>3.8076829907155899E-2</v>
      </c>
      <c r="K257">
        <v>3.8904869371242601E-2</v>
      </c>
      <c r="L257">
        <v>1295.13430311963</v>
      </c>
      <c r="M257">
        <v>25.376371647443801</v>
      </c>
      <c r="N257">
        <v>51.252621158828298</v>
      </c>
      <c r="O257">
        <v>50.723241711552397</v>
      </c>
      <c r="P257">
        <v>-0.11874242604296301</v>
      </c>
      <c r="Q257">
        <v>5.06248292870159E-2</v>
      </c>
      <c r="R257">
        <v>0.99720886489215499</v>
      </c>
      <c r="S257" t="s">
        <v>4553</v>
      </c>
      <c r="T257" t="s">
        <v>8590</v>
      </c>
      <c r="U257" t="s">
        <v>8590</v>
      </c>
      <c r="V257" t="s">
        <v>8590</v>
      </c>
      <c r="W257">
        <v>4</v>
      </c>
      <c r="X257" t="s">
        <v>8847</v>
      </c>
      <c r="Y257">
        <v>0.40823190138382109</v>
      </c>
      <c r="Z257" t="str">
        <f>HYPERLINK("Melting_Curves/meltCurve_sp_O75165_DJC13_HUMAN_.pdf", "Melting_Curves/meltCurve_sp_O75165_DJC13_HUMAN_.pdf")</f>
        <v>Melting_Curves/meltCurve_sp_O75165_DJC13_HUMAN_.pdf</v>
      </c>
      <c r="AA257" t="s">
        <v>13138</v>
      </c>
      <c r="AB257" t="s">
        <v>17342</v>
      </c>
    </row>
    <row r="258" spans="1:28" x14ac:dyDescent="0.25">
      <c r="A258" t="s">
        <v>262</v>
      </c>
      <c r="B258">
        <v>0.99876560204751996</v>
      </c>
      <c r="C258">
        <v>0.98954305941543796</v>
      </c>
      <c r="D258">
        <v>0.95572704021346799</v>
      </c>
      <c r="E258">
        <v>0.88688816380768498</v>
      </c>
      <c r="F258">
        <v>0.68144723883107206</v>
      </c>
      <c r="G258">
        <v>0.39592984779888701</v>
      </c>
      <c r="H258">
        <v>0.29908320935979998</v>
      </c>
      <c r="I258">
        <v>0.27512396178133702</v>
      </c>
      <c r="J258">
        <v>0.354862564920361</v>
      </c>
      <c r="K258">
        <v>0.33302230666490601</v>
      </c>
      <c r="L258">
        <v>1481.39847121497</v>
      </c>
      <c r="M258">
        <v>27.871670167719401</v>
      </c>
      <c r="N258">
        <v>55.050966621705001</v>
      </c>
      <c r="O258">
        <v>52.879334940136701</v>
      </c>
      <c r="P258">
        <v>-9.1060159844072994E-2</v>
      </c>
      <c r="Q258">
        <v>0.30895298201781801</v>
      </c>
      <c r="R258">
        <v>0.99269245021659203</v>
      </c>
      <c r="S258" t="s">
        <v>4554</v>
      </c>
      <c r="T258" t="s">
        <v>8590</v>
      </c>
      <c r="U258" t="s">
        <v>8590</v>
      </c>
      <c r="V258" t="s">
        <v>8590</v>
      </c>
      <c r="W258">
        <v>19</v>
      </c>
      <c r="X258" t="s">
        <v>8848</v>
      </c>
      <c r="Y258">
        <v>0.61705825200748843</v>
      </c>
      <c r="Z258" t="str">
        <f>HYPERLINK("Melting_Curves/meltCurve_sp_O75170_4_PP6R2_HUMAN_.pdf", "Melting_Curves/meltCurve_sp_O75170_4_PP6R2_HUMAN_.pdf")</f>
        <v>Melting_Curves/meltCurve_sp_O75170_4_PP6R2_HUMAN_.pdf</v>
      </c>
      <c r="AA258" t="s">
        <v>13139</v>
      </c>
      <c r="AB258" t="s">
        <v>17343</v>
      </c>
    </row>
    <row r="259" spans="1:28" x14ac:dyDescent="0.25">
      <c r="A259" t="s">
        <v>263</v>
      </c>
      <c r="B259">
        <v>0.99876560204751996</v>
      </c>
      <c r="C259">
        <v>0.9852646657545</v>
      </c>
      <c r="D259">
        <v>1.0530204766209299</v>
      </c>
      <c r="E259">
        <v>0.910697098803258</v>
      </c>
      <c r="F259">
        <v>0.96362677564039101</v>
      </c>
      <c r="G259">
        <v>0.67205800777219804</v>
      </c>
      <c r="H259">
        <v>0.61927043561816397</v>
      </c>
      <c r="I259">
        <v>0.53129608465487899</v>
      </c>
      <c r="J259">
        <v>0.67181676334743201</v>
      </c>
      <c r="K259">
        <v>0.55065408239428404</v>
      </c>
      <c r="L259">
        <v>2474.9631780576201</v>
      </c>
      <c r="M259">
        <v>44.7235817018679</v>
      </c>
      <c r="O259">
        <v>55.2288325555458</v>
      </c>
      <c r="P259">
        <v>-8.2921156089456494E-2</v>
      </c>
      <c r="Q259">
        <v>0.59040573325425305</v>
      </c>
      <c r="R259">
        <v>0.93910957377444904</v>
      </c>
      <c r="S259" t="s">
        <v>4555</v>
      </c>
      <c r="T259" t="s">
        <v>8590</v>
      </c>
      <c r="U259" t="s">
        <v>8590</v>
      </c>
      <c r="V259" t="s">
        <v>8590</v>
      </c>
      <c r="W259">
        <v>7</v>
      </c>
      <c r="X259" t="s">
        <v>8849</v>
      </c>
      <c r="Y259">
        <v>0.80108175421832828</v>
      </c>
      <c r="Z259" t="str">
        <f>HYPERLINK("Melting_Curves/meltCurve_sp_O75175_CNOT3_HUMAN_.pdf", "Melting_Curves/meltCurve_sp_O75175_CNOT3_HUMAN_.pdf")</f>
        <v>Melting_Curves/meltCurve_sp_O75175_CNOT3_HUMAN_.pdf</v>
      </c>
      <c r="AA259" t="s">
        <v>13140</v>
      </c>
      <c r="AB259" t="s">
        <v>17344</v>
      </c>
    </row>
    <row r="260" spans="1:28" x14ac:dyDescent="0.25">
      <c r="A260" t="s">
        <v>264</v>
      </c>
      <c r="B260">
        <v>0.99876560204751996</v>
      </c>
      <c r="C260">
        <v>0.8934727279818</v>
      </c>
      <c r="D260">
        <v>0.78329881733596896</v>
      </c>
      <c r="E260">
        <v>0.28252947366376002</v>
      </c>
      <c r="F260">
        <v>0.12229034445413201</v>
      </c>
      <c r="G260">
        <v>6.8815906556057099E-2</v>
      </c>
      <c r="H260">
        <v>4.5189671242242199E-2</v>
      </c>
      <c r="I260">
        <v>3.8855097675688198E-2</v>
      </c>
      <c r="J260">
        <v>3.65011428372966E-2</v>
      </c>
      <c r="K260">
        <v>2.8083798364450002E-2</v>
      </c>
      <c r="L260">
        <v>1183.22543630839</v>
      </c>
      <c r="M260">
        <v>24.651475696864701</v>
      </c>
      <c r="N260">
        <v>48.146451359848598</v>
      </c>
      <c r="O260">
        <v>47.6856438548662</v>
      </c>
      <c r="P260">
        <v>-0.124515907501643</v>
      </c>
      <c r="Q260">
        <v>3.6562828715266601E-2</v>
      </c>
      <c r="R260">
        <v>0.99669395108905401</v>
      </c>
      <c r="S260" t="s">
        <v>4556</v>
      </c>
      <c r="T260" t="s">
        <v>8590</v>
      </c>
      <c r="U260" t="s">
        <v>8590</v>
      </c>
      <c r="V260" t="s">
        <v>8590</v>
      </c>
      <c r="W260">
        <v>15</v>
      </c>
      <c r="X260" t="s">
        <v>8850</v>
      </c>
      <c r="Y260">
        <v>0.30219357458741658</v>
      </c>
      <c r="Z260" t="str">
        <f>HYPERLINK("Melting_Curves/meltCurve_sp_O75191_XYLB_HUMAN_.pdf", "Melting_Curves/meltCurve_sp_O75191_XYLB_HUMAN_.pdf")</f>
        <v>Melting_Curves/meltCurve_sp_O75191_XYLB_HUMAN_.pdf</v>
      </c>
      <c r="AA260" t="s">
        <v>13141</v>
      </c>
      <c r="AB260" t="s">
        <v>17345</v>
      </c>
    </row>
    <row r="261" spans="1:28" x14ac:dyDescent="0.25">
      <c r="A261" t="s">
        <v>265</v>
      </c>
      <c r="B261">
        <v>0.99876560204751996</v>
      </c>
      <c r="C261">
        <v>0.97989099969563398</v>
      </c>
      <c r="D261">
        <v>0.99914669935834199</v>
      </c>
      <c r="E261">
        <v>0.76250354738769999</v>
      </c>
      <c r="F261">
        <v>0.36717363719682999</v>
      </c>
      <c r="G261">
        <v>0.17075567212149401</v>
      </c>
      <c r="H261">
        <v>0.115051514134065</v>
      </c>
      <c r="I261">
        <v>9.5837916278721097E-2</v>
      </c>
      <c r="J261">
        <v>9.9804656266103103E-2</v>
      </c>
      <c r="K261">
        <v>8.6058998070710505E-2</v>
      </c>
      <c r="L261">
        <v>1609.36708280375</v>
      </c>
      <c r="M261">
        <v>31.1788924777481</v>
      </c>
      <c r="N261">
        <v>51.993512341740598</v>
      </c>
      <c r="O261">
        <v>51.406256303687599</v>
      </c>
      <c r="P261">
        <v>-0.13631497072453</v>
      </c>
      <c r="Q261">
        <v>0.10100682717062399</v>
      </c>
      <c r="R261">
        <v>0.998876577248069</v>
      </c>
      <c r="S261" t="s">
        <v>4557</v>
      </c>
      <c r="T261" t="s">
        <v>8590</v>
      </c>
      <c r="U261" t="s">
        <v>8590</v>
      </c>
      <c r="V261" t="s">
        <v>8590</v>
      </c>
      <c r="W261">
        <v>10</v>
      </c>
      <c r="X261" t="s">
        <v>8851</v>
      </c>
      <c r="Y261">
        <v>0.45441988355887131</v>
      </c>
      <c r="Z261" t="str">
        <f>HYPERLINK("Melting_Curves/meltCurve_sp_O75208_COQ9_HUMAN_.pdf", "Melting_Curves/meltCurve_sp_O75208_COQ9_HUMAN_.pdf")</f>
        <v>Melting_Curves/meltCurve_sp_O75208_COQ9_HUMAN_.pdf</v>
      </c>
      <c r="AA261" t="s">
        <v>13142</v>
      </c>
      <c r="AB261" t="s">
        <v>17346</v>
      </c>
    </row>
    <row r="262" spans="1:28" x14ac:dyDescent="0.25">
      <c r="A262" t="s">
        <v>266</v>
      </c>
      <c r="B262">
        <v>0.99876560204751996</v>
      </c>
      <c r="C262">
        <v>0.89337304679329799</v>
      </c>
      <c r="D262">
        <v>0.99806937487457104</v>
      </c>
      <c r="E262">
        <v>0.87876940571033402</v>
      </c>
      <c r="F262">
        <v>0.88895316694993198</v>
      </c>
      <c r="G262">
        <v>0.70375616780884098</v>
      </c>
      <c r="H262">
        <v>0.27407557069984201</v>
      </c>
      <c r="I262">
        <v>0.119278810952008</v>
      </c>
      <c r="J262">
        <v>9.1471210915774398E-2</v>
      </c>
      <c r="K262">
        <v>7.0602174244685997E-2</v>
      </c>
      <c r="L262">
        <v>1371.8252625571299</v>
      </c>
      <c r="M262">
        <v>23.4696519367196</v>
      </c>
      <c r="N262">
        <v>58.625441382229702</v>
      </c>
      <c r="O262">
        <v>58.0316318715604</v>
      </c>
      <c r="P262">
        <v>-9.7698981190334294E-2</v>
      </c>
      <c r="Q262">
        <v>3.3725191629238399E-2</v>
      </c>
      <c r="R262">
        <v>0.98150618865767703</v>
      </c>
      <c r="S262" t="s">
        <v>4558</v>
      </c>
      <c r="T262" t="s">
        <v>8590</v>
      </c>
      <c r="U262" t="s">
        <v>8590</v>
      </c>
      <c r="V262" t="s">
        <v>8590</v>
      </c>
      <c r="W262">
        <v>16</v>
      </c>
      <c r="X262" t="s">
        <v>8852</v>
      </c>
      <c r="Y262">
        <v>0.63690151209579682</v>
      </c>
      <c r="Z262" t="str">
        <f>HYPERLINK("Melting_Curves/meltCurve_sp_O75223_GGCT_HUMAN_.pdf", "Melting_Curves/meltCurve_sp_O75223_GGCT_HUMAN_.pdf")</f>
        <v>Melting_Curves/meltCurve_sp_O75223_GGCT_HUMAN_.pdf</v>
      </c>
      <c r="AA262" t="s">
        <v>13143</v>
      </c>
      <c r="AB262" t="s">
        <v>17347</v>
      </c>
    </row>
    <row r="263" spans="1:28" x14ac:dyDescent="0.25">
      <c r="A263" t="s">
        <v>267</v>
      </c>
      <c r="B263">
        <v>0.99876560204751996</v>
      </c>
      <c r="C263">
        <v>1.0190628771783301</v>
      </c>
      <c r="D263">
        <v>0.89139122364295298</v>
      </c>
      <c r="E263">
        <v>0.66541929720690696</v>
      </c>
      <c r="F263">
        <v>0.24461803168549601</v>
      </c>
      <c r="G263">
        <v>0.14672532806402599</v>
      </c>
      <c r="H263">
        <v>8.7958056669920098E-2</v>
      </c>
      <c r="I263">
        <v>7.5742491673998699E-2</v>
      </c>
      <c r="J263">
        <v>8.0628404535867906E-2</v>
      </c>
      <c r="K263">
        <v>4.8079297873919999E-2</v>
      </c>
      <c r="L263">
        <v>1424.9943494281699</v>
      </c>
      <c r="M263">
        <v>28.095325774323499</v>
      </c>
      <c r="N263">
        <v>51.006411325598997</v>
      </c>
      <c r="O263">
        <v>50.465113297840503</v>
      </c>
      <c r="P263">
        <v>-0.12902587615642899</v>
      </c>
      <c r="Q263">
        <v>7.2977527724704602E-2</v>
      </c>
      <c r="R263">
        <v>0.99421024894422505</v>
      </c>
      <c r="S263" t="s">
        <v>4559</v>
      </c>
      <c r="T263" t="s">
        <v>8590</v>
      </c>
      <c r="U263" t="s">
        <v>8590</v>
      </c>
      <c r="V263" t="s">
        <v>8590</v>
      </c>
      <c r="W263">
        <v>9</v>
      </c>
      <c r="X263" t="s">
        <v>8853</v>
      </c>
      <c r="Y263">
        <v>0.41085031011242862</v>
      </c>
      <c r="Z263" t="str">
        <f>HYPERLINK("Melting_Curves/meltCurve_sp_O75323_NIPS2_HUMAN_.pdf", "Melting_Curves/meltCurve_sp_O75323_NIPS2_HUMAN_.pdf")</f>
        <v>Melting_Curves/meltCurve_sp_O75323_NIPS2_HUMAN_.pdf</v>
      </c>
      <c r="AA263" t="s">
        <v>13144</v>
      </c>
      <c r="AB263" t="s">
        <v>17348</v>
      </c>
    </row>
    <row r="264" spans="1:28" x14ac:dyDescent="0.25">
      <c r="A264" t="s">
        <v>268</v>
      </c>
      <c r="B264">
        <v>0.99876560204751996</v>
      </c>
      <c r="C264">
        <v>0.90077992599202195</v>
      </c>
      <c r="D264">
        <v>0.81833305850715499</v>
      </c>
      <c r="E264">
        <v>0.73918292536762598</v>
      </c>
      <c r="F264">
        <v>0.50740791700784504</v>
      </c>
      <c r="G264">
        <v>0.259851143211763</v>
      </c>
      <c r="H264">
        <v>0.111459311704744</v>
      </c>
      <c r="I264">
        <v>7.5275252260430595E-2</v>
      </c>
      <c r="J264">
        <v>6.3272334486292506E-2</v>
      </c>
      <c r="K264">
        <v>4.1663089961039901E-2</v>
      </c>
      <c r="L264">
        <v>709.15283673016495</v>
      </c>
      <c r="M264">
        <v>13.4136230135893</v>
      </c>
      <c r="N264">
        <v>52.868114750956302</v>
      </c>
      <c r="O264">
        <v>51.734542026956603</v>
      </c>
      <c r="P264">
        <v>-6.4829609402229399E-2</v>
      </c>
      <c r="Q264">
        <v>0</v>
      </c>
      <c r="R264">
        <v>0.99089336779803106</v>
      </c>
      <c r="S264" t="s">
        <v>4560</v>
      </c>
      <c r="T264" t="s">
        <v>8590</v>
      </c>
      <c r="U264" t="s">
        <v>8590</v>
      </c>
      <c r="V264" t="s">
        <v>8590</v>
      </c>
      <c r="W264">
        <v>5</v>
      </c>
      <c r="X264" t="s">
        <v>8854</v>
      </c>
      <c r="Y264">
        <v>0.45407977625518992</v>
      </c>
      <c r="Z264" t="str">
        <f>HYPERLINK("Melting_Curves/meltCurve_sp_O75340_PDCD6_HUMAN_.pdf", "Melting_Curves/meltCurve_sp_O75340_PDCD6_HUMAN_.pdf")</f>
        <v>Melting_Curves/meltCurve_sp_O75340_PDCD6_HUMAN_.pdf</v>
      </c>
      <c r="AA264" t="s">
        <v>13145</v>
      </c>
      <c r="AB264" t="s">
        <v>17349</v>
      </c>
    </row>
    <row r="265" spans="1:28" x14ac:dyDescent="0.25">
      <c r="A265" t="s">
        <v>269</v>
      </c>
      <c r="B265">
        <v>0.99876560204751996</v>
      </c>
      <c r="C265">
        <v>0.93437189511159702</v>
      </c>
      <c r="D265">
        <v>1.08322275057539</v>
      </c>
      <c r="E265">
        <v>0.89856519328481799</v>
      </c>
      <c r="F265">
        <v>0.97498074988737005</v>
      </c>
      <c r="G265">
        <v>0.79755773848197298</v>
      </c>
      <c r="H265">
        <v>0.770167741623491</v>
      </c>
      <c r="I265">
        <v>0.82931495278880596</v>
      </c>
      <c r="J265">
        <v>1.08074404599275</v>
      </c>
      <c r="K265">
        <v>1.06393840640179</v>
      </c>
      <c r="L265">
        <v>12017.9672018814</v>
      </c>
      <c r="M265">
        <v>250</v>
      </c>
      <c r="O265">
        <v>48.068792538580098</v>
      </c>
      <c r="P265">
        <v>-0.10861189339230599</v>
      </c>
      <c r="Q265">
        <v>0.91646651898727205</v>
      </c>
      <c r="R265">
        <v>0.13403993874876499</v>
      </c>
      <c r="S265" t="s">
        <v>4561</v>
      </c>
      <c r="T265" t="s">
        <v>8590</v>
      </c>
      <c r="U265" t="s">
        <v>8590</v>
      </c>
      <c r="V265" t="s">
        <v>8590</v>
      </c>
      <c r="W265">
        <v>16</v>
      </c>
      <c r="X265" t="s">
        <v>8855</v>
      </c>
      <c r="Y265">
        <v>0.93894927631362912</v>
      </c>
      <c r="Z265" t="str">
        <f>HYPERLINK("Melting_Curves/meltCurve_sp_O75347_TBCA_HUMAN_.pdf", "Melting_Curves/meltCurve_sp_O75347_TBCA_HUMAN_.pdf")</f>
        <v>Melting_Curves/meltCurve_sp_O75347_TBCA_HUMAN_.pdf</v>
      </c>
      <c r="AA265" t="s">
        <v>13146</v>
      </c>
      <c r="AB265" t="s">
        <v>17350</v>
      </c>
    </row>
    <row r="266" spans="1:28" x14ac:dyDescent="0.25">
      <c r="A266" t="s">
        <v>270</v>
      </c>
      <c r="B266">
        <v>0.99876560204751996</v>
      </c>
      <c r="C266">
        <v>1.0264973264297601</v>
      </c>
      <c r="D266">
        <v>0.95813095335393395</v>
      </c>
      <c r="E266">
        <v>1.00787199764541</v>
      </c>
      <c r="F266">
        <v>0.86007374544152904</v>
      </c>
      <c r="G266">
        <v>0.34449509497183001</v>
      </c>
      <c r="H266">
        <v>0.279829391723734</v>
      </c>
      <c r="I266">
        <v>0.24240645231242</v>
      </c>
      <c r="J266">
        <v>0.26178010567785598</v>
      </c>
      <c r="K266">
        <v>0.21266443107927899</v>
      </c>
      <c r="L266">
        <v>2545.9597448865902</v>
      </c>
      <c r="M266">
        <v>46.548029654819402</v>
      </c>
      <c r="N266">
        <v>55.5072411496092</v>
      </c>
      <c r="O266">
        <v>54.5946745394427</v>
      </c>
      <c r="P266">
        <v>-0.16052357449888999</v>
      </c>
      <c r="Q266">
        <v>0.24690941756472901</v>
      </c>
      <c r="R266">
        <v>0.99611638459622998</v>
      </c>
      <c r="S266" t="s">
        <v>4562</v>
      </c>
      <c r="T266" t="s">
        <v>8590</v>
      </c>
      <c r="U266" t="s">
        <v>8590</v>
      </c>
      <c r="V266" t="s">
        <v>8590</v>
      </c>
      <c r="W266">
        <v>3</v>
      </c>
      <c r="X266" t="s">
        <v>8856</v>
      </c>
      <c r="Y266">
        <v>0.61790280423112842</v>
      </c>
      <c r="Z266" t="str">
        <f>HYPERLINK("Melting_Curves/meltCurve_sp_O75348_VATG1_HUMAN_.pdf", "Melting_Curves/meltCurve_sp_O75348_VATG1_HUMAN_.pdf")</f>
        <v>Melting_Curves/meltCurve_sp_O75348_VATG1_HUMAN_.pdf</v>
      </c>
      <c r="AA266" t="s">
        <v>13147</v>
      </c>
      <c r="AB266" t="s">
        <v>17351</v>
      </c>
    </row>
    <row r="267" spans="1:28" x14ac:dyDescent="0.25">
      <c r="A267" t="s">
        <v>271</v>
      </c>
      <c r="B267">
        <v>0.99876560204751996</v>
      </c>
      <c r="C267">
        <v>0.90283178319093804</v>
      </c>
      <c r="D267">
        <v>0.72664535845297495</v>
      </c>
      <c r="E267">
        <v>0.31279528468686901</v>
      </c>
      <c r="F267">
        <v>0.147337917572853</v>
      </c>
      <c r="G267">
        <v>0.117165954720163</v>
      </c>
      <c r="H267">
        <v>5.9758350968618201E-2</v>
      </c>
      <c r="I267">
        <v>5.7216273552532899E-2</v>
      </c>
      <c r="J267">
        <v>6.3463116088257096E-2</v>
      </c>
      <c r="K267">
        <v>4.4419413351464598E-2</v>
      </c>
      <c r="L267">
        <v>1024.5558794682099</v>
      </c>
      <c r="M267">
        <v>21.445688088504198</v>
      </c>
      <c r="N267">
        <v>48.0453504987304</v>
      </c>
      <c r="O267">
        <v>47.364866256180903</v>
      </c>
      <c r="P267">
        <v>-0.10675048134404801</v>
      </c>
      <c r="Q267">
        <v>5.6948442401440598E-2</v>
      </c>
      <c r="R267">
        <v>0.99828801497531705</v>
      </c>
      <c r="S267" t="s">
        <v>4563</v>
      </c>
      <c r="T267" t="s">
        <v>8590</v>
      </c>
      <c r="U267" t="s">
        <v>8590</v>
      </c>
      <c r="V267" t="s">
        <v>8590</v>
      </c>
      <c r="W267">
        <v>10</v>
      </c>
      <c r="X267" t="s">
        <v>8857</v>
      </c>
      <c r="Y267">
        <v>0.31293508086981697</v>
      </c>
      <c r="Z267" t="str">
        <f>HYPERLINK("Melting_Curves/meltCurve_sp_O75351_VPS4B_HUMAN_.pdf", "Melting_Curves/meltCurve_sp_O75351_VPS4B_HUMAN_.pdf")</f>
        <v>Melting_Curves/meltCurve_sp_O75351_VPS4B_HUMAN_.pdf</v>
      </c>
      <c r="AA267" t="s">
        <v>13148</v>
      </c>
      <c r="AB267" t="s">
        <v>17352</v>
      </c>
    </row>
    <row r="268" spans="1:28" x14ac:dyDescent="0.25">
      <c r="A268" t="s">
        <v>272</v>
      </c>
      <c r="B268">
        <v>0.99876560204751996</v>
      </c>
      <c r="C268">
        <v>0.96314370144698902</v>
      </c>
      <c r="D268">
        <v>0.88488053929083699</v>
      </c>
      <c r="E268">
        <v>0.52080450050443305</v>
      </c>
      <c r="F268">
        <v>0.19988061572614599</v>
      </c>
      <c r="G268">
        <v>8.3615504218305506E-2</v>
      </c>
      <c r="H268">
        <v>4.3726830344890298E-2</v>
      </c>
      <c r="I268">
        <v>3.1399459717240001E-2</v>
      </c>
      <c r="J268">
        <v>2.86587728182481E-2</v>
      </c>
      <c r="K268">
        <v>2.5108949252598801E-2</v>
      </c>
      <c r="L268">
        <v>1210.5481384669199</v>
      </c>
      <c r="M268">
        <v>24.241341206584799</v>
      </c>
      <c r="N268">
        <v>50.053639569175203</v>
      </c>
      <c r="O268">
        <v>49.6012530830847</v>
      </c>
      <c r="P268">
        <v>-0.118837199919911</v>
      </c>
      <c r="Q268">
        <v>2.7383529091313401E-2</v>
      </c>
      <c r="R268">
        <v>0.99928668236698004</v>
      </c>
      <c r="S268" t="s">
        <v>4564</v>
      </c>
      <c r="T268" t="s">
        <v>8590</v>
      </c>
      <c r="U268" t="s">
        <v>8590</v>
      </c>
      <c r="V268" t="s">
        <v>8590</v>
      </c>
      <c r="W268">
        <v>11</v>
      </c>
      <c r="X268" t="s">
        <v>8858</v>
      </c>
      <c r="Y268">
        <v>0.35880067232626212</v>
      </c>
      <c r="Z268" t="str">
        <f>HYPERLINK("Melting_Curves/meltCurve_sp_O75356_ENTP5_HUMAN_.pdf", "Melting_Curves/meltCurve_sp_O75356_ENTP5_HUMAN_.pdf")</f>
        <v>Melting_Curves/meltCurve_sp_O75356_ENTP5_HUMAN_.pdf</v>
      </c>
      <c r="AA268" t="s">
        <v>13149</v>
      </c>
      <c r="AB268" t="s">
        <v>17353</v>
      </c>
    </row>
    <row r="269" spans="1:28" x14ac:dyDescent="0.25">
      <c r="A269" t="s">
        <v>273</v>
      </c>
      <c r="B269">
        <v>0.99876560204751996</v>
      </c>
      <c r="C269">
        <v>1.0641986079685399</v>
      </c>
      <c r="D269">
        <v>1.2066055157717299</v>
      </c>
      <c r="E269">
        <v>1.01951408685492</v>
      </c>
      <c r="F269">
        <v>1.07711076544891</v>
      </c>
      <c r="G269">
        <v>0.77737080168373696</v>
      </c>
      <c r="H269">
        <v>0.43411836123673597</v>
      </c>
      <c r="I269">
        <v>0.21603872963331799</v>
      </c>
      <c r="J269">
        <v>9.7006998888813797E-2</v>
      </c>
      <c r="K269">
        <v>5.0329646612193801E-2</v>
      </c>
      <c r="L269">
        <v>1578.7594968301501</v>
      </c>
      <c r="M269">
        <v>26.254868057194201</v>
      </c>
      <c r="N269">
        <v>60.3097266586974</v>
      </c>
      <c r="O269">
        <v>59.786468490556302</v>
      </c>
      <c r="P269">
        <v>-0.10570215496867801</v>
      </c>
      <c r="Q269">
        <v>3.7208858461025202E-2</v>
      </c>
      <c r="R269">
        <v>0.96686319307449398</v>
      </c>
      <c r="S269" t="s">
        <v>4565</v>
      </c>
      <c r="T269" t="s">
        <v>8590</v>
      </c>
      <c r="U269" t="s">
        <v>8590</v>
      </c>
      <c r="V269" t="s">
        <v>8590</v>
      </c>
      <c r="W269">
        <v>4</v>
      </c>
      <c r="X269" t="s">
        <v>8859</v>
      </c>
      <c r="Y269">
        <v>0.69002989016358396</v>
      </c>
      <c r="Z269" t="str">
        <f>HYPERLINK("Melting_Curves/meltCurve_sp_O75367_2_H2AY_HUMAN_.pdf", "Melting_Curves/meltCurve_sp_O75367_2_H2AY_HUMAN_.pdf")</f>
        <v>Melting_Curves/meltCurve_sp_O75367_2_H2AY_HUMAN_.pdf</v>
      </c>
      <c r="AA269" t="s">
        <v>13150</v>
      </c>
      <c r="AB269" t="s">
        <v>17354</v>
      </c>
    </row>
    <row r="270" spans="1:28" x14ac:dyDescent="0.25">
      <c r="A270" t="s">
        <v>274</v>
      </c>
      <c r="B270">
        <v>0.99876560204751996</v>
      </c>
      <c r="C270">
        <v>0.82945176437932899</v>
      </c>
      <c r="D270">
        <v>0.97496595903771799</v>
      </c>
      <c r="E270">
        <v>0.813656556701853</v>
      </c>
      <c r="F270">
        <v>0.88945251049282104</v>
      </c>
      <c r="G270">
        <v>0.69033566852160799</v>
      </c>
      <c r="H270">
        <v>0.68111489704462203</v>
      </c>
      <c r="I270">
        <v>0.64703392099942103</v>
      </c>
      <c r="J270">
        <v>0.75650488893677204</v>
      </c>
      <c r="K270">
        <v>0.73498478326844696</v>
      </c>
      <c r="L270">
        <v>468.71866521497401</v>
      </c>
      <c r="M270">
        <v>9.3445124311509904</v>
      </c>
      <c r="O270">
        <v>48.023350794289598</v>
      </c>
      <c r="P270">
        <v>-1.5951866752738901E-2</v>
      </c>
      <c r="Q270">
        <v>0.67228683993225202</v>
      </c>
      <c r="R270">
        <v>0.679323784009081</v>
      </c>
      <c r="S270" t="s">
        <v>4566</v>
      </c>
      <c r="T270" t="s">
        <v>8590</v>
      </c>
      <c r="U270" t="s">
        <v>8590</v>
      </c>
      <c r="V270" t="s">
        <v>8590</v>
      </c>
      <c r="W270">
        <v>7</v>
      </c>
      <c r="X270" t="s">
        <v>8860</v>
      </c>
      <c r="Y270">
        <v>0.79925009593708107</v>
      </c>
      <c r="Z270" t="str">
        <f>HYPERLINK("Melting_Curves/meltCurve_sp_O75368_SH3L1_HUMAN_.pdf", "Melting_Curves/meltCurve_sp_O75368_SH3L1_HUMAN_.pdf")</f>
        <v>Melting_Curves/meltCurve_sp_O75368_SH3L1_HUMAN_.pdf</v>
      </c>
      <c r="AA270" t="s">
        <v>13151</v>
      </c>
      <c r="AB270" t="s">
        <v>17355</v>
      </c>
    </row>
    <row r="271" spans="1:28" x14ac:dyDescent="0.25">
      <c r="A271" t="s">
        <v>275</v>
      </c>
      <c r="B271">
        <v>0.99876560204751996</v>
      </c>
      <c r="C271">
        <v>1.08041118628041</v>
      </c>
      <c r="D271">
        <v>0.83020801013660095</v>
      </c>
      <c r="E271">
        <v>0.86646537539712798</v>
      </c>
      <c r="F271">
        <v>0.76730005071852803</v>
      </c>
      <c r="G271">
        <v>0.50398079469510904</v>
      </c>
      <c r="H271">
        <v>0.24392436041521101</v>
      </c>
      <c r="I271">
        <v>0.19929723187162199</v>
      </c>
      <c r="J271">
        <v>0.26938654039015503</v>
      </c>
      <c r="K271">
        <v>0.261227678272268</v>
      </c>
      <c r="L271">
        <v>1023.25488651439</v>
      </c>
      <c r="M271">
        <v>18.6287094309873</v>
      </c>
      <c r="N271">
        <v>56.5020784194623</v>
      </c>
      <c r="O271">
        <v>54.307685967915901</v>
      </c>
      <c r="P271">
        <v>-6.8406280123005606E-2</v>
      </c>
      <c r="Q271">
        <v>0.202343734305094</v>
      </c>
      <c r="R271">
        <v>0.95909472695984499</v>
      </c>
      <c r="S271" t="s">
        <v>4567</v>
      </c>
      <c r="T271" t="s">
        <v>8590</v>
      </c>
      <c r="U271" t="s">
        <v>8590</v>
      </c>
      <c r="V271" t="s">
        <v>8590</v>
      </c>
      <c r="W271">
        <v>155</v>
      </c>
      <c r="X271" t="s">
        <v>8861</v>
      </c>
      <c r="Y271">
        <v>0.61108253192612805</v>
      </c>
      <c r="Z271" t="str">
        <f>HYPERLINK("Melting_Curves/meltCurve_sp_O75369_2_FLNB_HUMAN_.pdf", "Melting_Curves/meltCurve_sp_O75369_2_FLNB_HUMAN_.pdf")</f>
        <v>Melting_Curves/meltCurve_sp_O75369_2_FLNB_HUMAN_.pdf</v>
      </c>
      <c r="AA271" t="s">
        <v>13152</v>
      </c>
      <c r="AB271" t="s">
        <v>17356</v>
      </c>
    </row>
    <row r="272" spans="1:28" x14ac:dyDescent="0.25">
      <c r="A272" t="s">
        <v>276</v>
      </c>
      <c r="B272">
        <v>0.99876560204751996</v>
      </c>
      <c r="C272">
        <v>1.0500151893972001</v>
      </c>
      <c r="D272">
        <v>0.978604447589978</v>
      </c>
      <c r="E272">
        <v>1.0560271623342501</v>
      </c>
      <c r="F272">
        <v>0.98532101285470797</v>
      </c>
      <c r="G272">
        <v>0.44383355451962098</v>
      </c>
      <c r="H272">
        <v>0.21265960937238801</v>
      </c>
      <c r="I272">
        <v>0.13777472526246101</v>
      </c>
      <c r="J272">
        <v>0.117048126697313</v>
      </c>
      <c r="K272">
        <v>8.3324360349805796E-2</v>
      </c>
      <c r="L272">
        <v>2668.60265569995</v>
      </c>
      <c r="M272">
        <v>47.3259037542553</v>
      </c>
      <c r="N272">
        <v>56.745182119816803</v>
      </c>
      <c r="O272">
        <v>56.287374968443402</v>
      </c>
      <c r="P272">
        <v>-0.183108540515802</v>
      </c>
      <c r="Q272">
        <v>0.12887553635836099</v>
      </c>
      <c r="R272">
        <v>0.99255416870245095</v>
      </c>
      <c r="S272" t="s">
        <v>4568</v>
      </c>
      <c r="T272" t="s">
        <v>8590</v>
      </c>
      <c r="U272" t="s">
        <v>8590</v>
      </c>
      <c r="V272" t="s">
        <v>8590</v>
      </c>
      <c r="W272">
        <v>154</v>
      </c>
      <c r="X272" t="s">
        <v>8862</v>
      </c>
      <c r="Y272">
        <v>0.60714983415099966</v>
      </c>
      <c r="Z272" t="str">
        <f>HYPERLINK("Melting_Curves/meltCurve_sp_O75369_8_FLNB_HUMAN_.pdf", "Melting_Curves/meltCurve_sp_O75369_8_FLNB_HUMAN_.pdf")</f>
        <v>Melting_Curves/meltCurve_sp_O75369_8_FLNB_HUMAN_.pdf</v>
      </c>
      <c r="AA272" t="s">
        <v>13152</v>
      </c>
      <c r="AB272" t="s">
        <v>17357</v>
      </c>
    </row>
    <row r="273" spans="1:28" x14ac:dyDescent="0.25">
      <c r="A273" t="s">
        <v>277</v>
      </c>
      <c r="B273">
        <v>0.99876560204751996</v>
      </c>
      <c r="C273">
        <v>1.0379154504885399</v>
      </c>
      <c r="D273">
        <v>0.98480994091966301</v>
      </c>
      <c r="E273">
        <v>1.0272944808803901</v>
      </c>
      <c r="F273">
        <v>0.95211243374836996</v>
      </c>
      <c r="G273">
        <v>0.64246615378205896</v>
      </c>
      <c r="H273">
        <v>0.52284272725826597</v>
      </c>
      <c r="I273">
        <v>0.49684025152460098</v>
      </c>
      <c r="J273">
        <v>0.62115453900815298</v>
      </c>
      <c r="K273">
        <v>0.58956403036003402</v>
      </c>
      <c r="L273">
        <v>2860.5409739217998</v>
      </c>
      <c r="M273">
        <v>51.703288120496403</v>
      </c>
      <c r="O273">
        <v>55.2435109014368</v>
      </c>
      <c r="P273">
        <v>-0.103500702102009</v>
      </c>
      <c r="Q273">
        <v>0.55764993047780798</v>
      </c>
      <c r="R273">
        <v>0.97285134768200598</v>
      </c>
      <c r="S273" t="s">
        <v>4569</v>
      </c>
      <c r="T273" t="s">
        <v>8590</v>
      </c>
      <c r="U273" t="s">
        <v>8590</v>
      </c>
      <c r="V273" t="s">
        <v>8590</v>
      </c>
      <c r="W273">
        <v>15</v>
      </c>
      <c r="X273" t="s">
        <v>8863</v>
      </c>
      <c r="Y273">
        <v>0.78464191126269767</v>
      </c>
      <c r="Z273" t="str">
        <f>HYPERLINK("Melting_Curves/meltCurve_sp_O75376_NCOR1_HUMAN_.pdf", "Melting_Curves/meltCurve_sp_O75376_NCOR1_HUMAN_.pdf")</f>
        <v>Melting_Curves/meltCurve_sp_O75376_NCOR1_HUMAN_.pdf</v>
      </c>
      <c r="AA273" t="s">
        <v>13153</v>
      </c>
      <c r="AB273" t="s">
        <v>17358</v>
      </c>
    </row>
    <row r="274" spans="1:28" x14ac:dyDescent="0.25">
      <c r="A274" t="s">
        <v>278</v>
      </c>
      <c r="B274">
        <v>0.99876560204751996</v>
      </c>
      <c r="C274">
        <v>0.85441354057172403</v>
      </c>
      <c r="D274">
        <v>0.91265847294227598</v>
      </c>
      <c r="E274">
        <v>0.75777574213495502</v>
      </c>
      <c r="F274">
        <v>0.763242600486568</v>
      </c>
      <c r="G274">
        <v>0.53102516062607397</v>
      </c>
      <c r="H274">
        <v>0.427519709894711</v>
      </c>
      <c r="I274">
        <v>0.389301873623905</v>
      </c>
      <c r="J274">
        <v>0.48338149224878302</v>
      </c>
      <c r="K274">
        <v>0.45895724070651001</v>
      </c>
      <c r="L274">
        <v>590.95533950884203</v>
      </c>
      <c r="M274">
        <v>11.2664966011457</v>
      </c>
      <c r="N274">
        <v>60.137270419179501</v>
      </c>
      <c r="O274">
        <v>50.881415281865699</v>
      </c>
      <c r="P274">
        <v>-3.4248427633222098E-2</v>
      </c>
      <c r="Q274">
        <v>0.38150329866628402</v>
      </c>
      <c r="R274">
        <v>0.92927503962901203</v>
      </c>
      <c r="S274" t="s">
        <v>4570</v>
      </c>
      <c r="T274" t="s">
        <v>8590</v>
      </c>
      <c r="U274" t="s">
        <v>8590</v>
      </c>
      <c r="V274" t="s">
        <v>8590</v>
      </c>
      <c r="W274">
        <v>3</v>
      </c>
      <c r="X274" t="s">
        <v>8864</v>
      </c>
      <c r="Y274">
        <v>0.65798480859620412</v>
      </c>
      <c r="Z274" t="str">
        <f>HYPERLINK("Melting_Curves/meltCurve_sp_O75380_NDUS6_HUMAN_.pdf", "Melting_Curves/meltCurve_sp_O75380_NDUS6_HUMAN_.pdf")</f>
        <v>Melting_Curves/meltCurve_sp_O75380_NDUS6_HUMAN_.pdf</v>
      </c>
      <c r="AA274" t="s">
        <v>13154</v>
      </c>
      <c r="AB274" t="s">
        <v>17359</v>
      </c>
    </row>
    <row r="275" spans="1:28" x14ac:dyDescent="0.25">
      <c r="A275" t="s">
        <v>279</v>
      </c>
      <c r="B275">
        <v>0.99876560204751996</v>
      </c>
      <c r="C275">
        <v>1.0372352756702401</v>
      </c>
      <c r="D275">
        <v>1.0647842139744901</v>
      </c>
      <c r="E275">
        <v>1.0664260465162001</v>
      </c>
      <c r="F275">
        <v>0.42062997000706798</v>
      </c>
      <c r="G275">
        <v>0.16769858684165501</v>
      </c>
      <c r="H275">
        <v>7.0857039924463197E-2</v>
      </c>
      <c r="I275">
        <v>8.0300465559804204E-2</v>
      </c>
      <c r="J275">
        <v>4.07517572427709E-2</v>
      </c>
      <c r="K275">
        <v>7.5917689773992394E-2</v>
      </c>
      <c r="L275">
        <v>13220.7321766202</v>
      </c>
      <c r="M275">
        <v>250</v>
      </c>
      <c r="N275">
        <v>52.9234541867663</v>
      </c>
      <c r="O275">
        <v>52.879544719563803</v>
      </c>
      <c r="P275">
        <v>-1.07897926183944</v>
      </c>
      <c r="Q275">
        <v>8.7105089953785506E-2</v>
      </c>
      <c r="R275">
        <v>0.99067120074470505</v>
      </c>
      <c r="S275" t="s">
        <v>4571</v>
      </c>
      <c r="T275" t="s">
        <v>8590</v>
      </c>
      <c r="U275" t="s">
        <v>8590</v>
      </c>
      <c r="V275" t="s">
        <v>8590</v>
      </c>
      <c r="W275">
        <v>3</v>
      </c>
      <c r="X275" t="s">
        <v>8865</v>
      </c>
      <c r="Y275">
        <v>0.47921514931348241</v>
      </c>
      <c r="Z275" t="str">
        <f>HYPERLINK("Melting_Curves/meltCurve_sp_O75382_2_TRIM3_HUMAN_.pdf", "Melting_Curves/meltCurve_sp_O75382_2_TRIM3_HUMAN_.pdf")</f>
        <v>Melting_Curves/meltCurve_sp_O75382_2_TRIM3_HUMAN_.pdf</v>
      </c>
      <c r="AA275" t="s">
        <v>13155</v>
      </c>
      <c r="AB275" t="s">
        <v>17360</v>
      </c>
    </row>
    <row r="276" spans="1:28" x14ac:dyDescent="0.25">
      <c r="A276" t="s">
        <v>280</v>
      </c>
      <c r="B276">
        <v>0.99876560204751996</v>
      </c>
      <c r="C276">
        <v>0.99136688506903403</v>
      </c>
      <c r="D276">
        <v>1.0431848854763699</v>
      </c>
      <c r="E276">
        <v>0.92991541423107205</v>
      </c>
      <c r="F276">
        <v>0.91768962972221502</v>
      </c>
      <c r="G276">
        <v>0.65994980447089302</v>
      </c>
      <c r="H276">
        <v>0.34425423162164398</v>
      </c>
      <c r="I276">
        <v>0.18179269164654199</v>
      </c>
      <c r="J276">
        <v>0.11393602226828201</v>
      </c>
      <c r="K276">
        <v>9.3210577306918202E-2</v>
      </c>
      <c r="L276">
        <v>1230.39491865691</v>
      </c>
      <c r="M276">
        <v>21.0132081166382</v>
      </c>
      <c r="N276">
        <v>58.883215274446499</v>
      </c>
      <c r="O276">
        <v>58.030825981995498</v>
      </c>
      <c r="P276">
        <v>-8.5502838986194998E-2</v>
      </c>
      <c r="Q276">
        <v>5.5514133861527599E-2</v>
      </c>
      <c r="R276">
        <v>0.99686447942582002</v>
      </c>
      <c r="S276" t="s">
        <v>4572</v>
      </c>
      <c r="T276" t="s">
        <v>8590</v>
      </c>
      <c r="U276" t="s">
        <v>8590</v>
      </c>
      <c r="V276" t="s">
        <v>8590</v>
      </c>
      <c r="W276">
        <v>9</v>
      </c>
      <c r="X276" t="s">
        <v>8866</v>
      </c>
      <c r="Y276">
        <v>0.64929889291035714</v>
      </c>
      <c r="Z276" t="str">
        <f>HYPERLINK("Melting_Curves/meltCurve_sp_O75396_SC22B_HUMAN_.pdf", "Melting_Curves/meltCurve_sp_O75396_SC22B_HUMAN_.pdf")</f>
        <v>Melting_Curves/meltCurve_sp_O75396_SC22B_HUMAN_.pdf</v>
      </c>
      <c r="AA276" t="s">
        <v>13156</v>
      </c>
      <c r="AB276" t="s">
        <v>17361</v>
      </c>
    </row>
    <row r="277" spans="1:28" x14ac:dyDescent="0.25">
      <c r="A277" t="s">
        <v>281</v>
      </c>
      <c r="B277">
        <v>0.99876560204751996</v>
      </c>
      <c r="C277">
        <v>0.90203923695087196</v>
      </c>
      <c r="D277">
        <v>0.95555228399732695</v>
      </c>
      <c r="E277">
        <v>0.80137471778093605</v>
      </c>
      <c r="F277">
        <v>0.81547157179449403</v>
      </c>
      <c r="G277">
        <v>0.59029150484764903</v>
      </c>
      <c r="H277">
        <v>0.54865805866150696</v>
      </c>
      <c r="I277">
        <v>0.49152448722034398</v>
      </c>
      <c r="J277">
        <v>0.60202901257559904</v>
      </c>
      <c r="K277">
        <v>0.61034892627812898</v>
      </c>
      <c r="L277">
        <v>799.47706274667405</v>
      </c>
      <c r="M277">
        <v>15.427283743795501</v>
      </c>
      <c r="O277">
        <v>50.974962650044503</v>
      </c>
      <c r="P277">
        <v>-3.4580256845273799E-2</v>
      </c>
      <c r="Q277">
        <v>0.54299986431567804</v>
      </c>
      <c r="R277">
        <v>0.905791568735692</v>
      </c>
      <c r="S277" t="s">
        <v>4573</v>
      </c>
      <c r="T277" t="s">
        <v>8590</v>
      </c>
      <c r="U277" t="s">
        <v>8590</v>
      </c>
      <c r="V277" t="s">
        <v>8590</v>
      </c>
      <c r="W277">
        <v>6</v>
      </c>
      <c r="X277" t="s">
        <v>8867</v>
      </c>
      <c r="Y277">
        <v>0.73293022579268741</v>
      </c>
      <c r="Z277" t="str">
        <f>HYPERLINK("Melting_Curves/meltCurve_sp_O75410_7_TACC1_HUMAN_.pdf", "Melting_Curves/meltCurve_sp_O75410_7_TACC1_HUMAN_.pdf")</f>
        <v>Melting_Curves/meltCurve_sp_O75410_7_TACC1_HUMAN_.pdf</v>
      </c>
      <c r="AA277" t="s">
        <v>13157</v>
      </c>
      <c r="AB277" t="s">
        <v>17362</v>
      </c>
    </row>
    <row r="278" spans="1:28" x14ac:dyDescent="0.25">
      <c r="A278" t="s">
        <v>282</v>
      </c>
      <c r="B278">
        <v>0.99876560204751996</v>
      </c>
      <c r="C278">
        <v>0.96151960640454104</v>
      </c>
      <c r="D278">
        <v>0.89381733491849402</v>
      </c>
      <c r="E278">
        <v>0.87841809468222498</v>
      </c>
      <c r="F278">
        <v>0.62459313166608199</v>
      </c>
      <c r="G278">
        <v>0.403008584698483</v>
      </c>
      <c r="H278">
        <v>0.142272870079002</v>
      </c>
      <c r="I278">
        <v>0.108822103596997</v>
      </c>
      <c r="J278">
        <v>8.6346634227660493E-2</v>
      </c>
      <c r="K278">
        <v>5.4262917902953803E-2</v>
      </c>
      <c r="L278">
        <v>880.31747773511495</v>
      </c>
      <c r="M278">
        <v>16.0220481879097</v>
      </c>
      <c r="N278">
        <v>55.072899351637197</v>
      </c>
      <c r="O278">
        <v>54.109589131075602</v>
      </c>
      <c r="P278">
        <v>-7.2670728502910203E-2</v>
      </c>
      <c r="Q278">
        <v>1.8383759670580001E-2</v>
      </c>
      <c r="R278">
        <v>0.99253687910781396</v>
      </c>
      <c r="S278" t="s">
        <v>4574</v>
      </c>
      <c r="T278" t="s">
        <v>8590</v>
      </c>
      <c r="U278" t="s">
        <v>8590</v>
      </c>
      <c r="V278" t="s">
        <v>8590</v>
      </c>
      <c r="W278">
        <v>9</v>
      </c>
      <c r="X278" t="s">
        <v>8868</v>
      </c>
      <c r="Y278">
        <v>0.52500663235576939</v>
      </c>
      <c r="Z278" t="str">
        <f>HYPERLINK("Melting_Curves/meltCurve_sp_O75436_VP26A_HUMAN_.pdf", "Melting_Curves/meltCurve_sp_O75436_VP26A_HUMAN_.pdf")</f>
        <v>Melting_Curves/meltCurve_sp_O75436_VP26A_HUMAN_.pdf</v>
      </c>
      <c r="AA278" t="s">
        <v>13158</v>
      </c>
      <c r="AB278" t="s">
        <v>17363</v>
      </c>
    </row>
    <row r="279" spans="1:28" x14ac:dyDescent="0.25">
      <c r="A279" t="s">
        <v>283</v>
      </c>
      <c r="B279">
        <v>0.99876560204751996</v>
      </c>
      <c r="C279">
        <v>0.81691573172171805</v>
      </c>
      <c r="D279">
        <v>0.53359714940564795</v>
      </c>
      <c r="E279">
        <v>0.306209714976936</v>
      </c>
      <c r="F279">
        <v>0.15667182945542599</v>
      </c>
      <c r="G279">
        <v>8.4782758048265794E-2</v>
      </c>
      <c r="H279">
        <v>5.4374830091190901E-2</v>
      </c>
      <c r="I279">
        <v>4.0684875530761701E-2</v>
      </c>
      <c r="J279">
        <v>4.2660247076234101E-2</v>
      </c>
      <c r="K279">
        <v>3.0411547588895901E-2</v>
      </c>
      <c r="L279">
        <v>769.72432569478701</v>
      </c>
      <c r="M279">
        <v>16.503262021144199</v>
      </c>
      <c r="N279">
        <v>46.852445828246402</v>
      </c>
      <c r="O279">
        <v>45.9720553517624</v>
      </c>
      <c r="P279">
        <v>-8.6527636630531701E-2</v>
      </c>
      <c r="Q279">
        <v>3.5929517569786899E-2</v>
      </c>
      <c r="R279">
        <v>0.99478508027086499</v>
      </c>
      <c r="S279" t="s">
        <v>4575</v>
      </c>
      <c r="T279" t="s">
        <v>8590</v>
      </c>
      <c r="U279" t="s">
        <v>8590</v>
      </c>
      <c r="V279" t="s">
        <v>8590</v>
      </c>
      <c r="W279">
        <v>19</v>
      </c>
      <c r="X279" t="s">
        <v>8869</v>
      </c>
      <c r="Y279">
        <v>0.27124296763958611</v>
      </c>
      <c r="Z279" t="str">
        <f>HYPERLINK("Melting_Curves/meltCurve_sp_O75439_MPPB_HUMAN_.pdf", "Melting_Curves/meltCurve_sp_O75439_MPPB_HUMAN_.pdf")</f>
        <v>Melting_Curves/meltCurve_sp_O75439_MPPB_HUMAN_.pdf</v>
      </c>
      <c r="AA279" t="s">
        <v>13159</v>
      </c>
      <c r="AB279" t="s">
        <v>17364</v>
      </c>
    </row>
    <row r="280" spans="1:28" x14ac:dyDescent="0.25">
      <c r="A280" t="s">
        <v>284</v>
      </c>
      <c r="B280">
        <v>0.99876560204751996</v>
      </c>
      <c r="C280">
        <v>1.0492088598487499</v>
      </c>
      <c r="D280">
        <v>1.0044326741301499</v>
      </c>
      <c r="E280">
        <v>1.08981492638991</v>
      </c>
      <c r="F280">
        <v>0.65155950512289995</v>
      </c>
      <c r="G280">
        <v>0.17422308204687201</v>
      </c>
      <c r="H280">
        <v>8.7931115837962398E-2</v>
      </c>
      <c r="I280">
        <v>8.4554574337807095E-2</v>
      </c>
      <c r="J280">
        <v>5.7934493056495603E-2</v>
      </c>
      <c r="K280">
        <v>7.3326216661128804E-2</v>
      </c>
      <c r="L280">
        <v>2932.1699535859698</v>
      </c>
      <c r="M280">
        <v>54.762048738341598</v>
      </c>
      <c r="N280">
        <v>53.733269141280701</v>
      </c>
      <c r="O280">
        <v>53.472572789944401</v>
      </c>
      <c r="P280">
        <v>-0.23355327522358199</v>
      </c>
      <c r="Q280">
        <v>8.7785260686797206E-2</v>
      </c>
      <c r="R280">
        <v>0.99069626429200597</v>
      </c>
      <c r="S280" t="s">
        <v>4576</v>
      </c>
      <c r="T280" t="s">
        <v>8590</v>
      </c>
      <c r="U280" t="s">
        <v>8590</v>
      </c>
      <c r="V280" t="s">
        <v>8590</v>
      </c>
      <c r="W280">
        <v>1</v>
      </c>
      <c r="X280" t="s">
        <v>8870</v>
      </c>
      <c r="Y280">
        <v>0.50140898311253879</v>
      </c>
      <c r="Z280" t="str">
        <f>HYPERLINK("Melting_Curves/meltCurve_sp_O75449_KTNA1_HUMAN_.pdf", "Melting_Curves/meltCurve_sp_O75449_KTNA1_HUMAN_.pdf")</f>
        <v>Melting_Curves/meltCurve_sp_O75449_KTNA1_HUMAN_.pdf</v>
      </c>
      <c r="AA280" t="s">
        <v>13160</v>
      </c>
      <c r="AB280" t="s">
        <v>17365</v>
      </c>
    </row>
    <row r="281" spans="1:28" x14ac:dyDescent="0.25">
      <c r="A281" t="s">
        <v>285</v>
      </c>
      <c r="B281">
        <v>0.99876560204751996</v>
      </c>
      <c r="C281">
        <v>1.1095237034038401</v>
      </c>
      <c r="D281">
        <v>0.71206566746188404</v>
      </c>
      <c r="E281">
        <v>0.56942231777146701</v>
      </c>
      <c r="F281">
        <v>0.33942524424034698</v>
      </c>
      <c r="G281">
        <v>0.20907148487746699</v>
      </c>
      <c r="H281">
        <v>0.13944290094480899</v>
      </c>
      <c r="I281">
        <v>0.102954469198695</v>
      </c>
      <c r="J281">
        <v>9.8196183489413294E-2</v>
      </c>
      <c r="K281">
        <v>4.7349114190089303E-2</v>
      </c>
      <c r="L281">
        <v>801.83325307042901</v>
      </c>
      <c r="M281">
        <v>15.9972218383851</v>
      </c>
      <c r="N281">
        <v>50.626985953549401</v>
      </c>
      <c r="O281">
        <v>49.359649096055499</v>
      </c>
      <c r="P281">
        <v>-7.5068697812830001E-2</v>
      </c>
      <c r="Q281">
        <v>7.3570693549585398E-2</v>
      </c>
      <c r="R281">
        <v>0.96899234828689695</v>
      </c>
      <c r="S281" t="s">
        <v>4577</v>
      </c>
      <c r="T281" t="s">
        <v>8590</v>
      </c>
      <c r="U281" t="s">
        <v>8590</v>
      </c>
      <c r="V281" t="s">
        <v>8590</v>
      </c>
      <c r="W281">
        <v>8</v>
      </c>
      <c r="X281" t="s">
        <v>8871</v>
      </c>
      <c r="Y281">
        <v>0.40580626236024842</v>
      </c>
      <c r="Z281" t="str">
        <f>HYPERLINK("Melting_Curves/meltCurve_sp_O75452_RDH16_HUMAN_.pdf", "Melting_Curves/meltCurve_sp_O75452_RDH16_HUMAN_.pdf")</f>
        <v>Melting_Curves/meltCurve_sp_O75452_RDH16_HUMAN_.pdf</v>
      </c>
      <c r="AA281" t="s">
        <v>13161</v>
      </c>
      <c r="AB281" t="s">
        <v>17366</v>
      </c>
    </row>
    <row r="282" spans="1:28" x14ac:dyDescent="0.25">
      <c r="A282" t="s">
        <v>286</v>
      </c>
      <c r="B282">
        <v>0.99876560204751996</v>
      </c>
      <c r="C282">
        <v>1.01175683811609</v>
      </c>
      <c r="D282">
        <v>1.16516035783335</v>
      </c>
      <c r="E282">
        <v>0.96590618534322703</v>
      </c>
      <c r="F282">
        <v>0.93386852669337495</v>
      </c>
      <c r="G282">
        <v>0.75946463217928195</v>
      </c>
      <c r="H282">
        <v>0.62399332163936205</v>
      </c>
      <c r="I282">
        <v>0.58439452368146005</v>
      </c>
      <c r="J282">
        <v>0.81557410757291304</v>
      </c>
      <c r="K282">
        <v>0.76690577694370998</v>
      </c>
      <c r="L282">
        <v>2296.1164587411899</v>
      </c>
      <c r="M282">
        <v>42.029528700356799</v>
      </c>
      <c r="O282">
        <v>54.507789543283202</v>
      </c>
      <c r="P282">
        <v>-5.7853365227408901E-2</v>
      </c>
      <c r="Q282">
        <v>0.69988207997658702</v>
      </c>
      <c r="R282">
        <v>0.78275923050304796</v>
      </c>
      <c r="S282" t="s">
        <v>4578</v>
      </c>
      <c r="T282" t="s">
        <v>8590</v>
      </c>
      <c r="U282" t="s">
        <v>8590</v>
      </c>
      <c r="V282" t="s">
        <v>8590</v>
      </c>
      <c r="W282">
        <v>8</v>
      </c>
      <c r="X282" t="s">
        <v>8872</v>
      </c>
      <c r="Y282">
        <v>0.84727360282935715</v>
      </c>
      <c r="Z282" t="str">
        <f>HYPERLINK("Melting_Curves/meltCurve_sp_O75475_PSIP1_HUMAN_.pdf", "Melting_Curves/meltCurve_sp_O75475_PSIP1_HUMAN_.pdf")</f>
        <v>Melting_Curves/meltCurve_sp_O75475_PSIP1_HUMAN_.pdf</v>
      </c>
      <c r="AA282" t="s">
        <v>13162</v>
      </c>
      <c r="AB282" t="s">
        <v>17367</v>
      </c>
    </row>
    <row r="283" spans="1:28" x14ac:dyDescent="0.25">
      <c r="A283" t="s">
        <v>287</v>
      </c>
      <c r="B283">
        <v>0.99876560204751996</v>
      </c>
      <c r="C283">
        <v>1.1829248415634801</v>
      </c>
      <c r="D283">
        <v>0.95410363543285104</v>
      </c>
      <c r="E283">
        <v>0.730274644636835</v>
      </c>
      <c r="F283">
        <v>0.51203341085044596</v>
      </c>
      <c r="G283">
        <v>0.21178423483386899</v>
      </c>
      <c r="H283">
        <v>0.16323049428471001</v>
      </c>
      <c r="I283">
        <v>0.18130150874584</v>
      </c>
      <c r="J283">
        <v>0.17299296447441501</v>
      </c>
      <c r="K283">
        <v>0.10165412164233199</v>
      </c>
      <c r="L283">
        <v>1225.52415139852</v>
      </c>
      <c r="M283">
        <v>23.554271603398998</v>
      </c>
      <c r="N283">
        <v>52.772316971582399</v>
      </c>
      <c r="O283">
        <v>51.659110942063499</v>
      </c>
      <c r="P283">
        <v>-9.7913009097585504E-2</v>
      </c>
      <c r="Q283">
        <v>0.14104504538617099</v>
      </c>
      <c r="R283">
        <v>0.97275317462545696</v>
      </c>
      <c r="S283" t="s">
        <v>4579</v>
      </c>
      <c r="T283" t="s">
        <v>8590</v>
      </c>
      <c r="U283" t="s">
        <v>8590</v>
      </c>
      <c r="V283" t="s">
        <v>8590</v>
      </c>
      <c r="W283">
        <v>3</v>
      </c>
      <c r="X283" t="s">
        <v>8873</v>
      </c>
      <c r="Y283">
        <v>0.49426897814299242</v>
      </c>
      <c r="Z283" t="str">
        <f>HYPERLINK("Melting_Curves/meltCurve_sp_O75489_NDUS3_HUMAN_.pdf", "Melting_Curves/meltCurve_sp_O75489_NDUS3_HUMAN_.pdf")</f>
        <v>Melting_Curves/meltCurve_sp_O75489_NDUS3_HUMAN_.pdf</v>
      </c>
      <c r="AA283" t="s">
        <v>13163</v>
      </c>
      <c r="AB283" t="s">
        <v>17368</v>
      </c>
    </row>
    <row r="284" spans="1:28" x14ac:dyDescent="0.25">
      <c r="A284" t="s">
        <v>288</v>
      </c>
      <c r="B284">
        <v>0.99876560204751996</v>
      </c>
      <c r="C284">
        <v>0.90209092584850503</v>
      </c>
      <c r="D284">
        <v>0.92555430781963699</v>
      </c>
      <c r="E284">
        <v>0.86588575160922399</v>
      </c>
      <c r="F284">
        <v>0.61538545046417303</v>
      </c>
      <c r="G284">
        <v>0.27991079368088401</v>
      </c>
      <c r="H284">
        <v>0.14978389893606001</v>
      </c>
      <c r="I284">
        <v>0.113491802658487</v>
      </c>
      <c r="J284">
        <v>0.12900960004547801</v>
      </c>
      <c r="K284">
        <v>0.138292910264249</v>
      </c>
      <c r="L284">
        <v>1246.7732971508599</v>
      </c>
      <c r="M284">
        <v>23.291281916462101</v>
      </c>
      <c r="N284">
        <v>54.123074212132799</v>
      </c>
      <c r="O284">
        <v>53.139695315307797</v>
      </c>
      <c r="P284">
        <v>-9.7229229315756505E-2</v>
      </c>
      <c r="Q284">
        <v>0.112691240762173</v>
      </c>
      <c r="R284">
        <v>0.98996701839362899</v>
      </c>
      <c r="S284" t="s">
        <v>4580</v>
      </c>
      <c r="T284" t="s">
        <v>8590</v>
      </c>
      <c r="U284" t="s">
        <v>8590</v>
      </c>
      <c r="V284" t="s">
        <v>8590</v>
      </c>
      <c r="W284">
        <v>5</v>
      </c>
      <c r="X284" t="s">
        <v>8874</v>
      </c>
      <c r="Y284">
        <v>0.52218148994170044</v>
      </c>
      <c r="Z284" t="str">
        <f>HYPERLINK("Melting_Curves/meltCurve_sp_O75503_CLN5_HUMAN_.pdf", "Melting_Curves/meltCurve_sp_O75503_CLN5_HUMAN_.pdf")</f>
        <v>Melting_Curves/meltCurve_sp_O75503_CLN5_HUMAN_.pdf</v>
      </c>
      <c r="AA284" t="s">
        <v>13164</v>
      </c>
      <c r="AB284" t="s">
        <v>17369</v>
      </c>
    </row>
    <row r="285" spans="1:28" x14ac:dyDescent="0.25">
      <c r="A285" t="s">
        <v>289</v>
      </c>
      <c r="B285">
        <v>0.99876560204751996</v>
      </c>
      <c r="C285">
        <v>1.04541307672149</v>
      </c>
      <c r="D285">
        <v>1.02129241060005</v>
      </c>
      <c r="E285">
        <v>0.70315543253009005</v>
      </c>
      <c r="F285">
        <v>0.33669573659531898</v>
      </c>
      <c r="G285">
        <v>0.14191468619669001</v>
      </c>
      <c r="H285">
        <v>6.6675574041968402E-2</v>
      </c>
      <c r="I285">
        <v>4.8847731294631803E-2</v>
      </c>
      <c r="J285">
        <v>4.2432859531966897E-2</v>
      </c>
      <c r="K285">
        <v>3.8332574385114303E-2</v>
      </c>
      <c r="L285">
        <v>1470.0498255523</v>
      </c>
      <c r="M285">
        <v>28.5548371808821</v>
      </c>
      <c r="N285">
        <v>51.679001665549499</v>
      </c>
      <c r="O285">
        <v>51.231131590858297</v>
      </c>
      <c r="P285">
        <v>-0.132146550257319</v>
      </c>
      <c r="Q285">
        <v>5.1654388425719101E-2</v>
      </c>
      <c r="R285">
        <v>0.99625104602139203</v>
      </c>
      <c r="S285" t="s">
        <v>4581</v>
      </c>
      <c r="T285" t="s">
        <v>8590</v>
      </c>
      <c r="U285" t="s">
        <v>8590</v>
      </c>
      <c r="V285" t="s">
        <v>8590</v>
      </c>
      <c r="W285">
        <v>29</v>
      </c>
      <c r="X285" t="s">
        <v>8875</v>
      </c>
      <c r="Y285">
        <v>0.42123618158528059</v>
      </c>
      <c r="Z285" t="str">
        <f>HYPERLINK("Melting_Curves/meltCurve_sp_O75521_2_ECI2_HUMAN_.pdf", "Melting_Curves/meltCurve_sp_O75521_2_ECI2_HUMAN_.pdf")</f>
        <v>Melting_Curves/meltCurve_sp_O75521_2_ECI2_HUMAN_.pdf</v>
      </c>
      <c r="AA285" t="s">
        <v>13165</v>
      </c>
      <c r="AB285" t="s">
        <v>17370</v>
      </c>
    </row>
    <row r="286" spans="1:28" x14ac:dyDescent="0.25">
      <c r="A286" t="s">
        <v>290</v>
      </c>
      <c r="B286">
        <v>0.99876560204751996</v>
      </c>
      <c r="C286">
        <v>0.95832847848584402</v>
      </c>
      <c r="D286">
        <v>0.97349149435091398</v>
      </c>
      <c r="E286">
        <v>0.78067160064547603</v>
      </c>
      <c r="F286">
        <v>0.519830916458489</v>
      </c>
      <c r="G286">
        <v>0.265894650829259</v>
      </c>
      <c r="H286">
        <v>0.18442627939643499</v>
      </c>
      <c r="I286">
        <v>0.15749906466379399</v>
      </c>
      <c r="J286">
        <v>0.18787854680454399</v>
      </c>
      <c r="K286">
        <v>0.185357359714939</v>
      </c>
      <c r="L286">
        <v>1241.9557618049</v>
      </c>
      <c r="M286">
        <v>23.779866754846601</v>
      </c>
      <c r="N286">
        <v>53.144520215968001</v>
      </c>
      <c r="O286">
        <v>51.862058162893803</v>
      </c>
      <c r="P286">
        <v>-9.5336377638122402E-2</v>
      </c>
      <c r="Q286">
        <v>0.16832844622007401</v>
      </c>
      <c r="R286">
        <v>0.99796884388909401</v>
      </c>
      <c r="S286" t="s">
        <v>4582</v>
      </c>
      <c r="T286" t="s">
        <v>8590</v>
      </c>
      <c r="U286" t="s">
        <v>8590</v>
      </c>
      <c r="V286" t="s">
        <v>8590</v>
      </c>
      <c r="W286">
        <v>3</v>
      </c>
      <c r="X286" t="s">
        <v>8876</v>
      </c>
      <c r="Y286">
        <v>0.51566404969914637</v>
      </c>
      <c r="Z286" t="str">
        <f>HYPERLINK("Melting_Curves/meltCurve_sp_O75525_2_KHDR3_HUMAN_.pdf", "Melting_Curves/meltCurve_sp_O75525_2_KHDR3_HUMAN_.pdf")</f>
        <v>Melting_Curves/meltCurve_sp_O75525_2_KHDR3_HUMAN_.pdf</v>
      </c>
      <c r="AA286" t="s">
        <v>13166</v>
      </c>
      <c r="AB286" t="s">
        <v>17371</v>
      </c>
    </row>
    <row r="287" spans="1:28" x14ac:dyDescent="0.25">
      <c r="A287" t="s">
        <v>291</v>
      </c>
      <c r="B287">
        <v>0.99876560204751996</v>
      </c>
      <c r="C287">
        <v>0.92230139716972104</v>
      </c>
      <c r="D287">
        <v>1.12799880331796</v>
      </c>
      <c r="E287">
        <v>0.92233496693169204</v>
      </c>
      <c r="F287">
        <v>0.82477908670252298</v>
      </c>
      <c r="G287">
        <v>0.550127174363781</v>
      </c>
      <c r="H287">
        <v>0.43836307135524599</v>
      </c>
      <c r="I287">
        <v>0.410191666219969</v>
      </c>
      <c r="J287">
        <v>0.54231987641762003</v>
      </c>
      <c r="K287">
        <v>0.48805232087192402</v>
      </c>
      <c r="L287">
        <v>1795.5002275906099</v>
      </c>
      <c r="M287">
        <v>33.2642569095689</v>
      </c>
      <c r="N287">
        <v>58.815371466811797</v>
      </c>
      <c r="O287">
        <v>53.782904621281503</v>
      </c>
      <c r="P287">
        <v>-8.2321144214309805E-2</v>
      </c>
      <c r="Q287">
        <v>0.46760257147059497</v>
      </c>
      <c r="R287">
        <v>0.94262922972613195</v>
      </c>
      <c r="S287" t="s">
        <v>4583</v>
      </c>
      <c r="T287" t="s">
        <v>8590</v>
      </c>
      <c r="U287" t="s">
        <v>8590</v>
      </c>
      <c r="V287" t="s">
        <v>8590</v>
      </c>
      <c r="W287">
        <v>6</v>
      </c>
      <c r="X287" t="s">
        <v>8877</v>
      </c>
      <c r="Y287">
        <v>0.71850287830480386</v>
      </c>
      <c r="Z287" t="str">
        <f>HYPERLINK("Melting_Curves/meltCurve_sp_O75531_BAF_HUMAN_.pdf", "Melting_Curves/meltCurve_sp_O75531_BAF_HUMAN_.pdf")</f>
        <v>Melting_Curves/meltCurve_sp_O75531_BAF_HUMAN_.pdf</v>
      </c>
      <c r="AA287" t="s">
        <v>13167</v>
      </c>
      <c r="AB287" t="s">
        <v>17372</v>
      </c>
    </row>
    <row r="288" spans="1:28" x14ac:dyDescent="0.25">
      <c r="A288" t="s">
        <v>292</v>
      </c>
      <c r="B288">
        <v>0.99876560204751996</v>
      </c>
      <c r="C288">
        <v>1.0293813268933201</v>
      </c>
      <c r="D288">
        <v>1.01713292432944</v>
      </c>
      <c r="E288">
        <v>0.82585309440511701</v>
      </c>
      <c r="F288">
        <v>0.631773452252122</v>
      </c>
      <c r="G288">
        <v>0.44985874242387103</v>
      </c>
      <c r="H288">
        <v>0.396161023313155</v>
      </c>
      <c r="I288">
        <v>0.404620387391393</v>
      </c>
      <c r="J288">
        <v>0.48495775584571099</v>
      </c>
      <c r="K288">
        <v>0.47928721051371898</v>
      </c>
      <c r="L288">
        <v>1578.89236127561</v>
      </c>
      <c r="M288">
        <v>30.6045920239286</v>
      </c>
      <c r="N288">
        <v>55.366178435222203</v>
      </c>
      <c r="O288">
        <v>51.371297443040397</v>
      </c>
      <c r="P288">
        <v>-8.3705206052098205E-2</v>
      </c>
      <c r="Q288">
        <v>0.43799048113426797</v>
      </c>
      <c r="R288">
        <v>0.984155921081594</v>
      </c>
      <c r="S288" t="s">
        <v>4584</v>
      </c>
      <c r="T288" t="s">
        <v>8590</v>
      </c>
      <c r="U288" t="s">
        <v>8590</v>
      </c>
      <c r="V288" t="s">
        <v>8590</v>
      </c>
      <c r="W288">
        <v>35</v>
      </c>
      <c r="X288" t="s">
        <v>8878</v>
      </c>
      <c r="Y288">
        <v>0.65854294731709484</v>
      </c>
      <c r="Z288" t="str">
        <f>HYPERLINK("Melting_Curves/meltCurve_sp_O75533_SF3B1_HUMAN_.pdf", "Melting_Curves/meltCurve_sp_O75533_SF3B1_HUMAN_.pdf")</f>
        <v>Melting_Curves/meltCurve_sp_O75533_SF3B1_HUMAN_.pdf</v>
      </c>
      <c r="AA288" t="s">
        <v>13168</v>
      </c>
      <c r="AB288" t="s">
        <v>17373</v>
      </c>
    </row>
    <row r="289" spans="1:28" x14ac:dyDescent="0.25">
      <c r="A289" t="s">
        <v>293</v>
      </c>
      <c r="B289">
        <v>0.99876560204751996</v>
      </c>
      <c r="C289">
        <v>0.94769244392305596</v>
      </c>
      <c r="D289">
        <v>0.87100738888140306</v>
      </c>
      <c r="E289">
        <v>0.55426736343704397</v>
      </c>
      <c r="F289">
        <v>0.32492542835048899</v>
      </c>
      <c r="G289">
        <v>0.18496920777210499</v>
      </c>
      <c r="H289">
        <v>0.13158634113562301</v>
      </c>
      <c r="I289">
        <v>0.105057929519176</v>
      </c>
      <c r="J289">
        <v>0.12017370451579799</v>
      </c>
      <c r="K289">
        <v>0.102748532664103</v>
      </c>
      <c r="L289">
        <v>973.28512337422796</v>
      </c>
      <c r="M289">
        <v>19.452021163114502</v>
      </c>
      <c r="N289">
        <v>50.637239251934403</v>
      </c>
      <c r="O289">
        <v>49.515379448663403</v>
      </c>
      <c r="P289">
        <v>-8.8075638975575604E-2</v>
      </c>
      <c r="Q289">
        <v>0.103242042629747</v>
      </c>
      <c r="R289">
        <v>0.99941650499131596</v>
      </c>
      <c r="S289" t="s">
        <v>4585</v>
      </c>
      <c r="T289" t="s">
        <v>8590</v>
      </c>
      <c r="U289" t="s">
        <v>8590</v>
      </c>
      <c r="V289" t="s">
        <v>8590</v>
      </c>
      <c r="W289">
        <v>22</v>
      </c>
      <c r="X289" t="s">
        <v>8879</v>
      </c>
      <c r="Y289">
        <v>0.41638684111311991</v>
      </c>
      <c r="Z289" t="str">
        <f>HYPERLINK("Melting_Curves/meltCurve_sp_O75534_CSDE1_HUMAN_.pdf", "Melting_Curves/meltCurve_sp_O75534_CSDE1_HUMAN_.pdf")</f>
        <v>Melting_Curves/meltCurve_sp_O75534_CSDE1_HUMAN_.pdf</v>
      </c>
      <c r="AA289" t="s">
        <v>13169</v>
      </c>
      <c r="AB289" t="s">
        <v>17374</v>
      </c>
    </row>
    <row r="290" spans="1:28" x14ac:dyDescent="0.25">
      <c r="A290" t="s">
        <v>294</v>
      </c>
      <c r="B290">
        <v>0.99876560204751996</v>
      </c>
      <c r="C290">
        <v>0.95054971076557704</v>
      </c>
      <c r="D290">
        <v>0.905922380446882</v>
      </c>
      <c r="E290">
        <v>0.70941794329591701</v>
      </c>
      <c r="F290">
        <v>0.55545268083863597</v>
      </c>
      <c r="G290">
        <v>0.37658762948416302</v>
      </c>
      <c r="H290">
        <v>0.20099839161667199</v>
      </c>
      <c r="I290">
        <v>0.14906176006828001</v>
      </c>
      <c r="J290">
        <v>0.10250974308606101</v>
      </c>
      <c r="K290">
        <v>5.9008800131288501E-2</v>
      </c>
      <c r="L290">
        <v>630.23461468860103</v>
      </c>
      <c r="M290">
        <v>11.6384833530149</v>
      </c>
      <c r="N290">
        <v>54.1509227130474</v>
      </c>
      <c r="O290">
        <v>52.6263233052914</v>
      </c>
      <c r="P290">
        <v>-5.53033163811988E-2</v>
      </c>
      <c r="Q290">
        <v>0</v>
      </c>
      <c r="R290">
        <v>0.99881906791540698</v>
      </c>
      <c r="S290" t="s">
        <v>4586</v>
      </c>
      <c r="T290" t="s">
        <v>8590</v>
      </c>
      <c r="U290" t="s">
        <v>8590</v>
      </c>
      <c r="V290" t="s">
        <v>8590</v>
      </c>
      <c r="W290">
        <v>7</v>
      </c>
      <c r="X290" t="s">
        <v>8880</v>
      </c>
      <c r="Y290">
        <v>0.49812837171797841</v>
      </c>
      <c r="Z290" t="str">
        <f>HYPERLINK("Melting_Curves/meltCurve_sp_O75600_KBL_HUMAN_.pdf", "Melting_Curves/meltCurve_sp_O75600_KBL_HUMAN_.pdf")</f>
        <v>Melting_Curves/meltCurve_sp_O75600_KBL_HUMAN_.pdf</v>
      </c>
      <c r="AA290" t="s">
        <v>13170</v>
      </c>
      <c r="AB290" t="s">
        <v>17375</v>
      </c>
    </row>
    <row r="291" spans="1:28" x14ac:dyDescent="0.25">
      <c r="A291" t="s">
        <v>295</v>
      </c>
      <c r="B291">
        <v>0.99876560204751996</v>
      </c>
      <c r="C291">
        <v>0.96052661058354805</v>
      </c>
      <c r="D291">
        <v>1.1037698041606401</v>
      </c>
      <c r="E291">
        <v>0.86498295430369898</v>
      </c>
      <c r="F291">
        <v>0.80609297479204001</v>
      </c>
      <c r="G291">
        <v>0.558619829240249</v>
      </c>
      <c r="H291">
        <v>0.15161491637608701</v>
      </c>
      <c r="I291">
        <v>0.15539362029932699</v>
      </c>
      <c r="J291">
        <v>8.1837568228137106E-2</v>
      </c>
      <c r="K291">
        <v>8.0348231497332806E-2</v>
      </c>
      <c r="L291">
        <v>1155.4762696519199</v>
      </c>
      <c r="M291">
        <v>20.367312706912202</v>
      </c>
      <c r="N291">
        <v>56.989188944872097</v>
      </c>
      <c r="O291">
        <v>56.193491075074498</v>
      </c>
      <c r="P291">
        <v>-8.6634780624443394E-2</v>
      </c>
      <c r="Q291">
        <v>4.3926307976960503E-2</v>
      </c>
      <c r="R291">
        <v>0.98077501006475298</v>
      </c>
      <c r="S291" t="s">
        <v>4587</v>
      </c>
      <c r="T291" t="s">
        <v>8590</v>
      </c>
      <c r="U291" t="s">
        <v>8590</v>
      </c>
      <c r="V291" t="s">
        <v>8590</v>
      </c>
      <c r="W291">
        <v>6</v>
      </c>
      <c r="X291" t="s">
        <v>8881</v>
      </c>
      <c r="Y291">
        <v>0.58877943016879641</v>
      </c>
      <c r="Z291" t="str">
        <f>HYPERLINK("Melting_Curves/meltCurve_sp_O75608_2_LYPA1_HUMAN_.pdf", "Melting_Curves/meltCurve_sp_O75608_2_LYPA1_HUMAN_.pdf")</f>
        <v>Melting_Curves/meltCurve_sp_O75608_2_LYPA1_HUMAN_.pdf</v>
      </c>
      <c r="AA291" t="s">
        <v>13171</v>
      </c>
      <c r="AB291" t="s">
        <v>17376</v>
      </c>
    </row>
    <row r="292" spans="1:28" x14ac:dyDescent="0.25">
      <c r="A292" t="s">
        <v>296</v>
      </c>
      <c r="B292">
        <v>0.99876560204751996</v>
      </c>
      <c r="C292">
        <v>0.86624628327132003</v>
      </c>
      <c r="D292">
        <v>0.84166306552534897</v>
      </c>
      <c r="E292">
        <v>0.84702268957054205</v>
      </c>
      <c r="F292">
        <v>0.79793082491552403</v>
      </c>
      <c r="G292">
        <v>0.65691536793572503</v>
      </c>
      <c r="H292">
        <v>0.50894981842628095</v>
      </c>
      <c r="I292">
        <v>0.50629580291917697</v>
      </c>
      <c r="J292">
        <v>0.49544047894002102</v>
      </c>
      <c r="K292">
        <v>0.43338120228432098</v>
      </c>
      <c r="L292">
        <v>347.49470532483798</v>
      </c>
      <c r="M292">
        <v>5.7368496858556499</v>
      </c>
      <c r="N292">
        <v>65.008990263234097</v>
      </c>
      <c r="O292">
        <v>54.422816706002699</v>
      </c>
      <c r="P292">
        <v>-2.2168215945698899E-2</v>
      </c>
      <c r="Q292">
        <v>0.161984498478661</v>
      </c>
      <c r="R292">
        <v>0.95363949107470902</v>
      </c>
      <c r="S292" t="s">
        <v>4588</v>
      </c>
      <c r="T292" t="s">
        <v>8590</v>
      </c>
      <c r="U292" t="s">
        <v>8590</v>
      </c>
      <c r="V292" t="s">
        <v>8590</v>
      </c>
      <c r="W292">
        <v>1</v>
      </c>
      <c r="X292" t="s">
        <v>8882</v>
      </c>
      <c r="Y292">
        <v>0.69885311188532095</v>
      </c>
      <c r="Z292" t="str">
        <f>HYPERLINK("Melting_Curves/meltCurve_sp_O75629_CREG1_HUMAN_.pdf", "Melting_Curves/meltCurve_sp_O75629_CREG1_HUMAN_.pdf")</f>
        <v>Melting_Curves/meltCurve_sp_O75629_CREG1_HUMAN_.pdf</v>
      </c>
      <c r="AA292" t="s">
        <v>13172</v>
      </c>
      <c r="AB292" t="s">
        <v>17377</v>
      </c>
    </row>
    <row r="293" spans="1:28" x14ac:dyDescent="0.25">
      <c r="A293" t="s">
        <v>297</v>
      </c>
      <c r="B293">
        <v>0.99876560204751996</v>
      </c>
      <c r="C293">
        <v>1.06527023772676</v>
      </c>
      <c r="D293">
        <v>1.0250467079476999</v>
      </c>
      <c r="E293">
        <v>0.75441143634687102</v>
      </c>
      <c r="F293">
        <v>0.62210470053353595</v>
      </c>
      <c r="G293">
        <v>0.49944481866256901</v>
      </c>
      <c r="H293">
        <v>0.43173496103294901</v>
      </c>
      <c r="I293">
        <v>0.44606730498392699</v>
      </c>
      <c r="J293">
        <v>0.51788819578149503</v>
      </c>
      <c r="K293">
        <v>0.52101939891140803</v>
      </c>
      <c r="L293">
        <v>1515.0470651308999</v>
      </c>
      <c r="M293">
        <v>29.946762343608199</v>
      </c>
      <c r="N293">
        <v>56.941356580502202</v>
      </c>
      <c r="O293">
        <v>50.367375460423702</v>
      </c>
      <c r="P293">
        <v>-7.6956080116409697E-2</v>
      </c>
      <c r="Q293">
        <v>0.482274693124978</v>
      </c>
      <c r="R293">
        <v>0.97186068410321902</v>
      </c>
      <c r="S293" t="s">
        <v>4589</v>
      </c>
      <c r="T293" t="s">
        <v>8590</v>
      </c>
      <c r="U293" t="s">
        <v>8590</v>
      </c>
      <c r="V293" t="s">
        <v>8590</v>
      </c>
      <c r="W293">
        <v>9</v>
      </c>
      <c r="X293" t="s">
        <v>8883</v>
      </c>
      <c r="Y293">
        <v>0.66829991026957913</v>
      </c>
      <c r="Z293" t="str">
        <f>HYPERLINK("Melting_Curves/meltCurve_sp_O75643_U520_HUMAN_.pdf", "Melting_Curves/meltCurve_sp_O75643_U520_HUMAN_.pdf")</f>
        <v>Melting_Curves/meltCurve_sp_O75643_U520_HUMAN_.pdf</v>
      </c>
      <c r="AA293" t="s">
        <v>13173</v>
      </c>
      <c r="AB293" t="s">
        <v>17378</v>
      </c>
    </row>
    <row r="294" spans="1:28" x14ac:dyDescent="0.25">
      <c r="A294" t="s">
        <v>298</v>
      </c>
      <c r="B294">
        <v>0.99876560204751996</v>
      </c>
      <c r="C294">
        <v>0.97246581206688998</v>
      </c>
      <c r="D294">
        <v>0.89312775466509098</v>
      </c>
      <c r="E294">
        <v>0.66438221901785299</v>
      </c>
      <c r="F294">
        <v>0.49431854578239698</v>
      </c>
      <c r="G294">
        <v>0.30552543115918701</v>
      </c>
      <c r="H294">
        <v>0.23176061981551099</v>
      </c>
      <c r="I294">
        <v>0.19306959772035601</v>
      </c>
      <c r="J294">
        <v>0.215981908337055</v>
      </c>
      <c r="K294">
        <v>0.19026939656980499</v>
      </c>
      <c r="L294">
        <v>851.765281541023</v>
      </c>
      <c r="M294">
        <v>16.621110998155899</v>
      </c>
      <c r="N294">
        <v>52.671823226530002</v>
      </c>
      <c r="O294">
        <v>50.521419052007801</v>
      </c>
      <c r="P294">
        <v>-6.7351923341068903E-2</v>
      </c>
      <c r="Q294">
        <v>0.18116545640779999</v>
      </c>
      <c r="R294">
        <v>0.99903305531195297</v>
      </c>
      <c r="S294" t="s">
        <v>4590</v>
      </c>
      <c r="T294" t="s">
        <v>8590</v>
      </c>
      <c r="U294" t="s">
        <v>8590</v>
      </c>
      <c r="V294" t="s">
        <v>8590</v>
      </c>
      <c r="W294">
        <v>4</v>
      </c>
      <c r="X294" t="s">
        <v>8884</v>
      </c>
      <c r="Y294">
        <v>0.50393308451132446</v>
      </c>
      <c r="Z294" t="str">
        <f>HYPERLINK("Melting_Curves/meltCurve_sp_O75648_MTU1_HUMAN_.pdf", "Melting_Curves/meltCurve_sp_O75648_MTU1_HUMAN_.pdf")</f>
        <v>Melting_Curves/meltCurve_sp_O75648_MTU1_HUMAN_.pdf</v>
      </c>
      <c r="AA294" t="s">
        <v>13174</v>
      </c>
      <c r="AB294" t="s">
        <v>17379</v>
      </c>
    </row>
    <row r="295" spans="1:28" x14ac:dyDescent="0.25">
      <c r="A295" t="s">
        <v>299</v>
      </c>
      <c r="B295">
        <v>0.99876560204751996</v>
      </c>
      <c r="C295">
        <v>0.92069426658942499</v>
      </c>
      <c r="D295">
        <v>0.94795278378065995</v>
      </c>
      <c r="E295">
        <v>0.82059649314307503</v>
      </c>
      <c r="F295">
        <v>0.41555952525945999</v>
      </c>
      <c r="G295">
        <v>0.15762675070412699</v>
      </c>
      <c r="H295">
        <v>0.105854614559378</v>
      </c>
      <c r="I295">
        <v>8.25365448321769E-2</v>
      </c>
      <c r="J295">
        <v>7.2934013216778198E-2</v>
      </c>
      <c r="K295">
        <v>5.20538966482849E-2</v>
      </c>
      <c r="L295">
        <v>1539.54888700225</v>
      </c>
      <c r="M295">
        <v>29.509636399387901</v>
      </c>
      <c r="N295">
        <v>52.459624927273197</v>
      </c>
      <c r="O295">
        <v>51.933236700038499</v>
      </c>
      <c r="P295">
        <v>-0.13141419877129201</v>
      </c>
      <c r="Q295">
        <v>7.49168672391477E-2</v>
      </c>
      <c r="R295">
        <v>0.99414372187993305</v>
      </c>
      <c r="S295" t="s">
        <v>4591</v>
      </c>
      <c r="T295" t="s">
        <v>8590</v>
      </c>
      <c r="U295" t="s">
        <v>8590</v>
      </c>
      <c r="V295" t="s">
        <v>8590</v>
      </c>
      <c r="W295">
        <v>9</v>
      </c>
      <c r="X295" t="s">
        <v>8885</v>
      </c>
      <c r="Y295">
        <v>0.45634743327671751</v>
      </c>
      <c r="Z295" t="str">
        <f>HYPERLINK("Melting_Curves/meltCurve_sp_O75663_TIPRL_HUMAN_.pdf", "Melting_Curves/meltCurve_sp_O75663_TIPRL_HUMAN_.pdf")</f>
        <v>Melting_Curves/meltCurve_sp_O75663_TIPRL_HUMAN_.pdf</v>
      </c>
      <c r="AA295" t="s">
        <v>13175</v>
      </c>
      <c r="AB295" t="s">
        <v>17380</v>
      </c>
    </row>
    <row r="296" spans="1:28" x14ac:dyDescent="0.25">
      <c r="A296" t="s">
        <v>300</v>
      </c>
      <c r="B296">
        <v>0.99876560204751996</v>
      </c>
      <c r="C296">
        <v>0.96080766912869897</v>
      </c>
      <c r="D296">
        <v>0.96629578463920696</v>
      </c>
      <c r="E296">
        <v>0.88900956645538998</v>
      </c>
      <c r="F296">
        <v>0.44969428900684999</v>
      </c>
      <c r="G296">
        <v>0.1608267239424</v>
      </c>
      <c r="H296">
        <v>8.7450298414118194E-2</v>
      </c>
      <c r="I296">
        <v>5.9817912786562899E-2</v>
      </c>
      <c r="J296">
        <v>6.0138861751504E-2</v>
      </c>
      <c r="K296">
        <v>4.2046523645690302E-2</v>
      </c>
      <c r="L296">
        <v>1795.3700160704</v>
      </c>
      <c r="M296">
        <v>34.141718590737</v>
      </c>
      <c r="N296">
        <v>52.802128890822402</v>
      </c>
      <c r="O296">
        <v>52.406392980651901</v>
      </c>
      <c r="P296">
        <v>-0.152241039086252</v>
      </c>
      <c r="Q296">
        <v>6.5264180247256803E-2</v>
      </c>
      <c r="R296">
        <v>0.99691049042810498</v>
      </c>
      <c r="S296" t="s">
        <v>4592</v>
      </c>
      <c r="T296" t="s">
        <v>8590</v>
      </c>
      <c r="U296" t="s">
        <v>8590</v>
      </c>
      <c r="V296" t="s">
        <v>8590</v>
      </c>
      <c r="W296">
        <v>11</v>
      </c>
      <c r="X296" t="s">
        <v>8886</v>
      </c>
      <c r="Y296">
        <v>0.46207342983714561</v>
      </c>
      <c r="Z296" t="str">
        <f>HYPERLINK("Melting_Curves/meltCurve_sp_O75688_PPM1B_HUMAN_.pdf", "Melting_Curves/meltCurve_sp_O75688_PPM1B_HUMAN_.pdf")</f>
        <v>Melting_Curves/meltCurve_sp_O75688_PPM1B_HUMAN_.pdf</v>
      </c>
      <c r="AA296" t="s">
        <v>13176</v>
      </c>
      <c r="AB296" t="s">
        <v>17381</v>
      </c>
    </row>
    <row r="297" spans="1:28" x14ac:dyDescent="0.25">
      <c r="A297" t="s">
        <v>301</v>
      </c>
      <c r="B297">
        <v>0.99876560204751996</v>
      </c>
      <c r="C297">
        <v>0.94448022786790298</v>
      </c>
      <c r="D297">
        <v>0.87281647391876604</v>
      </c>
      <c r="E297">
        <v>0.88241659899418401</v>
      </c>
      <c r="F297">
        <v>0.845016005552369</v>
      </c>
      <c r="G297">
        <v>0.30718509615366302</v>
      </c>
      <c r="H297">
        <v>0.11643322571784399</v>
      </c>
      <c r="I297">
        <v>9.2501340620512407E-2</v>
      </c>
      <c r="J297">
        <v>8.0398774747823004E-2</v>
      </c>
      <c r="K297">
        <v>4.1715898505422601E-2</v>
      </c>
      <c r="L297">
        <v>1710.4269102292201</v>
      </c>
      <c r="M297">
        <v>30.943394330527401</v>
      </c>
      <c r="N297">
        <v>55.519300125034903</v>
      </c>
      <c r="O297">
        <v>55.046670514927101</v>
      </c>
      <c r="P297">
        <v>-0.13162266757593699</v>
      </c>
      <c r="Q297">
        <v>6.3406192148693002E-2</v>
      </c>
      <c r="R297">
        <v>0.98184975181828305</v>
      </c>
      <c r="S297" t="s">
        <v>4593</v>
      </c>
      <c r="T297" t="s">
        <v>8590</v>
      </c>
      <c r="U297" t="s">
        <v>8590</v>
      </c>
      <c r="V297" t="s">
        <v>8590</v>
      </c>
      <c r="W297">
        <v>1</v>
      </c>
      <c r="X297" t="s">
        <v>8887</v>
      </c>
      <c r="Y297">
        <v>0.54619200377164201</v>
      </c>
      <c r="Z297" t="str">
        <f>HYPERLINK("Melting_Curves/meltCurve_sp_O75695_XRP2_HUMAN_.pdf", "Melting_Curves/meltCurve_sp_O75695_XRP2_HUMAN_.pdf")</f>
        <v>Melting_Curves/meltCurve_sp_O75695_XRP2_HUMAN_.pdf</v>
      </c>
      <c r="AA297" t="s">
        <v>13177</v>
      </c>
      <c r="AB297" t="s">
        <v>17382</v>
      </c>
    </row>
    <row r="298" spans="1:28" x14ac:dyDescent="0.25">
      <c r="A298" t="s">
        <v>302</v>
      </c>
      <c r="B298">
        <v>0.99876560204751996</v>
      </c>
      <c r="C298">
        <v>0.98788971918948898</v>
      </c>
      <c r="D298">
        <v>1.0437145215266701</v>
      </c>
      <c r="E298">
        <v>0.85257378309354803</v>
      </c>
      <c r="F298">
        <v>0.71874900142179898</v>
      </c>
      <c r="G298">
        <v>0.435438815994243</v>
      </c>
      <c r="H298">
        <v>0.30976026062371897</v>
      </c>
      <c r="I298">
        <v>0.36756990938852602</v>
      </c>
      <c r="J298">
        <v>0.32573071837156897</v>
      </c>
      <c r="K298">
        <v>0.32278186144464499</v>
      </c>
      <c r="L298">
        <v>1312.84396906098</v>
      </c>
      <c r="M298">
        <v>24.5729313695782</v>
      </c>
      <c r="N298">
        <v>55.745149488444198</v>
      </c>
      <c r="O298">
        <v>53.0763699831381</v>
      </c>
      <c r="P298">
        <v>-7.8696984062339895E-2</v>
      </c>
      <c r="Q298">
        <v>0.320082734438767</v>
      </c>
      <c r="R298">
        <v>0.99032126526061504</v>
      </c>
      <c r="S298" t="s">
        <v>4594</v>
      </c>
      <c r="T298" t="s">
        <v>8590</v>
      </c>
      <c r="U298" t="s">
        <v>8590</v>
      </c>
      <c r="V298" t="s">
        <v>8590</v>
      </c>
      <c r="W298">
        <v>7</v>
      </c>
      <c r="X298" t="s">
        <v>8888</v>
      </c>
      <c r="Y298">
        <v>0.63085816233518988</v>
      </c>
      <c r="Z298" t="str">
        <f>HYPERLINK("Melting_Curves/meltCurve_sp_O75764_TCEA3_HUMAN_.pdf", "Melting_Curves/meltCurve_sp_O75764_TCEA3_HUMAN_.pdf")</f>
        <v>Melting_Curves/meltCurve_sp_O75764_TCEA3_HUMAN_.pdf</v>
      </c>
      <c r="AA298" t="s">
        <v>13178</v>
      </c>
      <c r="AB298" t="s">
        <v>17383</v>
      </c>
    </row>
    <row r="299" spans="1:28" x14ac:dyDescent="0.25">
      <c r="A299" t="s">
        <v>303</v>
      </c>
      <c r="B299">
        <v>0.99876560204751996</v>
      </c>
      <c r="C299">
        <v>1.0897801630655199</v>
      </c>
      <c r="D299">
        <v>0.97247696283018503</v>
      </c>
      <c r="E299">
        <v>0.94884876855216804</v>
      </c>
      <c r="F299">
        <v>0.73178173253094703</v>
      </c>
      <c r="G299">
        <v>0.61491627270472304</v>
      </c>
      <c r="H299">
        <v>0.49130407047070401</v>
      </c>
      <c r="I299">
        <v>0.34001726475871202</v>
      </c>
      <c r="J299">
        <v>0.42038847789591999</v>
      </c>
      <c r="K299">
        <v>0.32912711345116002</v>
      </c>
      <c r="L299">
        <v>908.42168571491698</v>
      </c>
      <c r="M299">
        <v>16.365623895208898</v>
      </c>
      <c r="N299">
        <v>59.459338913282402</v>
      </c>
      <c r="O299">
        <v>54.698986024702698</v>
      </c>
      <c r="P299">
        <v>-5.0007449450922503E-2</v>
      </c>
      <c r="Q299">
        <v>0.33148641523864503</v>
      </c>
      <c r="R299">
        <v>0.97074898838377599</v>
      </c>
      <c r="S299" t="s">
        <v>4595</v>
      </c>
      <c r="T299" t="s">
        <v>8590</v>
      </c>
      <c r="U299" t="s">
        <v>8590</v>
      </c>
      <c r="V299" t="s">
        <v>8590</v>
      </c>
      <c r="W299">
        <v>4</v>
      </c>
      <c r="X299" t="s">
        <v>8889</v>
      </c>
      <c r="Y299">
        <v>0.68838725869702211</v>
      </c>
      <c r="Z299" t="str">
        <f>HYPERLINK("Melting_Curves/meltCurve_sp_O75821_EIF3G_HUMAN_.pdf", "Melting_Curves/meltCurve_sp_O75821_EIF3G_HUMAN_.pdf")</f>
        <v>Melting_Curves/meltCurve_sp_O75821_EIF3G_HUMAN_.pdf</v>
      </c>
      <c r="AA299" t="s">
        <v>13179</v>
      </c>
      <c r="AB299" t="s">
        <v>17384</v>
      </c>
    </row>
    <row r="300" spans="1:28" x14ac:dyDescent="0.25">
      <c r="A300" t="s">
        <v>304</v>
      </c>
      <c r="B300">
        <v>0.99876560204751996</v>
      </c>
      <c r="C300">
        <v>0.99151971075755296</v>
      </c>
      <c r="D300">
        <v>1.0915747455819</v>
      </c>
      <c r="E300">
        <v>0.90905041819670596</v>
      </c>
      <c r="F300">
        <v>0.91918261194393502</v>
      </c>
      <c r="G300">
        <v>0.60148550497070896</v>
      </c>
      <c r="H300">
        <v>0.45684900652251498</v>
      </c>
      <c r="I300">
        <v>0.43434955093153099</v>
      </c>
      <c r="J300">
        <v>0.56158140583111504</v>
      </c>
      <c r="K300">
        <v>0.47347814309075698</v>
      </c>
      <c r="L300">
        <v>2071.6579552037401</v>
      </c>
      <c r="M300">
        <v>37.566632602893797</v>
      </c>
      <c r="N300">
        <v>60.184008055151999</v>
      </c>
      <c r="O300">
        <v>54.990654472777301</v>
      </c>
      <c r="P300">
        <v>-8.9072679186883802E-2</v>
      </c>
      <c r="Q300">
        <v>0.47845717798437598</v>
      </c>
      <c r="R300">
        <v>0.95832993380452403</v>
      </c>
      <c r="S300" t="s">
        <v>4596</v>
      </c>
      <c r="T300" t="s">
        <v>8590</v>
      </c>
      <c r="U300" t="s">
        <v>8590</v>
      </c>
      <c r="V300" t="s">
        <v>8590</v>
      </c>
      <c r="W300">
        <v>4</v>
      </c>
      <c r="X300" t="s">
        <v>8890</v>
      </c>
      <c r="Y300">
        <v>0.74401270168552736</v>
      </c>
      <c r="Z300" t="str">
        <f>HYPERLINK("Melting_Curves/meltCurve_sp_O75822_EIF3J_HUMAN_.pdf", "Melting_Curves/meltCurve_sp_O75822_EIF3J_HUMAN_.pdf")</f>
        <v>Melting_Curves/meltCurve_sp_O75822_EIF3J_HUMAN_.pdf</v>
      </c>
      <c r="AA300" t="s">
        <v>13180</v>
      </c>
      <c r="AB300" t="s">
        <v>17385</v>
      </c>
    </row>
    <row r="301" spans="1:28" x14ac:dyDescent="0.25">
      <c r="A301" t="s">
        <v>305</v>
      </c>
      <c r="B301">
        <v>0.99876560204751996</v>
      </c>
      <c r="C301">
        <v>0.96968242682688999</v>
      </c>
      <c r="D301">
        <v>1.11101208000987</v>
      </c>
      <c r="E301">
        <v>0.89050250132318198</v>
      </c>
      <c r="F301">
        <v>0.82265280391143403</v>
      </c>
      <c r="G301">
        <v>0.38289186369654798</v>
      </c>
      <c r="H301">
        <v>0.170539106584471</v>
      </c>
      <c r="I301">
        <v>0.102857145337929</v>
      </c>
      <c r="J301">
        <v>6.4468118543434497E-2</v>
      </c>
      <c r="K301">
        <v>3.3690939755711802E-2</v>
      </c>
      <c r="L301">
        <v>1344.3328261045399</v>
      </c>
      <c r="M301">
        <v>24.092803107625301</v>
      </c>
      <c r="N301">
        <v>56.025502516660197</v>
      </c>
      <c r="O301">
        <v>55.417966496996499</v>
      </c>
      <c r="P301">
        <v>-0.10362608075395401</v>
      </c>
      <c r="Q301">
        <v>4.6577281450274698E-2</v>
      </c>
      <c r="R301">
        <v>0.98874140691243595</v>
      </c>
      <c r="S301" t="s">
        <v>4597</v>
      </c>
      <c r="T301" t="s">
        <v>8590</v>
      </c>
      <c r="U301" t="s">
        <v>8590</v>
      </c>
      <c r="V301" t="s">
        <v>8590</v>
      </c>
      <c r="W301">
        <v>4</v>
      </c>
      <c r="X301" t="s">
        <v>8891</v>
      </c>
      <c r="Y301">
        <v>0.55798111343723522</v>
      </c>
      <c r="Z301" t="str">
        <f>HYPERLINK("Melting_Curves/meltCurve_sp_O75828_CBR3_HUMAN_.pdf", "Melting_Curves/meltCurve_sp_O75828_CBR3_HUMAN_.pdf")</f>
        <v>Melting_Curves/meltCurve_sp_O75828_CBR3_HUMAN_.pdf</v>
      </c>
      <c r="AA301" t="s">
        <v>13181</v>
      </c>
      <c r="AB301" t="s">
        <v>17386</v>
      </c>
    </row>
    <row r="302" spans="1:28" x14ac:dyDescent="0.25">
      <c r="A302" t="s">
        <v>306</v>
      </c>
      <c r="B302">
        <v>0.99876560204751996</v>
      </c>
      <c r="C302">
        <v>1.10850397479347</v>
      </c>
      <c r="D302">
        <v>0.858236860623246</v>
      </c>
      <c r="E302">
        <v>0.68141529270587098</v>
      </c>
      <c r="F302">
        <v>0.15420971324001001</v>
      </c>
      <c r="G302">
        <v>6.9143978791204402E-2</v>
      </c>
      <c r="H302">
        <v>4.7079255369932203E-2</v>
      </c>
      <c r="I302">
        <v>4.5100105084102803E-2</v>
      </c>
      <c r="J302">
        <v>0</v>
      </c>
      <c r="K302">
        <v>5.48298845551125E-2</v>
      </c>
      <c r="L302">
        <v>2098.4231543296801</v>
      </c>
      <c r="M302">
        <v>41.356891375200703</v>
      </c>
      <c r="N302">
        <v>50.836050125364899</v>
      </c>
      <c r="O302">
        <v>50.621181340540502</v>
      </c>
      <c r="P302">
        <v>-0.19652370875719799</v>
      </c>
      <c r="Q302">
        <v>3.7815068814101002E-2</v>
      </c>
      <c r="R302">
        <v>0.98288834564860905</v>
      </c>
      <c r="S302" t="s">
        <v>4598</v>
      </c>
      <c r="T302" t="s">
        <v>8590</v>
      </c>
      <c r="U302" t="s">
        <v>8590</v>
      </c>
      <c r="V302" t="s">
        <v>8590</v>
      </c>
      <c r="W302">
        <v>1</v>
      </c>
      <c r="X302" t="s">
        <v>8892</v>
      </c>
      <c r="Y302">
        <v>0.3854128380105924</v>
      </c>
      <c r="Z302" t="str">
        <f>HYPERLINK("Melting_Curves/meltCurve_sp_O75843_AP1G2_HUMAN_.pdf", "Melting_Curves/meltCurve_sp_O75843_AP1G2_HUMAN_.pdf")</f>
        <v>Melting_Curves/meltCurve_sp_O75843_AP1G2_HUMAN_.pdf</v>
      </c>
      <c r="AA302" t="s">
        <v>13182</v>
      </c>
      <c r="AB302" t="s">
        <v>17387</v>
      </c>
    </row>
    <row r="303" spans="1:28" x14ac:dyDescent="0.25">
      <c r="A303" t="s">
        <v>307</v>
      </c>
      <c r="B303">
        <v>0.99876560204751996</v>
      </c>
      <c r="C303">
        <v>0.98299940969927702</v>
      </c>
      <c r="D303">
        <v>0.878794700941399</v>
      </c>
      <c r="E303">
        <v>0.44285519458929401</v>
      </c>
      <c r="F303">
        <v>0.128647911986253</v>
      </c>
      <c r="G303">
        <v>6.9511647361823706E-2</v>
      </c>
      <c r="H303">
        <v>4.2547089511293698E-2</v>
      </c>
      <c r="I303">
        <v>3.2057746715399398E-2</v>
      </c>
      <c r="J303">
        <v>2.6976158101062901E-2</v>
      </c>
      <c r="K303">
        <v>2.1085825874902899E-2</v>
      </c>
      <c r="L303">
        <v>1384.4174011078501</v>
      </c>
      <c r="M303">
        <v>28.046516085297799</v>
      </c>
      <c r="N303">
        <v>49.469293301909097</v>
      </c>
      <c r="O303">
        <v>49.112594927253397</v>
      </c>
      <c r="P303">
        <v>-0.13853488170782399</v>
      </c>
      <c r="Q303">
        <v>2.9648257196991001E-2</v>
      </c>
      <c r="R303">
        <v>0.99915584441390104</v>
      </c>
      <c r="S303" t="s">
        <v>4599</v>
      </c>
      <c r="T303" t="s">
        <v>8590</v>
      </c>
      <c r="U303" t="s">
        <v>8590</v>
      </c>
      <c r="V303" t="s">
        <v>8590</v>
      </c>
      <c r="W303">
        <v>37</v>
      </c>
      <c r="X303" t="s">
        <v>8893</v>
      </c>
      <c r="Y303">
        <v>0.33926258038659629</v>
      </c>
      <c r="Z303" t="str">
        <f>HYPERLINK("Melting_Curves/meltCurve_sp_O75874_IDHC_HUMAN_.pdf", "Melting_Curves/meltCurve_sp_O75874_IDHC_HUMAN_.pdf")</f>
        <v>Melting_Curves/meltCurve_sp_O75874_IDHC_HUMAN_.pdf</v>
      </c>
      <c r="AA303" t="s">
        <v>13183</v>
      </c>
      <c r="AB303" t="s">
        <v>17388</v>
      </c>
    </row>
    <row r="304" spans="1:28" x14ac:dyDescent="0.25">
      <c r="A304" t="s">
        <v>308</v>
      </c>
      <c r="B304">
        <v>0.99876560204751996</v>
      </c>
      <c r="C304">
        <v>0.97808468023152795</v>
      </c>
      <c r="D304">
        <v>0.95719192621149796</v>
      </c>
      <c r="E304">
        <v>0.99721035760111099</v>
      </c>
      <c r="F304">
        <v>0.81153235477788399</v>
      </c>
      <c r="G304">
        <v>0.66170112927578995</v>
      </c>
      <c r="H304">
        <v>0.47972697973401801</v>
      </c>
      <c r="I304">
        <v>0.56741094004808801</v>
      </c>
      <c r="J304">
        <v>0.50066399483540502</v>
      </c>
      <c r="K304">
        <v>0.42973644870536698</v>
      </c>
      <c r="L304">
        <v>1215.8320329205501</v>
      </c>
      <c r="M304">
        <v>22.093031011055999</v>
      </c>
      <c r="N304">
        <v>63.560956508387903</v>
      </c>
      <c r="O304">
        <v>54.587454269259197</v>
      </c>
      <c r="P304">
        <v>-5.3202042781490003E-2</v>
      </c>
      <c r="Q304">
        <v>0.47420520424965601</v>
      </c>
      <c r="R304">
        <v>0.96901043944375798</v>
      </c>
      <c r="S304" t="s">
        <v>4600</v>
      </c>
      <c r="T304" t="s">
        <v>8590</v>
      </c>
      <c r="U304" t="s">
        <v>8590</v>
      </c>
      <c r="V304" t="s">
        <v>8590</v>
      </c>
      <c r="W304">
        <v>2</v>
      </c>
      <c r="X304" t="s">
        <v>8894</v>
      </c>
      <c r="Y304">
        <v>0.74366081905109793</v>
      </c>
      <c r="Z304" t="str">
        <f>HYPERLINK("Melting_Curves/meltCurve_sp_O75882_2_ATRN_HUMAN_.pdf", "Melting_Curves/meltCurve_sp_O75882_2_ATRN_HUMAN_.pdf")</f>
        <v>Melting_Curves/meltCurve_sp_O75882_2_ATRN_HUMAN_.pdf</v>
      </c>
      <c r="AA304" t="s">
        <v>13184</v>
      </c>
      <c r="AB304" t="s">
        <v>17389</v>
      </c>
    </row>
    <row r="305" spans="1:28" x14ac:dyDescent="0.25">
      <c r="A305" t="s">
        <v>309</v>
      </c>
      <c r="B305">
        <v>0.99876560204751996</v>
      </c>
      <c r="C305">
        <v>0.92487626893786901</v>
      </c>
      <c r="D305">
        <v>1.0390299941203101</v>
      </c>
      <c r="E305">
        <v>0.88674081654900105</v>
      </c>
      <c r="F305">
        <v>0.69874603641740096</v>
      </c>
      <c r="G305">
        <v>0.26630597036645598</v>
      </c>
      <c r="H305">
        <v>8.0112791681332396E-2</v>
      </c>
      <c r="I305">
        <v>7.8765754233809201E-2</v>
      </c>
      <c r="J305">
        <v>7.0248430191218098E-2</v>
      </c>
      <c r="K305">
        <v>6.1879683388257001E-2</v>
      </c>
      <c r="L305">
        <v>1465.4536203011801</v>
      </c>
      <c r="M305">
        <v>26.958607209057099</v>
      </c>
      <c r="N305">
        <v>54.598390261400098</v>
      </c>
      <c r="O305">
        <v>54.062927365754099</v>
      </c>
      <c r="P305">
        <v>-0.117726687230731</v>
      </c>
      <c r="Q305">
        <v>5.5650632332896403E-2</v>
      </c>
      <c r="R305">
        <v>0.99438973900502803</v>
      </c>
      <c r="S305" t="s">
        <v>4601</v>
      </c>
      <c r="T305" t="s">
        <v>8590</v>
      </c>
      <c r="U305" t="s">
        <v>8590</v>
      </c>
      <c r="V305" t="s">
        <v>8590</v>
      </c>
      <c r="W305">
        <v>6</v>
      </c>
      <c r="X305" t="s">
        <v>8895</v>
      </c>
      <c r="Y305">
        <v>0.51527903851897916</v>
      </c>
      <c r="Z305" t="str">
        <f>HYPERLINK("Melting_Curves/meltCurve_sp_O75884_RBBP9_HUMAN_.pdf", "Melting_Curves/meltCurve_sp_O75884_RBBP9_HUMAN_.pdf")</f>
        <v>Melting_Curves/meltCurve_sp_O75884_RBBP9_HUMAN_.pdf</v>
      </c>
      <c r="AA305" t="s">
        <v>13185</v>
      </c>
      <c r="AB305" t="s">
        <v>17390</v>
      </c>
    </row>
    <row r="306" spans="1:28" x14ac:dyDescent="0.25">
      <c r="A306" t="s">
        <v>310</v>
      </c>
      <c r="B306">
        <v>0.99876560204751996</v>
      </c>
      <c r="C306">
        <v>0.79526941231967896</v>
      </c>
      <c r="D306">
        <v>0.94379674754120402</v>
      </c>
      <c r="E306">
        <v>0.88836747949652795</v>
      </c>
      <c r="F306">
        <v>0.75209974745436003</v>
      </c>
      <c r="G306">
        <v>0.52872227985383702</v>
      </c>
      <c r="H306">
        <v>0.275371062076327</v>
      </c>
      <c r="I306">
        <v>0.19402320955105201</v>
      </c>
      <c r="J306">
        <v>0.1783347809478</v>
      </c>
      <c r="K306">
        <v>0.18418118974203501</v>
      </c>
      <c r="L306">
        <v>859.78910890718896</v>
      </c>
      <c r="M306">
        <v>15.330605126196</v>
      </c>
      <c r="N306">
        <v>56.994295786251598</v>
      </c>
      <c r="O306">
        <v>55.154905550097702</v>
      </c>
      <c r="P306">
        <v>-6.1942824367703202E-2</v>
      </c>
      <c r="Q306">
        <v>0.108676081345771</v>
      </c>
      <c r="R306">
        <v>0.95791397588660099</v>
      </c>
      <c r="S306" t="s">
        <v>4602</v>
      </c>
      <c r="T306" t="s">
        <v>8590</v>
      </c>
      <c r="U306" t="s">
        <v>8590</v>
      </c>
      <c r="V306" t="s">
        <v>8590</v>
      </c>
      <c r="W306">
        <v>7</v>
      </c>
      <c r="X306" t="s">
        <v>8896</v>
      </c>
      <c r="Y306">
        <v>0.6019178951216857</v>
      </c>
      <c r="Z306" t="str">
        <f>HYPERLINK("Melting_Curves/meltCurve_sp_O75886_STAM2_HUMAN_.pdf", "Melting_Curves/meltCurve_sp_O75886_STAM2_HUMAN_.pdf")</f>
        <v>Melting_Curves/meltCurve_sp_O75886_STAM2_HUMAN_.pdf</v>
      </c>
      <c r="AA306" t="s">
        <v>13186</v>
      </c>
      <c r="AB306" t="s">
        <v>17391</v>
      </c>
    </row>
    <row r="307" spans="1:28" x14ac:dyDescent="0.25">
      <c r="A307" t="s">
        <v>311</v>
      </c>
      <c r="B307">
        <v>0.99876560204751996</v>
      </c>
      <c r="C307">
        <v>1.09056426253565</v>
      </c>
      <c r="D307">
        <v>0.87103673982307295</v>
      </c>
      <c r="E307">
        <v>0.44371305813043699</v>
      </c>
      <c r="F307">
        <v>0.163353638841051</v>
      </c>
      <c r="G307">
        <v>7.6681259297454896E-2</v>
      </c>
      <c r="H307">
        <v>4.76317216841219E-2</v>
      </c>
      <c r="I307">
        <v>3.8608196334353702E-2</v>
      </c>
      <c r="J307">
        <v>3.7128944527631803E-2</v>
      </c>
      <c r="K307">
        <v>3.0433859444411501E-2</v>
      </c>
      <c r="L307">
        <v>1391.94524821697</v>
      </c>
      <c r="M307">
        <v>28.171086124483299</v>
      </c>
      <c r="N307">
        <v>49.557763511444698</v>
      </c>
      <c r="O307">
        <v>49.163452501339698</v>
      </c>
      <c r="P307">
        <v>-0.13749857503171101</v>
      </c>
      <c r="Q307">
        <v>4.0172171133412198E-2</v>
      </c>
      <c r="R307">
        <v>0.99330184075647099</v>
      </c>
      <c r="S307" t="s">
        <v>4603</v>
      </c>
      <c r="T307" t="s">
        <v>8590</v>
      </c>
      <c r="U307" t="s">
        <v>8590</v>
      </c>
      <c r="V307" t="s">
        <v>8590</v>
      </c>
      <c r="W307">
        <v>68</v>
      </c>
      <c r="X307" t="s">
        <v>8897</v>
      </c>
      <c r="Y307">
        <v>0.34793822138803948</v>
      </c>
      <c r="Z307" t="str">
        <f>HYPERLINK("Melting_Curves/meltCurve_sp_O75891_AL1L1_HUMAN_.pdf", "Melting_Curves/meltCurve_sp_O75891_AL1L1_HUMAN_.pdf")</f>
        <v>Melting_Curves/meltCurve_sp_O75891_AL1L1_HUMAN_.pdf</v>
      </c>
      <c r="AA307" t="s">
        <v>13187</v>
      </c>
      <c r="AB307" t="s">
        <v>17392</v>
      </c>
    </row>
    <row r="308" spans="1:28" x14ac:dyDescent="0.25">
      <c r="A308" t="s">
        <v>312</v>
      </c>
      <c r="B308">
        <v>0.99876560204751996</v>
      </c>
      <c r="C308">
        <v>1.02298153274222</v>
      </c>
      <c r="D308">
        <v>0.97627548554724097</v>
      </c>
      <c r="E308">
        <v>0.63216928947621498</v>
      </c>
      <c r="F308">
        <v>0.51615953317771701</v>
      </c>
      <c r="G308">
        <v>0.190295256860878</v>
      </c>
      <c r="H308">
        <v>0.16828407571547899</v>
      </c>
      <c r="I308">
        <v>8.5309372488316298E-2</v>
      </c>
      <c r="J308">
        <v>9.2454666737213906E-2</v>
      </c>
      <c r="K308">
        <v>4.27612009632269E-2</v>
      </c>
      <c r="L308">
        <v>940.90281339042201</v>
      </c>
      <c r="M308">
        <v>18.051011805616199</v>
      </c>
      <c r="N308">
        <v>52.511425665201003</v>
      </c>
      <c r="O308">
        <v>51.497564168670401</v>
      </c>
      <c r="P308">
        <v>-8.2179708231626097E-2</v>
      </c>
      <c r="Q308">
        <v>6.2246804241233203E-2</v>
      </c>
      <c r="R308">
        <v>0.98883361548798299</v>
      </c>
      <c r="S308" t="s">
        <v>4604</v>
      </c>
      <c r="T308" t="s">
        <v>8590</v>
      </c>
      <c r="U308" t="s">
        <v>8590</v>
      </c>
      <c r="V308" t="s">
        <v>8590</v>
      </c>
      <c r="W308">
        <v>1</v>
      </c>
      <c r="X308" t="s">
        <v>8898</v>
      </c>
      <c r="Y308">
        <v>0.45674794693617449</v>
      </c>
      <c r="Z308" t="str">
        <f>HYPERLINK("Melting_Curves/meltCurve_sp_O75915_PRAF3_HUMAN_.pdf", "Melting_Curves/meltCurve_sp_O75915_PRAF3_HUMAN_.pdf")</f>
        <v>Melting_Curves/meltCurve_sp_O75915_PRAF3_HUMAN_.pdf</v>
      </c>
      <c r="AA308" t="s">
        <v>13188</v>
      </c>
      <c r="AB308" t="s">
        <v>17393</v>
      </c>
    </row>
    <row r="309" spans="1:28" x14ac:dyDescent="0.25">
      <c r="A309" t="s">
        <v>313</v>
      </c>
      <c r="B309">
        <v>0.99876560204751996</v>
      </c>
      <c r="C309">
        <v>1.0754543116703399</v>
      </c>
      <c r="D309">
        <v>0.96499542418764295</v>
      </c>
      <c r="E309">
        <v>0.87786837196656697</v>
      </c>
      <c r="F309">
        <v>0.58574312720001698</v>
      </c>
      <c r="G309">
        <v>0.33539369300904498</v>
      </c>
      <c r="H309">
        <v>0.176576840251535</v>
      </c>
      <c r="I309">
        <v>0.15249333527015899</v>
      </c>
      <c r="J309">
        <v>0.18199853463033799</v>
      </c>
      <c r="K309">
        <v>0.16951310718182699</v>
      </c>
      <c r="L309">
        <v>1289.9336875328199</v>
      </c>
      <c r="M309">
        <v>24.199029275845099</v>
      </c>
      <c r="N309">
        <v>54.166114946722999</v>
      </c>
      <c r="O309">
        <v>52.945173164487699</v>
      </c>
      <c r="P309">
        <v>-9.6023998180918904E-2</v>
      </c>
      <c r="Q309">
        <v>0.15964752514918801</v>
      </c>
      <c r="R309">
        <v>0.99316406744729202</v>
      </c>
      <c r="S309" t="s">
        <v>4605</v>
      </c>
      <c r="T309" t="s">
        <v>8590</v>
      </c>
      <c r="U309" t="s">
        <v>8590</v>
      </c>
      <c r="V309" t="s">
        <v>8590</v>
      </c>
      <c r="W309">
        <v>9</v>
      </c>
      <c r="X309" t="s">
        <v>8899</v>
      </c>
      <c r="Y309">
        <v>0.54058321605399473</v>
      </c>
      <c r="Z309" t="str">
        <f>HYPERLINK("Melting_Curves/meltCurve_sp_O75934_SPF27_HUMAN_.pdf", "Melting_Curves/meltCurve_sp_O75934_SPF27_HUMAN_.pdf")</f>
        <v>Melting_Curves/meltCurve_sp_O75934_SPF27_HUMAN_.pdf</v>
      </c>
      <c r="AA309" t="s">
        <v>13189</v>
      </c>
      <c r="AB309" t="s">
        <v>17394</v>
      </c>
    </row>
    <row r="310" spans="1:28" x14ac:dyDescent="0.25">
      <c r="A310" t="s">
        <v>314</v>
      </c>
      <c r="B310">
        <v>0.99876560204751996</v>
      </c>
      <c r="C310">
        <v>0.99729779904264204</v>
      </c>
      <c r="D310">
        <v>0.79990167927557398</v>
      </c>
      <c r="E310">
        <v>0.62075753939367995</v>
      </c>
      <c r="F310">
        <v>0.251626645365846</v>
      </c>
      <c r="G310">
        <v>0.14957766126913899</v>
      </c>
      <c r="H310">
        <v>6.6653317888497807E-2</v>
      </c>
      <c r="I310">
        <v>8.1820586473552295E-2</v>
      </c>
      <c r="J310">
        <v>8.1446186398146506E-2</v>
      </c>
      <c r="K310">
        <v>9.9987798359381305E-2</v>
      </c>
      <c r="L310">
        <v>1016.19735653007</v>
      </c>
      <c r="M310">
        <v>20.259255456076598</v>
      </c>
      <c r="N310">
        <v>50.530808719546798</v>
      </c>
      <c r="O310">
        <v>49.6786129807561</v>
      </c>
      <c r="P310">
        <v>-9.4906506572966398E-2</v>
      </c>
      <c r="Q310">
        <v>6.91310883533722E-2</v>
      </c>
      <c r="R310">
        <v>0.98917943398652597</v>
      </c>
      <c r="S310" t="s">
        <v>4606</v>
      </c>
      <c r="T310" t="s">
        <v>8590</v>
      </c>
      <c r="U310" t="s">
        <v>8590</v>
      </c>
      <c r="V310" t="s">
        <v>8590</v>
      </c>
      <c r="W310">
        <v>6</v>
      </c>
      <c r="X310" t="s">
        <v>8900</v>
      </c>
      <c r="Y310">
        <v>0.3970065431711936</v>
      </c>
      <c r="Z310" t="str">
        <f>HYPERLINK("Melting_Curves/meltCurve_sp_O75935_DCTN3_HUMAN_.pdf", "Melting_Curves/meltCurve_sp_O75935_DCTN3_HUMAN_.pdf")</f>
        <v>Melting_Curves/meltCurve_sp_O75935_DCTN3_HUMAN_.pdf</v>
      </c>
      <c r="AA310" t="s">
        <v>13190</v>
      </c>
      <c r="AB310" t="s">
        <v>17395</v>
      </c>
    </row>
    <row r="311" spans="1:28" x14ac:dyDescent="0.25">
      <c r="A311" t="s">
        <v>315</v>
      </c>
      <c r="B311">
        <v>0.99876560204751996</v>
      </c>
      <c r="C311">
        <v>0.90455803495407405</v>
      </c>
      <c r="D311">
        <v>0.63761284697834397</v>
      </c>
      <c r="E311">
        <v>0.28633556574366098</v>
      </c>
      <c r="F311">
        <v>0.138192632545556</v>
      </c>
      <c r="G311">
        <v>7.1486592755719794E-2</v>
      </c>
      <c r="H311">
        <v>4.32530558990145E-2</v>
      </c>
      <c r="I311">
        <v>3.5260884461680603E-2</v>
      </c>
      <c r="J311">
        <v>2.71491437989443E-2</v>
      </c>
      <c r="K311">
        <v>2.32137243022871E-2</v>
      </c>
      <c r="L311">
        <v>942.29909095016103</v>
      </c>
      <c r="M311">
        <v>19.898575746753799</v>
      </c>
      <c r="N311">
        <v>47.503569198008101</v>
      </c>
      <c r="O311">
        <v>46.884613179924102</v>
      </c>
      <c r="P311">
        <v>-0.102908557418864</v>
      </c>
      <c r="Q311">
        <v>3.0148140524715501E-2</v>
      </c>
      <c r="R311">
        <v>0.99909913659176897</v>
      </c>
      <c r="S311" t="s">
        <v>4607</v>
      </c>
      <c r="T311" t="s">
        <v>8590</v>
      </c>
      <c r="U311" t="s">
        <v>8590</v>
      </c>
      <c r="V311" t="s">
        <v>8590</v>
      </c>
      <c r="W311">
        <v>16</v>
      </c>
      <c r="X311" t="s">
        <v>8901</v>
      </c>
      <c r="Y311">
        <v>0.28209999697825888</v>
      </c>
      <c r="Z311" t="str">
        <f>HYPERLINK("Melting_Curves/meltCurve_sp_O75936_BODG_HUMAN_.pdf", "Melting_Curves/meltCurve_sp_O75936_BODG_HUMAN_.pdf")</f>
        <v>Melting_Curves/meltCurve_sp_O75936_BODG_HUMAN_.pdf</v>
      </c>
      <c r="AA311" t="s">
        <v>13191</v>
      </c>
      <c r="AB311" t="s">
        <v>17396</v>
      </c>
    </row>
    <row r="312" spans="1:28" x14ac:dyDescent="0.25">
      <c r="A312" t="s">
        <v>316</v>
      </c>
      <c r="B312">
        <v>0.99876560204751996</v>
      </c>
      <c r="C312">
        <v>0.97519761472868005</v>
      </c>
      <c r="D312">
        <v>1.0953677662718899</v>
      </c>
      <c r="E312">
        <v>0.95265887219185597</v>
      </c>
      <c r="F312">
        <v>0.898458286693959</v>
      </c>
      <c r="G312">
        <v>0.690199254681095</v>
      </c>
      <c r="H312">
        <v>0.537306788107901</v>
      </c>
      <c r="I312">
        <v>0.541197055362591</v>
      </c>
      <c r="J312">
        <v>0.640044431170673</v>
      </c>
      <c r="K312">
        <v>0.63458174051954597</v>
      </c>
      <c r="L312">
        <v>1881.83316119804</v>
      </c>
      <c r="M312">
        <v>34.386635289003102</v>
      </c>
      <c r="O312">
        <v>54.541623167320203</v>
      </c>
      <c r="P312">
        <v>-6.4883022198213805E-2</v>
      </c>
      <c r="Q312">
        <v>0.58835031041389496</v>
      </c>
      <c r="R312">
        <v>0.94293578801591504</v>
      </c>
      <c r="S312" t="s">
        <v>4608</v>
      </c>
      <c r="T312" t="s">
        <v>8590</v>
      </c>
      <c r="U312" t="s">
        <v>8590</v>
      </c>
      <c r="V312" t="s">
        <v>8590</v>
      </c>
      <c r="W312">
        <v>10</v>
      </c>
      <c r="X312" t="s">
        <v>8902</v>
      </c>
      <c r="Y312">
        <v>0.79250455504206974</v>
      </c>
      <c r="Z312" t="str">
        <f>HYPERLINK("Melting_Curves/meltCurve_sp_O75937_DNJC8_HUMAN_.pdf", "Melting_Curves/meltCurve_sp_O75937_DNJC8_HUMAN_.pdf")</f>
        <v>Melting_Curves/meltCurve_sp_O75937_DNJC8_HUMAN_.pdf</v>
      </c>
      <c r="AA312" t="s">
        <v>13192</v>
      </c>
      <c r="AB312" t="s">
        <v>17397</v>
      </c>
    </row>
    <row r="313" spans="1:28" x14ac:dyDescent="0.25">
      <c r="A313" t="s">
        <v>317</v>
      </c>
      <c r="B313">
        <v>0.99876560204751996</v>
      </c>
      <c r="C313">
        <v>1.0701174287248401</v>
      </c>
      <c r="D313">
        <v>1.0923570828620699</v>
      </c>
      <c r="E313">
        <v>0.87633142305971501</v>
      </c>
      <c r="F313">
        <v>0.94732329646382396</v>
      </c>
      <c r="G313">
        <v>0.68022676319734199</v>
      </c>
      <c r="H313">
        <v>0.45188382821225398</v>
      </c>
      <c r="I313">
        <v>0.42322074776173502</v>
      </c>
      <c r="J313">
        <v>0.520349863902137</v>
      </c>
      <c r="K313">
        <v>0.35599734079336898</v>
      </c>
      <c r="L313">
        <v>1612.8887393493601</v>
      </c>
      <c r="M313">
        <v>28.546521735258398</v>
      </c>
      <c r="N313">
        <v>60.288528693697799</v>
      </c>
      <c r="O313">
        <v>56.2252721050872</v>
      </c>
      <c r="P313">
        <v>-7.4022196022789893E-2</v>
      </c>
      <c r="Q313">
        <v>0.41682771538047497</v>
      </c>
      <c r="R313">
        <v>0.94533816214795297</v>
      </c>
      <c r="S313" t="s">
        <v>4609</v>
      </c>
      <c r="T313" t="s">
        <v>8590</v>
      </c>
      <c r="U313" t="s">
        <v>8590</v>
      </c>
      <c r="V313" t="s">
        <v>8590</v>
      </c>
      <c r="W313">
        <v>1</v>
      </c>
      <c r="X313" t="s">
        <v>8903</v>
      </c>
      <c r="Y313">
        <v>0.74182818254688976</v>
      </c>
      <c r="Z313" t="str">
        <f>HYPERLINK("Melting_Curves/meltCurve_sp_O75940_SPF30_HUMAN_.pdf", "Melting_Curves/meltCurve_sp_O75940_SPF30_HUMAN_.pdf")</f>
        <v>Melting_Curves/meltCurve_sp_O75940_SPF30_HUMAN_.pdf</v>
      </c>
      <c r="AA313" t="s">
        <v>13193</v>
      </c>
      <c r="AB313" t="s">
        <v>17398</v>
      </c>
    </row>
    <row r="314" spans="1:28" x14ac:dyDescent="0.25">
      <c r="A314" t="s">
        <v>318</v>
      </c>
      <c r="B314">
        <v>0.99876560204751996</v>
      </c>
      <c r="C314">
        <v>1.0142103868871</v>
      </c>
      <c r="D314">
        <v>0.98069811260275797</v>
      </c>
      <c r="E314">
        <v>0.85098258974358099</v>
      </c>
      <c r="F314">
        <v>0.70142333964706205</v>
      </c>
      <c r="G314">
        <v>0.49082212560966498</v>
      </c>
      <c r="H314">
        <v>0.33825584353850402</v>
      </c>
      <c r="I314">
        <v>0.28526697438378401</v>
      </c>
      <c r="J314">
        <v>0.282527548974776</v>
      </c>
      <c r="K314">
        <v>0.21094552865347799</v>
      </c>
      <c r="L314">
        <v>872.49969473490501</v>
      </c>
      <c r="M314">
        <v>15.9411365956324</v>
      </c>
      <c r="N314">
        <v>56.716029324376699</v>
      </c>
      <c r="O314">
        <v>53.893010255488903</v>
      </c>
      <c r="P314">
        <v>-5.8151822847623602E-2</v>
      </c>
      <c r="Q314">
        <v>0.213675351873608</v>
      </c>
      <c r="R314">
        <v>0.99747089212272599</v>
      </c>
      <c r="S314" t="s">
        <v>4610</v>
      </c>
      <c r="T314" t="s">
        <v>8590</v>
      </c>
      <c r="U314" t="s">
        <v>8590</v>
      </c>
      <c r="V314" t="s">
        <v>8590</v>
      </c>
      <c r="W314">
        <v>25</v>
      </c>
      <c r="X314" t="s">
        <v>8904</v>
      </c>
      <c r="Y314">
        <v>0.61421876985725632</v>
      </c>
      <c r="Z314" t="str">
        <f>HYPERLINK("Melting_Curves/meltCurve_sp_O75970_3_MPDZ_HUMAN_.pdf", "Melting_Curves/meltCurve_sp_O75970_3_MPDZ_HUMAN_.pdf")</f>
        <v>Melting_Curves/meltCurve_sp_O75970_3_MPDZ_HUMAN_.pdf</v>
      </c>
      <c r="AA314" t="s">
        <v>13194</v>
      </c>
      <c r="AB314" t="s">
        <v>17399</v>
      </c>
    </row>
    <row r="315" spans="1:28" x14ac:dyDescent="0.25">
      <c r="A315" t="s">
        <v>319</v>
      </c>
      <c r="B315">
        <v>0.99876560204751996</v>
      </c>
      <c r="C315">
        <v>1.0205673979930101</v>
      </c>
      <c r="D315">
        <v>0.96339420329265302</v>
      </c>
      <c r="E315">
        <v>0.82701653750598902</v>
      </c>
      <c r="F315">
        <v>0.69386194431738701</v>
      </c>
      <c r="G315">
        <v>0.52291178662079696</v>
      </c>
      <c r="H315">
        <v>0.46056836630036202</v>
      </c>
      <c r="I315">
        <v>0.34348535956342502</v>
      </c>
      <c r="J315">
        <v>0.48614336276931702</v>
      </c>
      <c r="K315">
        <v>0.454062889267148</v>
      </c>
      <c r="L315">
        <v>1061.31486980973</v>
      </c>
      <c r="M315">
        <v>20.2529465435132</v>
      </c>
      <c r="N315">
        <v>57.789893666102401</v>
      </c>
      <c r="O315">
        <v>51.900121141490096</v>
      </c>
      <c r="P315">
        <v>-5.6165075405416702E-2</v>
      </c>
      <c r="Q315">
        <v>0.42430427244875102</v>
      </c>
      <c r="R315">
        <v>0.97647444128639305</v>
      </c>
      <c r="S315" t="s">
        <v>4611</v>
      </c>
      <c r="T315" t="s">
        <v>8590</v>
      </c>
      <c r="U315" t="s">
        <v>8590</v>
      </c>
      <c r="V315" t="s">
        <v>8590</v>
      </c>
      <c r="W315">
        <v>3</v>
      </c>
      <c r="X315" t="s">
        <v>8905</v>
      </c>
      <c r="Y315">
        <v>0.67009276827613584</v>
      </c>
      <c r="Z315" t="str">
        <f>HYPERLINK("Melting_Curves/meltCurve_sp_O75976_CBPD_HUMAN_.pdf", "Melting_Curves/meltCurve_sp_O75976_CBPD_HUMAN_.pdf")</f>
        <v>Melting_Curves/meltCurve_sp_O75976_CBPD_HUMAN_.pdf</v>
      </c>
      <c r="AA315" t="s">
        <v>13195</v>
      </c>
      <c r="AB315" t="s">
        <v>17400</v>
      </c>
    </row>
    <row r="316" spans="1:28" x14ac:dyDescent="0.25">
      <c r="A316" t="s">
        <v>320</v>
      </c>
      <c r="B316">
        <v>0.99876560204751996</v>
      </c>
      <c r="C316">
        <v>0.93789723819625104</v>
      </c>
      <c r="D316">
        <v>0.91688502750244105</v>
      </c>
      <c r="E316">
        <v>0.77652573576443396</v>
      </c>
      <c r="F316">
        <v>0.69325919590860796</v>
      </c>
      <c r="G316">
        <v>0.36591851911416501</v>
      </c>
      <c r="H316">
        <v>0.130004874904253</v>
      </c>
      <c r="I316">
        <v>8.5344630531076396E-2</v>
      </c>
      <c r="J316">
        <v>5.3913109810500202E-2</v>
      </c>
      <c r="K316">
        <v>4.6505721583938599E-2</v>
      </c>
      <c r="L316">
        <v>855.55160809896199</v>
      </c>
      <c r="M316">
        <v>15.5929117286587</v>
      </c>
      <c r="N316">
        <v>54.8679590915403</v>
      </c>
      <c r="O316">
        <v>53.989322380606701</v>
      </c>
      <c r="P316">
        <v>-7.2209958199317401E-2</v>
      </c>
      <c r="Q316">
        <v>0</v>
      </c>
      <c r="R316">
        <v>0.99222050481109803</v>
      </c>
      <c r="S316" t="s">
        <v>4612</v>
      </c>
      <c r="T316" t="s">
        <v>8590</v>
      </c>
      <c r="U316" t="s">
        <v>8590</v>
      </c>
      <c r="V316" t="s">
        <v>8590</v>
      </c>
      <c r="W316">
        <v>9</v>
      </c>
      <c r="X316" t="s">
        <v>8906</v>
      </c>
      <c r="Y316">
        <v>0.51423477764431536</v>
      </c>
      <c r="Z316" t="str">
        <f>HYPERLINK("Melting_Curves/meltCurve_sp_O76003_GLRX3_HUMAN_.pdf", "Melting_Curves/meltCurve_sp_O76003_GLRX3_HUMAN_.pdf")</f>
        <v>Melting_Curves/meltCurve_sp_O76003_GLRX3_HUMAN_.pdf</v>
      </c>
      <c r="AA316" t="s">
        <v>13196</v>
      </c>
      <c r="AB316" t="s">
        <v>17401</v>
      </c>
    </row>
    <row r="317" spans="1:28" x14ac:dyDescent="0.25">
      <c r="A317" t="s">
        <v>321</v>
      </c>
      <c r="B317">
        <v>0.99876560204751996</v>
      </c>
      <c r="C317">
        <v>0.79731951930215295</v>
      </c>
      <c r="D317">
        <v>1.2727349981631599</v>
      </c>
      <c r="E317">
        <v>0.83642386814557501</v>
      </c>
      <c r="F317">
        <v>0.88244963423084899</v>
      </c>
      <c r="G317">
        <v>0.59633927808547804</v>
      </c>
      <c r="H317">
        <v>0.61962613310053105</v>
      </c>
      <c r="I317">
        <v>0.52656984427387499</v>
      </c>
      <c r="J317">
        <v>0.91999096410390802</v>
      </c>
      <c r="K317">
        <v>0.77516798031161205</v>
      </c>
      <c r="L317">
        <v>1723.3891543775701</v>
      </c>
      <c r="M317">
        <v>33.170700282142398</v>
      </c>
      <c r="O317">
        <v>51.7674227037623</v>
      </c>
      <c r="P317">
        <v>-4.9219142160222801E-2</v>
      </c>
      <c r="Q317">
        <v>0.69274848094306896</v>
      </c>
      <c r="R317">
        <v>0.44474420268264597</v>
      </c>
      <c r="S317" t="s">
        <v>4613</v>
      </c>
      <c r="T317" t="s">
        <v>8590</v>
      </c>
      <c r="U317" t="s">
        <v>8590</v>
      </c>
      <c r="V317" t="s">
        <v>8590</v>
      </c>
      <c r="W317">
        <v>2</v>
      </c>
      <c r="X317" t="s">
        <v>8907</v>
      </c>
      <c r="Y317">
        <v>0.81679576028609824</v>
      </c>
      <c r="Z317" t="str">
        <f>HYPERLINK("Melting_Curves/meltCurve_sp_O76024_WFS1_HUMAN_.pdf", "Melting_Curves/meltCurve_sp_O76024_WFS1_HUMAN_.pdf")</f>
        <v>Melting_Curves/meltCurve_sp_O76024_WFS1_HUMAN_.pdf</v>
      </c>
      <c r="AA317" t="s">
        <v>13197</v>
      </c>
      <c r="AB317" t="s">
        <v>17402</v>
      </c>
    </row>
    <row r="318" spans="1:28" x14ac:dyDescent="0.25">
      <c r="A318" t="s">
        <v>322</v>
      </c>
      <c r="B318">
        <v>0.99876560204751996</v>
      </c>
      <c r="C318">
        <v>0.97433812299579803</v>
      </c>
      <c r="D318">
        <v>0.65588531327320798</v>
      </c>
      <c r="E318">
        <v>0.47722743964075398</v>
      </c>
      <c r="F318">
        <v>0.31896225195004102</v>
      </c>
      <c r="G318">
        <v>9.0469643865732099E-2</v>
      </c>
      <c r="H318">
        <v>0.147378614465103</v>
      </c>
      <c r="I318">
        <v>0.15713416515596501</v>
      </c>
      <c r="J318">
        <v>0.14207847780913599</v>
      </c>
      <c r="K318">
        <v>0.166196902053068</v>
      </c>
      <c r="L318">
        <v>839.83515851105199</v>
      </c>
      <c r="M318">
        <v>17.428206394895199</v>
      </c>
      <c r="N318">
        <v>49.044052685891799</v>
      </c>
      <c r="O318">
        <v>47.567263930044703</v>
      </c>
      <c r="P318">
        <v>-7.9592997625903605E-2</v>
      </c>
      <c r="Q318">
        <v>0.13110760707253999</v>
      </c>
      <c r="R318">
        <v>0.97726262493827498</v>
      </c>
      <c r="S318" t="s">
        <v>4614</v>
      </c>
      <c r="T318" t="s">
        <v>8590</v>
      </c>
      <c r="U318" t="s">
        <v>8590</v>
      </c>
      <c r="V318" t="s">
        <v>8590</v>
      </c>
      <c r="W318">
        <v>1</v>
      </c>
      <c r="X318" t="s">
        <v>8908</v>
      </c>
      <c r="Y318">
        <v>0.38465396199762653</v>
      </c>
      <c r="Z318" t="str">
        <f>HYPERLINK("Melting_Curves/meltCurve_sp_O76027_ANXA9_HUMAN_.pdf", "Melting_Curves/meltCurve_sp_O76027_ANXA9_HUMAN_.pdf")</f>
        <v>Melting_Curves/meltCurve_sp_O76027_ANXA9_HUMAN_.pdf</v>
      </c>
      <c r="AA318" t="s">
        <v>13198</v>
      </c>
      <c r="AB318" t="s">
        <v>17403</v>
      </c>
    </row>
    <row r="319" spans="1:28" x14ac:dyDescent="0.25">
      <c r="A319" t="s">
        <v>323</v>
      </c>
      <c r="B319">
        <v>0.99876560204751996</v>
      </c>
      <c r="C319">
        <v>0.95808486895788503</v>
      </c>
      <c r="D319">
        <v>0.86207457583013902</v>
      </c>
      <c r="E319">
        <v>0.63594501666637904</v>
      </c>
      <c r="F319">
        <v>0.50937001049482999</v>
      </c>
      <c r="G319">
        <v>0.24911905299611001</v>
      </c>
      <c r="H319">
        <v>0.20110130407183099</v>
      </c>
      <c r="I319">
        <v>0.175983484754863</v>
      </c>
      <c r="J319">
        <v>0.23863246144717301</v>
      </c>
      <c r="K319">
        <v>0.19189971322662799</v>
      </c>
      <c r="L319">
        <v>837.41509292249896</v>
      </c>
      <c r="M319">
        <v>16.451212539769401</v>
      </c>
      <c r="N319">
        <v>52.255912401779</v>
      </c>
      <c r="O319">
        <v>50.168634736674299</v>
      </c>
      <c r="P319">
        <v>-6.7766975856346903E-2</v>
      </c>
      <c r="Q319">
        <v>0.173425645479339</v>
      </c>
      <c r="R319">
        <v>0.99120180609286701</v>
      </c>
      <c r="S319" t="s">
        <v>4615</v>
      </c>
      <c r="T319" t="s">
        <v>8590</v>
      </c>
      <c r="U319" t="s">
        <v>8590</v>
      </c>
      <c r="V319" t="s">
        <v>8590</v>
      </c>
      <c r="W319">
        <v>11</v>
      </c>
      <c r="X319" t="s">
        <v>8909</v>
      </c>
      <c r="Y319">
        <v>0.49019298773268011</v>
      </c>
      <c r="Z319" t="str">
        <f>HYPERLINK("Melting_Curves/meltCurve_sp_O76031_CLPX_HUMAN_.pdf", "Melting_Curves/meltCurve_sp_O76031_CLPX_HUMAN_.pdf")</f>
        <v>Melting_Curves/meltCurve_sp_O76031_CLPX_HUMAN_.pdf</v>
      </c>
      <c r="AA319" t="s">
        <v>13199</v>
      </c>
      <c r="AB319" t="s">
        <v>17404</v>
      </c>
    </row>
    <row r="320" spans="1:28" x14ac:dyDescent="0.25">
      <c r="A320" t="s">
        <v>324</v>
      </c>
      <c r="B320">
        <v>0.99876560204751996</v>
      </c>
      <c r="C320">
        <v>0.89333700906632496</v>
      </c>
      <c r="D320">
        <v>0.99580477404210899</v>
      </c>
      <c r="E320">
        <v>0.90042688553135897</v>
      </c>
      <c r="F320">
        <v>0.62143127660945496</v>
      </c>
      <c r="G320">
        <v>0.15507429919087201</v>
      </c>
      <c r="H320">
        <v>7.5220926185440004E-2</v>
      </c>
      <c r="I320">
        <v>5.3165532019224401E-2</v>
      </c>
      <c r="J320">
        <v>5.0519087163824403E-2</v>
      </c>
      <c r="K320">
        <v>4.1132009594915697E-2</v>
      </c>
      <c r="L320">
        <v>1727.18663257812</v>
      </c>
      <c r="M320">
        <v>32.216185568999499</v>
      </c>
      <c r="N320">
        <v>53.774283587790201</v>
      </c>
      <c r="O320">
        <v>53.407082886380699</v>
      </c>
      <c r="P320">
        <v>-0.14383553985308301</v>
      </c>
      <c r="Q320">
        <v>4.6218687699351703E-2</v>
      </c>
      <c r="R320">
        <v>0.99308311785318204</v>
      </c>
      <c r="S320" t="s">
        <v>4616</v>
      </c>
      <c r="T320" t="s">
        <v>8590</v>
      </c>
      <c r="U320" t="s">
        <v>8590</v>
      </c>
      <c r="V320" t="s">
        <v>8590</v>
      </c>
      <c r="W320">
        <v>22</v>
      </c>
      <c r="X320" t="s">
        <v>8910</v>
      </c>
      <c r="Y320">
        <v>0.48441868853426029</v>
      </c>
      <c r="Z320" t="str">
        <f>HYPERLINK("Melting_Curves/meltCurve_sp_O76054_S14L2_HUMAN_.pdf", "Melting_Curves/meltCurve_sp_O76054_S14L2_HUMAN_.pdf")</f>
        <v>Melting_Curves/meltCurve_sp_O76054_S14L2_HUMAN_.pdf</v>
      </c>
      <c r="AA320" t="s">
        <v>13200</v>
      </c>
      <c r="AB320" t="s">
        <v>17405</v>
      </c>
    </row>
    <row r="321" spans="1:28" x14ac:dyDescent="0.25">
      <c r="A321" t="s">
        <v>325</v>
      </c>
      <c r="B321">
        <v>0.99876560204751996</v>
      </c>
      <c r="C321">
        <v>0.91971201363979105</v>
      </c>
      <c r="D321">
        <v>1.0083110806294899</v>
      </c>
      <c r="E321">
        <v>0.85235749867387001</v>
      </c>
      <c r="F321">
        <v>0.69677628777077905</v>
      </c>
      <c r="G321">
        <v>0.53477343850784298</v>
      </c>
      <c r="H321">
        <v>0.30320061797306802</v>
      </c>
      <c r="I321">
        <v>0.16373610651149101</v>
      </c>
      <c r="J321">
        <v>0.104487382633123</v>
      </c>
      <c r="K321">
        <v>7.0978428645978794E-2</v>
      </c>
      <c r="L321">
        <v>760.06626266343096</v>
      </c>
      <c r="M321">
        <v>13.349529541766699</v>
      </c>
      <c r="N321">
        <v>56.935794773747801</v>
      </c>
      <c r="O321">
        <v>55.7036969972892</v>
      </c>
      <c r="P321">
        <v>-5.9922667429401798E-2</v>
      </c>
      <c r="Q321">
        <v>0</v>
      </c>
      <c r="R321">
        <v>0.99188502769305298</v>
      </c>
      <c r="S321" t="s">
        <v>4617</v>
      </c>
      <c r="T321" t="s">
        <v>8590</v>
      </c>
      <c r="U321" t="s">
        <v>8590</v>
      </c>
      <c r="V321" t="s">
        <v>8590</v>
      </c>
      <c r="W321">
        <v>5</v>
      </c>
      <c r="X321" t="s">
        <v>8911</v>
      </c>
      <c r="Y321">
        <v>0.58133427118768999</v>
      </c>
      <c r="Z321" t="str">
        <f>HYPERLINK("Melting_Curves/meltCurve_sp_O76071_CIAO1_HUMAN_.pdf", "Melting_Curves/meltCurve_sp_O76071_CIAO1_HUMAN_.pdf")</f>
        <v>Melting_Curves/meltCurve_sp_O76071_CIAO1_HUMAN_.pdf</v>
      </c>
      <c r="AA321" t="s">
        <v>13201</v>
      </c>
      <c r="AB321" t="s">
        <v>17406</v>
      </c>
    </row>
    <row r="322" spans="1:28" x14ac:dyDescent="0.25">
      <c r="A322" t="s">
        <v>326</v>
      </c>
      <c r="B322">
        <v>0.99876560204751996</v>
      </c>
      <c r="C322">
        <v>0.98362938322252902</v>
      </c>
      <c r="D322">
        <v>0.758030935017457</v>
      </c>
      <c r="E322">
        <v>0.40623391358477201</v>
      </c>
      <c r="F322">
        <v>0.22213557107606599</v>
      </c>
      <c r="G322">
        <v>0.131872651160751</v>
      </c>
      <c r="H322">
        <v>8.9619174409030097E-2</v>
      </c>
      <c r="I322">
        <v>7.9154020788576807E-2</v>
      </c>
      <c r="J322">
        <v>8.56809429638965E-2</v>
      </c>
      <c r="K322">
        <v>8.0248013434423102E-2</v>
      </c>
      <c r="L322">
        <v>1011.48211803909</v>
      </c>
      <c r="M322">
        <v>20.840770490047301</v>
      </c>
      <c r="N322">
        <v>48.950728916896203</v>
      </c>
      <c r="O322">
        <v>48.093590350573798</v>
      </c>
      <c r="P322">
        <v>-9.9527472631102995E-2</v>
      </c>
      <c r="Q322">
        <v>8.1319768809523504E-2</v>
      </c>
      <c r="R322">
        <v>0.99825176425654105</v>
      </c>
      <c r="S322" t="s">
        <v>4618</v>
      </c>
      <c r="T322" t="s">
        <v>8590</v>
      </c>
      <c r="U322" t="s">
        <v>8590</v>
      </c>
      <c r="V322" t="s">
        <v>8590</v>
      </c>
      <c r="W322">
        <v>16</v>
      </c>
      <c r="X322" t="s">
        <v>8912</v>
      </c>
      <c r="Y322">
        <v>0.35452475218457541</v>
      </c>
      <c r="Z322" t="str">
        <f>HYPERLINK("Melting_Curves/meltCurve_sp_O76094_SRP72_HUMAN_.pdf", "Melting_Curves/meltCurve_sp_O76094_SRP72_HUMAN_.pdf")</f>
        <v>Melting_Curves/meltCurve_sp_O76094_SRP72_HUMAN_.pdf</v>
      </c>
      <c r="AA322" t="s">
        <v>13202</v>
      </c>
      <c r="AB322" t="s">
        <v>17407</v>
      </c>
    </row>
    <row r="323" spans="1:28" x14ac:dyDescent="0.25">
      <c r="A323" t="s">
        <v>327</v>
      </c>
      <c r="B323">
        <v>0.99876560204751996</v>
      </c>
      <c r="C323">
        <v>0.92389232711491498</v>
      </c>
      <c r="D323">
        <v>1.0081157413502799</v>
      </c>
      <c r="E323">
        <v>0.92405760268852599</v>
      </c>
      <c r="F323">
        <v>0.92259536646890905</v>
      </c>
      <c r="G323">
        <v>0.704346998618261</v>
      </c>
      <c r="H323">
        <v>0.42565772600950003</v>
      </c>
      <c r="I323">
        <v>0.27344465504219301</v>
      </c>
      <c r="J323">
        <v>0.24810990822269499</v>
      </c>
      <c r="K323">
        <v>0.194519810591575</v>
      </c>
      <c r="L323">
        <v>1176.7713577106899</v>
      </c>
      <c r="M323">
        <v>20.0894658580835</v>
      </c>
      <c r="N323">
        <v>59.784755264332702</v>
      </c>
      <c r="O323">
        <v>58.005411742491397</v>
      </c>
      <c r="P323">
        <v>-7.2140716784596798E-2</v>
      </c>
      <c r="Q323">
        <v>0.16684364521737899</v>
      </c>
      <c r="R323">
        <v>0.99088623710806401</v>
      </c>
      <c r="S323" t="s">
        <v>4619</v>
      </c>
      <c r="T323" t="s">
        <v>8590</v>
      </c>
      <c r="U323" t="s">
        <v>8590</v>
      </c>
      <c r="V323" t="s">
        <v>8590</v>
      </c>
      <c r="W323">
        <v>22</v>
      </c>
      <c r="X323" t="s">
        <v>8913</v>
      </c>
      <c r="Y323">
        <v>0.69159206879562118</v>
      </c>
      <c r="Z323" t="str">
        <f>HYPERLINK("Melting_Curves/meltCurve_sp_O94760_DDAH1_HUMAN_.pdf", "Melting_Curves/meltCurve_sp_O94760_DDAH1_HUMAN_.pdf")</f>
        <v>Melting_Curves/meltCurve_sp_O94760_DDAH1_HUMAN_.pdf</v>
      </c>
      <c r="AA323" t="s">
        <v>13203</v>
      </c>
      <c r="AB323" t="s">
        <v>17408</v>
      </c>
    </row>
    <row r="324" spans="1:28" x14ac:dyDescent="0.25">
      <c r="A324" t="s">
        <v>328</v>
      </c>
      <c r="B324">
        <v>0.99876560204751996</v>
      </c>
      <c r="C324">
        <v>1.0123798695795601</v>
      </c>
      <c r="D324">
        <v>0.85805272433561197</v>
      </c>
      <c r="E324">
        <v>0.68865132729378398</v>
      </c>
      <c r="F324">
        <v>0.40341207966456</v>
      </c>
      <c r="G324">
        <v>0.26950696925354301</v>
      </c>
      <c r="H324">
        <v>0.19132598491720401</v>
      </c>
      <c r="I324">
        <v>0.14693291060535099</v>
      </c>
      <c r="J324">
        <v>0.13985941039482799</v>
      </c>
      <c r="K324">
        <v>0.103685798032978</v>
      </c>
      <c r="L324">
        <v>878.54363038170504</v>
      </c>
      <c r="M324">
        <v>17.1266919017893</v>
      </c>
      <c r="N324">
        <v>52.119538901002798</v>
      </c>
      <c r="O324">
        <v>50.612727034027898</v>
      </c>
      <c r="P324">
        <v>-7.4580387070715903E-2</v>
      </c>
      <c r="Q324">
        <v>0.11845447431970001</v>
      </c>
      <c r="R324">
        <v>0.99459811401784703</v>
      </c>
      <c r="S324" t="s">
        <v>4620</v>
      </c>
      <c r="T324" t="s">
        <v>8590</v>
      </c>
      <c r="U324" t="s">
        <v>8590</v>
      </c>
      <c r="V324" t="s">
        <v>8590</v>
      </c>
      <c r="W324">
        <v>9</v>
      </c>
      <c r="X324" t="s">
        <v>8914</v>
      </c>
      <c r="Y324">
        <v>0.46655982950238922</v>
      </c>
      <c r="Z324" t="str">
        <f>HYPERLINK("Melting_Curves/meltCurve_sp_O94776_MTA2_HUMAN_.pdf", "Melting_Curves/meltCurve_sp_O94776_MTA2_HUMAN_.pdf")</f>
        <v>Melting_Curves/meltCurve_sp_O94776_MTA2_HUMAN_.pdf</v>
      </c>
      <c r="AA324" t="s">
        <v>13204</v>
      </c>
      <c r="AB324" t="s">
        <v>17409</v>
      </c>
    </row>
    <row r="325" spans="1:28" x14ac:dyDescent="0.25">
      <c r="A325" t="s">
        <v>329</v>
      </c>
      <c r="B325">
        <v>0.99876560204751996</v>
      </c>
      <c r="C325">
        <v>0.97627266528432899</v>
      </c>
      <c r="D325">
        <v>0.71713564634871596</v>
      </c>
      <c r="E325">
        <v>0.45414727712721098</v>
      </c>
      <c r="F325">
        <v>0.157521770081781</v>
      </c>
      <c r="G325">
        <v>7.2194050000563698E-2</v>
      </c>
      <c r="H325">
        <v>4.3815304704329802E-2</v>
      </c>
      <c r="I325">
        <v>3.1328229132585601E-2</v>
      </c>
      <c r="J325">
        <v>2.62315471973909E-2</v>
      </c>
      <c r="K325">
        <v>2.0570753232379901E-2</v>
      </c>
      <c r="L325">
        <v>931.11268763901205</v>
      </c>
      <c r="M325">
        <v>19.0628424010096</v>
      </c>
      <c r="N325">
        <v>48.931688095484802</v>
      </c>
      <c r="O325">
        <v>48.316393089417701</v>
      </c>
      <c r="P325">
        <v>-9.6990011664422504E-2</v>
      </c>
      <c r="Q325">
        <v>1.6721092775737099E-2</v>
      </c>
      <c r="R325">
        <v>0.99396564115466701</v>
      </c>
      <c r="S325" t="s">
        <v>4621</v>
      </c>
      <c r="T325" t="s">
        <v>8590</v>
      </c>
      <c r="U325" t="s">
        <v>8590</v>
      </c>
      <c r="V325" t="s">
        <v>8590</v>
      </c>
      <c r="W325">
        <v>5</v>
      </c>
      <c r="X325" t="s">
        <v>8915</v>
      </c>
      <c r="Y325">
        <v>0.32181730834816152</v>
      </c>
      <c r="Z325" t="str">
        <f>HYPERLINK("Melting_Curves/meltCurve_sp_O94788_4_AL1A2_HUMAN_.pdf", "Melting_Curves/meltCurve_sp_O94788_4_AL1A2_HUMAN_.pdf")</f>
        <v>Melting_Curves/meltCurve_sp_O94788_4_AL1A2_HUMAN_.pdf</v>
      </c>
      <c r="AA325" t="s">
        <v>13205</v>
      </c>
      <c r="AB325" t="s">
        <v>17410</v>
      </c>
    </row>
    <row r="326" spans="1:28" x14ac:dyDescent="0.25">
      <c r="A326" t="s">
        <v>330</v>
      </c>
      <c r="B326">
        <v>0.99876560204751996</v>
      </c>
      <c r="C326">
        <v>0.98544490290825704</v>
      </c>
      <c r="D326">
        <v>0.941328694204837</v>
      </c>
      <c r="E326">
        <v>0.94773098875510597</v>
      </c>
      <c r="F326">
        <v>0.89047622256460601</v>
      </c>
      <c r="G326">
        <v>0.70806742379907905</v>
      </c>
      <c r="H326">
        <v>0.58457873700799701</v>
      </c>
      <c r="I326">
        <v>0.57740611689495203</v>
      </c>
      <c r="J326">
        <v>0.65864813609601702</v>
      </c>
      <c r="K326">
        <v>0.60547862090825799</v>
      </c>
      <c r="L326">
        <v>1497.2819159428</v>
      </c>
      <c r="M326">
        <v>27.406893799701798</v>
      </c>
      <c r="O326">
        <v>54.343209381401401</v>
      </c>
      <c r="P326">
        <v>-5.02762183841865E-2</v>
      </c>
      <c r="Q326">
        <v>0.60124696098786701</v>
      </c>
      <c r="R326">
        <v>0.96643486389894995</v>
      </c>
      <c r="S326" t="s">
        <v>4622</v>
      </c>
      <c r="T326" t="s">
        <v>8590</v>
      </c>
      <c r="U326" t="s">
        <v>8590</v>
      </c>
      <c r="V326" t="s">
        <v>8590</v>
      </c>
      <c r="W326">
        <v>3</v>
      </c>
      <c r="X326" t="s">
        <v>8916</v>
      </c>
      <c r="Y326">
        <v>0.79885120062781823</v>
      </c>
      <c r="Z326" t="str">
        <f>HYPERLINK("Melting_Curves/meltCurve_sp_O94811_TPPP_HUMAN_.pdf", "Melting_Curves/meltCurve_sp_O94811_TPPP_HUMAN_.pdf")</f>
        <v>Melting_Curves/meltCurve_sp_O94811_TPPP_HUMAN_.pdf</v>
      </c>
      <c r="AA326" t="s">
        <v>13206</v>
      </c>
      <c r="AB326" t="s">
        <v>17411</v>
      </c>
    </row>
    <row r="327" spans="1:28" x14ac:dyDescent="0.25">
      <c r="A327" t="s">
        <v>331</v>
      </c>
      <c r="B327">
        <v>0.99876560204751996</v>
      </c>
      <c r="C327">
        <v>1.0227206779832001</v>
      </c>
      <c r="D327">
        <v>1.0075005256404299</v>
      </c>
      <c r="E327">
        <v>0.98895120525408797</v>
      </c>
      <c r="F327">
        <v>0.86549513781912302</v>
      </c>
      <c r="G327">
        <v>0.21735304637436401</v>
      </c>
      <c r="H327">
        <v>8.23466001281008E-2</v>
      </c>
      <c r="I327">
        <v>5.4114481353081403E-2</v>
      </c>
      <c r="J327">
        <v>3.9318717443290602E-2</v>
      </c>
      <c r="K327">
        <v>2.7779256626160102E-2</v>
      </c>
      <c r="L327">
        <v>2477.4776450581098</v>
      </c>
      <c r="M327">
        <v>44.958725953414799</v>
      </c>
      <c r="N327">
        <v>55.225471949883897</v>
      </c>
      <c r="O327">
        <v>54.996922799536598</v>
      </c>
      <c r="P327">
        <v>-0.19486963095561</v>
      </c>
      <c r="Q327">
        <v>4.6484231578534298E-2</v>
      </c>
      <c r="R327">
        <v>0.99921224364082994</v>
      </c>
      <c r="S327" t="s">
        <v>4623</v>
      </c>
      <c r="T327" t="s">
        <v>8590</v>
      </c>
      <c r="U327" t="s">
        <v>8590</v>
      </c>
      <c r="V327" t="s">
        <v>8590</v>
      </c>
      <c r="W327">
        <v>1</v>
      </c>
      <c r="X327" t="s">
        <v>8917</v>
      </c>
      <c r="Y327">
        <v>0.52946437543260694</v>
      </c>
      <c r="Z327" t="str">
        <f>HYPERLINK("Melting_Curves/meltCurve_sp_O94817_ATG12_HUMAN_.pdf", "Melting_Curves/meltCurve_sp_O94817_ATG12_HUMAN_.pdf")</f>
        <v>Melting_Curves/meltCurve_sp_O94817_ATG12_HUMAN_.pdf</v>
      </c>
      <c r="AA327" t="s">
        <v>13207</v>
      </c>
      <c r="AB327" t="s">
        <v>17412</v>
      </c>
    </row>
    <row r="328" spans="1:28" x14ac:dyDescent="0.25">
      <c r="A328" t="s">
        <v>332</v>
      </c>
      <c r="B328">
        <v>0.99876560204751996</v>
      </c>
      <c r="C328">
        <v>1.0163630481995001</v>
      </c>
      <c r="D328">
        <v>1.0099332125190901</v>
      </c>
      <c r="E328">
        <v>0.93074104518417899</v>
      </c>
      <c r="F328">
        <v>0.6116879132784</v>
      </c>
      <c r="G328">
        <v>0.25185917582494399</v>
      </c>
      <c r="H328">
        <v>0.122141293326004</v>
      </c>
      <c r="I328">
        <v>8.7707513561724806E-2</v>
      </c>
      <c r="J328">
        <v>0.109498419634666</v>
      </c>
      <c r="K328">
        <v>6.0584537766092697E-2</v>
      </c>
      <c r="L328">
        <v>1536.1353407966301</v>
      </c>
      <c r="M328">
        <v>28.584934947041699</v>
      </c>
      <c r="N328">
        <v>54.097680342290303</v>
      </c>
      <c r="O328">
        <v>53.478385760454103</v>
      </c>
      <c r="P328">
        <v>-0.122103795844722</v>
      </c>
      <c r="Q328">
        <v>8.6251225449851102E-2</v>
      </c>
      <c r="R328">
        <v>0.99805662393598205</v>
      </c>
      <c r="S328" t="s">
        <v>4624</v>
      </c>
      <c r="T328" t="s">
        <v>8590</v>
      </c>
      <c r="U328" t="s">
        <v>8590</v>
      </c>
      <c r="V328" t="s">
        <v>8590</v>
      </c>
      <c r="W328">
        <v>11</v>
      </c>
      <c r="X328" t="s">
        <v>8918</v>
      </c>
      <c r="Y328">
        <v>0.5112953654654141</v>
      </c>
      <c r="Z328" t="str">
        <f>HYPERLINK("Melting_Curves/meltCurve_sp_O94819_KBTBB_HUMAN_.pdf", "Melting_Curves/meltCurve_sp_O94819_KBTBB_HUMAN_.pdf")</f>
        <v>Melting_Curves/meltCurve_sp_O94819_KBTBB_HUMAN_.pdf</v>
      </c>
      <c r="AA328" t="s">
        <v>13208</v>
      </c>
      <c r="AB328" t="s">
        <v>17413</v>
      </c>
    </row>
    <row r="329" spans="1:28" x14ac:dyDescent="0.25">
      <c r="A329" t="s">
        <v>333</v>
      </c>
      <c r="B329">
        <v>0.99876560204751996</v>
      </c>
      <c r="C329">
        <v>1.02329069680526</v>
      </c>
      <c r="D329">
        <v>0.87518176951406901</v>
      </c>
      <c r="E329">
        <v>0.576500170128316</v>
      </c>
      <c r="F329">
        <v>0.235465546148792</v>
      </c>
      <c r="G329">
        <v>0.10996805206087901</v>
      </c>
      <c r="H329">
        <v>8.4843292645315094E-2</v>
      </c>
      <c r="I329">
        <v>6.6709836612631704E-2</v>
      </c>
      <c r="J329">
        <v>6.8860175006989002E-2</v>
      </c>
      <c r="K329">
        <v>4.9004480309487397E-2</v>
      </c>
      <c r="L329">
        <v>1244.63062709666</v>
      </c>
      <c r="M329">
        <v>24.802105250081802</v>
      </c>
      <c r="N329">
        <v>50.446976242629802</v>
      </c>
      <c r="O329">
        <v>49.859637004260499</v>
      </c>
      <c r="P329">
        <v>-0.11677856766276599</v>
      </c>
      <c r="Q329">
        <v>6.0973849109808097E-2</v>
      </c>
      <c r="R329">
        <v>0.99731156005933497</v>
      </c>
      <c r="S329" t="s">
        <v>4625</v>
      </c>
      <c r="T329" t="s">
        <v>8590</v>
      </c>
      <c r="U329" t="s">
        <v>8590</v>
      </c>
      <c r="V329" t="s">
        <v>8590</v>
      </c>
      <c r="W329">
        <v>2</v>
      </c>
      <c r="X329" t="s">
        <v>8919</v>
      </c>
      <c r="Y329">
        <v>0.38823709505804882</v>
      </c>
      <c r="Z329" t="str">
        <f>HYPERLINK("Melting_Curves/meltCurve_sp_O94822_LTN1_HUMAN_.pdf", "Melting_Curves/meltCurve_sp_O94822_LTN1_HUMAN_.pdf")</f>
        <v>Melting_Curves/meltCurve_sp_O94822_LTN1_HUMAN_.pdf</v>
      </c>
      <c r="AA329" t="s">
        <v>13209</v>
      </c>
      <c r="AB329" t="s">
        <v>17414</v>
      </c>
    </row>
    <row r="330" spans="1:28" x14ac:dyDescent="0.25">
      <c r="A330" t="s">
        <v>334</v>
      </c>
      <c r="B330">
        <v>0.99876560204751996</v>
      </c>
      <c r="C330">
        <v>1.04262250419377</v>
      </c>
      <c r="D330">
        <v>1.0170474152373501</v>
      </c>
      <c r="E330">
        <v>0.90996289804472896</v>
      </c>
      <c r="F330">
        <v>0.31940708385452599</v>
      </c>
      <c r="G330">
        <v>0.17289675236332899</v>
      </c>
      <c r="H330">
        <v>0.129043007896113</v>
      </c>
      <c r="I330">
        <v>9.1196743346860204E-2</v>
      </c>
      <c r="J330">
        <v>8.7001279070310494E-2</v>
      </c>
      <c r="K330">
        <v>7.1018855863080793E-2</v>
      </c>
      <c r="L330">
        <v>2889.96176802839</v>
      </c>
      <c r="M330">
        <v>55.669021992918999</v>
      </c>
      <c r="N330">
        <v>52.1418029007312</v>
      </c>
      <c r="O330">
        <v>51.846403023542997</v>
      </c>
      <c r="P330">
        <v>-0.23937295982040099</v>
      </c>
      <c r="Q330">
        <v>0.10825631229108</v>
      </c>
      <c r="R330">
        <v>0.99540802264036399</v>
      </c>
      <c r="S330" t="s">
        <v>4626</v>
      </c>
      <c r="T330" t="s">
        <v>8590</v>
      </c>
      <c r="U330" t="s">
        <v>8590</v>
      </c>
      <c r="V330" t="s">
        <v>8590</v>
      </c>
      <c r="W330">
        <v>10</v>
      </c>
      <c r="X330" t="s">
        <v>8920</v>
      </c>
      <c r="Y330">
        <v>0.46402166346536572</v>
      </c>
      <c r="Z330" t="str">
        <f>HYPERLINK("Melting_Curves/meltCurve_sp_O94826_TOM70_HUMAN_.pdf", "Melting_Curves/meltCurve_sp_O94826_TOM70_HUMAN_.pdf")</f>
        <v>Melting_Curves/meltCurve_sp_O94826_TOM70_HUMAN_.pdf</v>
      </c>
      <c r="AA330" t="s">
        <v>13210</v>
      </c>
      <c r="AB330" t="s">
        <v>17415</v>
      </c>
    </row>
    <row r="331" spans="1:28" x14ac:dyDescent="0.25">
      <c r="A331" t="s">
        <v>335</v>
      </c>
      <c r="B331">
        <v>0.99876560204751996</v>
      </c>
      <c r="C331">
        <v>1.1267837888872401</v>
      </c>
      <c r="D331">
        <v>0.88771796771031497</v>
      </c>
      <c r="E331">
        <v>0.84147592257408999</v>
      </c>
      <c r="F331">
        <v>0.36890621117947803</v>
      </c>
      <c r="G331">
        <v>0.17037453946515199</v>
      </c>
      <c r="H331">
        <v>0.101462884155823</v>
      </c>
      <c r="I331">
        <v>6.7422420636740005E-2</v>
      </c>
      <c r="J331">
        <v>2.81703575658654E-2</v>
      </c>
      <c r="K331">
        <v>1.7784278656938698E-2</v>
      </c>
      <c r="L331">
        <v>1582.4977251350899</v>
      </c>
      <c r="M331">
        <v>30.366008919863599</v>
      </c>
      <c r="N331">
        <v>52.320801265278803</v>
      </c>
      <c r="O331">
        <v>51.889656156618699</v>
      </c>
      <c r="P331">
        <v>-0.13803275229887499</v>
      </c>
      <c r="Q331">
        <v>5.6520153188187199E-2</v>
      </c>
      <c r="R331">
        <v>0.98049401668479197</v>
      </c>
      <c r="S331" t="s">
        <v>4627</v>
      </c>
      <c r="T331" t="s">
        <v>8590</v>
      </c>
      <c r="U331" t="s">
        <v>8590</v>
      </c>
      <c r="V331" t="s">
        <v>8590</v>
      </c>
      <c r="W331">
        <v>2</v>
      </c>
      <c r="X331" t="s">
        <v>8921</v>
      </c>
      <c r="Y331">
        <v>0.44339649490974348</v>
      </c>
      <c r="Z331" t="str">
        <f>HYPERLINK("Melting_Curves/meltCurve_sp_O94829_IPO13_HUMAN_.pdf", "Melting_Curves/meltCurve_sp_O94829_IPO13_HUMAN_.pdf")</f>
        <v>Melting_Curves/meltCurve_sp_O94829_IPO13_HUMAN_.pdf</v>
      </c>
      <c r="AA331" t="s">
        <v>13211</v>
      </c>
      <c r="AB331" t="s">
        <v>17416</v>
      </c>
    </row>
    <row r="332" spans="1:28" x14ac:dyDescent="0.25">
      <c r="A332" t="s">
        <v>336</v>
      </c>
      <c r="B332">
        <v>0.99876560204751996</v>
      </c>
      <c r="C332">
        <v>0.851389722102883</v>
      </c>
      <c r="D332">
        <v>0.88539390025701203</v>
      </c>
      <c r="E332">
        <v>0.64587373921885805</v>
      </c>
      <c r="F332">
        <v>0.281680219450196</v>
      </c>
      <c r="G332">
        <v>0.167022723682618</v>
      </c>
      <c r="H332">
        <v>7.7313430650192194E-2</v>
      </c>
      <c r="I332">
        <v>4.0321426727362303E-2</v>
      </c>
      <c r="J332">
        <v>0</v>
      </c>
      <c r="K332">
        <v>0</v>
      </c>
      <c r="L332">
        <v>861.72008339204899</v>
      </c>
      <c r="M332">
        <v>16.876681070973898</v>
      </c>
      <c r="N332">
        <v>51.059807426343397</v>
      </c>
      <c r="O332">
        <v>50.359078852506002</v>
      </c>
      <c r="P332">
        <v>-8.3787053782156007E-2</v>
      </c>
      <c r="Q332">
        <v>0</v>
      </c>
      <c r="R332">
        <v>0.98531141831151103</v>
      </c>
      <c r="S332" t="s">
        <v>4628</v>
      </c>
      <c r="T332" t="s">
        <v>8590</v>
      </c>
      <c r="U332" t="s">
        <v>8590</v>
      </c>
      <c r="V332" t="s">
        <v>8590</v>
      </c>
      <c r="W332">
        <v>4</v>
      </c>
      <c r="X332" t="s">
        <v>8922</v>
      </c>
      <c r="Y332">
        <v>0.38753652388286769</v>
      </c>
      <c r="Z332" t="str">
        <f>HYPERLINK("Melting_Curves/meltCurve_sp_O94851_5_MICA2_HUMAN_.pdf", "Melting_Curves/meltCurve_sp_O94851_5_MICA2_HUMAN_.pdf")</f>
        <v>Melting_Curves/meltCurve_sp_O94851_5_MICA2_HUMAN_.pdf</v>
      </c>
      <c r="AA332" t="s">
        <v>13212</v>
      </c>
      <c r="AB332" t="s">
        <v>17417</v>
      </c>
    </row>
    <row r="333" spans="1:28" x14ac:dyDescent="0.25">
      <c r="A333" t="s">
        <v>337</v>
      </c>
      <c r="B333">
        <v>0.99876560204751996</v>
      </c>
      <c r="C333">
        <v>1.03058826058343</v>
      </c>
      <c r="D333">
        <v>0.91162602927415504</v>
      </c>
      <c r="E333">
        <v>0.89142660772203997</v>
      </c>
      <c r="F333">
        <v>0.34991376413300701</v>
      </c>
      <c r="G333">
        <v>0.121300494126833</v>
      </c>
      <c r="H333">
        <v>6.6983291037234494E-2</v>
      </c>
      <c r="I333">
        <v>4.82730968947871E-2</v>
      </c>
      <c r="J333">
        <v>4.3939164523367297E-2</v>
      </c>
      <c r="K333">
        <v>3.5272075473287E-2</v>
      </c>
      <c r="L333">
        <v>2335.6444069572099</v>
      </c>
      <c r="M333">
        <v>44.815628546046398</v>
      </c>
      <c r="N333">
        <v>52.259336770595802</v>
      </c>
      <c r="O333">
        <v>52.013286670009897</v>
      </c>
      <c r="P333">
        <v>-0.203007879572977</v>
      </c>
      <c r="Q333">
        <v>5.7552602310834498E-2</v>
      </c>
      <c r="R333">
        <v>0.99369167900421995</v>
      </c>
      <c r="S333" t="s">
        <v>4629</v>
      </c>
      <c r="T333" t="s">
        <v>8590</v>
      </c>
      <c r="U333" t="s">
        <v>8590</v>
      </c>
      <c r="V333" t="s">
        <v>8590</v>
      </c>
      <c r="W333">
        <v>26</v>
      </c>
      <c r="X333" t="s">
        <v>8923</v>
      </c>
      <c r="Y333">
        <v>0.44089876212282519</v>
      </c>
      <c r="Z333" t="str">
        <f>HYPERLINK("Melting_Curves/meltCurve_sp_O94855_SC24D_HUMAN_.pdf", "Melting_Curves/meltCurve_sp_O94855_SC24D_HUMAN_.pdf")</f>
        <v>Melting_Curves/meltCurve_sp_O94855_SC24D_HUMAN_.pdf</v>
      </c>
      <c r="AA333" t="s">
        <v>13213</v>
      </c>
      <c r="AB333" t="s">
        <v>17418</v>
      </c>
    </row>
    <row r="334" spans="1:28" x14ac:dyDescent="0.25">
      <c r="A334" t="s">
        <v>338</v>
      </c>
      <c r="B334">
        <v>0.99876560204751996</v>
      </c>
      <c r="C334">
        <v>0.94134976585330399</v>
      </c>
      <c r="D334">
        <v>0.82289947761931104</v>
      </c>
      <c r="E334">
        <v>0.62715011595204695</v>
      </c>
      <c r="F334">
        <v>0.26360946918349598</v>
      </c>
      <c r="G334">
        <v>0.12958924383314299</v>
      </c>
      <c r="H334">
        <v>8.1202395330438298E-2</v>
      </c>
      <c r="I334">
        <v>6.4515609132604498E-2</v>
      </c>
      <c r="J334">
        <v>6.0507600367653097E-2</v>
      </c>
      <c r="K334">
        <v>5.2808630926820199E-2</v>
      </c>
      <c r="L334">
        <v>965.81049646883002</v>
      </c>
      <c r="M334">
        <v>19.159583022317399</v>
      </c>
      <c r="N334">
        <v>50.654097553674603</v>
      </c>
      <c r="O334">
        <v>49.869236709628602</v>
      </c>
      <c r="P334">
        <v>-9.1796483120291095E-2</v>
      </c>
      <c r="Q334">
        <v>4.4312442655576101E-2</v>
      </c>
      <c r="R334">
        <v>0.99293778572310099</v>
      </c>
      <c r="S334" t="s">
        <v>4630</v>
      </c>
      <c r="T334" t="s">
        <v>8590</v>
      </c>
      <c r="U334" t="s">
        <v>8590</v>
      </c>
      <c r="V334" t="s">
        <v>8590</v>
      </c>
      <c r="W334">
        <v>19</v>
      </c>
      <c r="X334" t="s">
        <v>8924</v>
      </c>
      <c r="Y334">
        <v>0.39031633437707253</v>
      </c>
      <c r="Z334" t="str">
        <f>HYPERLINK("Melting_Curves/meltCurve_sp_O94874_UFL1_HUMAN_.pdf", "Melting_Curves/meltCurve_sp_O94874_UFL1_HUMAN_.pdf")</f>
        <v>Melting_Curves/meltCurve_sp_O94874_UFL1_HUMAN_.pdf</v>
      </c>
      <c r="AA334" t="s">
        <v>13214</v>
      </c>
      <c r="AB334" t="s">
        <v>17419</v>
      </c>
    </row>
    <row r="335" spans="1:28" x14ac:dyDescent="0.25">
      <c r="A335" t="s">
        <v>339</v>
      </c>
      <c r="B335">
        <v>0.99876560204751996</v>
      </c>
      <c r="C335">
        <v>0.978344948246061</v>
      </c>
      <c r="D335">
        <v>1.0097244526028699</v>
      </c>
      <c r="E335">
        <v>0.88089949830872205</v>
      </c>
      <c r="F335">
        <v>0.86041684510532401</v>
      </c>
      <c r="G335">
        <v>0.70695187056388897</v>
      </c>
      <c r="H335">
        <v>0.60925759586315598</v>
      </c>
      <c r="I335">
        <v>0.59181824344784195</v>
      </c>
      <c r="J335">
        <v>0.68201646257414195</v>
      </c>
      <c r="K335">
        <v>0.65759997576985796</v>
      </c>
      <c r="L335">
        <v>1127.7524573864</v>
      </c>
      <c r="M335">
        <v>21.1704466887286</v>
      </c>
      <c r="O335">
        <v>52.801656475101801</v>
      </c>
      <c r="P335">
        <v>-3.72226059863357E-2</v>
      </c>
      <c r="Q335">
        <v>0.62865891376324001</v>
      </c>
      <c r="R335">
        <v>0.95420898495019002</v>
      </c>
      <c r="S335" t="s">
        <v>4631</v>
      </c>
      <c r="T335" t="s">
        <v>8590</v>
      </c>
      <c r="U335" t="s">
        <v>8590</v>
      </c>
      <c r="V335" t="s">
        <v>8590</v>
      </c>
      <c r="W335">
        <v>36</v>
      </c>
      <c r="X335" t="s">
        <v>8925</v>
      </c>
      <c r="Y335">
        <v>0.79753961285333541</v>
      </c>
      <c r="Z335" t="str">
        <f>HYPERLINK("Melting_Curves/meltCurve_sp_O94875_12_SRBS2_HUMAN_.pdf", "Melting_Curves/meltCurve_sp_O94875_12_SRBS2_HUMAN_.pdf")</f>
        <v>Melting_Curves/meltCurve_sp_O94875_12_SRBS2_HUMAN_.pdf</v>
      </c>
      <c r="AA335" t="s">
        <v>13215</v>
      </c>
      <c r="AB335" t="s">
        <v>17420</v>
      </c>
    </row>
    <row r="336" spans="1:28" x14ac:dyDescent="0.25">
      <c r="A336" t="s">
        <v>340</v>
      </c>
      <c r="B336">
        <v>0.99876560204751996</v>
      </c>
      <c r="C336">
        <v>0.98052873811888697</v>
      </c>
      <c r="D336">
        <v>1.16941158754022</v>
      </c>
      <c r="E336">
        <v>0.92157605029235901</v>
      </c>
      <c r="F336">
        <v>0.97577744748348605</v>
      </c>
      <c r="G336">
        <v>0.87384619945923103</v>
      </c>
      <c r="H336">
        <v>0.84262681695313302</v>
      </c>
      <c r="I336">
        <v>0.77364448367049299</v>
      </c>
      <c r="J336">
        <v>1.0251330133412699</v>
      </c>
      <c r="K336">
        <v>1.0300295617444499</v>
      </c>
      <c r="L336">
        <v>12298.7248291386</v>
      </c>
      <c r="M336">
        <v>250</v>
      </c>
      <c r="O336">
        <v>49.191751280292003</v>
      </c>
      <c r="P336">
        <v>-0.101419193722315</v>
      </c>
      <c r="Q336">
        <v>0.92017619623149105</v>
      </c>
      <c r="R336">
        <v>0.24590211464506001</v>
      </c>
      <c r="S336" t="s">
        <v>4632</v>
      </c>
      <c r="T336" t="s">
        <v>8590</v>
      </c>
      <c r="U336" t="s">
        <v>8590</v>
      </c>
      <c r="V336" t="s">
        <v>8590</v>
      </c>
      <c r="W336">
        <v>1</v>
      </c>
      <c r="X336" t="s">
        <v>8926</v>
      </c>
      <c r="Y336">
        <v>0.94464881587917104</v>
      </c>
      <c r="Z336" t="str">
        <f>HYPERLINK("Melting_Curves/meltCurve_sp_O94880_PHF14_HUMAN_.pdf", "Melting_Curves/meltCurve_sp_O94880_PHF14_HUMAN_.pdf")</f>
        <v>Melting_Curves/meltCurve_sp_O94880_PHF14_HUMAN_.pdf</v>
      </c>
      <c r="AA336" t="s">
        <v>13216</v>
      </c>
      <c r="AB336" t="s">
        <v>17421</v>
      </c>
    </row>
    <row r="337" spans="1:28" x14ac:dyDescent="0.25">
      <c r="A337" t="s">
        <v>341</v>
      </c>
      <c r="B337">
        <v>0.99876560204751996</v>
      </c>
      <c r="C337">
        <v>0.95673708279754899</v>
      </c>
      <c r="D337">
        <v>0.77632099647878205</v>
      </c>
      <c r="E337">
        <v>0.343618756878944</v>
      </c>
      <c r="F337">
        <v>0.13761615033185601</v>
      </c>
      <c r="G337">
        <v>7.8454682116605404E-2</v>
      </c>
      <c r="H337">
        <v>1.9139455853512798E-2</v>
      </c>
      <c r="I337">
        <v>1.1935170706093901E-2</v>
      </c>
      <c r="J337">
        <v>1.8448947611899601E-2</v>
      </c>
      <c r="K337">
        <v>1.6422859532330001E-2</v>
      </c>
      <c r="L337">
        <v>1098.4377616664301</v>
      </c>
      <c r="M337">
        <v>22.657752786900001</v>
      </c>
      <c r="N337">
        <v>48.558094161881399</v>
      </c>
      <c r="O337">
        <v>48.106676981652001</v>
      </c>
      <c r="P337">
        <v>-0.11563127742804701</v>
      </c>
      <c r="Q337">
        <v>1.7992036338640299E-2</v>
      </c>
      <c r="R337">
        <v>0.99929160254108396</v>
      </c>
      <c r="S337" t="s">
        <v>4633</v>
      </c>
      <c r="T337" t="s">
        <v>8590</v>
      </c>
      <c r="U337" t="s">
        <v>8590</v>
      </c>
      <c r="V337" t="s">
        <v>8590</v>
      </c>
      <c r="W337">
        <v>2</v>
      </c>
      <c r="X337" t="s">
        <v>8927</v>
      </c>
      <c r="Y337">
        <v>0.3062243350591396</v>
      </c>
      <c r="Z337" t="str">
        <f>HYPERLINK("Melting_Curves/meltCurve_sp_O94887_FARP2_HUMAN_.pdf", "Melting_Curves/meltCurve_sp_O94887_FARP2_HUMAN_.pdf")</f>
        <v>Melting_Curves/meltCurve_sp_O94887_FARP2_HUMAN_.pdf</v>
      </c>
      <c r="AA337" t="s">
        <v>13217</v>
      </c>
      <c r="AB337" t="s">
        <v>17422</v>
      </c>
    </row>
    <row r="338" spans="1:28" x14ac:dyDescent="0.25">
      <c r="A338" t="s">
        <v>342</v>
      </c>
      <c r="B338">
        <v>0.99876560204751996</v>
      </c>
      <c r="C338">
        <v>1.0233476415323199</v>
      </c>
      <c r="D338">
        <v>0.98703301907187702</v>
      </c>
      <c r="E338">
        <v>0.92324514668593405</v>
      </c>
      <c r="F338">
        <v>0.78905580984854995</v>
      </c>
      <c r="G338">
        <v>0.63120585838685195</v>
      </c>
      <c r="H338">
        <v>0.45035087408670199</v>
      </c>
      <c r="I338">
        <v>0.354526364045748</v>
      </c>
      <c r="J338">
        <v>0.33567433529087098</v>
      </c>
      <c r="K338">
        <v>0.18716337625506599</v>
      </c>
      <c r="L338">
        <v>716.20621084571701</v>
      </c>
      <c r="M338">
        <v>12.230939978921</v>
      </c>
      <c r="N338">
        <v>59.980970363097001</v>
      </c>
      <c r="O338">
        <v>57.057553091486398</v>
      </c>
      <c r="P338">
        <v>-4.6847830027991803E-2</v>
      </c>
      <c r="Q338">
        <v>0.126011621954674</v>
      </c>
      <c r="R338">
        <v>0.99201569768021203</v>
      </c>
      <c r="S338" t="s">
        <v>4634</v>
      </c>
      <c r="T338" t="s">
        <v>8590</v>
      </c>
      <c r="U338" t="s">
        <v>8590</v>
      </c>
      <c r="V338" t="s">
        <v>8590</v>
      </c>
      <c r="W338">
        <v>3</v>
      </c>
      <c r="X338" t="s">
        <v>8928</v>
      </c>
      <c r="Y338">
        <v>0.67571005516801608</v>
      </c>
      <c r="Z338" t="str">
        <f>HYPERLINK("Melting_Curves/meltCurve_sp_O94888_UBXN7_HUMAN_.pdf", "Melting_Curves/meltCurve_sp_O94888_UBXN7_HUMAN_.pdf")</f>
        <v>Melting_Curves/meltCurve_sp_O94888_UBXN7_HUMAN_.pdf</v>
      </c>
      <c r="AA338" t="s">
        <v>13218</v>
      </c>
      <c r="AB338" t="s">
        <v>17423</v>
      </c>
    </row>
    <row r="339" spans="1:28" x14ac:dyDescent="0.25">
      <c r="A339" t="s">
        <v>343</v>
      </c>
      <c r="B339">
        <v>0.99876560204751996</v>
      </c>
      <c r="C339">
        <v>0.91942643930434498</v>
      </c>
      <c r="D339">
        <v>0.93742917818002003</v>
      </c>
      <c r="E339">
        <v>0.84579657777238804</v>
      </c>
      <c r="F339">
        <v>0.50881377248003801</v>
      </c>
      <c r="G339">
        <v>0.20521136404336601</v>
      </c>
      <c r="H339">
        <v>0.12056770061102901</v>
      </c>
      <c r="I339">
        <v>8.4559273310749805E-2</v>
      </c>
      <c r="J339">
        <v>8.0426961653191395E-2</v>
      </c>
      <c r="K339">
        <v>6.5623173889613307E-2</v>
      </c>
      <c r="L339">
        <v>1305.74720951681</v>
      </c>
      <c r="M339">
        <v>24.699426048669501</v>
      </c>
      <c r="N339">
        <v>53.2084329533348</v>
      </c>
      <c r="O339">
        <v>52.522608007014</v>
      </c>
      <c r="P339">
        <v>-0.108916186299993</v>
      </c>
      <c r="Q339">
        <v>7.3584771379151606E-2</v>
      </c>
      <c r="R339">
        <v>0.99411722097353905</v>
      </c>
      <c r="S339" t="s">
        <v>4635</v>
      </c>
      <c r="T339" t="s">
        <v>8590</v>
      </c>
      <c r="U339" t="s">
        <v>8590</v>
      </c>
      <c r="V339" t="s">
        <v>8590</v>
      </c>
      <c r="W339">
        <v>11</v>
      </c>
      <c r="X339" t="s">
        <v>8929</v>
      </c>
      <c r="Y339">
        <v>0.47959498673924378</v>
      </c>
      <c r="Z339" t="str">
        <f>HYPERLINK("Melting_Curves/meltCurve_sp_O94903_PROSC_HUMAN_.pdf", "Melting_Curves/meltCurve_sp_O94903_PROSC_HUMAN_.pdf")</f>
        <v>Melting_Curves/meltCurve_sp_O94903_PROSC_HUMAN_.pdf</v>
      </c>
      <c r="AA339" t="s">
        <v>13219</v>
      </c>
      <c r="AB339" t="s">
        <v>17424</v>
      </c>
    </row>
    <row r="340" spans="1:28" x14ac:dyDescent="0.25">
      <c r="A340" t="s">
        <v>344</v>
      </c>
      <c r="B340">
        <v>0.99876560204751996</v>
      </c>
      <c r="C340">
        <v>1.13038704512727</v>
      </c>
      <c r="D340">
        <v>1.01065150431155</v>
      </c>
      <c r="E340">
        <v>0.87481390672049897</v>
      </c>
      <c r="F340">
        <v>0.75870174858369199</v>
      </c>
      <c r="G340">
        <v>0.496295851310806</v>
      </c>
      <c r="H340">
        <v>0.432825315529482</v>
      </c>
      <c r="I340">
        <v>0.355237436277755</v>
      </c>
      <c r="J340">
        <v>0.43817257223762801</v>
      </c>
      <c r="K340">
        <v>0.32039287434670299</v>
      </c>
      <c r="L340">
        <v>1192.5789554165799</v>
      </c>
      <c r="M340">
        <v>22.1295857366717</v>
      </c>
      <c r="N340">
        <v>57.289344579277802</v>
      </c>
      <c r="O340">
        <v>53.4564269838516</v>
      </c>
      <c r="P340">
        <v>-6.5671268030069299E-2</v>
      </c>
      <c r="Q340">
        <v>0.36546940967181302</v>
      </c>
      <c r="R340">
        <v>0.96753987500022998</v>
      </c>
      <c r="S340" t="s">
        <v>4636</v>
      </c>
      <c r="T340" t="s">
        <v>8590</v>
      </c>
      <c r="U340" t="s">
        <v>8590</v>
      </c>
      <c r="V340" t="s">
        <v>8590</v>
      </c>
      <c r="W340">
        <v>4</v>
      </c>
      <c r="X340" t="s">
        <v>8930</v>
      </c>
      <c r="Y340">
        <v>0.66656389124493864</v>
      </c>
      <c r="Z340" t="str">
        <f>HYPERLINK("Melting_Curves/meltCurve_sp_O94913_PCF11_HUMAN_.pdf", "Melting_Curves/meltCurve_sp_O94913_PCF11_HUMAN_.pdf")</f>
        <v>Melting_Curves/meltCurve_sp_O94913_PCF11_HUMAN_.pdf</v>
      </c>
      <c r="AA340" t="s">
        <v>13220</v>
      </c>
      <c r="AB340" t="s">
        <v>17425</v>
      </c>
    </row>
    <row r="341" spans="1:28" x14ac:dyDescent="0.25">
      <c r="A341" t="s">
        <v>345</v>
      </c>
      <c r="B341">
        <v>0.99876560204751996</v>
      </c>
      <c r="C341">
        <v>0.96157654681643601</v>
      </c>
      <c r="D341">
        <v>0.65430197025721704</v>
      </c>
      <c r="E341">
        <v>0.209369408321019</v>
      </c>
      <c r="F341">
        <v>8.0078994715449506E-2</v>
      </c>
      <c r="G341">
        <v>3.9580118817568302E-2</v>
      </c>
      <c r="H341">
        <v>2.2894870478656501E-2</v>
      </c>
      <c r="I341">
        <v>1.52414701125459E-2</v>
      </c>
      <c r="J341">
        <v>1.99966447549874E-2</v>
      </c>
      <c r="K341">
        <v>1.1417190547309599E-2</v>
      </c>
      <c r="L341">
        <v>1235.47090567792</v>
      </c>
      <c r="M341">
        <v>26.185419653479599</v>
      </c>
      <c r="N341">
        <v>47.257743384634203</v>
      </c>
      <c r="O341">
        <v>46.909019768238998</v>
      </c>
      <c r="P341">
        <v>-0.13667389269602701</v>
      </c>
      <c r="Q341">
        <v>2.0650510582337699E-2</v>
      </c>
      <c r="R341">
        <v>0.99907866503779397</v>
      </c>
      <c r="S341" t="s">
        <v>4637</v>
      </c>
      <c r="T341" t="s">
        <v>8590</v>
      </c>
      <c r="U341" t="s">
        <v>8590</v>
      </c>
      <c r="V341" t="s">
        <v>8590</v>
      </c>
      <c r="W341">
        <v>2</v>
      </c>
      <c r="X341" t="s">
        <v>8931</v>
      </c>
      <c r="Y341">
        <v>0.26297194151590048</v>
      </c>
      <c r="Z341" t="str">
        <f>HYPERLINK("Melting_Curves/meltCurve_sp_O94925_GLSK_HUMAN_.pdf", "Melting_Curves/meltCurve_sp_O94925_GLSK_HUMAN_.pdf")</f>
        <v>Melting_Curves/meltCurve_sp_O94925_GLSK_HUMAN_.pdf</v>
      </c>
      <c r="AA341" t="s">
        <v>13221</v>
      </c>
      <c r="AB341" t="s">
        <v>17426</v>
      </c>
    </row>
    <row r="342" spans="1:28" x14ac:dyDescent="0.25">
      <c r="A342" t="s">
        <v>346</v>
      </c>
      <c r="B342">
        <v>0.99876560204751996</v>
      </c>
      <c r="C342">
        <v>0.90752390987838005</v>
      </c>
      <c r="D342">
        <v>0.96541703550066105</v>
      </c>
      <c r="E342">
        <v>0.76650749947228503</v>
      </c>
      <c r="F342">
        <v>0.70116817959813804</v>
      </c>
      <c r="G342">
        <v>0.49512274795571598</v>
      </c>
      <c r="H342">
        <v>0.40322712306212699</v>
      </c>
      <c r="I342">
        <v>0.34930631866075301</v>
      </c>
      <c r="J342">
        <v>0.37339211309504999</v>
      </c>
      <c r="K342">
        <v>0.35093480973352698</v>
      </c>
      <c r="L342">
        <v>737.88514571702603</v>
      </c>
      <c r="M342">
        <v>13.895402425725299</v>
      </c>
      <c r="N342">
        <v>57.2355924304712</v>
      </c>
      <c r="O342">
        <v>52.039253330029602</v>
      </c>
      <c r="P342">
        <v>-4.5621345702455199E-2</v>
      </c>
      <c r="Q342">
        <v>0.31667260011383902</v>
      </c>
      <c r="R342">
        <v>0.98449742434843601</v>
      </c>
      <c r="S342" t="s">
        <v>4638</v>
      </c>
      <c r="T342" t="s">
        <v>8590</v>
      </c>
      <c r="U342" t="s">
        <v>8590</v>
      </c>
      <c r="V342" t="s">
        <v>8590</v>
      </c>
      <c r="W342">
        <v>10</v>
      </c>
      <c r="X342" t="s">
        <v>8932</v>
      </c>
      <c r="Y342">
        <v>0.63133064712170117</v>
      </c>
      <c r="Z342" t="str">
        <f>HYPERLINK("Melting_Curves/meltCurve_sp_O94929_2_ABLM3_HUMAN_.pdf", "Melting_Curves/meltCurve_sp_O94929_2_ABLM3_HUMAN_.pdf")</f>
        <v>Melting_Curves/meltCurve_sp_O94929_2_ABLM3_HUMAN_.pdf</v>
      </c>
      <c r="AA342" t="s">
        <v>13222</v>
      </c>
      <c r="AB342" t="s">
        <v>17427</v>
      </c>
    </row>
    <row r="343" spans="1:28" x14ac:dyDescent="0.25">
      <c r="A343" t="s">
        <v>347</v>
      </c>
      <c r="B343">
        <v>0.99876560204751996</v>
      </c>
      <c r="C343">
        <v>1.2028241296925299</v>
      </c>
      <c r="D343">
        <v>0.66725145994193902</v>
      </c>
      <c r="E343">
        <v>0.67010401130879604</v>
      </c>
      <c r="F343">
        <v>0.36723984636892598</v>
      </c>
      <c r="G343">
        <v>0.15935547806306599</v>
      </c>
      <c r="H343">
        <v>5.3907263096704502E-2</v>
      </c>
      <c r="I343">
        <v>2.6748698618640699E-2</v>
      </c>
      <c r="J343">
        <v>4.89202651212767E-3</v>
      </c>
      <c r="K343">
        <v>3.0779159490856001E-3</v>
      </c>
      <c r="L343">
        <v>836.96540222446799</v>
      </c>
      <c r="M343">
        <v>16.326376293756201</v>
      </c>
      <c r="N343">
        <v>51.264615505788697</v>
      </c>
      <c r="O343">
        <v>50.514014680219901</v>
      </c>
      <c r="P343">
        <v>-8.0807075721641197E-2</v>
      </c>
      <c r="Q343">
        <v>0</v>
      </c>
      <c r="R343">
        <v>0.94151024280718798</v>
      </c>
      <c r="S343" t="s">
        <v>4639</v>
      </c>
      <c r="T343" t="s">
        <v>8590</v>
      </c>
      <c r="U343" t="s">
        <v>8590</v>
      </c>
      <c r="V343" t="s">
        <v>8590</v>
      </c>
      <c r="W343">
        <v>4</v>
      </c>
      <c r="X343" t="s">
        <v>8933</v>
      </c>
      <c r="Y343">
        <v>0.3953913671067299</v>
      </c>
      <c r="Z343" t="str">
        <f>HYPERLINK("Melting_Curves/meltCurve_sp_O94966_7_UBP19_HUMAN_.pdf", "Melting_Curves/meltCurve_sp_O94966_7_UBP19_HUMAN_.pdf")</f>
        <v>Melting_Curves/meltCurve_sp_O94966_7_UBP19_HUMAN_.pdf</v>
      </c>
      <c r="AA343" t="s">
        <v>13223</v>
      </c>
      <c r="AB343" t="s">
        <v>17428</v>
      </c>
    </row>
    <row r="344" spans="1:28" x14ac:dyDescent="0.25">
      <c r="A344" t="s">
        <v>348</v>
      </c>
      <c r="B344">
        <v>0.99876560204751996</v>
      </c>
      <c r="C344">
        <v>1.1056908519465201</v>
      </c>
      <c r="D344">
        <v>1.00248471646633</v>
      </c>
      <c r="E344">
        <v>0.96807813100156004</v>
      </c>
      <c r="F344">
        <v>0.61943388070095096</v>
      </c>
      <c r="G344">
        <v>0.28248428571885298</v>
      </c>
      <c r="H344">
        <v>0.13440073626410601</v>
      </c>
      <c r="I344">
        <v>7.9443254217769696E-2</v>
      </c>
      <c r="J344">
        <v>5.9981101504806601E-2</v>
      </c>
      <c r="K344">
        <v>4.20840868677681E-2</v>
      </c>
      <c r="L344">
        <v>1427.3702120948899</v>
      </c>
      <c r="M344">
        <v>26.348875750133299</v>
      </c>
      <c r="N344">
        <v>54.447849428600598</v>
      </c>
      <c r="O344">
        <v>53.862810635857102</v>
      </c>
      <c r="P344">
        <v>-0.114655041097002</v>
      </c>
      <c r="Q344">
        <v>6.2491244089619903E-2</v>
      </c>
      <c r="R344">
        <v>0.98978537640782405</v>
      </c>
      <c r="S344" t="s">
        <v>4640</v>
      </c>
      <c r="T344" t="s">
        <v>8590</v>
      </c>
      <c r="U344" t="s">
        <v>8590</v>
      </c>
      <c r="V344" t="s">
        <v>8590</v>
      </c>
      <c r="W344">
        <v>28</v>
      </c>
      <c r="X344" t="s">
        <v>8934</v>
      </c>
      <c r="Y344">
        <v>0.51325229045037313</v>
      </c>
      <c r="Z344" t="str">
        <f>HYPERLINK("Melting_Curves/meltCurve_sp_O94973_AP2A2_HUMAN_.pdf", "Melting_Curves/meltCurve_sp_O94973_AP2A2_HUMAN_.pdf")</f>
        <v>Melting_Curves/meltCurve_sp_O94973_AP2A2_HUMAN_.pdf</v>
      </c>
      <c r="AA344" t="s">
        <v>13224</v>
      </c>
      <c r="AB344" t="s">
        <v>17429</v>
      </c>
    </row>
    <row r="345" spans="1:28" x14ac:dyDescent="0.25">
      <c r="A345" t="s">
        <v>349</v>
      </c>
      <c r="B345">
        <v>0.99876560204751996</v>
      </c>
      <c r="C345">
        <v>1.0630758874891999</v>
      </c>
      <c r="D345">
        <v>1.00668246380471</v>
      </c>
      <c r="E345">
        <v>0.97633469674257201</v>
      </c>
      <c r="F345">
        <v>0.77079467531349599</v>
      </c>
      <c r="G345">
        <v>0.272749111013044</v>
      </c>
      <c r="H345">
        <v>0.113724028458869</v>
      </c>
      <c r="I345">
        <v>7.9480319212145906E-2</v>
      </c>
      <c r="J345">
        <v>6.3487503348519297E-2</v>
      </c>
      <c r="K345">
        <v>6.0526186367429E-2</v>
      </c>
      <c r="L345">
        <v>1807.9227338175599</v>
      </c>
      <c r="M345">
        <v>32.971368650933201</v>
      </c>
      <c r="N345">
        <v>55.076725781246999</v>
      </c>
      <c r="O345">
        <v>54.632571515360702</v>
      </c>
      <c r="P345">
        <v>-0.14064114785781401</v>
      </c>
      <c r="Q345">
        <v>6.7851275787688001E-2</v>
      </c>
      <c r="R345">
        <v>0.99755543126867496</v>
      </c>
      <c r="S345" t="s">
        <v>4641</v>
      </c>
      <c r="T345" t="s">
        <v>8590</v>
      </c>
      <c r="U345" t="s">
        <v>8590</v>
      </c>
      <c r="V345" t="s">
        <v>8590</v>
      </c>
      <c r="W345">
        <v>30</v>
      </c>
      <c r="X345" t="s">
        <v>8935</v>
      </c>
      <c r="Y345">
        <v>0.53389143846882026</v>
      </c>
      <c r="Z345" t="str">
        <f>HYPERLINK("Melting_Curves/meltCurve_sp_O94979_6_SC31A_HUMAN_.pdf", "Melting_Curves/meltCurve_sp_O94979_6_SC31A_HUMAN_.pdf")</f>
        <v>Melting_Curves/meltCurve_sp_O94979_6_SC31A_HUMAN_.pdf</v>
      </c>
      <c r="AA345" t="s">
        <v>13225</v>
      </c>
      <c r="AB345" t="s">
        <v>17430</v>
      </c>
    </row>
    <row r="346" spans="1:28" x14ac:dyDescent="0.25">
      <c r="A346" t="s">
        <v>350</v>
      </c>
      <c r="B346">
        <v>0.99876560204751996</v>
      </c>
      <c r="C346">
        <v>0.99480294736473296</v>
      </c>
      <c r="D346">
        <v>0.91151057393666202</v>
      </c>
      <c r="E346">
        <v>0.851772880138425</v>
      </c>
      <c r="F346">
        <v>0.839232360717451</v>
      </c>
      <c r="G346">
        <v>0.72050160421064202</v>
      </c>
      <c r="H346">
        <v>0.60309519726201199</v>
      </c>
      <c r="I346">
        <v>0.66069145343796798</v>
      </c>
      <c r="J346">
        <v>0.73526230250603297</v>
      </c>
      <c r="K346">
        <v>0.73755387219143598</v>
      </c>
      <c r="L346">
        <v>799.95219267200503</v>
      </c>
      <c r="M346">
        <v>15.7888628581346</v>
      </c>
      <c r="O346">
        <v>49.873727161081099</v>
      </c>
      <c r="P346">
        <v>-2.5303667152682899E-2</v>
      </c>
      <c r="Q346">
        <v>0.68031037333200295</v>
      </c>
      <c r="R346">
        <v>0.88037404236216898</v>
      </c>
      <c r="S346" t="s">
        <v>4642</v>
      </c>
      <c r="T346" t="s">
        <v>8590</v>
      </c>
      <c r="U346" t="s">
        <v>8590</v>
      </c>
      <c r="V346" t="s">
        <v>8590</v>
      </c>
      <c r="W346">
        <v>7</v>
      </c>
      <c r="X346" t="s">
        <v>8936</v>
      </c>
      <c r="Y346">
        <v>0.80080240908478517</v>
      </c>
      <c r="Z346" t="str">
        <f>HYPERLINK("Melting_Curves/meltCurve_sp_O94992_HEXI1_HUMAN_.pdf", "Melting_Curves/meltCurve_sp_O94992_HEXI1_HUMAN_.pdf")</f>
        <v>Melting_Curves/meltCurve_sp_O94992_HEXI1_HUMAN_.pdf</v>
      </c>
      <c r="AA346" t="s">
        <v>13226</v>
      </c>
      <c r="AB346" t="s">
        <v>17431</v>
      </c>
    </row>
    <row r="347" spans="1:28" x14ac:dyDescent="0.25">
      <c r="A347" t="s">
        <v>351</v>
      </c>
      <c r="B347">
        <v>0.99876560204751996</v>
      </c>
      <c r="C347">
        <v>0.98341627252542496</v>
      </c>
      <c r="D347">
        <v>1.07220381544051</v>
      </c>
      <c r="E347">
        <v>0.84028380573058603</v>
      </c>
      <c r="F347">
        <v>0.50803160289818095</v>
      </c>
      <c r="G347">
        <v>0.22943307784851399</v>
      </c>
      <c r="H347">
        <v>0.13107266354043301</v>
      </c>
      <c r="I347">
        <v>0.116288512273689</v>
      </c>
      <c r="J347">
        <v>0.119684142467918</v>
      </c>
      <c r="K347">
        <v>7.2941015487207994E-2</v>
      </c>
      <c r="L347">
        <v>1480.2601564638201</v>
      </c>
      <c r="M347">
        <v>28.066605829100901</v>
      </c>
      <c r="N347">
        <v>53.195422264372503</v>
      </c>
      <c r="O347">
        <v>52.475413269164598</v>
      </c>
      <c r="P347">
        <v>-0.119460965990474</v>
      </c>
      <c r="Q347">
        <v>0.106595244196346</v>
      </c>
      <c r="R347">
        <v>0.99383213833488104</v>
      </c>
      <c r="S347" t="s">
        <v>4643</v>
      </c>
      <c r="T347" t="s">
        <v>8590</v>
      </c>
      <c r="U347" t="s">
        <v>8590</v>
      </c>
      <c r="V347" t="s">
        <v>8590</v>
      </c>
      <c r="W347">
        <v>5</v>
      </c>
      <c r="X347" t="s">
        <v>8937</v>
      </c>
      <c r="Y347">
        <v>0.49259887340227898</v>
      </c>
      <c r="Z347" t="str">
        <f>HYPERLINK("Melting_Curves/meltCurve_sp_O95081_AGFG2_HUMAN_.pdf", "Melting_Curves/meltCurve_sp_O95081_AGFG2_HUMAN_.pdf")</f>
        <v>Melting_Curves/meltCurve_sp_O95081_AGFG2_HUMAN_.pdf</v>
      </c>
      <c r="AA347" t="s">
        <v>13227</v>
      </c>
      <c r="AB347" t="s">
        <v>17432</v>
      </c>
    </row>
    <row r="348" spans="1:28" x14ac:dyDescent="0.25">
      <c r="A348" t="s">
        <v>352</v>
      </c>
      <c r="B348">
        <v>0.99876560204751996</v>
      </c>
      <c r="C348">
        <v>0.90596608376921195</v>
      </c>
      <c r="D348">
        <v>0.95287308248070102</v>
      </c>
      <c r="E348">
        <v>0.90072933484820195</v>
      </c>
      <c r="F348">
        <v>0.94187315333688504</v>
      </c>
      <c r="G348">
        <v>0.61298010574651096</v>
      </c>
      <c r="H348">
        <v>0.57933665460020101</v>
      </c>
      <c r="I348">
        <v>0.48938752959377702</v>
      </c>
      <c r="J348">
        <v>0.55843254431070299</v>
      </c>
      <c r="K348">
        <v>0.50119498546101304</v>
      </c>
      <c r="L348">
        <v>2086.9733562296601</v>
      </c>
      <c r="M348">
        <v>37.863475959976299</v>
      </c>
      <c r="O348">
        <v>54.965303178545298</v>
      </c>
      <c r="P348">
        <v>-8.1745559221055197E-2</v>
      </c>
      <c r="Q348">
        <v>0.52533065188870798</v>
      </c>
      <c r="R348">
        <v>0.937548070836287</v>
      </c>
      <c r="S348" t="s">
        <v>4644</v>
      </c>
      <c r="T348" t="s">
        <v>8590</v>
      </c>
      <c r="U348" t="s">
        <v>8590</v>
      </c>
      <c r="V348" t="s">
        <v>8590</v>
      </c>
      <c r="W348">
        <v>4</v>
      </c>
      <c r="X348" t="s">
        <v>8938</v>
      </c>
      <c r="Y348">
        <v>0.76654657808850435</v>
      </c>
      <c r="Z348" t="str">
        <f>HYPERLINK("Melting_Curves/meltCurve_sp_O95104_3_SFR15_HUMAN_.pdf", "Melting_Curves/meltCurve_sp_O95104_3_SFR15_HUMAN_.pdf")</f>
        <v>Melting_Curves/meltCurve_sp_O95104_3_SFR15_HUMAN_.pdf</v>
      </c>
      <c r="AA348" t="s">
        <v>13228</v>
      </c>
      <c r="AB348" t="s">
        <v>17433</v>
      </c>
    </row>
    <row r="349" spans="1:28" x14ac:dyDescent="0.25">
      <c r="A349" t="s">
        <v>353</v>
      </c>
      <c r="B349">
        <v>0.99876560204751996</v>
      </c>
      <c r="C349">
        <v>0.91514683981767297</v>
      </c>
      <c r="D349">
        <v>0.91724731460731801</v>
      </c>
      <c r="E349">
        <v>0.490167393120714</v>
      </c>
      <c r="F349">
        <v>0.15828667983827799</v>
      </c>
      <c r="G349">
        <v>9.1024940847682007E-2</v>
      </c>
      <c r="H349">
        <v>5.4017588839017298E-2</v>
      </c>
      <c r="I349">
        <v>3.8914495960735603E-2</v>
      </c>
      <c r="J349">
        <v>3.39510942696249E-2</v>
      </c>
      <c r="K349">
        <v>2.61062111737068E-2</v>
      </c>
      <c r="L349">
        <v>1394.06331874851</v>
      </c>
      <c r="M349">
        <v>28.044551895982099</v>
      </c>
      <c r="N349">
        <v>49.852616127529402</v>
      </c>
      <c r="O349">
        <v>49.4581926935439</v>
      </c>
      <c r="P349">
        <v>-0.13625448453356201</v>
      </c>
      <c r="Q349">
        <v>3.8837467286718302E-2</v>
      </c>
      <c r="R349">
        <v>0.99543430178855297</v>
      </c>
      <c r="S349" t="s">
        <v>4645</v>
      </c>
      <c r="T349" t="s">
        <v>8590</v>
      </c>
      <c r="U349" t="s">
        <v>8590</v>
      </c>
      <c r="V349" t="s">
        <v>8590</v>
      </c>
      <c r="W349">
        <v>17</v>
      </c>
      <c r="X349" t="s">
        <v>8939</v>
      </c>
      <c r="Y349">
        <v>0.35668310505274331</v>
      </c>
      <c r="Z349" t="str">
        <f>HYPERLINK("Melting_Curves/meltCurve_sp_O95154_ARK73_HUMAN_.pdf", "Melting_Curves/meltCurve_sp_O95154_ARK73_HUMAN_.pdf")</f>
        <v>Melting_Curves/meltCurve_sp_O95154_ARK73_HUMAN_.pdf</v>
      </c>
      <c r="AA349" t="s">
        <v>13229</v>
      </c>
      <c r="AB349" t="s">
        <v>17434</v>
      </c>
    </row>
    <row r="350" spans="1:28" x14ac:dyDescent="0.25">
      <c r="A350" t="s">
        <v>354</v>
      </c>
      <c r="B350">
        <v>0.99876560204751996</v>
      </c>
      <c r="C350">
        <v>0.93116824035099899</v>
      </c>
      <c r="D350">
        <v>0.92162429634847298</v>
      </c>
      <c r="E350">
        <v>0.83467787578887598</v>
      </c>
      <c r="F350">
        <v>0.85428181199721798</v>
      </c>
      <c r="G350">
        <v>0.16525727750076999</v>
      </c>
      <c r="H350">
        <v>0.19721481735518601</v>
      </c>
      <c r="I350">
        <v>0.159246774338031</v>
      </c>
      <c r="J350">
        <v>0.16184107593862401</v>
      </c>
      <c r="K350">
        <v>3.9747441970443803E-2</v>
      </c>
      <c r="L350">
        <v>3297.44834207028</v>
      </c>
      <c r="M350">
        <v>60.708573470353599</v>
      </c>
      <c r="N350">
        <v>54.600156656070197</v>
      </c>
      <c r="O350">
        <v>54.2572021361133</v>
      </c>
      <c r="P350">
        <v>-0.24183995831508201</v>
      </c>
      <c r="Q350">
        <v>0.13544013561221499</v>
      </c>
      <c r="R350">
        <v>0.96559185953493198</v>
      </c>
      <c r="S350" t="s">
        <v>4646</v>
      </c>
      <c r="T350" t="s">
        <v>8590</v>
      </c>
      <c r="U350" t="s">
        <v>8590</v>
      </c>
      <c r="V350" t="s">
        <v>8590</v>
      </c>
      <c r="W350">
        <v>5</v>
      </c>
      <c r="X350" t="s">
        <v>8940</v>
      </c>
      <c r="Y350">
        <v>0.54941129637303632</v>
      </c>
      <c r="Z350" t="str">
        <f>HYPERLINK("Melting_Curves/meltCurve_sp_O95155_2_UBE4B_HUMAN_.pdf", "Melting_Curves/meltCurve_sp_O95155_2_UBE4B_HUMAN_.pdf")</f>
        <v>Melting_Curves/meltCurve_sp_O95155_2_UBE4B_HUMAN_.pdf</v>
      </c>
      <c r="AA350" t="s">
        <v>13230</v>
      </c>
      <c r="AB350" t="s">
        <v>17435</v>
      </c>
    </row>
    <row r="351" spans="1:28" x14ac:dyDescent="0.25">
      <c r="A351" t="s">
        <v>355</v>
      </c>
      <c r="B351">
        <v>0.99876560204751996</v>
      </c>
      <c r="C351">
        <v>1.0334185564649301</v>
      </c>
      <c r="D351">
        <v>0.96752270610811797</v>
      </c>
      <c r="E351">
        <v>0.89613684922146797</v>
      </c>
      <c r="F351">
        <v>0.69985301954294399</v>
      </c>
      <c r="G351">
        <v>0.26512231213125398</v>
      </c>
      <c r="H351">
        <v>0.151363406613166</v>
      </c>
      <c r="I351">
        <v>0.11500579487943099</v>
      </c>
      <c r="J351">
        <v>0.106969860617143</v>
      </c>
      <c r="K351">
        <v>9.7803950078871493E-2</v>
      </c>
      <c r="L351">
        <v>1491.40436824631</v>
      </c>
      <c r="M351">
        <v>27.539219010103501</v>
      </c>
      <c r="N351">
        <v>54.601806448333697</v>
      </c>
      <c r="O351">
        <v>53.872509952469102</v>
      </c>
      <c r="P351">
        <v>-0.11492327925246799</v>
      </c>
      <c r="Q351">
        <v>0.10075172095464099</v>
      </c>
      <c r="R351">
        <v>0.99806072987768402</v>
      </c>
      <c r="S351" t="s">
        <v>4647</v>
      </c>
      <c r="T351" t="s">
        <v>8590</v>
      </c>
      <c r="U351" t="s">
        <v>8590</v>
      </c>
      <c r="V351" t="s">
        <v>8590</v>
      </c>
      <c r="W351">
        <v>7</v>
      </c>
      <c r="X351" t="s">
        <v>8941</v>
      </c>
      <c r="Y351">
        <v>0.53202966653929284</v>
      </c>
      <c r="Z351" t="str">
        <f>HYPERLINK("Melting_Curves/meltCurve_sp_O95163_ELP1_HUMAN_.pdf", "Melting_Curves/meltCurve_sp_O95163_ELP1_HUMAN_.pdf")</f>
        <v>Melting_Curves/meltCurve_sp_O95163_ELP1_HUMAN_.pdf</v>
      </c>
      <c r="AA351" t="s">
        <v>13231</v>
      </c>
      <c r="AB351" t="s">
        <v>17436</v>
      </c>
    </row>
    <row r="352" spans="1:28" x14ac:dyDescent="0.25">
      <c r="A352" t="s">
        <v>356</v>
      </c>
      <c r="B352">
        <v>0.99876560204751996</v>
      </c>
      <c r="C352">
        <v>0.989279887401328</v>
      </c>
      <c r="D352">
        <v>1.1880701345765401</v>
      </c>
      <c r="E352">
        <v>1.0426282940118099</v>
      </c>
      <c r="F352">
        <v>1.04355344764238</v>
      </c>
      <c r="G352">
        <v>0.83458986935970203</v>
      </c>
      <c r="H352">
        <v>0.73594826932886903</v>
      </c>
      <c r="I352">
        <v>0.65355540345120999</v>
      </c>
      <c r="J352">
        <v>0.93225234106968702</v>
      </c>
      <c r="K352">
        <v>0.889039788820844</v>
      </c>
      <c r="L352">
        <v>14156.171929595899</v>
      </c>
      <c r="M352">
        <v>250</v>
      </c>
      <c r="O352">
        <v>56.621080965127703</v>
      </c>
      <c r="P352">
        <v>-0.217786716848721</v>
      </c>
      <c r="Q352">
        <v>0.80269894943278597</v>
      </c>
      <c r="R352">
        <v>0.59987978906908201</v>
      </c>
      <c r="S352" t="s">
        <v>4648</v>
      </c>
      <c r="T352" t="s">
        <v>8590</v>
      </c>
      <c r="U352" t="s">
        <v>8590</v>
      </c>
      <c r="V352" t="s">
        <v>8590</v>
      </c>
      <c r="W352">
        <v>1</v>
      </c>
      <c r="X352" t="s">
        <v>8942</v>
      </c>
      <c r="Y352">
        <v>0.9120541680522487</v>
      </c>
      <c r="Z352" t="str">
        <f>HYPERLINK("Melting_Curves/meltCurve_sp_O95202_LETM1_HUMAN_.pdf", "Melting_Curves/meltCurve_sp_O95202_LETM1_HUMAN_.pdf")</f>
        <v>Melting_Curves/meltCurve_sp_O95202_LETM1_HUMAN_.pdf</v>
      </c>
      <c r="AA352" t="s">
        <v>13232</v>
      </c>
      <c r="AB352" t="s">
        <v>17437</v>
      </c>
    </row>
    <row r="353" spans="1:28" x14ac:dyDescent="0.25">
      <c r="A353" t="s">
        <v>357</v>
      </c>
      <c r="B353">
        <v>0.99876560204751996</v>
      </c>
      <c r="C353">
        <v>0.96354024440340202</v>
      </c>
      <c r="D353">
        <v>1.02329871112507</v>
      </c>
      <c r="E353">
        <v>0.90700565943600497</v>
      </c>
      <c r="F353">
        <v>0.81582388909811798</v>
      </c>
      <c r="G353">
        <v>0.59994551073136604</v>
      </c>
      <c r="H353">
        <v>0.50329819074975402</v>
      </c>
      <c r="I353">
        <v>0.52053365422198505</v>
      </c>
      <c r="J353">
        <v>0.60034501193496004</v>
      </c>
      <c r="K353">
        <v>0.58733176016940103</v>
      </c>
      <c r="L353">
        <v>1593.0072976583101</v>
      </c>
      <c r="M353">
        <v>29.900245608850899</v>
      </c>
      <c r="O353">
        <v>53.040780726361398</v>
      </c>
      <c r="P353">
        <v>-6.3430062662265696E-2</v>
      </c>
      <c r="Q353">
        <v>0.54992230489414495</v>
      </c>
      <c r="R353">
        <v>0.96945325402337301</v>
      </c>
      <c r="S353" t="s">
        <v>4649</v>
      </c>
      <c r="T353" t="s">
        <v>8590</v>
      </c>
      <c r="U353" t="s">
        <v>8590</v>
      </c>
      <c r="V353" t="s">
        <v>8590</v>
      </c>
      <c r="W353">
        <v>9</v>
      </c>
      <c r="X353" t="s">
        <v>8943</v>
      </c>
      <c r="Y353">
        <v>0.75206663776039828</v>
      </c>
      <c r="Z353" t="str">
        <f>HYPERLINK("Melting_Curves/meltCurve_sp_O95210_STBD1_HUMAN_.pdf", "Melting_Curves/meltCurve_sp_O95210_STBD1_HUMAN_.pdf")</f>
        <v>Melting_Curves/meltCurve_sp_O95210_STBD1_HUMAN_.pdf</v>
      </c>
      <c r="AA353" t="s">
        <v>13233</v>
      </c>
      <c r="AB353" t="s">
        <v>17438</v>
      </c>
    </row>
    <row r="354" spans="1:28" x14ac:dyDescent="0.25">
      <c r="A354" t="s">
        <v>358</v>
      </c>
      <c r="B354">
        <v>0.99876560204751996</v>
      </c>
      <c r="C354">
        <v>0.98168180526740001</v>
      </c>
      <c r="D354">
        <v>1.0874883557377699</v>
      </c>
      <c r="E354">
        <v>0.95516457768290197</v>
      </c>
      <c r="F354">
        <v>0.99783925597373502</v>
      </c>
      <c r="G354">
        <v>0.83476743715723001</v>
      </c>
      <c r="H354">
        <v>0.81927839300420902</v>
      </c>
      <c r="I354">
        <v>0.904865815860455</v>
      </c>
      <c r="J354">
        <v>1.2083044784213699</v>
      </c>
      <c r="K354">
        <v>1.1373740226430999</v>
      </c>
      <c r="L354">
        <v>7540.4460119448804</v>
      </c>
      <c r="M354">
        <v>114.74262256035</v>
      </c>
      <c r="O354">
        <v>65.696198616085496</v>
      </c>
      <c r="P354">
        <v>7.7311880552214607E-2</v>
      </c>
      <c r="Q354">
        <v>1.17706054945331</v>
      </c>
      <c r="R354">
        <v>0.399332960483823</v>
      </c>
      <c r="S354" t="s">
        <v>4650</v>
      </c>
      <c r="T354" t="s">
        <v>8590</v>
      </c>
      <c r="U354" t="s">
        <v>8590</v>
      </c>
      <c r="V354" t="s">
        <v>8590</v>
      </c>
      <c r="W354">
        <v>9</v>
      </c>
      <c r="X354" t="s">
        <v>8944</v>
      </c>
      <c r="Y354">
        <v>1.0251896924046819</v>
      </c>
      <c r="Z354" t="str">
        <f>HYPERLINK("Melting_Curves/meltCurve_sp_O95218_2_ZRAB2_HUMAN_.pdf", "Melting_Curves/meltCurve_sp_O95218_2_ZRAB2_HUMAN_.pdf")</f>
        <v>Melting_Curves/meltCurve_sp_O95218_2_ZRAB2_HUMAN_.pdf</v>
      </c>
      <c r="AA354" t="s">
        <v>13234</v>
      </c>
      <c r="AB354" t="s">
        <v>17439</v>
      </c>
    </row>
    <row r="355" spans="1:28" x14ac:dyDescent="0.25">
      <c r="A355" t="s">
        <v>359</v>
      </c>
      <c r="B355">
        <v>0.99876560204751996</v>
      </c>
      <c r="C355">
        <v>0.87188083566632801</v>
      </c>
      <c r="D355">
        <v>0.71831019059407997</v>
      </c>
      <c r="E355">
        <v>0.46987822043424998</v>
      </c>
      <c r="F355">
        <v>0.27754800572842903</v>
      </c>
      <c r="G355">
        <v>0.15411750037784799</v>
      </c>
      <c r="H355">
        <v>0.138061594076648</v>
      </c>
      <c r="I355">
        <v>7.5459146266418198E-2</v>
      </c>
      <c r="J355">
        <v>7.6181316090914095E-2</v>
      </c>
      <c r="K355">
        <v>4.78875860880962E-2</v>
      </c>
      <c r="L355">
        <v>693.66239841818503</v>
      </c>
      <c r="M355">
        <v>14.1754467441754</v>
      </c>
      <c r="N355">
        <v>49.308933187460802</v>
      </c>
      <c r="O355">
        <v>47.991097587634002</v>
      </c>
      <c r="P355">
        <v>-7.0080948489935901E-2</v>
      </c>
      <c r="Q355">
        <v>5.1080538133715103E-2</v>
      </c>
      <c r="R355">
        <v>0.99692134068215499</v>
      </c>
      <c r="S355" t="s">
        <v>4651</v>
      </c>
      <c r="T355" t="s">
        <v>8590</v>
      </c>
      <c r="U355" t="s">
        <v>8590</v>
      </c>
      <c r="V355" t="s">
        <v>8590</v>
      </c>
      <c r="W355">
        <v>6</v>
      </c>
      <c r="X355" t="s">
        <v>8945</v>
      </c>
      <c r="Y355">
        <v>0.35976001496302917</v>
      </c>
      <c r="Z355" t="str">
        <f>HYPERLINK("Melting_Curves/meltCurve_sp_O95219_SNX4_HUMAN_.pdf", "Melting_Curves/meltCurve_sp_O95219_SNX4_HUMAN_.pdf")</f>
        <v>Melting_Curves/meltCurve_sp_O95219_SNX4_HUMAN_.pdf</v>
      </c>
      <c r="AA355" t="s">
        <v>13235</v>
      </c>
      <c r="AB355" t="s">
        <v>17440</v>
      </c>
    </row>
    <row r="356" spans="1:28" x14ac:dyDescent="0.25">
      <c r="A356" t="s">
        <v>360</v>
      </c>
      <c r="B356">
        <v>0.99876560204751996</v>
      </c>
      <c r="C356">
        <v>0.99327203079509097</v>
      </c>
      <c r="D356">
        <v>0.99070319702668197</v>
      </c>
      <c r="E356">
        <v>1.00752154345196</v>
      </c>
      <c r="F356">
        <v>0.93466970188702503</v>
      </c>
      <c r="G356">
        <v>0.50602298770350895</v>
      </c>
      <c r="H356">
        <v>0.51444784999588</v>
      </c>
      <c r="I356">
        <v>0.35114992363700598</v>
      </c>
      <c r="J356">
        <v>0.38723110051973902</v>
      </c>
      <c r="K356">
        <v>0.33857081624726898</v>
      </c>
      <c r="L356">
        <v>2426.9109219245302</v>
      </c>
      <c r="M356">
        <v>43.851694280019302</v>
      </c>
      <c r="N356">
        <v>57.337409427864202</v>
      </c>
      <c r="O356">
        <v>55.2289066799338</v>
      </c>
      <c r="P356">
        <v>-0.120852041914187</v>
      </c>
      <c r="Q356">
        <v>0.39117392489935499</v>
      </c>
      <c r="R356">
        <v>0.97828554493445097</v>
      </c>
      <c r="S356" t="s">
        <v>4652</v>
      </c>
      <c r="T356" t="s">
        <v>8590</v>
      </c>
      <c r="U356" t="s">
        <v>8590</v>
      </c>
      <c r="V356" t="s">
        <v>8590</v>
      </c>
      <c r="W356">
        <v>7</v>
      </c>
      <c r="X356" t="s">
        <v>8946</v>
      </c>
      <c r="Y356">
        <v>0.7044912624946863</v>
      </c>
      <c r="Z356" t="str">
        <f>HYPERLINK("Melting_Curves/meltCurve_sp_O95232_LC7L3_HUMAN_.pdf", "Melting_Curves/meltCurve_sp_O95232_LC7L3_HUMAN_.pdf")</f>
        <v>Melting_Curves/meltCurve_sp_O95232_LC7L3_HUMAN_.pdf</v>
      </c>
      <c r="AA356" t="s">
        <v>13236</v>
      </c>
      <c r="AB356" t="s">
        <v>17441</v>
      </c>
    </row>
    <row r="357" spans="1:28" x14ac:dyDescent="0.25">
      <c r="A357" t="s">
        <v>361</v>
      </c>
      <c r="B357">
        <v>0.99876560204751996</v>
      </c>
      <c r="C357">
        <v>1.05638486009232</v>
      </c>
      <c r="D357">
        <v>1.4293966419534101</v>
      </c>
      <c r="E357">
        <v>1.2504665075893799</v>
      </c>
      <c r="F357">
        <v>1.2358325076874299</v>
      </c>
      <c r="G357">
        <v>1.2415494842958399</v>
      </c>
      <c r="H357">
        <v>1.04132825183496</v>
      </c>
      <c r="I357">
        <v>1.1429410334813701</v>
      </c>
      <c r="J357">
        <v>1.3400804770016299</v>
      </c>
      <c r="K357">
        <v>1.33388022843215</v>
      </c>
      <c r="L357">
        <v>10778.350854512701</v>
      </c>
      <c r="M357">
        <v>250</v>
      </c>
      <c r="O357">
        <v>43.110644463744997</v>
      </c>
      <c r="P357">
        <v>0.36524388675166197</v>
      </c>
      <c r="Q357">
        <v>1.2519343891110699</v>
      </c>
      <c r="R357">
        <v>0.44483919587933601</v>
      </c>
      <c r="S357" t="s">
        <v>4653</v>
      </c>
      <c r="T357" t="s">
        <v>8590</v>
      </c>
      <c r="U357" t="s">
        <v>8590</v>
      </c>
      <c r="V357" t="s">
        <v>8590</v>
      </c>
      <c r="W357">
        <v>1</v>
      </c>
      <c r="X357" t="s">
        <v>8947</v>
      </c>
      <c r="Y357">
        <v>1.2257695473002239</v>
      </c>
      <c r="Z357" t="str">
        <f>HYPERLINK("Melting_Curves/meltCurve_sp_O95243_3_MBD4_HUMAN_.pdf", "Melting_Curves/meltCurve_sp_O95243_3_MBD4_HUMAN_.pdf")</f>
        <v>Melting_Curves/meltCurve_sp_O95243_3_MBD4_HUMAN_.pdf</v>
      </c>
      <c r="AA357" t="s">
        <v>13237</v>
      </c>
      <c r="AB357" t="s">
        <v>17442</v>
      </c>
    </row>
    <row r="358" spans="1:28" x14ac:dyDescent="0.25">
      <c r="A358" t="s">
        <v>362</v>
      </c>
      <c r="B358">
        <v>0.99876560204751996</v>
      </c>
      <c r="C358">
        <v>0.74467317836330205</v>
      </c>
      <c r="D358">
        <v>0.63802676171211103</v>
      </c>
      <c r="E358">
        <v>0.62287674065552501</v>
      </c>
      <c r="F358">
        <v>0.83566196018070904</v>
      </c>
      <c r="G358">
        <v>0.62032036541634195</v>
      </c>
      <c r="H358">
        <v>0.59188062910650396</v>
      </c>
      <c r="I358">
        <v>0.50267484506670301</v>
      </c>
      <c r="J358">
        <v>0.70018924344745503</v>
      </c>
      <c r="K358">
        <v>0.90368425582941903</v>
      </c>
      <c r="L358">
        <v>10668.0893025365</v>
      </c>
      <c r="M358">
        <v>250</v>
      </c>
      <c r="O358">
        <v>42.669620101244803</v>
      </c>
      <c r="P358">
        <v>-0.47323716694169299</v>
      </c>
      <c r="Q358">
        <v>0.676914350002354</v>
      </c>
      <c r="R358">
        <v>0.43176265103693401</v>
      </c>
      <c r="S358" t="s">
        <v>4654</v>
      </c>
      <c r="T358" t="s">
        <v>8590</v>
      </c>
      <c r="U358" t="s">
        <v>8590</v>
      </c>
      <c r="V358" t="s">
        <v>8590</v>
      </c>
      <c r="W358">
        <v>1</v>
      </c>
      <c r="X358" t="s">
        <v>8948</v>
      </c>
      <c r="Y358">
        <v>0.70571855463280542</v>
      </c>
      <c r="Z358" t="str">
        <f>HYPERLINK("Melting_Curves/meltCurve_sp_O95251_2_KAT7_HUMAN_.pdf", "Melting_Curves/meltCurve_sp_O95251_2_KAT7_HUMAN_.pdf")</f>
        <v>Melting_Curves/meltCurve_sp_O95251_2_KAT7_HUMAN_.pdf</v>
      </c>
      <c r="AA358" t="s">
        <v>13238</v>
      </c>
      <c r="AB358" t="s">
        <v>17443</v>
      </c>
    </row>
    <row r="359" spans="1:28" x14ac:dyDescent="0.25">
      <c r="A359" t="s">
        <v>363</v>
      </c>
      <c r="B359">
        <v>0.99876560204751996</v>
      </c>
      <c r="C359">
        <v>0.99713920569004999</v>
      </c>
      <c r="D359">
        <v>1.0538468546461299</v>
      </c>
      <c r="E359">
        <v>0.96584212395610403</v>
      </c>
      <c r="F359">
        <v>0.65294866447618205</v>
      </c>
      <c r="G359">
        <v>0.20293518115057199</v>
      </c>
      <c r="H359">
        <v>0.118174750273618</v>
      </c>
      <c r="I359">
        <v>8.3968798710185893E-2</v>
      </c>
      <c r="J359">
        <v>8.2273014077877293E-2</v>
      </c>
      <c r="K359">
        <v>7.5839181400472896E-2</v>
      </c>
      <c r="L359">
        <v>1935.1979456013901</v>
      </c>
      <c r="M359">
        <v>35.973483776139801</v>
      </c>
      <c r="N359">
        <v>54.083172471729803</v>
      </c>
      <c r="O359">
        <v>53.629693949948297</v>
      </c>
      <c r="P359">
        <v>-0.15307434700216899</v>
      </c>
      <c r="Q359">
        <v>8.7182711287717707E-2</v>
      </c>
      <c r="R359">
        <v>0.99758837358170405</v>
      </c>
      <c r="S359" t="s">
        <v>4655</v>
      </c>
      <c r="T359" t="s">
        <v>8590</v>
      </c>
      <c r="U359" t="s">
        <v>8590</v>
      </c>
      <c r="V359" t="s">
        <v>8590</v>
      </c>
      <c r="W359">
        <v>2</v>
      </c>
      <c r="X359" t="s">
        <v>8949</v>
      </c>
      <c r="Y359">
        <v>0.51111695465783225</v>
      </c>
      <c r="Z359" t="str">
        <f>HYPERLINK("Melting_Curves/meltCurve_sp_O95278_6_EPM2A_HUMAN_.pdf", "Melting_Curves/meltCurve_sp_O95278_6_EPM2A_HUMAN_.pdf")</f>
        <v>Melting_Curves/meltCurve_sp_O95278_6_EPM2A_HUMAN_.pdf</v>
      </c>
      <c r="AA359" t="s">
        <v>13239</v>
      </c>
      <c r="AB359" t="s">
        <v>17444</v>
      </c>
    </row>
    <row r="360" spans="1:28" x14ac:dyDescent="0.25">
      <c r="A360" t="s">
        <v>364</v>
      </c>
      <c r="B360">
        <v>0.99876560204751996</v>
      </c>
      <c r="C360">
        <v>0.93940421323190304</v>
      </c>
      <c r="D360">
        <v>1.0178779767677799</v>
      </c>
      <c r="E360">
        <v>0.867588390526429</v>
      </c>
      <c r="F360">
        <v>0.86326175819668105</v>
      </c>
      <c r="G360">
        <v>0.66267412355302802</v>
      </c>
      <c r="H360">
        <v>0.56528192974722802</v>
      </c>
      <c r="I360">
        <v>0.547060723946726</v>
      </c>
      <c r="J360">
        <v>0.65517131378304705</v>
      </c>
      <c r="K360">
        <v>0.64619279794010598</v>
      </c>
      <c r="L360">
        <v>1232.8675443973</v>
      </c>
      <c r="M360">
        <v>23.128835274578702</v>
      </c>
      <c r="O360">
        <v>52.910680928055399</v>
      </c>
      <c r="P360">
        <v>-4.39939682339976E-2</v>
      </c>
      <c r="Q360">
        <v>0.59743625627241403</v>
      </c>
      <c r="R360">
        <v>0.92454175961865404</v>
      </c>
      <c r="S360" t="s">
        <v>4656</v>
      </c>
      <c r="T360" t="s">
        <v>8590</v>
      </c>
      <c r="U360" t="s">
        <v>8590</v>
      </c>
      <c r="V360" t="s">
        <v>8590</v>
      </c>
      <c r="W360">
        <v>12</v>
      </c>
      <c r="X360" t="s">
        <v>8950</v>
      </c>
      <c r="Y360">
        <v>0.78024826813958426</v>
      </c>
      <c r="Z360" t="str">
        <f>HYPERLINK("Melting_Curves/meltCurve_sp_O95292_VAPB_HUMAN_.pdf", "Melting_Curves/meltCurve_sp_O95292_VAPB_HUMAN_.pdf")</f>
        <v>Melting_Curves/meltCurve_sp_O95292_VAPB_HUMAN_.pdf</v>
      </c>
      <c r="AA360" t="s">
        <v>13240</v>
      </c>
      <c r="AB360" t="s">
        <v>17445</v>
      </c>
    </row>
    <row r="361" spans="1:28" x14ac:dyDescent="0.25">
      <c r="A361" t="s">
        <v>365</v>
      </c>
      <c r="B361">
        <v>0.99876560204751996</v>
      </c>
      <c r="C361">
        <v>1.0291899425809199</v>
      </c>
      <c r="D361">
        <v>0.96058454824365802</v>
      </c>
      <c r="E361">
        <v>0.98287813032309601</v>
      </c>
      <c r="F361">
        <v>0.77000162063038002</v>
      </c>
      <c r="G361">
        <v>0.461810621497945</v>
      </c>
      <c r="H361">
        <v>0.33984580454728602</v>
      </c>
      <c r="I361">
        <v>0.29193722507932701</v>
      </c>
      <c r="J361">
        <v>0.30507417515670299</v>
      </c>
      <c r="K361">
        <v>0.152477653132021</v>
      </c>
      <c r="L361">
        <v>1259.1849598574599</v>
      </c>
      <c r="M361">
        <v>22.831342345192901</v>
      </c>
      <c r="N361">
        <v>56.738781321408098</v>
      </c>
      <c r="O361">
        <v>54.733696936347499</v>
      </c>
      <c r="P361">
        <v>-7.9673880941158806E-2</v>
      </c>
      <c r="Q361">
        <v>0.23600394416831599</v>
      </c>
      <c r="R361">
        <v>0.98430595366580897</v>
      </c>
      <c r="S361" t="s">
        <v>4657</v>
      </c>
      <c r="T361" t="s">
        <v>8590</v>
      </c>
      <c r="U361" t="s">
        <v>8590</v>
      </c>
      <c r="V361" t="s">
        <v>8590</v>
      </c>
      <c r="W361">
        <v>3</v>
      </c>
      <c r="X361" t="s">
        <v>8951</v>
      </c>
      <c r="Y361">
        <v>0.63009915278460926</v>
      </c>
      <c r="Z361" t="str">
        <f>HYPERLINK("Melting_Curves/meltCurve_sp_O95295_SNAPN_HUMAN_.pdf", "Melting_Curves/meltCurve_sp_O95295_SNAPN_HUMAN_.pdf")</f>
        <v>Melting_Curves/meltCurve_sp_O95295_SNAPN_HUMAN_.pdf</v>
      </c>
      <c r="AA361" t="s">
        <v>13241</v>
      </c>
      <c r="AB361" t="s">
        <v>17446</v>
      </c>
    </row>
    <row r="362" spans="1:28" x14ac:dyDescent="0.25">
      <c r="A362" t="s">
        <v>366</v>
      </c>
      <c r="B362">
        <v>0.99876560204751996</v>
      </c>
      <c r="C362">
        <v>1.08723124558684</v>
      </c>
      <c r="D362">
        <v>1.0252392355301401</v>
      </c>
      <c r="E362">
        <v>0.90466176646397201</v>
      </c>
      <c r="F362">
        <v>0.67809521207546797</v>
      </c>
      <c r="G362">
        <v>0.36687408541257199</v>
      </c>
      <c r="H362">
        <v>0.22529651899492401</v>
      </c>
      <c r="I362">
        <v>0.15333427319029599</v>
      </c>
      <c r="J362">
        <v>0.13381936364404501</v>
      </c>
      <c r="K362">
        <v>0.11627472820892699</v>
      </c>
      <c r="L362">
        <v>1199.4175170993601</v>
      </c>
      <c r="M362">
        <v>22.0011957103608</v>
      </c>
      <c r="N362">
        <v>55.226347708393398</v>
      </c>
      <c r="O362">
        <v>54.0716277660174</v>
      </c>
      <c r="P362">
        <v>-8.9188782324177998E-2</v>
      </c>
      <c r="Q362">
        <v>0.123234040885739</v>
      </c>
      <c r="R362">
        <v>0.99283768093639302</v>
      </c>
      <c r="S362" t="s">
        <v>4658</v>
      </c>
      <c r="T362" t="s">
        <v>8590</v>
      </c>
      <c r="U362" t="s">
        <v>8590</v>
      </c>
      <c r="V362" t="s">
        <v>8590</v>
      </c>
      <c r="W362">
        <v>4</v>
      </c>
      <c r="X362" t="s">
        <v>8952</v>
      </c>
      <c r="Y362">
        <v>0.55759732882262658</v>
      </c>
      <c r="Z362" t="str">
        <f>HYPERLINK("Melting_Curves/meltCurve_sp_O95302_FKBP9_HUMAN_.pdf", "Melting_Curves/meltCurve_sp_O95302_FKBP9_HUMAN_.pdf")</f>
        <v>Melting_Curves/meltCurve_sp_O95302_FKBP9_HUMAN_.pdf</v>
      </c>
      <c r="AA362" t="s">
        <v>13242</v>
      </c>
      <c r="AB362" t="s">
        <v>17447</v>
      </c>
    </row>
    <row r="363" spans="1:28" x14ac:dyDescent="0.25">
      <c r="A363" t="s">
        <v>367</v>
      </c>
      <c r="B363">
        <v>0.99876560204751996</v>
      </c>
      <c r="C363">
        <v>0.93136512508497704</v>
      </c>
      <c r="D363">
        <v>1.0445823180623399</v>
      </c>
      <c r="E363">
        <v>0.88957786361290603</v>
      </c>
      <c r="F363">
        <v>0.86020827038172898</v>
      </c>
      <c r="G363">
        <v>0.67429866372561698</v>
      </c>
      <c r="H363">
        <v>0.43022761346241301</v>
      </c>
      <c r="I363">
        <v>0.228731856643454</v>
      </c>
      <c r="J363">
        <v>0.108514214246554</v>
      </c>
      <c r="K363">
        <v>7.0877065037888098E-2</v>
      </c>
      <c r="L363">
        <v>949.44833126697404</v>
      </c>
      <c r="M363">
        <v>15.9840452780738</v>
      </c>
      <c r="N363">
        <v>59.399752695892801</v>
      </c>
      <c r="O363">
        <v>58.493337022579702</v>
      </c>
      <c r="P363">
        <v>-6.8321045792934701E-2</v>
      </c>
      <c r="Q363">
        <v>0</v>
      </c>
      <c r="R363">
        <v>0.989247543132039</v>
      </c>
      <c r="S363" t="s">
        <v>4659</v>
      </c>
      <c r="T363" t="s">
        <v>8590</v>
      </c>
      <c r="U363" t="s">
        <v>8590</v>
      </c>
      <c r="V363" t="s">
        <v>8590</v>
      </c>
      <c r="W363">
        <v>11</v>
      </c>
      <c r="X363" t="s">
        <v>8953</v>
      </c>
      <c r="Y363">
        <v>0.65618064583863533</v>
      </c>
      <c r="Z363" t="str">
        <f>HYPERLINK("Melting_Curves/meltCurve_sp_O95336_6PGL_HUMAN_.pdf", "Melting_Curves/meltCurve_sp_O95336_6PGL_HUMAN_.pdf")</f>
        <v>Melting_Curves/meltCurve_sp_O95336_6PGL_HUMAN_.pdf</v>
      </c>
      <c r="AA363" t="s">
        <v>13243</v>
      </c>
      <c r="AB363" t="s">
        <v>17448</v>
      </c>
    </row>
    <row r="364" spans="1:28" x14ac:dyDescent="0.25">
      <c r="A364" t="s">
        <v>368</v>
      </c>
      <c r="B364">
        <v>0.99876560204751996</v>
      </c>
      <c r="C364">
        <v>0.84154615978486902</v>
      </c>
      <c r="D364">
        <v>0.63085169619183601</v>
      </c>
      <c r="E364">
        <v>0.30962422655981497</v>
      </c>
      <c r="F364">
        <v>0.14920417838954</v>
      </c>
      <c r="G364">
        <v>8.20039818056289E-2</v>
      </c>
      <c r="H364">
        <v>5.4252329275144798E-2</v>
      </c>
      <c r="I364">
        <v>4.1821203904426202E-2</v>
      </c>
      <c r="J364">
        <v>4.1262696048975797E-2</v>
      </c>
      <c r="K364">
        <v>3.7012765920595103E-2</v>
      </c>
      <c r="L364">
        <v>832.235766108588</v>
      </c>
      <c r="M364">
        <v>17.613986495948001</v>
      </c>
      <c r="N364">
        <v>47.441075955436297</v>
      </c>
      <c r="O364">
        <v>46.6521837254421</v>
      </c>
      <c r="P364">
        <v>-9.1139433307560302E-2</v>
      </c>
      <c r="Q364">
        <v>3.4488793713070502E-2</v>
      </c>
      <c r="R364">
        <v>0.99840092958387805</v>
      </c>
      <c r="S364" t="s">
        <v>4660</v>
      </c>
      <c r="T364" t="s">
        <v>8590</v>
      </c>
      <c r="U364" t="s">
        <v>8590</v>
      </c>
      <c r="V364" t="s">
        <v>8590</v>
      </c>
      <c r="W364">
        <v>28</v>
      </c>
      <c r="X364" t="s">
        <v>8954</v>
      </c>
      <c r="Y364">
        <v>0.28622428058895349</v>
      </c>
      <c r="Z364" t="str">
        <f>HYPERLINK("Melting_Curves/meltCurve_sp_O95340_PAPS2_HUMAN_.pdf", "Melting_Curves/meltCurve_sp_O95340_PAPS2_HUMAN_.pdf")</f>
        <v>Melting_Curves/meltCurve_sp_O95340_PAPS2_HUMAN_.pdf</v>
      </c>
      <c r="AA364" t="s">
        <v>13244</v>
      </c>
      <c r="AB364" t="s">
        <v>17449</v>
      </c>
    </row>
    <row r="365" spans="1:28" x14ac:dyDescent="0.25">
      <c r="A365" t="s">
        <v>369</v>
      </c>
      <c r="B365">
        <v>0.99876560204751996</v>
      </c>
      <c r="C365">
        <v>0.91863697616737605</v>
      </c>
      <c r="D365">
        <v>0.86550208979227805</v>
      </c>
      <c r="E365">
        <v>0.59845112609479101</v>
      </c>
      <c r="F365">
        <v>0.26086622493109601</v>
      </c>
      <c r="G365">
        <v>0.14668539929194299</v>
      </c>
      <c r="H365">
        <v>8.74060926682209E-2</v>
      </c>
      <c r="I365">
        <v>8.1306915060679996E-2</v>
      </c>
      <c r="J365">
        <v>6.3280459281920207E-2</v>
      </c>
      <c r="K365">
        <v>5.9174073831310001E-2</v>
      </c>
      <c r="L365">
        <v>1021.9112563706</v>
      </c>
      <c r="M365">
        <v>20.322635901562599</v>
      </c>
      <c r="N365">
        <v>50.598031630875099</v>
      </c>
      <c r="O365">
        <v>49.805098259521898</v>
      </c>
      <c r="P365">
        <v>-9.5976568580714794E-2</v>
      </c>
      <c r="Q365">
        <v>5.9181805575092797E-2</v>
      </c>
      <c r="R365">
        <v>0.99506436777887497</v>
      </c>
      <c r="S365" t="s">
        <v>4661</v>
      </c>
      <c r="T365" t="s">
        <v>8590</v>
      </c>
      <c r="U365" t="s">
        <v>8590</v>
      </c>
      <c r="V365" t="s">
        <v>8590</v>
      </c>
      <c r="W365">
        <v>10</v>
      </c>
      <c r="X365" t="s">
        <v>8955</v>
      </c>
      <c r="Y365">
        <v>0.39439269918403552</v>
      </c>
      <c r="Z365" t="str">
        <f>HYPERLINK("Melting_Curves/meltCurve_sp_O95352_ATG7_HUMAN_.pdf", "Melting_Curves/meltCurve_sp_O95352_ATG7_HUMAN_.pdf")</f>
        <v>Melting_Curves/meltCurve_sp_O95352_ATG7_HUMAN_.pdf</v>
      </c>
      <c r="AA365" t="s">
        <v>13245</v>
      </c>
      <c r="AB365" t="s">
        <v>17450</v>
      </c>
    </row>
    <row r="366" spans="1:28" x14ac:dyDescent="0.25">
      <c r="A366" t="s">
        <v>370</v>
      </c>
      <c r="B366">
        <v>0.99876560204751996</v>
      </c>
      <c r="C366">
        <v>0.79738022675175801</v>
      </c>
      <c r="D366">
        <v>0.55748206817590396</v>
      </c>
      <c r="E366">
        <v>0.31856015017568601</v>
      </c>
      <c r="F366">
        <v>0.18615188110426301</v>
      </c>
      <c r="G366">
        <v>0.117440719912755</v>
      </c>
      <c r="H366">
        <v>8.1581054278487497E-2</v>
      </c>
      <c r="I366">
        <v>6.2246857352830802E-2</v>
      </c>
      <c r="J366">
        <v>5.9427837771669802E-2</v>
      </c>
      <c r="K366">
        <v>4.1953553641587503E-2</v>
      </c>
      <c r="L366">
        <v>731.72761942534601</v>
      </c>
      <c r="M366">
        <v>15.6687032816653</v>
      </c>
      <c r="N366">
        <v>47.038781925172103</v>
      </c>
      <c r="O366">
        <v>45.959117519908702</v>
      </c>
      <c r="P366">
        <v>-8.0690230676857405E-2</v>
      </c>
      <c r="Q366">
        <v>5.3365002285782198E-2</v>
      </c>
      <c r="R366">
        <v>0.99484291560361904</v>
      </c>
      <c r="S366" t="s">
        <v>4662</v>
      </c>
      <c r="T366" t="s">
        <v>8590</v>
      </c>
      <c r="U366" t="s">
        <v>8590</v>
      </c>
      <c r="V366" t="s">
        <v>8590</v>
      </c>
      <c r="W366">
        <v>6</v>
      </c>
      <c r="X366" t="s">
        <v>8956</v>
      </c>
      <c r="Y366">
        <v>0.28871682648420272</v>
      </c>
      <c r="Z366" t="str">
        <f>HYPERLINK("Melting_Curves/meltCurve_sp_O95363_SYFM_HUMAN_.pdf", "Melting_Curves/meltCurve_sp_O95363_SYFM_HUMAN_.pdf")</f>
        <v>Melting_Curves/meltCurve_sp_O95363_SYFM_HUMAN_.pdf</v>
      </c>
      <c r="AA366" t="s">
        <v>13246</v>
      </c>
      <c r="AB366" t="s">
        <v>17451</v>
      </c>
    </row>
    <row r="367" spans="1:28" x14ac:dyDescent="0.25">
      <c r="A367" t="s">
        <v>371</v>
      </c>
      <c r="B367">
        <v>0.99876560204751996</v>
      </c>
      <c r="C367">
        <v>0.92305523473241202</v>
      </c>
      <c r="D367">
        <v>1.00634583952837</v>
      </c>
      <c r="E367">
        <v>0.82784427308719</v>
      </c>
      <c r="F367">
        <v>0.73662319925707498</v>
      </c>
      <c r="G367">
        <v>0.34521217611482002</v>
      </c>
      <c r="H367">
        <v>0.101673853724809</v>
      </c>
      <c r="I367">
        <v>6.9150783854466893E-2</v>
      </c>
      <c r="J367">
        <v>7.0467054497872203E-2</v>
      </c>
      <c r="K367">
        <v>6.2560861948895694E-2</v>
      </c>
      <c r="L367">
        <v>1160.05472432078</v>
      </c>
      <c r="M367">
        <v>21.1129929562433</v>
      </c>
      <c r="N367">
        <v>55.124879569403497</v>
      </c>
      <c r="O367">
        <v>54.4592575528442</v>
      </c>
      <c r="P367">
        <v>-9.3698337833973494E-2</v>
      </c>
      <c r="Q367">
        <v>3.3276149433559499E-2</v>
      </c>
      <c r="R367">
        <v>0.99106959743753997</v>
      </c>
      <c r="S367" t="s">
        <v>4663</v>
      </c>
      <c r="T367" t="s">
        <v>8590</v>
      </c>
      <c r="U367" t="s">
        <v>8590</v>
      </c>
      <c r="V367" t="s">
        <v>8590</v>
      </c>
      <c r="W367">
        <v>9</v>
      </c>
      <c r="X367" t="s">
        <v>8957</v>
      </c>
      <c r="Y367">
        <v>0.52672699214894481</v>
      </c>
      <c r="Z367" t="str">
        <f>HYPERLINK("Melting_Curves/meltCurve_sp_O95372_LYPA2_HUMAN_.pdf", "Melting_Curves/meltCurve_sp_O95372_LYPA2_HUMAN_.pdf")</f>
        <v>Melting_Curves/meltCurve_sp_O95372_LYPA2_HUMAN_.pdf</v>
      </c>
      <c r="AA367" t="s">
        <v>13247</v>
      </c>
      <c r="AB367" t="s">
        <v>17452</v>
      </c>
    </row>
    <row r="368" spans="1:28" x14ac:dyDescent="0.25">
      <c r="A368" t="s">
        <v>372</v>
      </c>
      <c r="B368">
        <v>0.99876560204751996</v>
      </c>
      <c r="C368">
        <v>1.0611196535290399</v>
      </c>
      <c r="D368">
        <v>0.94421400095330099</v>
      </c>
      <c r="E368">
        <v>1.02644857576663</v>
      </c>
      <c r="F368">
        <v>0.83230376347373503</v>
      </c>
      <c r="G368">
        <v>0.386944583021332</v>
      </c>
      <c r="H368">
        <v>0.103778441696275</v>
      </c>
      <c r="I368">
        <v>8.8532582093972106E-2</v>
      </c>
      <c r="J368">
        <v>8.3830511477814895E-2</v>
      </c>
      <c r="K368">
        <v>7.0633757587911697E-2</v>
      </c>
      <c r="L368">
        <v>1803.07523765986</v>
      </c>
      <c r="M368">
        <v>32.3506631439611</v>
      </c>
      <c r="N368">
        <v>55.9970752342319</v>
      </c>
      <c r="O368">
        <v>55.5236779281922</v>
      </c>
      <c r="P368">
        <v>-0.13544153711985499</v>
      </c>
      <c r="Q368">
        <v>7.0167513279680196E-2</v>
      </c>
      <c r="R368">
        <v>0.99437160361587795</v>
      </c>
      <c r="S368" t="s">
        <v>4664</v>
      </c>
      <c r="T368" t="s">
        <v>8590</v>
      </c>
      <c r="U368" t="s">
        <v>8590</v>
      </c>
      <c r="V368" t="s">
        <v>8590</v>
      </c>
      <c r="W368">
        <v>17</v>
      </c>
      <c r="X368" t="s">
        <v>8958</v>
      </c>
      <c r="Y368">
        <v>0.56325400448798513</v>
      </c>
      <c r="Z368" t="str">
        <f>HYPERLINK("Melting_Curves/meltCurve_sp_O95373_IPO7_HUMAN_.pdf", "Melting_Curves/meltCurve_sp_O95373_IPO7_HUMAN_.pdf")</f>
        <v>Melting_Curves/meltCurve_sp_O95373_IPO7_HUMAN_.pdf</v>
      </c>
      <c r="AA368" t="s">
        <v>13248</v>
      </c>
      <c r="AB368" t="s">
        <v>17453</v>
      </c>
    </row>
    <row r="369" spans="1:28" x14ac:dyDescent="0.25">
      <c r="A369" t="s">
        <v>373</v>
      </c>
      <c r="B369">
        <v>0.99876560204751996</v>
      </c>
      <c r="C369">
        <v>0.94210421526330601</v>
      </c>
      <c r="D369">
        <v>1.08538965161491</v>
      </c>
      <c r="E369">
        <v>1.04303787237302</v>
      </c>
      <c r="F369">
        <v>0.92931682015942996</v>
      </c>
      <c r="G369">
        <v>0.36115725158037998</v>
      </c>
      <c r="H369">
        <v>0.26807117628494098</v>
      </c>
      <c r="I369">
        <v>0.24267001754703901</v>
      </c>
      <c r="J369">
        <v>0.30667518509687097</v>
      </c>
      <c r="K369">
        <v>0.20397190738897999</v>
      </c>
      <c r="L369">
        <v>3089.5688848676</v>
      </c>
      <c r="M369">
        <v>55.995301640889203</v>
      </c>
      <c r="N369">
        <v>55.8849972338231</v>
      </c>
      <c r="O369">
        <v>55.105262519729102</v>
      </c>
      <c r="P369">
        <v>-0.189411587812297</v>
      </c>
      <c r="Q369">
        <v>0.25439675448292098</v>
      </c>
      <c r="R369">
        <v>0.98639487675737203</v>
      </c>
      <c r="S369" t="s">
        <v>4665</v>
      </c>
      <c r="T369" t="s">
        <v>8590</v>
      </c>
      <c r="U369" t="s">
        <v>8590</v>
      </c>
      <c r="V369" t="s">
        <v>8590</v>
      </c>
      <c r="W369">
        <v>2</v>
      </c>
      <c r="X369" t="s">
        <v>8959</v>
      </c>
      <c r="Y369">
        <v>0.63300514707393218</v>
      </c>
      <c r="Z369" t="str">
        <f>HYPERLINK("Melting_Curves/meltCurve_sp_O95376_ARI2_HUMAN_.pdf", "Melting_Curves/meltCurve_sp_O95376_ARI2_HUMAN_.pdf")</f>
        <v>Melting_Curves/meltCurve_sp_O95376_ARI2_HUMAN_.pdf</v>
      </c>
      <c r="AA369" t="s">
        <v>13249</v>
      </c>
      <c r="AB369" t="s">
        <v>17454</v>
      </c>
    </row>
    <row r="370" spans="1:28" x14ac:dyDescent="0.25">
      <c r="A370" t="s">
        <v>374</v>
      </c>
      <c r="B370">
        <v>0.99876560204751996</v>
      </c>
      <c r="C370">
        <v>0.929048098395164</v>
      </c>
      <c r="D370">
        <v>1.0142879579853801</v>
      </c>
      <c r="E370">
        <v>0.82933365743196097</v>
      </c>
      <c r="F370">
        <v>0.972750635049626</v>
      </c>
      <c r="G370">
        <v>0.74451164756087396</v>
      </c>
      <c r="H370">
        <v>0.66159470381921304</v>
      </c>
      <c r="I370">
        <v>0.67584819320216105</v>
      </c>
      <c r="J370">
        <v>0.74312876209119405</v>
      </c>
      <c r="K370">
        <v>0.68862674291579395</v>
      </c>
      <c r="L370">
        <v>881.40877016720003</v>
      </c>
      <c r="M370">
        <v>16.329415914828498</v>
      </c>
      <c r="O370">
        <v>53.186723211396597</v>
      </c>
      <c r="P370">
        <v>-2.5010633728922899E-2</v>
      </c>
      <c r="Q370">
        <v>0.67417392507000395</v>
      </c>
      <c r="R370">
        <v>0.80256565484810405</v>
      </c>
      <c r="S370" t="s">
        <v>4666</v>
      </c>
      <c r="T370" t="s">
        <v>8590</v>
      </c>
      <c r="U370" t="s">
        <v>8590</v>
      </c>
      <c r="V370" t="s">
        <v>8590</v>
      </c>
      <c r="W370">
        <v>3</v>
      </c>
      <c r="X370" t="s">
        <v>8960</v>
      </c>
      <c r="Y370">
        <v>0.83196642278607913</v>
      </c>
      <c r="Z370" t="str">
        <f>HYPERLINK("Melting_Curves/meltCurve_sp_O95391_SLU7_HUMAN_.pdf", "Melting_Curves/meltCurve_sp_O95391_SLU7_HUMAN_.pdf")</f>
        <v>Melting_Curves/meltCurve_sp_O95391_SLU7_HUMAN_.pdf</v>
      </c>
      <c r="AA370" t="s">
        <v>13250</v>
      </c>
      <c r="AB370" t="s">
        <v>17455</v>
      </c>
    </row>
    <row r="371" spans="1:28" x14ac:dyDescent="0.25">
      <c r="A371" t="s">
        <v>375</v>
      </c>
      <c r="B371">
        <v>0.99876560204751996</v>
      </c>
      <c r="C371">
        <v>0.85063297721656494</v>
      </c>
      <c r="D371">
        <v>0.890423002354369</v>
      </c>
      <c r="E371">
        <v>0.64323533756669804</v>
      </c>
      <c r="F371">
        <v>0.21797998400281399</v>
      </c>
      <c r="G371">
        <v>9.6045626532714298E-2</v>
      </c>
      <c r="H371">
        <v>4.9698516698910601E-2</v>
      </c>
      <c r="I371">
        <v>3.9491717103532303E-2</v>
      </c>
      <c r="J371">
        <v>3.1556462760808E-2</v>
      </c>
      <c r="K371">
        <v>2.6566893362075399E-2</v>
      </c>
      <c r="L371">
        <v>1237.3021115065101</v>
      </c>
      <c r="M371">
        <v>24.438052195674299</v>
      </c>
      <c r="N371">
        <v>50.747670780430397</v>
      </c>
      <c r="O371">
        <v>50.294775399603701</v>
      </c>
      <c r="P371">
        <v>-0.118133856859038</v>
      </c>
      <c r="Q371">
        <v>2.7511961755930799E-2</v>
      </c>
      <c r="R371">
        <v>0.98271632370731798</v>
      </c>
      <c r="S371" t="s">
        <v>4667</v>
      </c>
      <c r="T371" t="s">
        <v>8590</v>
      </c>
      <c r="U371" t="s">
        <v>8590</v>
      </c>
      <c r="V371" t="s">
        <v>8590</v>
      </c>
      <c r="W371">
        <v>22</v>
      </c>
      <c r="X371" t="s">
        <v>8961</v>
      </c>
      <c r="Y371">
        <v>0.38125455488637028</v>
      </c>
      <c r="Z371" t="str">
        <f>HYPERLINK("Melting_Curves/meltCurve_sp_O95394_AGM1_HUMAN_.pdf", "Melting_Curves/meltCurve_sp_O95394_AGM1_HUMAN_.pdf")</f>
        <v>Melting_Curves/meltCurve_sp_O95394_AGM1_HUMAN_.pdf</v>
      </c>
      <c r="AA371" t="s">
        <v>13251</v>
      </c>
      <c r="AB371" t="s">
        <v>17456</v>
      </c>
    </row>
    <row r="372" spans="1:28" x14ac:dyDescent="0.25">
      <c r="A372" t="s">
        <v>376</v>
      </c>
      <c r="B372">
        <v>0.99876560204751996</v>
      </c>
      <c r="C372">
        <v>0.88818815179009403</v>
      </c>
      <c r="D372">
        <v>0.75192216833316705</v>
      </c>
      <c r="E372">
        <v>0.57381592690363303</v>
      </c>
      <c r="F372">
        <v>0.39907015180403599</v>
      </c>
      <c r="G372">
        <v>0.23855551280093701</v>
      </c>
      <c r="H372">
        <v>0.159555027493542</v>
      </c>
      <c r="I372">
        <v>0.155309996600176</v>
      </c>
      <c r="J372">
        <v>0.15630689480578</v>
      </c>
      <c r="K372">
        <v>0.13176098581361101</v>
      </c>
      <c r="L372">
        <v>645.12537236769901</v>
      </c>
      <c r="M372">
        <v>12.9258734411577</v>
      </c>
      <c r="N372">
        <v>50.842226535562901</v>
      </c>
      <c r="O372">
        <v>48.760322829839303</v>
      </c>
      <c r="P372">
        <v>-5.92884943083428E-2</v>
      </c>
      <c r="Q372">
        <v>0.105544690350669</v>
      </c>
      <c r="R372">
        <v>0.99609636596656304</v>
      </c>
      <c r="S372" t="s">
        <v>4668</v>
      </c>
      <c r="T372" t="s">
        <v>8590</v>
      </c>
      <c r="U372" t="s">
        <v>8590</v>
      </c>
      <c r="V372" t="s">
        <v>8590</v>
      </c>
      <c r="W372">
        <v>11</v>
      </c>
      <c r="X372" t="s">
        <v>8962</v>
      </c>
      <c r="Y372">
        <v>0.42861894542841539</v>
      </c>
      <c r="Z372" t="str">
        <f>HYPERLINK("Melting_Curves/meltCurve_sp_O95396_MOCS3_HUMAN_.pdf", "Melting_Curves/meltCurve_sp_O95396_MOCS3_HUMAN_.pdf")</f>
        <v>Melting_Curves/meltCurve_sp_O95396_MOCS3_HUMAN_.pdf</v>
      </c>
      <c r="AA372" t="s">
        <v>13252</v>
      </c>
      <c r="AB372" t="s">
        <v>17457</v>
      </c>
    </row>
    <row r="373" spans="1:28" x14ac:dyDescent="0.25">
      <c r="A373" t="s">
        <v>377</v>
      </c>
      <c r="B373">
        <v>0.99876560204751996</v>
      </c>
      <c r="C373">
        <v>0.94979886324460305</v>
      </c>
      <c r="D373">
        <v>0.94513313901061002</v>
      </c>
      <c r="E373">
        <v>0.855426600765962</v>
      </c>
      <c r="F373">
        <v>0.73566811352649497</v>
      </c>
      <c r="G373">
        <v>0.51115810995469202</v>
      </c>
      <c r="H373">
        <v>0.31856388290694698</v>
      </c>
      <c r="I373">
        <v>0.18671340393490199</v>
      </c>
      <c r="J373">
        <v>0.15703344684824999</v>
      </c>
      <c r="K373">
        <v>0.117173788214352</v>
      </c>
      <c r="L373">
        <v>728.45996025993202</v>
      </c>
      <c r="M373">
        <v>12.8072059554191</v>
      </c>
      <c r="N373">
        <v>57.118619609914397</v>
      </c>
      <c r="O373">
        <v>55.5456933794297</v>
      </c>
      <c r="P373">
        <v>-5.6144990924794601E-2</v>
      </c>
      <c r="Q373">
        <v>2.6164288558309899E-2</v>
      </c>
      <c r="R373">
        <v>0.99788911454256801</v>
      </c>
      <c r="S373" t="s">
        <v>4669</v>
      </c>
      <c r="T373" t="s">
        <v>8590</v>
      </c>
      <c r="U373" t="s">
        <v>8590</v>
      </c>
      <c r="V373" t="s">
        <v>8590</v>
      </c>
      <c r="W373">
        <v>1</v>
      </c>
      <c r="X373" t="s">
        <v>8963</v>
      </c>
      <c r="Y373">
        <v>0.5907839236597352</v>
      </c>
      <c r="Z373" t="str">
        <f>HYPERLINK("Melting_Curves/meltCurve_sp_O95399_UTS2_HUMAN_.pdf", "Melting_Curves/meltCurve_sp_O95399_UTS2_HUMAN_.pdf")</f>
        <v>Melting_Curves/meltCurve_sp_O95399_UTS2_HUMAN_.pdf</v>
      </c>
      <c r="AA373" t="s">
        <v>13253</v>
      </c>
      <c r="AB373" t="s">
        <v>17458</v>
      </c>
    </row>
    <row r="374" spans="1:28" x14ac:dyDescent="0.25">
      <c r="A374" t="s">
        <v>378</v>
      </c>
      <c r="B374">
        <v>0.99876560204751996</v>
      </c>
      <c r="C374">
        <v>0.90392996437191797</v>
      </c>
      <c r="D374">
        <v>0.72502614086075301</v>
      </c>
      <c r="E374">
        <v>0.68646324023804794</v>
      </c>
      <c r="F374">
        <v>0.64250162912060704</v>
      </c>
      <c r="G374">
        <v>0.57768156267306403</v>
      </c>
      <c r="H374">
        <v>0.42632642520639302</v>
      </c>
      <c r="I374">
        <v>0.42618039468962898</v>
      </c>
      <c r="J374">
        <v>0.68609167410817695</v>
      </c>
      <c r="K374">
        <v>0.433616650648534</v>
      </c>
      <c r="L374">
        <v>578.97821446434796</v>
      </c>
      <c r="M374">
        <v>12.207251291607699</v>
      </c>
      <c r="N374">
        <v>68.8180894766666</v>
      </c>
      <c r="O374">
        <v>46.210096599941302</v>
      </c>
      <c r="P374">
        <v>-3.3771768907272903E-2</v>
      </c>
      <c r="Q374">
        <v>0.488748223001013</v>
      </c>
      <c r="R374">
        <v>0.816228747904022</v>
      </c>
      <c r="S374" t="s">
        <v>4670</v>
      </c>
      <c r="T374" t="s">
        <v>8590</v>
      </c>
      <c r="U374" t="s">
        <v>8590</v>
      </c>
      <c r="V374" t="s">
        <v>8590</v>
      </c>
      <c r="W374">
        <v>3</v>
      </c>
      <c r="X374" t="s">
        <v>8964</v>
      </c>
      <c r="Y374">
        <v>0.63551807217979428</v>
      </c>
      <c r="Z374" t="str">
        <f>HYPERLINK("Melting_Curves/meltCurve_sp_O95400_CD2B2_HUMAN_.pdf", "Melting_Curves/meltCurve_sp_O95400_CD2B2_HUMAN_.pdf")</f>
        <v>Melting_Curves/meltCurve_sp_O95400_CD2B2_HUMAN_.pdf</v>
      </c>
      <c r="AA374" t="s">
        <v>13254</v>
      </c>
      <c r="AB374" t="s">
        <v>17459</v>
      </c>
    </row>
    <row r="375" spans="1:28" x14ac:dyDescent="0.25">
      <c r="A375" t="s">
        <v>379</v>
      </c>
      <c r="B375">
        <v>0.99876560204751996</v>
      </c>
      <c r="C375">
        <v>1.0635735568315301</v>
      </c>
      <c r="D375">
        <v>1.2773056091380901</v>
      </c>
      <c r="E375">
        <v>0.95939446283211105</v>
      </c>
      <c r="F375">
        <v>0.96890408152421004</v>
      </c>
      <c r="G375">
        <v>0.79148180045805205</v>
      </c>
      <c r="H375">
        <v>0.64585886884809496</v>
      </c>
      <c r="I375">
        <v>0.70299236865755499</v>
      </c>
      <c r="J375">
        <v>0.744519545372202</v>
      </c>
      <c r="K375">
        <v>0.784427700686672</v>
      </c>
      <c r="L375">
        <v>2735.4168096194699</v>
      </c>
      <c r="M375">
        <v>49.2556069831938</v>
      </c>
      <c r="O375">
        <v>55.443810002318003</v>
      </c>
      <c r="P375">
        <v>-6.2096756309735102E-2</v>
      </c>
      <c r="Q375">
        <v>0.72040717904282203</v>
      </c>
      <c r="R375">
        <v>0.72396896430370505</v>
      </c>
      <c r="S375" t="s">
        <v>4671</v>
      </c>
      <c r="T375" t="s">
        <v>8590</v>
      </c>
      <c r="U375" t="s">
        <v>8590</v>
      </c>
      <c r="V375" t="s">
        <v>8590</v>
      </c>
      <c r="W375">
        <v>5</v>
      </c>
      <c r="X375" t="s">
        <v>8965</v>
      </c>
      <c r="Y375">
        <v>0.86589614773355406</v>
      </c>
      <c r="Z375" t="str">
        <f>HYPERLINK("Melting_Curves/meltCurve_sp_O95425_2_SVIL_HUMAN_.pdf", "Melting_Curves/meltCurve_sp_O95425_2_SVIL_HUMAN_.pdf")</f>
        <v>Melting_Curves/meltCurve_sp_O95425_2_SVIL_HUMAN_.pdf</v>
      </c>
      <c r="AA375" t="s">
        <v>13255</v>
      </c>
      <c r="AB375" t="s">
        <v>17460</v>
      </c>
    </row>
    <row r="376" spans="1:28" x14ac:dyDescent="0.25">
      <c r="A376" t="s">
        <v>380</v>
      </c>
      <c r="B376">
        <v>0.99876560204751996</v>
      </c>
      <c r="C376">
        <v>0.96651221438385104</v>
      </c>
      <c r="D376">
        <v>1.0087391092750799</v>
      </c>
      <c r="E376">
        <v>0.88701865726610596</v>
      </c>
      <c r="F376">
        <v>0.84846409289135105</v>
      </c>
      <c r="G376">
        <v>0.70999175763899003</v>
      </c>
      <c r="H376">
        <v>0.57867838921346704</v>
      </c>
      <c r="I376">
        <v>0.512045811824274</v>
      </c>
      <c r="J376">
        <v>0.61285503257181795</v>
      </c>
      <c r="K376">
        <v>0.63099434591552395</v>
      </c>
      <c r="L376">
        <v>1081.5865302833299</v>
      </c>
      <c r="M376">
        <v>20.020587866661</v>
      </c>
      <c r="O376">
        <v>53.493386843047098</v>
      </c>
      <c r="P376">
        <v>-3.9981539012075101E-2</v>
      </c>
      <c r="Q376">
        <v>0.57270413568134304</v>
      </c>
      <c r="R376">
        <v>0.95123580142862296</v>
      </c>
      <c r="S376" t="s">
        <v>4672</v>
      </c>
      <c r="T376" t="s">
        <v>8590</v>
      </c>
      <c r="U376" t="s">
        <v>8590</v>
      </c>
      <c r="V376" t="s">
        <v>8590</v>
      </c>
      <c r="W376">
        <v>4</v>
      </c>
      <c r="X376" t="s">
        <v>8966</v>
      </c>
      <c r="Y376">
        <v>0.77824241545785022</v>
      </c>
      <c r="Z376" t="str">
        <f>HYPERLINK("Melting_Curves/meltCurve_sp_O95429_2_BAG4_HUMAN_.pdf", "Melting_Curves/meltCurve_sp_O95429_2_BAG4_HUMAN_.pdf")</f>
        <v>Melting_Curves/meltCurve_sp_O95429_2_BAG4_HUMAN_.pdf</v>
      </c>
      <c r="AA376" t="s">
        <v>13256</v>
      </c>
      <c r="AB376" t="s">
        <v>17461</v>
      </c>
    </row>
    <row r="377" spans="1:28" x14ac:dyDescent="0.25">
      <c r="A377" t="s">
        <v>381</v>
      </c>
      <c r="B377">
        <v>0.99876560204751996</v>
      </c>
      <c r="C377">
        <v>0.869490958115822</v>
      </c>
      <c r="D377">
        <v>0.92746947731398299</v>
      </c>
      <c r="E377">
        <v>0.80983509335923998</v>
      </c>
      <c r="F377">
        <v>0.65334964003477303</v>
      </c>
      <c r="G377">
        <v>0.33099091263611202</v>
      </c>
      <c r="H377">
        <v>0.157240693683424</v>
      </c>
      <c r="I377">
        <v>8.8735321564688399E-2</v>
      </c>
      <c r="J377">
        <v>6.5647153288696802E-2</v>
      </c>
      <c r="K377">
        <v>4.4416892544878399E-2</v>
      </c>
      <c r="L377">
        <v>833.30593728375197</v>
      </c>
      <c r="M377">
        <v>15.240426028081499</v>
      </c>
      <c r="N377">
        <v>54.677338808608098</v>
      </c>
      <c r="O377">
        <v>53.761889451521398</v>
      </c>
      <c r="P377">
        <v>-7.0876755992312995E-2</v>
      </c>
      <c r="Q377">
        <v>0</v>
      </c>
      <c r="R377">
        <v>0.98874517337356005</v>
      </c>
      <c r="S377" t="s">
        <v>4673</v>
      </c>
      <c r="T377" t="s">
        <v>8590</v>
      </c>
      <c r="U377" t="s">
        <v>8590</v>
      </c>
      <c r="V377" t="s">
        <v>8590</v>
      </c>
      <c r="W377">
        <v>12</v>
      </c>
      <c r="X377" t="s">
        <v>8967</v>
      </c>
      <c r="Y377">
        <v>0.50860280463465546</v>
      </c>
      <c r="Z377" t="str">
        <f>HYPERLINK("Melting_Curves/meltCurve_sp_O95433_AHSA1_HUMAN_.pdf", "Melting_Curves/meltCurve_sp_O95433_AHSA1_HUMAN_.pdf")</f>
        <v>Melting_Curves/meltCurve_sp_O95433_AHSA1_HUMAN_.pdf</v>
      </c>
      <c r="AA377" t="s">
        <v>13257</v>
      </c>
      <c r="AB377" t="s">
        <v>17462</v>
      </c>
    </row>
    <row r="378" spans="1:28" x14ac:dyDescent="0.25">
      <c r="A378" t="s">
        <v>382</v>
      </c>
      <c r="B378">
        <v>0.99876560204751996</v>
      </c>
      <c r="C378">
        <v>1.0446131177903399</v>
      </c>
      <c r="D378">
        <v>1.01285604979818</v>
      </c>
      <c r="E378">
        <v>0.90614023284298395</v>
      </c>
      <c r="F378">
        <v>0.51494024320187404</v>
      </c>
      <c r="G378">
        <v>0.221500108067511</v>
      </c>
      <c r="H378">
        <v>0.19853288362889801</v>
      </c>
      <c r="I378">
        <v>0.14318952704860599</v>
      </c>
      <c r="J378">
        <v>0.19536177193380899</v>
      </c>
      <c r="K378">
        <v>0.13983465783462401</v>
      </c>
      <c r="L378">
        <v>2034.9016635243399</v>
      </c>
      <c r="M378">
        <v>38.708791942950398</v>
      </c>
      <c r="N378">
        <v>53.141048971781601</v>
      </c>
      <c r="O378">
        <v>52.4297759467674</v>
      </c>
      <c r="P378">
        <v>-0.153147654137509</v>
      </c>
      <c r="Q378">
        <v>0.170268221131682</v>
      </c>
      <c r="R378">
        <v>0.99634577090909704</v>
      </c>
      <c r="S378" t="s">
        <v>4674</v>
      </c>
      <c r="T378" t="s">
        <v>8590</v>
      </c>
      <c r="U378" t="s">
        <v>8590</v>
      </c>
      <c r="V378" t="s">
        <v>8590</v>
      </c>
      <c r="W378">
        <v>3</v>
      </c>
      <c r="X378" t="s">
        <v>8968</v>
      </c>
      <c r="Y378">
        <v>0.52112973827290543</v>
      </c>
      <c r="Z378" t="str">
        <f>HYPERLINK("Melting_Curves/meltCurve_sp_O95453_2_PARN_HUMAN_.pdf", "Melting_Curves/meltCurve_sp_O95453_2_PARN_HUMAN_.pdf")</f>
        <v>Melting_Curves/meltCurve_sp_O95453_2_PARN_HUMAN_.pdf</v>
      </c>
      <c r="AA378" t="s">
        <v>13258</v>
      </c>
      <c r="AB378" t="s">
        <v>17463</v>
      </c>
    </row>
    <row r="379" spans="1:28" x14ac:dyDescent="0.25">
      <c r="A379" t="s">
        <v>383</v>
      </c>
      <c r="B379">
        <v>0.99876560204751996</v>
      </c>
      <c r="C379">
        <v>1.0378166272403999</v>
      </c>
      <c r="D379">
        <v>1.0778022086725401</v>
      </c>
      <c r="E379">
        <v>0.99860157142381001</v>
      </c>
      <c r="F379">
        <v>0.844467866066826</v>
      </c>
      <c r="G379">
        <v>0.71114374969877403</v>
      </c>
      <c r="H379">
        <v>0.42134662038402798</v>
      </c>
      <c r="I379">
        <v>0.246613828519366</v>
      </c>
      <c r="J379">
        <v>0.16837513280812899</v>
      </c>
      <c r="K379">
        <v>6.8914972025052701E-2</v>
      </c>
      <c r="L379">
        <v>987.916825262011</v>
      </c>
      <c r="M379">
        <v>16.5057331157901</v>
      </c>
      <c r="N379">
        <v>59.852950497640101</v>
      </c>
      <c r="O379">
        <v>58.995092325498099</v>
      </c>
      <c r="P379">
        <v>-6.9950217428425707E-2</v>
      </c>
      <c r="Q379">
        <v>0</v>
      </c>
      <c r="R379">
        <v>0.990381371955811</v>
      </c>
      <c r="S379" t="s">
        <v>4675</v>
      </c>
      <c r="T379" t="s">
        <v>8590</v>
      </c>
      <c r="U379" t="s">
        <v>8590</v>
      </c>
      <c r="V379" t="s">
        <v>8590</v>
      </c>
      <c r="W379">
        <v>9</v>
      </c>
      <c r="X379" t="s">
        <v>8969</v>
      </c>
      <c r="Y379">
        <v>0.67005865802193176</v>
      </c>
      <c r="Z379" t="str">
        <f>HYPERLINK("Melting_Curves/meltCurve_sp_O95456_PSMG1_HUMAN_.pdf", "Melting_Curves/meltCurve_sp_O95456_PSMG1_HUMAN_.pdf")</f>
        <v>Melting_Curves/meltCurve_sp_O95456_PSMG1_HUMAN_.pdf</v>
      </c>
      <c r="AA379" t="s">
        <v>13259</v>
      </c>
      <c r="AB379" t="s">
        <v>17464</v>
      </c>
    </row>
    <row r="380" spans="1:28" x14ac:dyDescent="0.25">
      <c r="A380" t="s">
        <v>384</v>
      </c>
      <c r="B380">
        <v>0.99876560204751996</v>
      </c>
      <c r="C380">
        <v>1.00805286898235</v>
      </c>
      <c r="D380">
        <v>0.90083012224451198</v>
      </c>
      <c r="E380">
        <v>0.85587814621699898</v>
      </c>
      <c r="F380">
        <v>0.26150197801296798</v>
      </c>
      <c r="G380">
        <v>0.132222387335863</v>
      </c>
      <c r="H380">
        <v>8.0522274791366699E-2</v>
      </c>
      <c r="I380">
        <v>7.0231154665181095E-2</v>
      </c>
      <c r="J380">
        <v>6.2234192066866499E-2</v>
      </c>
      <c r="K380">
        <v>5.3823430563320299E-2</v>
      </c>
      <c r="L380">
        <v>2627.2392366957702</v>
      </c>
      <c r="M380">
        <v>50.913325993365902</v>
      </c>
      <c r="N380">
        <v>51.772914982580403</v>
      </c>
      <c r="O380">
        <v>51.522753019477101</v>
      </c>
      <c r="P380">
        <v>-0.227952868095737</v>
      </c>
      <c r="Q380">
        <v>7.7274693857703899E-2</v>
      </c>
      <c r="R380">
        <v>0.99253368058078795</v>
      </c>
      <c r="S380" t="s">
        <v>4676</v>
      </c>
      <c r="T380" t="s">
        <v>8590</v>
      </c>
      <c r="U380" t="s">
        <v>8590</v>
      </c>
      <c r="V380" t="s">
        <v>8590</v>
      </c>
      <c r="W380">
        <v>36</v>
      </c>
      <c r="X380" t="s">
        <v>8970</v>
      </c>
      <c r="Y380">
        <v>0.43615437355758802</v>
      </c>
      <c r="Z380" t="str">
        <f>HYPERLINK("Melting_Curves/meltCurve_sp_O95479_G6PE_HUMAN_.pdf", "Melting_Curves/meltCurve_sp_O95479_G6PE_HUMAN_.pdf")</f>
        <v>Melting_Curves/meltCurve_sp_O95479_G6PE_HUMAN_.pdf</v>
      </c>
      <c r="AA380" t="s">
        <v>13260</v>
      </c>
      <c r="AB380" t="s">
        <v>17465</v>
      </c>
    </row>
    <row r="381" spans="1:28" x14ac:dyDescent="0.25">
      <c r="A381" t="s">
        <v>385</v>
      </c>
      <c r="B381">
        <v>0.99876560204751996</v>
      </c>
      <c r="C381">
        <v>1.05730467282162</v>
      </c>
      <c r="D381">
        <v>0.97098732608129201</v>
      </c>
      <c r="E381">
        <v>0.67470720891923797</v>
      </c>
      <c r="F381">
        <v>0.17467062230342301</v>
      </c>
      <c r="G381">
        <v>0.112318084318898</v>
      </c>
      <c r="H381">
        <v>5.9487760867391902E-2</v>
      </c>
      <c r="I381">
        <v>5.2575561396737802E-2</v>
      </c>
      <c r="J381">
        <v>4.2199023317536798E-2</v>
      </c>
      <c r="K381">
        <v>3.40502646667682E-2</v>
      </c>
      <c r="L381">
        <v>2189.9049514887502</v>
      </c>
      <c r="M381">
        <v>43.175314413986399</v>
      </c>
      <c r="N381">
        <v>50.863426224062799</v>
      </c>
      <c r="O381">
        <v>50.612774436178398</v>
      </c>
      <c r="P381">
        <v>-0.20113879953182801</v>
      </c>
      <c r="Q381">
        <v>5.6852004243006703E-2</v>
      </c>
      <c r="R381">
        <v>0.99628533680338704</v>
      </c>
      <c r="S381" t="s">
        <v>4677</v>
      </c>
      <c r="T381" t="s">
        <v>8590</v>
      </c>
      <c r="U381" t="s">
        <v>8590</v>
      </c>
      <c r="V381" t="s">
        <v>8590</v>
      </c>
      <c r="W381">
        <v>20</v>
      </c>
      <c r="X381" t="s">
        <v>8971</v>
      </c>
      <c r="Y381">
        <v>0.39674393550710818</v>
      </c>
      <c r="Z381" t="str">
        <f>HYPERLINK("Melting_Curves/meltCurve_sp_O95486_SC24A_HUMAN_.pdf", "Melting_Curves/meltCurve_sp_O95486_SC24A_HUMAN_.pdf")</f>
        <v>Melting_Curves/meltCurve_sp_O95486_SC24A_HUMAN_.pdf</v>
      </c>
      <c r="AA381" t="s">
        <v>13261</v>
      </c>
      <c r="AB381" t="s">
        <v>17466</v>
      </c>
    </row>
    <row r="382" spans="1:28" x14ac:dyDescent="0.25">
      <c r="A382" t="s">
        <v>386</v>
      </c>
      <c r="B382">
        <v>0.99876560204751996</v>
      </c>
      <c r="C382">
        <v>1.0200612398843001</v>
      </c>
      <c r="D382">
        <v>0.90646783502091399</v>
      </c>
      <c r="E382">
        <v>0.597937110991967</v>
      </c>
      <c r="F382">
        <v>0.39158555671944301</v>
      </c>
      <c r="G382">
        <v>0.26081279971827098</v>
      </c>
      <c r="H382">
        <v>0.210841950294053</v>
      </c>
      <c r="I382">
        <v>0.22077529509361299</v>
      </c>
      <c r="J382">
        <v>0.21628393310532701</v>
      </c>
      <c r="K382">
        <v>0.23526199518016699</v>
      </c>
      <c r="L382">
        <v>1180.93313281056</v>
      </c>
      <c r="M382">
        <v>23.631179430987501</v>
      </c>
      <c r="N382">
        <v>51.2170801019858</v>
      </c>
      <c r="O382">
        <v>49.619785939178399</v>
      </c>
      <c r="P382">
        <v>-9.3071598016671697E-2</v>
      </c>
      <c r="Q382">
        <v>0.21830152597617</v>
      </c>
      <c r="R382">
        <v>0.99802264402500096</v>
      </c>
      <c r="S382" t="s">
        <v>4678</v>
      </c>
      <c r="T382" t="s">
        <v>8590</v>
      </c>
      <c r="U382" t="s">
        <v>8590</v>
      </c>
      <c r="V382" t="s">
        <v>8590</v>
      </c>
      <c r="W382">
        <v>14</v>
      </c>
      <c r="X382" t="s">
        <v>8972</v>
      </c>
      <c r="Y382">
        <v>0.4859983338919977</v>
      </c>
      <c r="Z382" t="str">
        <f>HYPERLINK("Melting_Curves/meltCurve_sp_O95487_2_SC24B_HUMAN_.pdf", "Melting_Curves/meltCurve_sp_O95487_2_SC24B_HUMAN_.pdf")</f>
        <v>Melting_Curves/meltCurve_sp_O95487_2_SC24B_HUMAN_.pdf</v>
      </c>
      <c r="AA382" t="s">
        <v>13262</v>
      </c>
      <c r="AB382" t="s">
        <v>17467</v>
      </c>
    </row>
    <row r="383" spans="1:28" x14ac:dyDescent="0.25">
      <c r="A383" t="s">
        <v>387</v>
      </c>
      <c r="B383">
        <v>0.99876560204751996</v>
      </c>
      <c r="C383">
        <v>0.92879469319518004</v>
      </c>
      <c r="D383">
        <v>0.94712634688124198</v>
      </c>
      <c r="E383">
        <v>0.87350077584432595</v>
      </c>
      <c r="F383">
        <v>0.89935736630818797</v>
      </c>
      <c r="G383">
        <v>0.75514273769919105</v>
      </c>
      <c r="H383">
        <v>0.63431983847970097</v>
      </c>
      <c r="I383">
        <v>0.56145768261047901</v>
      </c>
      <c r="J383">
        <v>0.58168476395593105</v>
      </c>
      <c r="K383">
        <v>0.42653923174022002</v>
      </c>
      <c r="L383">
        <v>408.51372896171301</v>
      </c>
      <c r="M383">
        <v>6.0231351227339003</v>
      </c>
      <c r="N383">
        <v>67.8241016735427</v>
      </c>
      <c r="O383">
        <v>61.482539509459102</v>
      </c>
      <c r="P383">
        <v>-2.4569471550686402E-2</v>
      </c>
      <c r="Q383">
        <v>0</v>
      </c>
      <c r="R383">
        <v>0.96637379494390196</v>
      </c>
      <c r="S383" t="s">
        <v>4679</v>
      </c>
      <c r="T383" t="s">
        <v>8590</v>
      </c>
      <c r="U383" t="s">
        <v>8590</v>
      </c>
      <c r="V383" t="s">
        <v>8590</v>
      </c>
      <c r="W383">
        <v>2</v>
      </c>
      <c r="X383" t="s">
        <v>8973</v>
      </c>
      <c r="Y383">
        <v>0.77190774311170429</v>
      </c>
      <c r="Z383" t="str">
        <f>HYPERLINK("Melting_Curves/meltCurve_sp_O95497_VNN1_HUMAN_.pdf", "Melting_Curves/meltCurve_sp_O95497_VNN1_HUMAN_.pdf")</f>
        <v>Melting_Curves/meltCurve_sp_O95497_VNN1_HUMAN_.pdf</v>
      </c>
      <c r="AA383" t="s">
        <v>13263</v>
      </c>
      <c r="AB383" t="s">
        <v>17468</v>
      </c>
    </row>
    <row r="384" spans="1:28" x14ac:dyDescent="0.25">
      <c r="A384" t="s">
        <v>388</v>
      </c>
      <c r="B384">
        <v>0.99876560204751996</v>
      </c>
      <c r="C384">
        <v>1.1182078886232201</v>
      </c>
      <c r="D384">
        <v>1.0118775190951399</v>
      </c>
      <c r="E384">
        <v>0.87379489318758097</v>
      </c>
      <c r="F384">
        <v>0.81056244155038204</v>
      </c>
      <c r="G384">
        <v>0.62499057139916803</v>
      </c>
      <c r="H384">
        <v>0.45997035299810801</v>
      </c>
      <c r="I384">
        <v>0.37748929380513602</v>
      </c>
      <c r="J384">
        <v>0.52965904800890495</v>
      </c>
      <c r="K384">
        <v>0.32759657187185298</v>
      </c>
      <c r="L384">
        <v>979.71115301891405</v>
      </c>
      <c r="M384">
        <v>17.734903444059299</v>
      </c>
      <c r="N384">
        <v>60.069815768076303</v>
      </c>
      <c r="O384">
        <v>54.553974263878601</v>
      </c>
      <c r="P384">
        <v>-5.0408628113846402E-2</v>
      </c>
      <c r="Q384">
        <v>0.37978863998544898</v>
      </c>
      <c r="R384">
        <v>0.94478281042998902</v>
      </c>
      <c r="S384" t="s">
        <v>4680</v>
      </c>
      <c r="T384" t="s">
        <v>8590</v>
      </c>
      <c r="U384" t="s">
        <v>8590</v>
      </c>
      <c r="V384" t="s">
        <v>8590</v>
      </c>
      <c r="W384">
        <v>4</v>
      </c>
      <c r="X384" t="s">
        <v>8974</v>
      </c>
      <c r="Y384">
        <v>0.70457904703575347</v>
      </c>
      <c r="Z384" t="str">
        <f>HYPERLINK("Melting_Curves/meltCurve_sp_O95544_NADK_HUMAN_.pdf", "Melting_Curves/meltCurve_sp_O95544_NADK_HUMAN_.pdf")</f>
        <v>Melting_Curves/meltCurve_sp_O95544_NADK_HUMAN_.pdf</v>
      </c>
      <c r="AA384" t="s">
        <v>13264</v>
      </c>
      <c r="AB384" t="s">
        <v>17469</v>
      </c>
    </row>
    <row r="385" spans="1:28" x14ac:dyDescent="0.25">
      <c r="A385" t="s">
        <v>389</v>
      </c>
      <c r="B385">
        <v>0.99876560204751996</v>
      </c>
      <c r="C385">
        <v>0.777809655254046</v>
      </c>
      <c r="D385">
        <v>0.81602669710620002</v>
      </c>
      <c r="E385">
        <v>0.59919858908930301</v>
      </c>
      <c r="F385">
        <v>0.47924375066941399</v>
      </c>
      <c r="G385">
        <v>0.19930674104974799</v>
      </c>
      <c r="H385">
        <v>0.207606719980611</v>
      </c>
      <c r="I385">
        <v>0.18269402753467101</v>
      </c>
      <c r="J385">
        <v>0.202235768587927</v>
      </c>
      <c r="K385">
        <v>0.15120898592724299</v>
      </c>
      <c r="L385">
        <v>581.40746074268998</v>
      </c>
      <c r="M385">
        <v>11.5506750781025</v>
      </c>
      <c r="N385">
        <v>51.479520308501598</v>
      </c>
      <c r="O385">
        <v>48.8975852436675</v>
      </c>
      <c r="P385">
        <v>-5.2384593021685001E-2</v>
      </c>
      <c r="Q385">
        <v>0.1132070215372</v>
      </c>
      <c r="R385">
        <v>0.96591663364171998</v>
      </c>
      <c r="S385" t="s">
        <v>4681</v>
      </c>
      <c r="T385" t="s">
        <v>8590</v>
      </c>
      <c r="U385" t="s">
        <v>8590</v>
      </c>
      <c r="V385" t="s">
        <v>8590</v>
      </c>
      <c r="W385">
        <v>2</v>
      </c>
      <c r="X385" t="s">
        <v>8975</v>
      </c>
      <c r="Y385">
        <v>0.45058682168682229</v>
      </c>
      <c r="Z385" t="str">
        <f>HYPERLINK("Melting_Curves/meltCurve_sp_O95551_TYDP2_HUMAN_.pdf", "Melting_Curves/meltCurve_sp_O95551_TYDP2_HUMAN_.pdf")</f>
        <v>Melting_Curves/meltCurve_sp_O95551_TYDP2_HUMAN_.pdf</v>
      </c>
      <c r="AA385" t="s">
        <v>13265</v>
      </c>
      <c r="AB385" t="s">
        <v>17470</v>
      </c>
    </row>
    <row r="386" spans="1:28" x14ac:dyDescent="0.25">
      <c r="A386" t="s">
        <v>390</v>
      </c>
      <c r="B386">
        <v>0.99876560204751996</v>
      </c>
      <c r="C386">
        <v>0.95038022595833804</v>
      </c>
      <c r="D386">
        <v>0.91283252523440095</v>
      </c>
      <c r="E386">
        <v>0.84205339811259405</v>
      </c>
      <c r="F386">
        <v>0.74210945873378598</v>
      </c>
      <c r="G386">
        <v>0.47584465177348301</v>
      </c>
      <c r="H386">
        <v>0.259566289376158</v>
      </c>
      <c r="I386">
        <v>0.11596563020074099</v>
      </c>
      <c r="J386">
        <v>5.0129607273103699E-2</v>
      </c>
      <c r="K386">
        <v>4.4339128947679399E-2</v>
      </c>
      <c r="L386">
        <v>842.18233929966198</v>
      </c>
      <c r="M386">
        <v>14.9428924018204</v>
      </c>
      <c r="N386">
        <v>56.360050938293902</v>
      </c>
      <c r="O386">
        <v>55.379590854555403</v>
      </c>
      <c r="P386">
        <v>-6.7463611349322702E-2</v>
      </c>
      <c r="Q386">
        <v>0</v>
      </c>
      <c r="R386">
        <v>0.99397189870448399</v>
      </c>
      <c r="S386" t="s">
        <v>4682</v>
      </c>
      <c r="T386" t="s">
        <v>8590</v>
      </c>
      <c r="U386" t="s">
        <v>8590</v>
      </c>
      <c r="V386" t="s">
        <v>8590</v>
      </c>
      <c r="W386">
        <v>16</v>
      </c>
      <c r="X386" t="s">
        <v>8976</v>
      </c>
      <c r="Y386">
        <v>0.56248276727315083</v>
      </c>
      <c r="Z386" t="str">
        <f>HYPERLINK("Melting_Curves/meltCurve_sp_O95571_ETHE1_HUMAN_.pdf", "Melting_Curves/meltCurve_sp_O95571_ETHE1_HUMAN_.pdf")</f>
        <v>Melting_Curves/meltCurve_sp_O95571_ETHE1_HUMAN_.pdf</v>
      </c>
      <c r="AA386" t="s">
        <v>13266</v>
      </c>
      <c r="AB386" t="s">
        <v>17471</v>
      </c>
    </row>
    <row r="387" spans="1:28" x14ac:dyDescent="0.25">
      <c r="A387" t="s">
        <v>391</v>
      </c>
      <c r="B387">
        <v>0.99876560204751996</v>
      </c>
      <c r="C387">
        <v>1.09220538777668</v>
      </c>
      <c r="D387">
        <v>0.83593091534733699</v>
      </c>
      <c r="E387">
        <v>0.75943789291125696</v>
      </c>
      <c r="F387">
        <v>1.00516190983248</v>
      </c>
      <c r="G387">
        <v>0.636096426581374</v>
      </c>
      <c r="H387">
        <v>0.56112942853071701</v>
      </c>
      <c r="I387">
        <v>0.40593896290835901</v>
      </c>
      <c r="J387">
        <v>0.37878511277809701</v>
      </c>
      <c r="K387">
        <v>8.8526174174760899E-2</v>
      </c>
      <c r="L387">
        <v>653.05886725301605</v>
      </c>
      <c r="M387">
        <v>10.615359648124199</v>
      </c>
      <c r="N387">
        <v>61.520182928982599</v>
      </c>
      <c r="O387">
        <v>59.457393319195297</v>
      </c>
      <c r="P387">
        <v>-4.4651581705554402E-2</v>
      </c>
      <c r="Q387">
        <v>0</v>
      </c>
      <c r="R387">
        <v>0.88393229675571094</v>
      </c>
      <c r="S387" t="s">
        <v>4683</v>
      </c>
      <c r="T387" t="s">
        <v>8590</v>
      </c>
      <c r="U387" t="s">
        <v>8590</v>
      </c>
      <c r="V387" t="s">
        <v>8590</v>
      </c>
      <c r="W387">
        <v>1</v>
      </c>
      <c r="X387" t="s">
        <v>8977</v>
      </c>
      <c r="Y387">
        <v>0.70384279687204887</v>
      </c>
      <c r="Z387" t="str">
        <f>HYPERLINK("Melting_Curves/meltCurve_sp_O95573_ACSL3_HUMAN_.pdf", "Melting_Curves/meltCurve_sp_O95573_ACSL3_HUMAN_.pdf")</f>
        <v>Melting_Curves/meltCurve_sp_O95573_ACSL3_HUMAN_.pdf</v>
      </c>
      <c r="AA387" t="s">
        <v>13267</v>
      </c>
      <c r="AB387" t="s">
        <v>17472</v>
      </c>
    </row>
    <row r="388" spans="1:28" x14ac:dyDescent="0.25">
      <c r="A388" t="s">
        <v>392</v>
      </c>
      <c r="B388">
        <v>0.99876560204751996</v>
      </c>
      <c r="C388">
        <v>1.1250745777993201</v>
      </c>
      <c r="D388">
        <v>1.1872568748351899</v>
      </c>
      <c r="E388">
        <v>0.90272894570360895</v>
      </c>
      <c r="F388">
        <v>0.68801772048502596</v>
      </c>
      <c r="G388">
        <v>0.45704828407931503</v>
      </c>
      <c r="H388">
        <v>0.53312033969081896</v>
      </c>
      <c r="I388">
        <v>0.338198709416276</v>
      </c>
      <c r="J388">
        <v>0.423332372828644</v>
      </c>
      <c r="K388">
        <v>0.29986585787282899</v>
      </c>
      <c r="L388">
        <v>1577.11874286804</v>
      </c>
      <c r="M388">
        <v>29.738953698245901</v>
      </c>
      <c r="N388">
        <v>55.9103085298119</v>
      </c>
      <c r="O388">
        <v>52.794025326121897</v>
      </c>
      <c r="P388">
        <v>-8.5645799274470497E-2</v>
      </c>
      <c r="Q388">
        <v>0.39183389825292197</v>
      </c>
      <c r="R388">
        <v>0.91731317775519605</v>
      </c>
      <c r="S388" t="s">
        <v>4684</v>
      </c>
      <c r="T388" t="s">
        <v>8590</v>
      </c>
      <c r="U388" t="s">
        <v>8590</v>
      </c>
      <c r="V388" t="s">
        <v>8590</v>
      </c>
      <c r="W388">
        <v>2</v>
      </c>
      <c r="X388" t="s">
        <v>8978</v>
      </c>
      <c r="Y388">
        <v>0.66003677547984907</v>
      </c>
      <c r="Z388" t="str">
        <f>HYPERLINK("Melting_Curves/meltCurve_sp_O95628_5_CNOT4_HUMAN_.pdf", "Melting_Curves/meltCurve_sp_O95628_5_CNOT4_HUMAN_.pdf")</f>
        <v>Melting_Curves/meltCurve_sp_O95628_5_CNOT4_HUMAN_.pdf</v>
      </c>
      <c r="AA388" t="s">
        <v>13268</v>
      </c>
      <c r="AB388" t="s">
        <v>17473</v>
      </c>
    </row>
    <row r="389" spans="1:28" x14ac:dyDescent="0.25">
      <c r="A389" t="s">
        <v>393</v>
      </c>
      <c r="B389">
        <v>0.99876560204751996</v>
      </c>
      <c r="C389">
        <v>0.94792895675117705</v>
      </c>
      <c r="D389">
        <v>1.01604321404852</v>
      </c>
      <c r="E389">
        <v>0.88222835274015099</v>
      </c>
      <c r="F389">
        <v>0.75541679459725197</v>
      </c>
      <c r="G389">
        <v>0.32955813070022499</v>
      </c>
      <c r="H389">
        <v>0.16306073487921399</v>
      </c>
      <c r="I389">
        <v>0.12568094289527099</v>
      </c>
      <c r="J389">
        <v>8.78671755834214E-2</v>
      </c>
      <c r="K389">
        <v>6.6122673010314603E-2</v>
      </c>
      <c r="L389">
        <v>1302.06185764834</v>
      </c>
      <c r="M389">
        <v>23.701815368285899</v>
      </c>
      <c r="N389">
        <v>55.318255490715501</v>
      </c>
      <c r="O389">
        <v>54.548542987688698</v>
      </c>
      <c r="P389">
        <v>-0.10040599356964799</v>
      </c>
      <c r="Q389">
        <v>7.5697959870644496E-2</v>
      </c>
      <c r="R389">
        <v>0.99581502002311595</v>
      </c>
      <c r="S389" t="s">
        <v>4685</v>
      </c>
      <c r="T389" t="s">
        <v>8590</v>
      </c>
      <c r="U389" t="s">
        <v>8590</v>
      </c>
      <c r="V389" t="s">
        <v>8590</v>
      </c>
      <c r="W389">
        <v>9</v>
      </c>
      <c r="X389" t="s">
        <v>8979</v>
      </c>
      <c r="Y389">
        <v>0.54522991127475862</v>
      </c>
      <c r="Z389" t="str">
        <f>HYPERLINK("Melting_Curves/meltCurve_sp_O95630_STABP_HUMAN_.pdf", "Melting_Curves/meltCurve_sp_O95630_STABP_HUMAN_.pdf")</f>
        <v>Melting_Curves/meltCurve_sp_O95630_STABP_HUMAN_.pdf</v>
      </c>
      <c r="AA389" t="s">
        <v>13269</v>
      </c>
      <c r="AB389" t="s">
        <v>17474</v>
      </c>
    </row>
    <row r="390" spans="1:28" x14ac:dyDescent="0.25">
      <c r="A390" t="s">
        <v>394</v>
      </c>
      <c r="B390">
        <v>0.99876560204751996</v>
      </c>
      <c r="C390">
        <v>1.00284231800627</v>
      </c>
      <c r="D390">
        <v>0.89380515461742605</v>
      </c>
      <c r="E390">
        <v>0.75230687127367302</v>
      </c>
      <c r="F390">
        <v>0.35911370460495701</v>
      </c>
      <c r="G390">
        <v>0.118057544358835</v>
      </c>
      <c r="H390">
        <v>5.2406847353965801E-2</v>
      </c>
      <c r="I390">
        <v>4.82330355919105E-2</v>
      </c>
      <c r="J390">
        <v>3.7104294965571799E-2</v>
      </c>
      <c r="K390">
        <v>3.2264008964457497E-2</v>
      </c>
      <c r="L390">
        <v>1322.38297791182</v>
      </c>
      <c r="M390">
        <v>25.547586701915399</v>
      </c>
      <c r="N390">
        <v>51.902669612216798</v>
      </c>
      <c r="O390">
        <v>51.447534567724603</v>
      </c>
      <c r="P390">
        <v>-0.119980381663419</v>
      </c>
      <c r="Q390">
        <v>3.3549546597623603E-2</v>
      </c>
      <c r="R390">
        <v>0.99635356624780702</v>
      </c>
      <c r="S390" t="s">
        <v>4686</v>
      </c>
      <c r="T390" t="s">
        <v>8590</v>
      </c>
      <c r="U390" t="s">
        <v>8590</v>
      </c>
      <c r="V390" t="s">
        <v>8590</v>
      </c>
      <c r="W390">
        <v>16</v>
      </c>
      <c r="X390" t="s">
        <v>8980</v>
      </c>
      <c r="Y390">
        <v>0.42088801142109877</v>
      </c>
      <c r="Z390" t="str">
        <f>HYPERLINK("Melting_Curves/meltCurve_sp_O95671_2_ASML_HUMAN_.pdf", "Melting_Curves/meltCurve_sp_O95671_2_ASML_HUMAN_.pdf")</f>
        <v>Melting_Curves/meltCurve_sp_O95671_2_ASML_HUMAN_.pdf</v>
      </c>
      <c r="AA390" t="s">
        <v>13270</v>
      </c>
      <c r="AB390" t="s">
        <v>17475</v>
      </c>
    </row>
    <row r="391" spans="1:28" x14ac:dyDescent="0.25">
      <c r="A391" t="s">
        <v>395</v>
      </c>
      <c r="B391">
        <v>0.99876560204751996</v>
      </c>
      <c r="C391">
        <v>0.94025957543995198</v>
      </c>
      <c r="D391">
        <v>0.86779744922932101</v>
      </c>
      <c r="E391">
        <v>0.624471161458933</v>
      </c>
      <c r="F391">
        <v>0.42806526518892601</v>
      </c>
      <c r="G391">
        <v>0.329655099966154</v>
      </c>
      <c r="H391">
        <v>0.18810078234168501</v>
      </c>
      <c r="I391">
        <v>0.31076537558640899</v>
      </c>
      <c r="J391">
        <v>0.27081321365724598</v>
      </c>
      <c r="K391">
        <v>0.31545264739371398</v>
      </c>
      <c r="L391">
        <v>975.35856595160703</v>
      </c>
      <c r="M391">
        <v>19.635267238642701</v>
      </c>
      <c r="N391">
        <v>51.671678056266998</v>
      </c>
      <c r="O391">
        <v>49.167173770696003</v>
      </c>
      <c r="P391">
        <v>-7.3286861089608399E-2</v>
      </c>
      <c r="Q391">
        <v>0.26597738309690899</v>
      </c>
      <c r="R391">
        <v>0.98334287636190698</v>
      </c>
      <c r="S391" t="s">
        <v>4687</v>
      </c>
      <c r="T391" t="s">
        <v>8590</v>
      </c>
      <c r="U391" t="s">
        <v>8590</v>
      </c>
      <c r="V391" t="s">
        <v>8590</v>
      </c>
      <c r="W391">
        <v>1</v>
      </c>
      <c r="X391" t="s">
        <v>8981</v>
      </c>
      <c r="Y391">
        <v>0.51328250253321095</v>
      </c>
      <c r="Z391" t="str">
        <f>HYPERLINK("Melting_Curves/meltCurve_sp_O95684_FR1OP_HUMAN_.pdf", "Melting_Curves/meltCurve_sp_O95684_FR1OP_HUMAN_.pdf")</f>
        <v>Melting_Curves/meltCurve_sp_O95684_FR1OP_HUMAN_.pdf</v>
      </c>
      <c r="AA391" t="s">
        <v>13271</v>
      </c>
      <c r="AB391" t="s">
        <v>17476</v>
      </c>
    </row>
    <row r="392" spans="1:28" x14ac:dyDescent="0.25">
      <c r="A392" t="s">
        <v>396</v>
      </c>
      <c r="B392">
        <v>0.99876560204751996</v>
      </c>
      <c r="C392">
        <v>1.05118599021253</v>
      </c>
      <c r="D392">
        <v>1.0950983454046801</v>
      </c>
      <c r="E392">
        <v>1.0102834913360901</v>
      </c>
      <c r="F392">
        <v>0.90650214065160695</v>
      </c>
      <c r="G392">
        <v>0.67474441414509601</v>
      </c>
      <c r="H392">
        <v>0.59904915796863201</v>
      </c>
      <c r="I392">
        <v>0.62275941704696103</v>
      </c>
      <c r="J392">
        <v>0.74396881784504698</v>
      </c>
      <c r="K392">
        <v>0.70074725957588202</v>
      </c>
      <c r="L392">
        <v>4337.1655216115196</v>
      </c>
      <c r="M392">
        <v>80.890887801987105</v>
      </c>
      <c r="O392">
        <v>53.584738301059701</v>
      </c>
      <c r="P392">
        <v>-0.125412787914567</v>
      </c>
      <c r="Q392">
        <v>0.66769012015870299</v>
      </c>
      <c r="R392">
        <v>0.92274114442128496</v>
      </c>
      <c r="S392" t="s">
        <v>4688</v>
      </c>
      <c r="T392" t="s">
        <v>8590</v>
      </c>
      <c r="U392" t="s">
        <v>8590</v>
      </c>
      <c r="V392" t="s">
        <v>8590</v>
      </c>
      <c r="W392">
        <v>7</v>
      </c>
      <c r="X392" t="s">
        <v>8982</v>
      </c>
      <c r="Y392">
        <v>0.81883013229298574</v>
      </c>
      <c r="Z392" t="str">
        <f>HYPERLINK("Melting_Curves/meltCurve_sp_O95721_SNP29_HUMAN_.pdf", "Melting_Curves/meltCurve_sp_O95721_SNP29_HUMAN_.pdf")</f>
        <v>Melting_Curves/meltCurve_sp_O95721_SNP29_HUMAN_.pdf</v>
      </c>
      <c r="AA392" t="s">
        <v>13272</v>
      </c>
      <c r="AB392" t="s">
        <v>17477</v>
      </c>
    </row>
    <row r="393" spans="1:28" x14ac:dyDescent="0.25">
      <c r="A393" t="s">
        <v>397</v>
      </c>
      <c r="B393">
        <v>0.99876560204751996</v>
      </c>
      <c r="C393">
        <v>0.85249232146893095</v>
      </c>
      <c r="D393">
        <v>0.69824078633886399</v>
      </c>
      <c r="E393">
        <v>0.43315773785710199</v>
      </c>
      <c r="F393">
        <v>0.32062977494537598</v>
      </c>
      <c r="G393">
        <v>0.19816769543684101</v>
      </c>
      <c r="H393">
        <v>0.16130153573766601</v>
      </c>
      <c r="I393">
        <v>0.155005040748951</v>
      </c>
      <c r="J393">
        <v>0.169314018843957</v>
      </c>
      <c r="K393">
        <v>0.16069655624114401</v>
      </c>
      <c r="L393">
        <v>734.37457622911597</v>
      </c>
      <c r="M393">
        <v>15.358064843508</v>
      </c>
      <c r="N393">
        <v>48.914563146672698</v>
      </c>
      <c r="O393">
        <v>47.028183044229898</v>
      </c>
      <c r="P393">
        <v>-6.9748504693001798E-2</v>
      </c>
      <c r="Q393">
        <v>0.14576681825774601</v>
      </c>
      <c r="R393">
        <v>0.99664008540790805</v>
      </c>
      <c r="S393" t="s">
        <v>4689</v>
      </c>
      <c r="T393" t="s">
        <v>8590</v>
      </c>
      <c r="U393" t="s">
        <v>8590</v>
      </c>
      <c r="V393" t="s">
        <v>8590</v>
      </c>
      <c r="W393">
        <v>7</v>
      </c>
      <c r="X393" t="s">
        <v>8983</v>
      </c>
      <c r="Y393">
        <v>0.38950124209831022</v>
      </c>
      <c r="Z393" t="str">
        <f>HYPERLINK("Melting_Curves/meltCurve_sp_O95747_OXSR1_HUMAN_.pdf", "Melting_Curves/meltCurve_sp_O95747_OXSR1_HUMAN_.pdf")</f>
        <v>Melting_Curves/meltCurve_sp_O95747_OXSR1_HUMAN_.pdf</v>
      </c>
      <c r="AA393" t="s">
        <v>13273</v>
      </c>
      <c r="AB393" t="s">
        <v>17478</v>
      </c>
    </row>
    <row r="394" spans="1:28" x14ac:dyDescent="0.25">
      <c r="A394" t="s">
        <v>398</v>
      </c>
      <c r="B394">
        <v>0.99876560204751996</v>
      </c>
      <c r="C394">
        <v>1.01826610372473</v>
      </c>
      <c r="D394">
        <v>0.84051471954295798</v>
      </c>
      <c r="E394">
        <v>0.51025857320451395</v>
      </c>
      <c r="F394">
        <v>0.26221504082406</v>
      </c>
      <c r="G394">
        <v>0.145163287606877</v>
      </c>
      <c r="H394">
        <v>9.3008530160047204E-2</v>
      </c>
      <c r="I394">
        <v>7.0877111295617301E-2</v>
      </c>
      <c r="J394">
        <v>7.4980073596955701E-2</v>
      </c>
      <c r="K394">
        <v>6.0165315710296902E-2</v>
      </c>
      <c r="L394">
        <v>1052.6922559422001</v>
      </c>
      <c r="M394">
        <v>21.169312026042402</v>
      </c>
      <c r="N394">
        <v>50.081875413653798</v>
      </c>
      <c r="O394">
        <v>49.289896351911999</v>
      </c>
      <c r="P394">
        <v>-9.9901292057805402E-2</v>
      </c>
      <c r="Q394">
        <v>6.9596951752244701E-2</v>
      </c>
      <c r="R394">
        <v>0.99774088047065601</v>
      </c>
      <c r="S394" t="s">
        <v>4690</v>
      </c>
      <c r="T394" t="s">
        <v>8590</v>
      </c>
      <c r="U394" t="s">
        <v>8590</v>
      </c>
      <c r="V394" t="s">
        <v>8590</v>
      </c>
      <c r="W394">
        <v>17</v>
      </c>
      <c r="X394" t="s">
        <v>8984</v>
      </c>
      <c r="Y394">
        <v>0.38285947571906748</v>
      </c>
      <c r="Z394" t="str">
        <f>HYPERLINK("Melting_Curves/meltCurve_sp_O95757_HS74L_HUMAN_.pdf", "Melting_Curves/meltCurve_sp_O95757_HS74L_HUMAN_.pdf")</f>
        <v>Melting_Curves/meltCurve_sp_O95757_HS74L_HUMAN_.pdf</v>
      </c>
      <c r="AA394" t="s">
        <v>13274</v>
      </c>
      <c r="AB394" t="s">
        <v>17479</v>
      </c>
    </row>
    <row r="395" spans="1:28" x14ac:dyDescent="0.25">
      <c r="A395" t="s">
        <v>399</v>
      </c>
      <c r="B395">
        <v>0.99876560204751996</v>
      </c>
      <c r="C395">
        <v>1.0184549187312899</v>
      </c>
      <c r="D395">
        <v>1.05771756883867</v>
      </c>
      <c r="E395">
        <v>0.96676741793320597</v>
      </c>
      <c r="F395">
        <v>0.93197124556038802</v>
      </c>
      <c r="G395">
        <v>0.77531152480008203</v>
      </c>
      <c r="H395">
        <v>0.61340971832897495</v>
      </c>
      <c r="I395">
        <v>0.59080383913411605</v>
      </c>
      <c r="J395">
        <v>0.645503017214063</v>
      </c>
      <c r="K395">
        <v>0.56664856065297398</v>
      </c>
      <c r="L395">
        <v>1546.3082088721901</v>
      </c>
      <c r="M395">
        <v>27.450541447833199</v>
      </c>
      <c r="O395">
        <v>56.0342965131562</v>
      </c>
      <c r="P395">
        <v>-5.0262698230299503E-2</v>
      </c>
      <c r="Q395">
        <v>0.58960243899732401</v>
      </c>
      <c r="R395">
        <v>0.97668750854319297</v>
      </c>
      <c r="S395" t="s">
        <v>4691</v>
      </c>
      <c r="T395" t="s">
        <v>8590</v>
      </c>
      <c r="U395" t="s">
        <v>8590</v>
      </c>
      <c r="V395" t="s">
        <v>8590</v>
      </c>
      <c r="W395">
        <v>5</v>
      </c>
      <c r="X395" t="s">
        <v>8985</v>
      </c>
      <c r="Y395">
        <v>0.81620937780612957</v>
      </c>
      <c r="Z395" t="str">
        <f>HYPERLINK("Melting_Curves/meltCurve_sp_O95777_NAA38_HUMAN_.pdf", "Melting_Curves/meltCurve_sp_O95777_NAA38_HUMAN_.pdf")</f>
        <v>Melting_Curves/meltCurve_sp_O95777_NAA38_HUMAN_.pdf</v>
      </c>
      <c r="AA395" t="s">
        <v>13275</v>
      </c>
      <c r="AB395" t="s">
        <v>17480</v>
      </c>
    </row>
    <row r="396" spans="1:28" x14ac:dyDescent="0.25">
      <c r="A396" t="s">
        <v>400</v>
      </c>
      <c r="B396">
        <v>0.99876560204751996</v>
      </c>
      <c r="C396">
        <v>1.02762408665939</v>
      </c>
      <c r="D396">
        <v>0.98081245118425398</v>
      </c>
      <c r="E396">
        <v>0.93651159165398501</v>
      </c>
      <c r="F396">
        <v>0.72493057813808903</v>
      </c>
      <c r="G396">
        <v>0.33788860119098701</v>
      </c>
      <c r="H396">
        <v>0.14851922581400601</v>
      </c>
      <c r="I396">
        <v>8.3111073958398896E-2</v>
      </c>
      <c r="J396">
        <v>6.8214303126659506E-2</v>
      </c>
      <c r="K396">
        <v>5.5435912677727801E-2</v>
      </c>
      <c r="L396">
        <v>1326.0452088643999</v>
      </c>
      <c r="M396">
        <v>24.1010735710049</v>
      </c>
      <c r="N396">
        <v>55.289478261171404</v>
      </c>
      <c r="O396">
        <v>54.645573691617301</v>
      </c>
      <c r="P396">
        <v>-0.104156018706938</v>
      </c>
      <c r="Q396">
        <v>5.5381954423785303E-2</v>
      </c>
      <c r="R396">
        <v>0.99920414347545405</v>
      </c>
      <c r="S396" t="s">
        <v>4692</v>
      </c>
      <c r="T396" t="s">
        <v>8590</v>
      </c>
      <c r="U396" t="s">
        <v>8590</v>
      </c>
      <c r="V396" t="s">
        <v>8590</v>
      </c>
      <c r="W396">
        <v>33</v>
      </c>
      <c r="X396" t="s">
        <v>8986</v>
      </c>
      <c r="Y396">
        <v>0.53763701832370858</v>
      </c>
      <c r="Z396" t="str">
        <f>HYPERLINK("Melting_Curves/meltCurve_sp_O95782_2_AP2A1_HUMAN_.pdf", "Melting_Curves/meltCurve_sp_O95782_2_AP2A1_HUMAN_.pdf")</f>
        <v>Melting_Curves/meltCurve_sp_O95782_2_AP2A1_HUMAN_.pdf</v>
      </c>
      <c r="AA396" t="s">
        <v>13276</v>
      </c>
      <c r="AB396" t="s">
        <v>17481</v>
      </c>
    </row>
    <row r="397" spans="1:28" x14ac:dyDescent="0.25">
      <c r="A397" t="s">
        <v>401</v>
      </c>
      <c r="B397">
        <v>0.99876560204751996</v>
      </c>
      <c r="C397">
        <v>1.0711589472303999</v>
      </c>
      <c r="D397">
        <v>0.95214297255263203</v>
      </c>
      <c r="E397">
        <v>0.53527545462468396</v>
      </c>
      <c r="F397">
        <v>0.27327849621384298</v>
      </c>
      <c r="G397">
        <v>0.13995246571366399</v>
      </c>
      <c r="H397">
        <v>9.3492626617869196E-2</v>
      </c>
      <c r="I397">
        <v>9.1760457987268507E-2</v>
      </c>
      <c r="J397">
        <v>0.115422910525317</v>
      </c>
      <c r="K397">
        <v>7.8104542387146994E-2</v>
      </c>
      <c r="L397">
        <v>1437.44247808815</v>
      </c>
      <c r="M397">
        <v>28.715960372474601</v>
      </c>
      <c r="N397">
        <v>50.444105887800397</v>
      </c>
      <c r="O397">
        <v>49.816392437466597</v>
      </c>
      <c r="P397">
        <v>-0.12986901192911901</v>
      </c>
      <c r="Q397">
        <v>9.8820923708047501E-2</v>
      </c>
      <c r="R397">
        <v>0.99456103434004095</v>
      </c>
      <c r="S397" t="s">
        <v>4693</v>
      </c>
      <c r="T397" t="s">
        <v>8590</v>
      </c>
      <c r="U397" t="s">
        <v>8590</v>
      </c>
      <c r="V397" t="s">
        <v>8590</v>
      </c>
      <c r="W397">
        <v>9</v>
      </c>
      <c r="X397" t="s">
        <v>8987</v>
      </c>
      <c r="Y397">
        <v>0.40702918825464368</v>
      </c>
      <c r="Z397" t="str">
        <f>HYPERLINK("Melting_Curves/meltCurve_sp_O95786_2_DDX58_HUMAN_.pdf", "Melting_Curves/meltCurve_sp_O95786_2_DDX58_HUMAN_.pdf")</f>
        <v>Melting_Curves/meltCurve_sp_O95786_2_DDX58_HUMAN_.pdf</v>
      </c>
      <c r="AA397" t="s">
        <v>13277</v>
      </c>
      <c r="AB397" t="s">
        <v>17482</v>
      </c>
    </row>
    <row r="398" spans="1:28" x14ac:dyDescent="0.25">
      <c r="A398" t="s">
        <v>402</v>
      </c>
      <c r="B398">
        <v>0.99876560204751996</v>
      </c>
      <c r="C398">
        <v>1.04819225132104</v>
      </c>
      <c r="D398">
        <v>0.92028606245764699</v>
      </c>
      <c r="E398">
        <v>0.78445460123285005</v>
      </c>
      <c r="F398">
        <v>0.28662805068890901</v>
      </c>
      <c r="G398">
        <v>0.18809021179945101</v>
      </c>
      <c r="H398">
        <v>9.5382914093252294E-2</v>
      </c>
      <c r="I398">
        <v>0.12775158082552701</v>
      </c>
      <c r="J398">
        <v>0.12538082669874401</v>
      </c>
      <c r="K398">
        <v>0.100881366628637</v>
      </c>
      <c r="L398">
        <v>2126.55043888214</v>
      </c>
      <c r="M398">
        <v>41.482374983498303</v>
      </c>
      <c r="N398">
        <v>51.613535347409801</v>
      </c>
      <c r="O398">
        <v>51.145246197605601</v>
      </c>
      <c r="P398">
        <v>-0.17793312718508</v>
      </c>
      <c r="Q398">
        <v>0.122478653922397</v>
      </c>
      <c r="R398">
        <v>0.99222960533412896</v>
      </c>
      <c r="S398" t="s">
        <v>4694</v>
      </c>
      <c r="T398" t="s">
        <v>8590</v>
      </c>
      <c r="U398" t="s">
        <v>8590</v>
      </c>
      <c r="V398" t="s">
        <v>8590</v>
      </c>
      <c r="W398">
        <v>2</v>
      </c>
      <c r="X398" t="s">
        <v>8988</v>
      </c>
      <c r="Y398">
        <v>0.45484659265082361</v>
      </c>
      <c r="Z398" t="str">
        <f>HYPERLINK("Melting_Curves/meltCurve_sp_O95801_TTC4_HUMAN_.pdf", "Melting_Curves/meltCurve_sp_O95801_TTC4_HUMAN_.pdf")</f>
        <v>Melting_Curves/meltCurve_sp_O95801_TTC4_HUMAN_.pdf</v>
      </c>
      <c r="AA398" t="s">
        <v>13278</v>
      </c>
      <c r="AB398" t="s">
        <v>17483</v>
      </c>
    </row>
    <row r="399" spans="1:28" x14ac:dyDescent="0.25">
      <c r="A399" t="s">
        <v>403</v>
      </c>
      <c r="B399">
        <v>0.99876560204751996</v>
      </c>
      <c r="C399">
        <v>0.91921726895635902</v>
      </c>
      <c r="D399">
        <v>1.05809238053777</v>
      </c>
      <c r="E399">
        <v>0.71402347211442496</v>
      </c>
      <c r="F399">
        <v>0.72708200457272099</v>
      </c>
      <c r="G399">
        <v>0.41540568136258099</v>
      </c>
      <c r="H399">
        <v>0.33158355455392102</v>
      </c>
      <c r="I399">
        <v>0.262906289425269</v>
      </c>
      <c r="J399">
        <v>0.20533510516225101</v>
      </c>
      <c r="K399">
        <v>0.26479386901081903</v>
      </c>
      <c r="L399">
        <v>842.67229481476795</v>
      </c>
      <c r="M399">
        <v>15.647755429742199</v>
      </c>
      <c r="N399">
        <v>55.7708886321522</v>
      </c>
      <c r="O399">
        <v>52.996068543496698</v>
      </c>
      <c r="P399">
        <v>-5.8459026773080298E-2</v>
      </c>
      <c r="Q399">
        <v>0.20810791215673699</v>
      </c>
      <c r="R399">
        <v>0.96331637415330396</v>
      </c>
      <c r="S399" t="s">
        <v>4695</v>
      </c>
      <c r="T399" t="s">
        <v>8590</v>
      </c>
      <c r="U399" t="s">
        <v>8590</v>
      </c>
      <c r="V399" t="s">
        <v>8590</v>
      </c>
      <c r="W399">
        <v>2</v>
      </c>
      <c r="X399" t="s">
        <v>8989</v>
      </c>
      <c r="Y399">
        <v>0.58927098150804214</v>
      </c>
      <c r="Z399" t="str">
        <f>HYPERLINK("Melting_Curves/meltCurve_sp_O95816_BAG2_HUMAN_.pdf", "Melting_Curves/meltCurve_sp_O95816_BAG2_HUMAN_.pdf")</f>
        <v>Melting_Curves/meltCurve_sp_O95816_BAG2_HUMAN_.pdf</v>
      </c>
      <c r="AA399" t="s">
        <v>13279</v>
      </c>
      <c r="AB399" t="s">
        <v>17484</v>
      </c>
    </row>
    <row r="400" spans="1:28" x14ac:dyDescent="0.25">
      <c r="A400" t="s">
        <v>404</v>
      </c>
      <c r="B400">
        <v>0.99876560204751996</v>
      </c>
      <c r="C400">
        <v>0.86504251313119795</v>
      </c>
      <c r="D400">
        <v>0.96852896612299999</v>
      </c>
      <c r="E400">
        <v>0.80795097117839199</v>
      </c>
      <c r="F400">
        <v>0.79192132235164103</v>
      </c>
      <c r="G400">
        <v>0.68050347890166696</v>
      </c>
      <c r="H400">
        <v>0.68415778706451802</v>
      </c>
      <c r="I400">
        <v>0.727292946478725</v>
      </c>
      <c r="J400">
        <v>0.74064620999168596</v>
      </c>
      <c r="K400">
        <v>0.92471368962435097</v>
      </c>
      <c r="L400">
        <v>812.201304840896</v>
      </c>
      <c r="M400">
        <v>17.314867143403902</v>
      </c>
      <c r="O400">
        <v>46.295447502894</v>
      </c>
      <c r="P400">
        <v>-2.3188981275539901E-2</v>
      </c>
      <c r="Q400">
        <v>0.752008956541105</v>
      </c>
      <c r="R400">
        <v>0.530447941134505</v>
      </c>
      <c r="S400" t="s">
        <v>4696</v>
      </c>
      <c r="T400" t="s">
        <v>8590</v>
      </c>
      <c r="U400" t="s">
        <v>8590</v>
      </c>
      <c r="V400" t="s">
        <v>8590</v>
      </c>
      <c r="W400">
        <v>2</v>
      </c>
      <c r="X400" t="s">
        <v>8990</v>
      </c>
      <c r="Y400">
        <v>0.81411208728578421</v>
      </c>
      <c r="Z400" t="str">
        <f>HYPERLINK("Melting_Curves/meltCurve_sp_O95817_BAG3_HUMAN_.pdf", "Melting_Curves/meltCurve_sp_O95817_BAG3_HUMAN_.pdf")</f>
        <v>Melting_Curves/meltCurve_sp_O95817_BAG3_HUMAN_.pdf</v>
      </c>
      <c r="AA400" t="s">
        <v>13280</v>
      </c>
      <c r="AB400" t="s">
        <v>17485</v>
      </c>
    </row>
    <row r="401" spans="1:28" x14ac:dyDescent="0.25">
      <c r="A401" t="s">
        <v>405</v>
      </c>
      <c r="B401">
        <v>0.99876560204751996</v>
      </c>
      <c r="C401">
        <v>0.99746456856574195</v>
      </c>
      <c r="D401">
        <v>0.850594698407942</v>
      </c>
      <c r="E401">
        <v>0.59368384245607098</v>
      </c>
      <c r="F401">
        <v>0.23066267642160301</v>
      </c>
      <c r="G401">
        <v>0.11721117931136001</v>
      </c>
      <c r="H401">
        <v>7.5990686222080495E-2</v>
      </c>
      <c r="I401">
        <v>6.1593935984223601E-2</v>
      </c>
      <c r="J401">
        <v>5.5688575421684899E-2</v>
      </c>
      <c r="K401">
        <v>5.1084733164527898E-2</v>
      </c>
      <c r="L401">
        <v>1148.9553361934099</v>
      </c>
      <c r="M401">
        <v>22.877244827101801</v>
      </c>
      <c r="N401">
        <v>50.464150338483797</v>
      </c>
      <c r="O401">
        <v>49.843603522136497</v>
      </c>
      <c r="P401">
        <v>-0.108797105341999</v>
      </c>
      <c r="Q401">
        <v>5.1855024135909901E-2</v>
      </c>
      <c r="R401">
        <v>0.99601741749943795</v>
      </c>
      <c r="S401" t="s">
        <v>4697</v>
      </c>
      <c r="T401" t="s">
        <v>8590</v>
      </c>
      <c r="U401" t="s">
        <v>8590</v>
      </c>
      <c r="V401" t="s">
        <v>8590</v>
      </c>
      <c r="W401">
        <v>27</v>
      </c>
      <c r="X401" t="s">
        <v>8991</v>
      </c>
      <c r="Y401">
        <v>0.38507519366997311</v>
      </c>
      <c r="Z401" t="str">
        <f>HYPERLINK("Melting_Curves/meltCurve_sp_O95822_DCMC_HUMAN_.pdf", "Melting_Curves/meltCurve_sp_O95822_DCMC_HUMAN_.pdf")</f>
        <v>Melting_Curves/meltCurve_sp_O95822_DCMC_HUMAN_.pdf</v>
      </c>
      <c r="AA401" t="s">
        <v>13281</v>
      </c>
      <c r="AB401" t="s">
        <v>17486</v>
      </c>
    </row>
    <row r="402" spans="1:28" x14ac:dyDescent="0.25">
      <c r="A402" t="s">
        <v>406</v>
      </c>
      <c r="B402">
        <v>0.99876560204751996</v>
      </c>
      <c r="C402">
        <v>1.05781862329076</v>
      </c>
      <c r="D402">
        <v>1.0372782500205699</v>
      </c>
      <c r="E402">
        <v>0.991090116609747</v>
      </c>
      <c r="F402">
        <v>0.88848087493768202</v>
      </c>
      <c r="G402">
        <v>0.77617041312983104</v>
      </c>
      <c r="H402">
        <v>0.42893843269777099</v>
      </c>
      <c r="I402">
        <v>9.9592501674900996E-2</v>
      </c>
      <c r="J402">
        <v>5.5783415817692202E-2</v>
      </c>
      <c r="K402">
        <v>6.3899407715206205E-2</v>
      </c>
      <c r="L402">
        <v>1478.72864755465</v>
      </c>
      <c r="M402">
        <v>24.719835932216601</v>
      </c>
      <c r="N402">
        <v>59.819493761125599</v>
      </c>
      <c r="O402">
        <v>59.432163942460598</v>
      </c>
      <c r="P402">
        <v>-0.103984870646431</v>
      </c>
      <c r="Q402">
        <v>0</v>
      </c>
      <c r="R402">
        <v>0.98927260540694295</v>
      </c>
      <c r="S402" t="s">
        <v>4698</v>
      </c>
      <c r="T402" t="s">
        <v>8590</v>
      </c>
      <c r="U402" t="s">
        <v>8590</v>
      </c>
      <c r="V402" t="s">
        <v>8590</v>
      </c>
      <c r="W402">
        <v>9</v>
      </c>
      <c r="X402" t="s">
        <v>8992</v>
      </c>
      <c r="Y402">
        <v>0.66831439521013247</v>
      </c>
      <c r="Z402" t="str">
        <f>HYPERLINK("Melting_Curves/meltCurve_sp_O95825_QORL1_HUMAN_.pdf", "Melting_Curves/meltCurve_sp_O95825_QORL1_HUMAN_.pdf")</f>
        <v>Melting_Curves/meltCurve_sp_O95825_QORL1_HUMAN_.pdf</v>
      </c>
      <c r="AA402" t="s">
        <v>13282</v>
      </c>
      <c r="AB402" t="s">
        <v>17487</v>
      </c>
    </row>
    <row r="403" spans="1:28" x14ac:dyDescent="0.25">
      <c r="A403" t="s">
        <v>407</v>
      </c>
      <c r="B403">
        <v>0.99876560204751996</v>
      </c>
      <c r="C403">
        <v>0.99230943559889895</v>
      </c>
      <c r="D403">
        <v>1.0108585120938001</v>
      </c>
      <c r="E403">
        <v>0.90566004862669702</v>
      </c>
      <c r="F403">
        <v>0.81238186600694495</v>
      </c>
      <c r="G403">
        <v>0.647182039670539</v>
      </c>
      <c r="H403">
        <v>0.39730094950587802</v>
      </c>
      <c r="I403">
        <v>0.23809557626104699</v>
      </c>
      <c r="J403">
        <v>8.8829216127786395E-2</v>
      </c>
      <c r="K403">
        <v>6.2064663620204998E-2</v>
      </c>
      <c r="L403">
        <v>900.23146831077997</v>
      </c>
      <c r="M403">
        <v>15.2834409649378</v>
      </c>
      <c r="N403">
        <v>58.902407905364001</v>
      </c>
      <c r="O403">
        <v>57.921617743509998</v>
      </c>
      <c r="P403">
        <v>-6.59722529306776E-2</v>
      </c>
      <c r="Q403">
        <v>0</v>
      </c>
      <c r="R403">
        <v>0.99503145214948996</v>
      </c>
      <c r="S403" t="s">
        <v>4699</v>
      </c>
      <c r="T403" t="s">
        <v>8590</v>
      </c>
      <c r="U403" t="s">
        <v>8590</v>
      </c>
      <c r="V403" t="s">
        <v>8590</v>
      </c>
      <c r="W403">
        <v>27</v>
      </c>
      <c r="X403" t="s">
        <v>8993</v>
      </c>
      <c r="Y403">
        <v>0.6409479441516408</v>
      </c>
      <c r="Z403" t="str">
        <f>HYPERLINK("Melting_Curves/meltCurve_sp_O95831_3_AIFM1_HUMAN_.pdf", "Melting_Curves/meltCurve_sp_O95831_3_AIFM1_HUMAN_.pdf")</f>
        <v>Melting_Curves/meltCurve_sp_O95831_3_AIFM1_HUMAN_.pdf</v>
      </c>
      <c r="AA403" t="s">
        <v>13283</v>
      </c>
      <c r="AB403" t="s">
        <v>17488</v>
      </c>
    </row>
    <row r="404" spans="1:28" x14ac:dyDescent="0.25">
      <c r="A404" t="s">
        <v>408</v>
      </c>
      <c r="B404">
        <v>0.99876560204751996</v>
      </c>
      <c r="C404">
        <v>0.98351126934631905</v>
      </c>
      <c r="D404">
        <v>0.97044832651567903</v>
      </c>
      <c r="E404">
        <v>0.96126957972677096</v>
      </c>
      <c r="F404">
        <v>0.75581457535560104</v>
      </c>
      <c r="G404">
        <v>0.325904680978095</v>
      </c>
      <c r="H404">
        <v>0.138150916377064</v>
      </c>
      <c r="I404">
        <v>8.8622416747116503E-2</v>
      </c>
      <c r="J404">
        <v>7.8340285615679794E-2</v>
      </c>
      <c r="K404">
        <v>7.2834047542018707E-2</v>
      </c>
      <c r="L404">
        <v>1530.3779886792399</v>
      </c>
      <c r="M404">
        <v>27.822157189697801</v>
      </c>
      <c r="N404">
        <v>55.320293632428303</v>
      </c>
      <c r="O404">
        <v>54.723916277070998</v>
      </c>
      <c r="P404">
        <v>-0.1178043038626</v>
      </c>
      <c r="Q404">
        <v>7.3162378516142296E-2</v>
      </c>
      <c r="R404">
        <v>0.99924399874453496</v>
      </c>
      <c r="S404" t="s">
        <v>4700</v>
      </c>
      <c r="T404" t="s">
        <v>8590</v>
      </c>
      <c r="U404" t="s">
        <v>8590</v>
      </c>
      <c r="V404" t="s">
        <v>8590</v>
      </c>
      <c r="W404">
        <v>12</v>
      </c>
      <c r="X404" t="s">
        <v>8994</v>
      </c>
      <c r="Y404">
        <v>0.5438337902092949</v>
      </c>
      <c r="Z404" t="str">
        <f>HYPERLINK("Melting_Curves/meltCurve_sp_O95834_EMAL2_HUMAN_.pdf", "Melting_Curves/meltCurve_sp_O95834_EMAL2_HUMAN_.pdf")</f>
        <v>Melting_Curves/meltCurve_sp_O95834_EMAL2_HUMAN_.pdf</v>
      </c>
      <c r="AA404" t="s">
        <v>13284</v>
      </c>
      <c r="AB404" t="s">
        <v>17489</v>
      </c>
    </row>
    <row r="405" spans="1:28" x14ac:dyDescent="0.25">
      <c r="A405" t="s">
        <v>409</v>
      </c>
      <c r="B405">
        <v>0.99876560204751996</v>
      </c>
      <c r="C405">
        <v>0.87908694469438797</v>
      </c>
      <c r="D405">
        <v>1.07188413094469</v>
      </c>
      <c r="E405">
        <v>0.93526137030063505</v>
      </c>
      <c r="F405">
        <v>0.94565383864248798</v>
      </c>
      <c r="G405">
        <v>0.60779542449824897</v>
      </c>
      <c r="H405">
        <v>0.179700282820282</v>
      </c>
      <c r="I405">
        <v>0.104428154121065</v>
      </c>
      <c r="J405">
        <v>8.3402742268158206E-2</v>
      </c>
      <c r="K405">
        <v>6.9239820598290494E-2</v>
      </c>
      <c r="L405">
        <v>1903.4594508554501</v>
      </c>
      <c r="M405">
        <v>33.103750450116102</v>
      </c>
      <c r="N405">
        <v>57.7597426734226</v>
      </c>
      <c r="O405">
        <v>57.291200486001202</v>
      </c>
      <c r="P405">
        <v>-0.134457158445379</v>
      </c>
      <c r="Q405">
        <v>6.9207813516937E-2</v>
      </c>
      <c r="R405">
        <v>0.98589399653860899</v>
      </c>
      <c r="S405" t="s">
        <v>4701</v>
      </c>
      <c r="T405" t="s">
        <v>8590</v>
      </c>
      <c r="U405" t="s">
        <v>8590</v>
      </c>
      <c r="V405" t="s">
        <v>8590</v>
      </c>
      <c r="W405">
        <v>9</v>
      </c>
      <c r="X405" t="s">
        <v>8995</v>
      </c>
      <c r="Y405">
        <v>0.61735547316376249</v>
      </c>
      <c r="Z405" t="str">
        <f>HYPERLINK("Melting_Curves/meltCurve_sp_O95865_DDAH2_HUMAN_.pdf", "Melting_Curves/meltCurve_sp_O95865_DDAH2_HUMAN_.pdf")</f>
        <v>Melting_Curves/meltCurve_sp_O95865_DDAH2_HUMAN_.pdf</v>
      </c>
      <c r="AA405" t="s">
        <v>13285</v>
      </c>
      <c r="AB405" t="s">
        <v>17490</v>
      </c>
    </row>
    <row r="406" spans="1:28" x14ac:dyDescent="0.25">
      <c r="A406" t="s">
        <v>410</v>
      </c>
      <c r="B406">
        <v>0.99876560204751996</v>
      </c>
      <c r="C406">
        <v>0.92755238584290201</v>
      </c>
      <c r="D406">
        <v>0.97335786878673902</v>
      </c>
      <c r="E406">
        <v>0.81982613112709302</v>
      </c>
      <c r="F406">
        <v>0.74972686123672805</v>
      </c>
      <c r="G406">
        <v>0.61726268767614201</v>
      </c>
      <c r="H406">
        <v>0.43627493152444102</v>
      </c>
      <c r="I406">
        <v>0.41675891294928802</v>
      </c>
      <c r="J406">
        <v>0.46854325644813499</v>
      </c>
      <c r="K406">
        <v>0.51370883903036801</v>
      </c>
      <c r="L406">
        <v>855.24832127415505</v>
      </c>
      <c r="M406">
        <v>16.098875521172999</v>
      </c>
      <c r="N406">
        <v>61.006127604360401</v>
      </c>
      <c r="O406">
        <v>52.325303194428997</v>
      </c>
      <c r="P406">
        <v>-4.3267447070204003E-2</v>
      </c>
      <c r="Q406">
        <v>0.43752373887220403</v>
      </c>
      <c r="R406">
        <v>0.96141337187015796</v>
      </c>
      <c r="S406" t="s">
        <v>4702</v>
      </c>
      <c r="T406" t="s">
        <v>8590</v>
      </c>
      <c r="U406" t="s">
        <v>8590</v>
      </c>
      <c r="V406" t="s">
        <v>8590</v>
      </c>
      <c r="W406">
        <v>7</v>
      </c>
      <c r="X406" t="s">
        <v>8996</v>
      </c>
      <c r="Y406">
        <v>0.69449364733042473</v>
      </c>
      <c r="Z406" t="str">
        <f>HYPERLINK("Melting_Curves/meltCurve_sp_O95881_TXD12_HUMAN_.pdf", "Melting_Curves/meltCurve_sp_O95881_TXD12_HUMAN_.pdf")</f>
        <v>Melting_Curves/meltCurve_sp_O95881_TXD12_HUMAN_.pdf</v>
      </c>
      <c r="AA406" t="s">
        <v>13286</v>
      </c>
      <c r="AB406" t="s">
        <v>17491</v>
      </c>
    </row>
    <row r="407" spans="1:28" x14ac:dyDescent="0.25">
      <c r="A407" t="s">
        <v>411</v>
      </c>
      <c r="B407">
        <v>0.99876560204751996</v>
      </c>
      <c r="C407">
        <v>0.973608545101042</v>
      </c>
      <c r="D407">
        <v>0.77108055728633995</v>
      </c>
      <c r="E407">
        <v>0.33137563669103898</v>
      </c>
      <c r="F407">
        <v>0.123340046326379</v>
      </c>
      <c r="G407">
        <v>6.9917620758345705E-2</v>
      </c>
      <c r="H407">
        <v>4.5345299410357698E-2</v>
      </c>
      <c r="I407">
        <v>3.7554515544356397E-2</v>
      </c>
      <c r="J407">
        <v>3.4796369906524398E-2</v>
      </c>
      <c r="K407">
        <v>2.6323900593223998E-2</v>
      </c>
      <c r="L407">
        <v>1185.8838216649999</v>
      </c>
      <c r="M407">
        <v>24.563699778651799</v>
      </c>
      <c r="N407">
        <v>48.422694445447902</v>
      </c>
      <c r="O407">
        <v>47.961327239675903</v>
      </c>
      <c r="P407">
        <v>-0.123507075598826</v>
      </c>
      <c r="Q407">
        <v>3.5409268173570499E-2</v>
      </c>
      <c r="R407">
        <v>0.99950678335793897</v>
      </c>
      <c r="S407" t="s">
        <v>4703</v>
      </c>
      <c r="T407" t="s">
        <v>8590</v>
      </c>
      <c r="U407" t="s">
        <v>8590</v>
      </c>
      <c r="V407" t="s">
        <v>8590</v>
      </c>
      <c r="W407">
        <v>37</v>
      </c>
      <c r="X407" t="s">
        <v>8997</v>
      </c>
      <c r="Y407">
        <v>0.3104145454279052</v>
      </c>
      <c r="Z407" t="str">
        <f>HYPERLINK("Melting_Curves/meltCurve_sp_O95954_FTCD_HUMAN_.pdf", "Melting_Curves/meltCurve_sp_O95954_FTCD_HUMAN_.pdf")</f>
        <v>Melting_Curves/meltCurve_sp_O95954_FTCD_HUMAN_.pdf</v>
      </c>
      <c r="AA407" t="s">
        <v>13287</v>
      </c>
      <c r="AB407" t="s">
        <v>17492</v>
      </c>
    </row>
    <row r="408" spans="1:28" x14ac:dyDescent="0.25">
      <c r="A408" t="s">
        <v>412</v>
      </c>
      <c r="B408">
        <v>0.99876560204751996</v>
      </c>
      <c r="C408">
        <v>0.79170728955968805</v>
      </c>
      <c r="D408">
        <v>1.0356594574666</v>
      </c>
      <c r="E408">
        <v>0.70113889034124899</v>
      </c>
      <c r="F408">
        <v>0.61305682684575802</v>
      </c>
      <c r="G408">
        <v>0.45764358145786899</v>
      </c>
      <c r="H408">
        <v>0.193258342652291</v>
      </c>
      <c r="I408">
        <v>0.102803814144586</v>
      </c>
      <c r="J408">
        <v>8.6235885080642005E-2</v>
      </c>
      <c r="K408">
        <v>7.9031530187635493E-2</v>
      </c>
      <c r="L408">
        <v>673.65767169199</v>
      </c>
      <c r="M408">
        <v>12.2818810992931</v>
      </c>
      <c r="N408">
        <v>54.8497144753239</v>
      </c>
      <c r="O408">
        <v>53.456425614691099</v>
      </c>
      <c r="P408">
        <v>-5.7451408698233702E-2</v>
      </c>
      <c r="Q408">
        <v>0</v>
      </c>
      <c r="R408">
        <v>0.95385239574222402</v>
      </c>
      <c r="S408" t="s">
        <v>4704</v>
      </c>
      <c r="T408" t="s">
        <v>8590</v>
      </c>
      <c r="U408" t="s">
        <v>8590</v>
      </c>
      <c r="V408" t="s">
        <v>8590</v>
      </c>
      <c r="W408">
        <v>6</v>
      </c>
      <c r="X408" t="s">
        <v>8998</v>
      </c>
      <c r="Y408">
        <v>0.51845525791124181</v>
      </c>
      <c r="Z408" t="str">
        <f>HYPERLINK("Melting_Curves/meltCurve_sp_O95989_NUDT3_HUMAN_.pdf", "Melting_Curves/meltCurve_sp_O95989_NUDT3_HUMAN_.pdf")</f>
        <v>Melting_Curves/meltCurve_sp_O95989_NUDT3_HUMAN_.pdf</v>
      </c>
      <c r="AA408" t="s">
        <v>13288</v>
      </c>
      <c r="AB408" t="s">
        <v>17493</v>
      </c>
    </row>
    <row r="409" spans="1:28" x14ac:dyDescent="0.25">
      <c r="A409" t="s">
        <v>413</v>
      </c>
      <c r="B409">
        <v>0.99876560204751996</v>
      </c>
      <c r="C409">
        <v>0.90631729605418998</v>
      </c>
      <c r="D409">
        <v>0.93249095494273304</v>
      </c>
      <c r="E409">
        <v>0.75710169317515397</v>
      </c>
      <c r="F409">
        <v>0.401855069873228</v>
      </c>
      <c r="G409">
        <v>0.27482393664212401</v>
      </c>
      <c r="H409">
        <v>0.20896984766269</v>
      </c>
      <c r="I409">
        <v>0.17869410325836299</v>
      </c>
      <c r="J409">
        <v>0.19047661911338001</v>
      </c>
      <c r="K409">
        <v>0.188416022349367</v>
      </c>
      <c r="L409">
        <v>1298.8127803687</v>
      </c>
      <c r="M409">
        <v>25.318956254297099</v>
      </c>
      <c r="N409">
        <v>52.274273789983603</v>
      </c>
      <c r="O409">
        <v>50.981239648131101</v>
      </c>
      <c r="P409">
        <v>-0.100769881442104</v>
      </c>
      <c r="Q409">
        <v>0.18838553523923199</v>
      </c>
      <c r="R409">
        <v>0.98930863271773795</v>
      </c>
      <c r="S409" t="s">
        <v>4705</v>
      </c>
      <c r="T409" t="s">
        <v>8590</v>
      </c>
      <c r="U409" t="s">
        <v>8590</v>
      </c>
      <c r="V409" t="s">
        <v>8590</v>
      </c>
      <c r="W409">
        <v>3</v>
      </c>
      <c r="X409" t="s">
        <v>8999</v>
      </c>
      <c r="Y409">
        <v>0.50121612014735439</v>
      </c>
      <c r="Z409" t="str">
        <f>HYPERLINK("Melting_Curves/meltCurve_sp_O95999_BCL10_HUMAN_.pdf", "Melting_Curves/meltCurve_sp_O95999_BCL10_HUMAN_.pdf")</f>
        <v>Melting_Curves/meltCurve_sp_O95999_BCL10_HUMAN_.pdf</v>
      </c>
      <c r="AA409" t="s">
        <v>13289</v>
      </c>
      <c r="AB409" t="s">
        <v>17494</v>
      </c>
    </row>
    <row r="410" spans="1:28" x14ac:dyDescent="0.25">
      <c r="A410" t="s">
        <v>414</v>
      </c>
      <c r="B410">
        <v>0.99876560204751996</v>
      </c>
      <c r="C410">
        <v>0.98282701981236698</v>
      </c>
      <c r="D410">
        <v>0.927960701582071</v>
      </c>
      <c r="E410">
        <v>0.779854340423906</v>
      </c>
      <c r="F410">
        <v>0.73241609319869505</v>
      </c>
      <c r="G410">
        <v>0.52743502568886003</v>
      </c>
      <c r="H410">
        <v>0.50675546028385599</v>
      </c>
      <c r="I410">
        <v>0.45857091080728701</v>
      </c>
      <c r="J410">
        <v>0.52203719211343003</v>
      </c>
      <c r="K410">
        <v>0.43832268766746202</v>
      </c>
      <c r="L410">
        <v>785.51215375681295</v>
      </c>
      <c r="M410">
        <v>15.117446532392901</v>
      </c>
      <c r="N410">
        <v>61.346434887600097</v>
      </c>
      <c r="O410">
        <v>51.076858417510699</v>
      </c>
      <c r="P410">
        <v>-4.0662424285360398E-2</v>
      </c>
      <c r="Q410">
        <v>0.45051423848796901</v>
      </c>
      <c r="R410">
        <v>0.98178762585297696</v>
      </c>
      <c r="S410" t="s">
        <v>4706</v>
      </c>
      <c r="T410" t="s">
        <v>8590</v>
      </c>
      <c r="U410" t="s">
        <v>8590</v>
      </c>
      <c r="V410" t="s">
        <v>8590</v>
      </c>
      <c r="W410">
        <v>5</v>
      </c>
      <c r="X410" t="s">
        <v>9000</v>
      </c>
      <c r="Y410">
        <v>0.68174241687596771</v>
      </c>
      <c r="Z410" t="str">
        <f>HYPERLINK("Melting_Curves/meltCurve_sp_O96007_MOC2B_HUMAN_.pdf", "Melting_Curves/meltCurve_sp_O96007_MOC2B_HUMAN_.pdf")</f>
        <v>Melting_Curves/meltCurve_sp_O96007_MOC2B_HUMAN_.pdf</v>
      </c>
      <c r="AA410" t="s">
        <v>13290</v>
      </c>
      <c r="AB410" t="s">
        <v>17495</v>
      </c>
    </row>
    <row r="411" spans="1:28" x14ac:dyDescent="0.25">
      <c r="A411" t="s">
        <v>415</v>
      </c>
      <c r="B411">
        <v>0.99876560204751996</v>
      </c>
      <c r="C411">
        <v>1.17805970925648</v>
      </c>
      <c r="D411">
        <v>0.88612337602759506</v>
      </c>
      <c r="E411">
        <v>0.59186393113700797</v>
      </c>
      <c r="F411">
        <v>0.45285377395856502</v>
      </c>
      <c r="G411">
        <v>0.22450603033248401</v>
      </c>
      <c r="H411">
        <v>8.01974023736131E-2</v>
      </c>
      <c r="I411">
        <v>8.2977663161133794E-2</v>
      </c>
      <c r="J411">
        <v>3.5683697030702802E-2</v>
      </c>
      <c r="K411">
        <v>2.7913257351600398E-2</v>
      </c>
      <c r="L411">
        <v>894.05850294115703</v>
      </c>
      <c r="M411">
        <v>17.268258171605801</v>
      </c>
      <c r="N411">
        <v>51.963463784867201</v>
      </c>
      <c r="O411">
        <v>51.095302823364896</v>
      </c>
      <c r="P411">
        <v>-8.1926307877066895E-2</v>
      </c>
      <c r="Q411">
        <v>3.0404514315366001E-2</v>
      </c>
      <c r="R411">
        <v>0.97110532613752498</v>
      </c>
      <c r="S411" t="s">
        <v>4707</v>
      </c>
      <c r="T411" t="s">
        <v>8590</v>
      </c>
      <c r="U411" t="s">
        <v>8590</v>
      </c>
      <c r="V411" t="s">
        <v>8590</v>
      </c>
      <c r="W411">
        <v>3</v>
      </c>
      <c r="X411" t="s">
        <v>9001</v>
      </c>
      <c r="Y411">
        <v>0.42833452171174041</v>
      </c>
      <c r="Z411" t="str">
        <f>HYPERLINK("Melting_Curves/meltCurve_sp_O96013_4_PAK4_HUMAN_.pdf", "Melting_Curves/meltCurve_sp_O96013_4_PAK4_HUMAN_.pdf")</f>
        <v>Melting_Curves/meltCurve_sp_O96013_4_PAK4_HUMAN_.pdf</v>
      </c>
      <c r="AA411" t="s">
        <v>13291</v>
      </c>
      <c r="AB411" t="s">
        <v>17496</v>
      </c>
    </row>
    <row r="412" spans="1:28" x14ac:dyDescent="0.25">
      <c r="A412" t="s">
        <v>416</v>
      </c>
      <c r="B412">
        <v>0.99876560204751996</v>
      </c>
      <c r="C412">
        <v>0.91008791430152702</v>
      </c>
      <c r="D412">
        <v>0.89218834380455703</v>
      </c>
      <c r="E412">
        <v>0.68559751675435099</v>
      </c>
      <c r="F412">
        <v>0.33657811646137598</v>
      </c>
      <c r="G412">
        <v>0.12505178424897001</v>
      </c>
      <c r="H412">
        <v>7.4180234252065505E-2</v>
      </c>
      <c r="I412">
        <v>6.0890262571872501E-2</v>
      </c>
      <c r="J412">
        <v>6.3077471649714403E-2</v>
      </c>
      <c r="K412">
        <v>5.3268687786422103E-2</v>
      </c>
      <c r="L412">
        <v>1116.3084632273101</v>
      </c>
      <c r="M412">
        <v>21.795696752544998</v>
      </c>
      <c r="N412">
        <v>51.4477015470788</v>
      </c>
      <c r="O412">
        <v>50.7916164355928</v>
      </c>
      <c r="P412">
        <v>-0.102286288415046</v>
      </c>
      <c r="Q412">
        <v>4.6570275312936997E-2</v>
      </c>
      <c r="R412">
        <v>0.99375907592577895</v>
      </c>
      <c r="S412" t="s">
        <v>4708</v>
      </c>
      <c r="T412" t="s">
        <v>8590</v>
      </c>
      <c r="U412" t="s">
        <v>8590</v>
      </c>
      <c r="V412" t="s">
        <v>8590</v>
      </c>
      <c r="W412">
        <v>5</v>
      </c>
      <c r="X412" t="s">
        <v>9002</v>
      </c>
      <c r="Y412">
        <v>0.4143091423400847</v>
      </c>
      <c r="Z412" t="str">
        <f>HYPERLINK("Melting_Curves/meltCurve_sp_O96019_ACL6A_HUMAN_.pdf", "Melting_Curves/meltCurve_sp_O96019_ACL6A_HUMAN_.pdf")</f>
        <v>Melting_Curves/meltCurve_sp_O96019_ACL6A_HUMAN_.pdf</v>
      </c>
      <c r="AA412" t="s">
        <v>13292</v>
      </c>
      <c r="AB412" t="s">
        <v>17497</v>
      </c>
    </row>
    <row r="413" spans="1:28" x14ac:dyDescent="0.25">
      <c r="A413" t="s">
        <v>417</v>
      </c>
      <c r="B413">
        <v>0.99876560204751996</v>
      </c>
      <c r="C413">
        <v>0.98798929744683095</v>
      </c>
      <c r="D413">
        <v>1.07792965901117</v>
      </c>
      <c r="E413">
        <v>0.95378796860555404</v>
      </c>
      <c r="F413">
        <v>0.94705756442826605</v>
      </c>
      <c r="G413">
        <v>0.72040360492202404</v>
      </c>
      <c r="H413">
        <v>0.62464711611479995</v>
      </c>
      <c r="I413">
        <v>0.61761499219184102</v>
      </c>
      <c r="J413">
        <v>0.63341074995354096</v>
      </c>
      <c r="K413">
        <v>0.57505425635186902</v>
      </c>
      <c r="L413">
        <v>1871.6433564839599</v>
      </c>
      <c r="M413">
        <v>33.676387777913298</v>
      </c>
      <c r="O413">
        <v>55.382442696374603</v>
      </c>
      <c r="P413">
        <v>-5.9911469750516498E-2</v>
      </c>
      <c r="Q413">
        <v>0.60589243470293597</v>
      </c>
      <c r="R413">
        <v>0.972350207911163</v>
      </c>
      <c r="S413" t="s">
        <v>4709</v>
      </c>
      <c r="T413" t="s">
        <v>8590</v>
      </c>
      <c r="U413" t="s">
        <v>8590</v>
      </c>
      <c r="V413" t="s">
        <v>8590</v>
      </c>
      <c r="W413">
        <v>7</v>
      </c>
      <c r="X413" t="s">
        <v>9003</v>
      </c>
      <c r="Y413">
        <v>0.81263879673077233</v>
      </c>
      <c r="Z413" t="str">
        <f>HYPERLINK("Melting_Curves/meltCurve_sp_O96033_MOC2A_HUMAN_.pdf", "Melting_Curves/meltCurve_sp_O96033_MOC2A_HUMAN_.pdf")</f>
        <v>Melting_Curves/meltCurve_sp_O96033_MOC2A_HUMAN_.pdf</v>
      </c>
      <c r="AA413" t="s">
        <v>13290</v>
      </c>
      <c r="AB413" t="s">
        <v>17498</v>
      </c>
    </row>
    <row r="414" spans="1:28" x14ac:dyDescent="0.25">
      <c r="A414" t="s">
        <v>418</v>
      </c>
      <c r="B414">
        <v>0.99876560204751996</v>
      </c>
      <c r="C414">
        <v>0.96963728997874399</v>
      </c>
      <c r="D414">
        <v>1.02242151134327</v>
      </c>
      <c r="E414">
        <v>0.97924442141094803</v>
      </c>
      <c r="F414">
        <v>0.96243574836992596</v>
      </c>
      <c r="G414">
        <v>0.78322131443179299</v>
      </c>
      <c r="H414">
        <v>0.57894608259540203</v>
      </c>
      <c r="I414">
        <v>0.35176793644839399</v>
      </c>
      <c r="J414">
        <v>0.27196533268544698</v>
      </c>
      <c r="K414">
        <v>0.15379768053582701</v>
      </c>
      <c r="L414">
        <v>1046.4598888314999</v>
      </c>
      <c r="M414">
        <v>17.031090020828302</v>
      </c>
      <c r="N414">
        <v>61.922232304901698</v>
      </c>
      <c r="O414">
        <v>60.615709306515001</v>
      </c>
      <c r="P414">
        <v>-6.5918227642173893E-2</v>
      </c>
      <c r="Q414">
        <v>6.1613445061245997E-2</v>
      </c>
      <c r="R414">
        <v>0.99591564877204297</v>
      </c>
      <c r="S414" t="s">
        <v>4710</v>
      </c>
      <c r="T414" t="s">
        <v>8590</v>
      </c>
      <c r="U414" t="s">
        <v>8590</v>
      </c>
      <c r="V414" t="s">
        <v>8590</v>
      </c>
      <c r="W414">
        <v>43</v>
      </c>
      <c r="X414" t="s">
        <v>9004</v>
      </c>
      <c r="Y414">
        <v>0.73508148176737953</v>
      </c>
      <c r="Z414" t="str">
        <f>HYPERLINK("Melting_Curves/meltCurve_sp_P00325_ADH1B_HUMAN_.pdf", "Melting_Curves/meltCurve_sp_P00325_ADH1B_HUMAN_.pdf")</f>
        <v>Melting_Curves/meltCurve_sp_P00325_ADH1B_HUMAN_.pdf</v>
      </c>
      <c r="AA414" t="s">
        <v>13293</v>
      </c>
      <c r="AB414" t="s">
        <v>17499</v>
      </c>
    </row>
    <row r="415" spans="1:28" x14ac:dyDescent="0.25">
      <c r="A415" t="s">
        <v>419</v>
      </c>
      <c r="B415">
        <v>0.99876560204751996</v>
      </c>
      <c r="C415">
        <v>0.92955949913486802</v>
      </c>
      <c r="D415">
        <v>1.00556769562932</v>
      </c>
      <c r="E415">
        <v>1.0055233835920601</v>
      </c>
      <c r="F415">
        <v>0.94916774944750704</v>
      </c>
      <c r="G415">
        <v>0.88782559674045802</v>
      </c>
      <c r="H415">
        <v>0.71826860216557498</v>
      </c>
      <c r="I415">
        <v>0.65128543912905901</v>
      </c>
      <c r="J415">
        <v>0.55531846125459605</v>
      </c>
      <c r="K415">
        <v>0.30078011887449202</v>
      </c>
      <c r="L415">
        <v>820.52417518745995</v>
      </c>
      <c r="M415">
        <v>12.293772270387199</v>
      </c>
      <c r="N415">
        <v>66.743087067337399</v>
      </c>
      <c r="O415">
        <v>65.050809829474204</v>
      </c>
      <c r="P415">
        <v>-4.7257177524096999E-2</v>
      </c>
      <c r="Q415">
        <v>0</v>
      </c>
      <c r="R415">
        <v>0.96868788027368202</v>
      </c>
      <c r="S415" t="s">
        <v>4711</v>
      </c>
      <c r="T415" t="s">
        <v>8590</v>
      </c>
      <c r="U415" t="s">
        <v>8590</v>
      </c>
      <c r="V415" t="s">
        <v>8590</v>
      </c>
      <c r="W415">
        <v>36</v>
      </c>
      <c r="X415" t="s">
        <v>9005</v>
      </c>
      <c r="Y415">
        <v>0.83184018147104177</v>
      </c>
      <c r="Z415" t="str">
        <f>HYPERLINK("Melting_Curves/meltCurve_sp_P00326_ADH1G_HUMAN_.pdf", "Melting_Curves/meltCurve_sp_P00326_ADH1G_HUMAN_.pdf")</f>
        <v>Melting_Curves/meltCurve_sp_P00326_ADH1G_HUMAN_.pdf</v>
      </c>
      <c r="AA415" t="s">
        <v>13294</v>
      </c>
      <c r="AB415" t="s">
        <v>17500</v>
      </c>
    </row>
    <row r="416" spans="1:28" x14ac:dyDescent="0.25">
      <c r="A416" t="s">
        <v>420</v>
      </c>
      <c r="B416">
        <v>0.99876560204751996</v>
      </c>
      <c r="C416">
        <v>0.97549636958333996</v>
      </c>
      <c r="D416">
        <v>0.88216452939870005</v>
      </c>
      <c r="E416">
        <v>0.95322093753091297</v>
      </c>
      <c r="F416">
        <v>0.834494011753388</v>
      </c>
      <c r="G416">
        <v>0.64685170976505901</v>
      </c>
      <c r="H416">
        <v>0.149698148259163</v>
      </c>
      <c r="I416">
        <v>6.7116962248481196E-2</v>
      </c>
      <c r="J416">
        <v>4.87763943310172E-2</v>
      </c>
      <c r="K416">
        <v>4.1359738964225103E-2</v>
      </c>
      <c r="L416">
        <v>1481.88422359077</v>
      </c>
      <c r="M416">
        <v>25.6832399350216</v>
      </c>
      <c r="N416">
        <v>57.731635960736199</v>
      </c>
      <c r="O416">
        <v>57.352102947321796</v>
      </c>
      <c r="P416">
        <v>-0.111135834102459</v>
      </c>
      <c r="Q416">
        <v>7.3219972586204898E-3</v>
      </c>
      <c r="R416">
        <v>0.98263937272005197</v>
      </c>
      <c r="S416" t="s">
        <v>4712</v>
      </c>
      <c r="T416" t="s">
        <v>8590</v>
      </c>
      <c r="U416" t="s">
        <v>8590</v>
      </c>
      <c r="V416" t="s">
        <v>8590</v>
      </c>
      <c r="W416">
        <v>25</v>
      </c>
      <c r="X416" t="s">
        <v>9006</v>
      </c>
      <c r="Y416">
        <v>0.60135865995701998</v>
      </c>
      <c r="Z416" t="str">
        <f>HYPERLINK("Melting_Curves/meltCurve_sp_P00338_LDHA_HUMAN_.pdf", "Melting_Curves/meltCurve_sp_P00338_LDHA_HUMAN_.pdf")</f>
        <v>Melting_Curves/meltCurve_sp_P00338_LDHA_HUMAN_.pdf</v>
      </c>
      <c r="AA416" t="s">
        <v>13295</v>
      </c>
      <c r="AB416" t="s">
        <v>17501</v>
      </c>
    </row>
    <row r="417" spans="1:28" x14ac:dyDescent="0.25">
      <c r="A417" t="s">
        <v>421</v>
      </c>
      <c r="B417">
        <v>0.99876560204751996</v>
      </c>
      <c r="C417">
        <v>1.05870036843979</v>
      </c>
      <c r="D417">
        <v>0.95778294205158598</v>
      </c>
      <c r="E417">
        <v>1.0464314821313101</v>
      </c>
      <c r="F417">
        <v>0.90098180806704298</v>
      </c>
      <c r="G417">
        <v>0.74604070527649702</v>
      </c>
      <c r="H417">
        <v>0.62446916715859702</v>
      </c>
      <c r="I417">
        <v>0.55139613476709604</v>
      </c>
      <c r="J417">
        <v>0.59413483009399404</v>
      </c>
      <c r="K417">
        <v>0.36001673772076698</v>
      </c>
      <c r="L417">
        <v>820.54260681893902</v>
      </c>
      <c r="M417">
        <v>13.732953809041</v>
      </c>
      <c r="N417">
        <v>66.177325125515907</v>
      </c>
      <c r="O417">
        <v>58.525699003275399</v>
      </c>
      <c r="P417">
        <v>-3.7064276528288601E-2</v>
      </c>
      <c r="Q417">
        <v>0.36826337271731302</v>
      </c>
      <c r="R417">
        <v>0.93787566667052802</v>
      </c>
      <c r="S417" t="s">
        <v>4713</v>
      </c>
      <c r="T417" t="s">
        <v>8590</v>
      </c>
      <c r="U417" t="s">
        <v>8590</v>
      </c>
      <c r="V417" t="s">
        <v>8590</v>
      </c>
      <c r="W417">
        <v>51</v>
      </c>
      <c r="X417" t="s">
        <v>9007</v>
      </c>
      <c r="Y417">
        <v>0.78835835940910637</v>
      </c>
      <c r="Z417" t="str">
        <f>HYPERLINK("Melting_Curves/meltCurve_sp_P00352_AL1A1_HUMAN_.pdf", "Melting_Curves/meltCurve_sp_P00352_AL1A1_HUMAN_.pdf")</f>
        <v>Melting_Curves/meltCurve_sp_P00352_AL1A1_HUMAN_.pdf</v>
      </c>
      <c r="AA417" t="s">
        <v>13296</v>
      </c>
      <c r="AB417" t="s">
        <v>17502</v>
      </c>
    </row>
    <row r="418" spans="1:28" x14ac:dyDescent="0.25">
      <c r="A418" t="s">
        <v>422</v>
      </c>
      <c r="B418">
        <v>0.99876560204751996</v>
      </c>
      <c r="C418">
        <v>0.48223143971555199</v>
      </c>
      <c r="D418">
        <v>0.33430116704428298</v>
      </c>
      <c r="E418">
        <v>0.23439880951106801</v>
      </c>
      <c r="F418">
        <v>0.11992817844038101</v>
      </c>
      <c r="G418">
        <v>7.8171125089936094E-2</v>
      </c>
      <c r="H418">
        <v>5.41214716586512E-2</v>
      </c>
      <c r="I418">
        <v>4.8934879909809999E-2</v>
      </c>
      <c r="J418">
        <v>4.2535617962674799E-2</v>
      </c>
      <c r="K418">
        <v>4.0508351561970399E-2</v>
      </c>
      <c r="L418">
        <v>847.03343900375398</v>
      </c>
      <c r="M418">
        <v>19.452078994482701</v>
      </c>
      <c r="N418">
        <v>43.879363044519998</v>
      </c>
      <c r="O418">
        <v>43.092249116764002</v>
      </c>
      <c r="P418">
        <v>-0.105073650169035</v>
      </c>
      <c r="Q418">
        <v>6.8953930788569207E-2</v>
      </c>
      <c r="R418">
        <v>0.94431825677723202</v>
      </c>
      <c r="S418" t="s">
        <v>4714</v>
      </c>
      <c r="T418" t="s">
        <v>8590</v>
      </c>
      <c r="U418" t="s">
        <v>8590</v>
      </c>
      <c r="V418" t="s">
        <v>8590</v>
      </c>
      <c r="W418">
        <v>5</v>
      </c>
      <c r="X418" t="s">
        <v>9008</v>
      </c>
      <c r="Y418">
        <v>0.19983259909646081</v>
      </c>
      <c r="Z418" t="str">
        <f>HYPERLINK("Melting_Curves/meltCurve_sp_P00374_DYR_HUMAN_.pdf", "Melting_Curves/meltCurve_sp_P00374_DYR_HUMAN_.pdf")</f>
        <v>Melting_Curves/meltCurve_sp_P00374_DYR_HUMAN_.pdf</v>
      </c>
      <c r="AA418" t="s">
        <v>13297</v>
      </c>
      <c r="AB418" t="s">
        <v>17503</v>
      </c>
    </row>
    <row r="419" spans="1:28" x14ac:dyDescent="0.25">
      <c r="A419" t="s">
        <v>423</v>
      </c>
      <c r="B419">
        <v>0.99876560204751996</v>
      </c>
      <c r="C419">
        <v>1.1193187861450999</v>
      </c>
      <c r="D419">
        <v>0.77624110360711696</v>
      </c>
      <c r="E419">
        <v>0.63484587861324404</v>
      </c>
      <c r="F419">
        <v>0.25019191149134001</v>
      </c>
      <c r="G419">
        <v>0.110077499117294</v>
      </c>
      <c r="H419">
        <v>6.8581041299192499E-2</v>
      </c>
      <c r="I419">
        <v>3.6266217354066897E-2</v>
      </c>
      <c r="J419">
        <v>4.7226504502397897E-2</v>
      </c>
      <c r="K419">
        <v>2.5876229562332501E-2</v>
      </c>
      <c r="L419">
        <v>1058.9978018352599</v>
      </c>
      <c r="M419">
        <v>20.9626941548477</v>
      </c>
      <c r="N419">
        <v>50.666457848537398</v>
      </c>
      <c r="O419">
        <v>50.065220882104498</v>
      </c>
      <c r="P419">
        <v>-0.10156593342970099</v>
      </c>
      <c r="Q419">
        <v>2.9746208256694901E-2</v>
      </c>
      <c r="R419">
        <v>0.97620436829674895</v>
      </c>
      <c r="S419" t="s">
        <v>4715</v>
      </c>
      <c r="T419" t="s">
        <v>8590</v>
      </c>
      <c r="U419" t="s">
        <v>8590</v>
      </c>
      <c r="V419" t="s">
        <v>8590</v>
      </c>
      <c r="W419">
        <v>3</v>
      </c>
      <c r="X419" t="s">
        <v>9009</v>
      </c>
      <c r="Y419">
        <v>0.38224459940688171</v>
      </c>
      <c r="Z419" t="str">
        <f>HYPERLINK("Melting_Curves/meltCurve_sp_P00387_2_NB5R3_HUMAN_.pdf", "Melting_Curves/meltCurve_sp_P00387_2_NB5R3_HUMAN_.pdf")</f>
        <v>Melting_Curves/meltCurve_sp_P00387_2_NB5R3_HUMAN_.pdf</v>
      </c>
      <c r="AA419" t="s">
        <v>13298</v>
      </c>
      <c r="AB419" t="s">
        <v>17504</v>
      </c>
    </row>
    <row r="420" spans="1:28" x14ac:dyDescent="0.25">
      <c r="A420" t="s">
        <v>424</v>
      </c>
      <c r="B420">
        <v>0.99876560204751996</v>
      </c>
      <c r="C420">
        <v>1.0027911147998501</v>
      </c>
      <c r="D420">
        <v>0.946799469837313</v>
      </c>
      <c r="E420">
        <v>1.0171547655326201</v>
      </c>
      <c r="F420">
        <v>0.78366836336211498</v>
      </c>
      <c r="G420">
        <v>0.63645245282496998</v>
      </c>
      <c r="H420">
        <v>0.45120512673734497</v>
      </c>
      <c r="I420">
        <v>0.34790535843506398</v>
      </c>
      <c r="J420">
        <v>0.17151676655220599</v>
      </c>
      <c r="K420">
        <v>7.9118938043544196E-2</v>
      </c>
      <c r="L420">
        <v>791.53046535453495</v>
      </c>
      <c r="M420">
        <v>13.2444464355062</v>
      </c>
      <c r="N420">
        <v>59.763197420298397</v>
      </c>
      <c r="O420">
        <v>58.450042693873797</v>
      </c>
      <c r="P420">
        <v>-5.6657882932635302E-2</v>
      </c>
      <c r="Q420">
        <v>0</v>
      </c>
      <c r="R420">
        <v>0.98397340210972595</v>
      </c>
      <c r="S420" t="s">
        <v>4716</v>
      </c>
      <c r="T420" t="s">
        <v>8590</v>
      </c>
      <c r="U420" t="s">
        <v>8590</v>
      </c>
      <c r="V420" t="s">
        <v>8590</v>
      </c>
      <c r="W420">
        <v>22</v>
      </c>
      <c r="X420" t="s">
        <v>9010</v>
      </c>
      <c r="Y420">
        <v>0.66472924835946445</v>
      </c>
      <c r="Z420" t="str">
        <f>HYPERLINK("Melting_Curves/meltCurve_sp_P00390_2_GSHR_HUMAN_.pdf", "Melting_Curves/meltCurve_sp_P00390_2_GSHR_HUMAN_.pdf")</f>
        <v>Melting_Curves/meltCurve_sp_P00390_2_GSHR_HUMAN_.pdf</v>
      </c>
      <c r="AA420" t="s">
        <v>13299</v>
      </c>
      <c r="AB420" t="s">
        <v>17505</v>
      </c>
    </row>
    <row r="421" spans="1:28" x14ac:dyDescent="0.25">
      <c r="A421" t="s">
        <v>425</v>
      </c>
      <c r="B421">
        <v>0.99876560204751996</v>
      </c>
      <c r="C421">
        <v>0.95937532630223998</v>
      </c>
      <c r="D421">
        <v>0.74553668743985602</v>
      </c>
      <c r="E421">
        <v>0.54704800528094599</v>
      </c>
      <c r="F421">
        <v>0.21403220283219301</v>
      </c>
      <c r="G421">
        <v>0.106224448538527</v>
      </c>
      <c r="H421">
        <v>5.7888468689834903E-2</v>
      </c>
      <c r="I421">
        <v>4.82323648851831E-2</v>
      </c>
      <c r="J421">
        <v>4.18280526327501E-2</v>
      </c>
      <c r="K421">
        <v>3.3184868257104698E-2</v>
      </c>
      <c r="L421">
        <v>866.70909127395703</v>
      </c>
      <c r="M421">
        <v>17.475204362635999</v>
      </c>
      <c r="N421">
        <v>49.731630338800798</v>
      </c>
      <c r="O421">
        <v>48.960710220528398</v>
      </c>
      <c r="P421">
        <v>-8.7166704552031002E-2</v>
      </c>
      <c r="Q421">
        <v>2.3185744541119199E-2</v>
      </c>
      <c r="R421">
        <v>0.99219829440952101</v>
      </c>
      <c r="S421" t="s">
        <v>4717</v>
      </c>
      <c r="T421" t="s">
        <v>8590</v>
      </c>
      <c r="U421" t="s">
        <v>8590</v>
      </c>
      <c r="V421" t="s">
        <v>8590</v>
      </c>
      <c r="W421">
        <v>32</v>
      </c>
      <c r="X421" t="s">
        <v>9011</v>
      </c>
      <c r="Y421">
        <v>0.35338833752054472</v>
      </c>
      <c r="Z421" t="str">
        <f>HYPERLINK("Melting_Curves/meltCurve_sp_P00439_PH4H_HUMAN_.pdf", "Melting_Curves/meltCurve_sp_P00439_PH4H_HUMAN_.pdf")</f>
        <v>Melting_Curves/meltCurve_sp_P00439_PH4H_HUMAN_.pdf</v>
      </c>
      <c r="AA421" t="s">
        <v>13300</v>
      </c>
      <c r="AB421" t="s">
        <v>17506</v>
      </c>
    </row>
    <row r="422" spans="1:28" x14ac:dyDescent="0.25">
      <c r="A422" t="s">
        <v>426</v>
      </c>
      <c r="B422">
        <v>0.99876560204751996</v>
      </c>
      <c r="C422">
        <v>1.00214057334685</v>
      </c>
      <c r="D422">
        <v>0.93985068352435297</v>
      </c>
      <c r="E422">
        <v>1.02330738285903</v>
      </c>
      <c r="F422">
        <v>0.81852919209710995</v>
      </c>
      <c r="G422">
        <v>0.40940447969649701</v>
      </c>
      <c r="H422">
        <v>0.24071823242905099</v>
      </c>
      <c r="I422">
        <v>0.20895348654050899</v>
      </c>
      <c r="J422">
        <v>0.21929011456783601</v>
      </c>
      <c r="K422">
        <v>0.19034994388361401</v>
      </c>
      <c r="L422">
        <v>1825.49543244042</v>
      </c>
      <c r="M422">
        <v>33.115042023057299</v>
      </c>
      <c r="N422">
        <v>56.016214264110197</v>
      </c>
      <c r="O422">
        <v>54.9260039488153</v>
      </c>
      <c r="P422">
        <v>-0.119884782483047</v>
      </c>
      <c r="Q422">
        <v>0.20461969465945301</v>
      </c>
      <c r="R422">
        <v>0.99493105644684499</v>
      </c>
      <c r="S422" t="s">
        <v>4718</v>
      </c>
      <c r="T422" t="s">
        <v>8590</v>
      </c>
      <c r="U422" t="s">
        <v>8590</v>
      </c>
      <c r="V422" t="s">
        <v>8590</v>
      </c>
      <c r="W422">
        <v>23</v>
      </c>
      <c r="X422" t="s">
        <v>9012</v>
      </c>
      <c r="Y422">
        <v>0.61002060889915588</v>
      </c>
      <c r="Z422" t="str">
        <f>HYPERLINK("Melting_Curves/meltCurve_sp_P00450_CERU_HUMAN_.pdf", "Melting_Curves/meltCurve_sp_P00450_CERU_HUMAN_.pdf")</f>
        <v>Melting_Curves/meltCurve_sp_P00450_CERU_HUMAN_.pdf</v>
      </c>
      <c r="AA422" t="s">
        <v>13301</v>
      </c>
      <c r="AB422" t="s">
        <v>17507</v>
      </c>
    </row>
    <row r="423" spans="1:28" x14ac:dyDescent="0.25">
      <c r="A423" t="s">
        <v>427</v>
      </c>
      <c r="B423">
        <v>0.99876560204751996</v>
      </c>
      <c r="C423">
        <v>1.00042223916609</v>
      </c>
      <c r="D423">
        <v>0.93506265715187298</v>
      </c>
      <c r="E423">
        <v>1.0219135207978201</v>
      </c>
      <c r="F423">
        <v>0.94637430845217596</v>
      </c>
      <c r="G423">
        <v>0.88032869787884205</v>
      </c>
      <c r="H423">
        <v>0.56802895211878401</v>
      </c>
      <c r="I423">
        <v>0.14373138864047699</v>
      </c>
      <c r="J423">
        <v>5.4463122758286998E-2</v>
      </c>
      <c r="K423">
        <v>4.85561259108351E-2</v>
      </c>
      <c r="L423">
        <v>2145.1145156155499</v>
      </c>
      <c r="M423">
        <v>35.069074107282603</v>
      </c>
      <c r="N423">
        <v>61.214692674497996</v>
      </c>
      <c r="O423">
        <v>60.970411483695798</v>
      </c>
      <c r="P423">
        <v>-0.141909008684762</v>
      </c>
      <c r="Q423">
        <v>1.31227699411866E-2</v>
      </c>
      <c r="R423">
        <v>0.99159960145064996</v>
      </c>
      <c r="S423" t="s">
        <v>4719</v>
      </c>
      <c r="T423" t="s">
        <v>8590</v>
      </c>
      <c r="U423" t="s">
        <v>8590</v>
      </c>
      <c r="V423" t="s">
        <v>8590</v>
      </c>
      <c r="W423">
        <v>23</v>
      </c>
      <c r="X423" t="s">
        <v>9013</v>
      </c>
      <c r="Y423">
        <v>0.71395688761339338</v>
      </c>
      <c r="Z423" t="str">
        <f>HYPERLINK("Melting_Curves/meltCurve_sp_P00480_OTC_HUMAN_.pdf", "Melting_Curves/meltCurve_sp_P00480_OTC_HUMAN_.pdf")</f>
        <v>Melting_Curves/meltCurve_sp_P00480_OTC_HUMAN_.pdf</v>
      </c>
      <c r="AA423" t="s">
        <v>13302</v>
      </c>
      <c r="AB423" t="s">
        <v>17508</v>
      </c>
    </row>
    <row r="424" spans="1:28" x14ac:dyDescent="0.25">
      <c r="A424" t="s">
        <v>428</v>
      </c>
      <c r="B424">
        <v>0.99876560204751996</v>
      </c>
      <c r="C424">
        <v>0.99672232302547903</v>
      </c>
      <c r="D424">
        <v>0.96855821990235702</v>
      </c>
      <c r="E424">
        <v>0.83978901980760801</v>
      </c>
      <c r="F424">
        <v>0.77552701739209295</v>
      </c>
      <c r="G424">
        <v>0.74377098437415201</v>
      </c>
      <c r="H424">
        <v>0.57229385557644197</v>
      </c>
      <c r="I424">
        <v>0.57202733108871595</v>
      </c>
      <c r="J424">
        <v>0.46648099193119202</v>
      </c>
      <c r="K424">
        <v>0.21481253122769001</v>
      </c>
      <c r="L424">
        <v>489.19888930349703</v>
      </c>
      <c r="M424">
        <v>7.6755487057053804</v>
      </c>
      <c r="N424">
        <v>63.7347113813166</v>
      </c>
      <c r="O424">
        <v>59.841024712627402</v>
      </c>
      <c r="P424">
        <v>-3.2108729123405698E-2</v>
      </c>
      <c r="Q424">
        <v>0</v>
      </c>
      <c r="R424">
        <v>0.94738906611697404</v>
      </c>
      <c r="S424" t="s">
        <v>4720</v>
      </c>
      <c r="T424" t="s">
        <v>8590</v>
      </c>
      <c r="U424" t="s">
        <v>8590</v>
      </c>
      <c r="V424" t="s">
        <v>8590</v>
      </c>
      <c r="W424">
        <v>12</v>
      </c>
      <c r="X424" t="s">
        <v>9014</v>
      </c>
      <c r="Y424">
        <v>0.72905406146300178</v>
      </c>
      <c r="Z424" t="str">
        <f>HYPERLINK("Melting_Curves/meltCurve_sp_P00491_PNPH_HUMAN_.pdf", "Melting_Curves/meltCurve_sp_P00491_PNPH_HUMAN_.pdf")</f>
        <v>Melting_Curves/meltCurve_sp_P00491_PNPH_HUMAN_.pdf</v>
      </c>
      <c r="AA424" t="s">
        <v>13303</v>
      </c>
      <c r="AB424" t="s">
        <v>17509</v>
      </c>
    </row>
    <row r="425" spans="1:28" x14ac:dyDescent="0.25">
      <c r="A425" t="s">
        <v>429</v>
      </c>
      <c r="B425">
        <v>0.99876560204751996</v>
      </c>
      <c r="C425">
        <v>0.999814517718148</v>
      </c>
      <c r="D425">
        <v>0.97311458623656999</v>
      </c>
      <c r="E425">
        <v>0.961499275510587</v>
      </c>
      <c r="F425">
        <v>0.865234013091295</v>
      </c>
      <c r="G425">
        <v>0.75153687444234996</v>
      </c>
      <c r="H425">
        <v>0.64202256722516704</v>
      </c>
      <c r="I425">
        <v>0.63002442447886997</v>
      </c>
      <c r="J425">
        <v>0.71545995053852396</v>
      </c>
      <c r="K425">
        <v>0.66719810939114199</v>
      </c>
      <c r="L425">
        <v>1368.9387366629301</v>
      </c>
      <c r="M425">
        <v>25.3554214952099</v>
      </c>
      <c r="O425">
        <v>53.657507084176402</v>
      </c>
      <c r="P425">
        <v>-4.0056981868818703E-2</v>
      </c>
      <c r="Q425">
        <v>0.66092766959739202</v>
      </c>
      <c r="R425">
        <v>0.97045193304645605</v>
      </c>
      <c r="S425" t="s">
        <v>4721</v>
      </c>
      <c r="T425" t="s">
        <v>8590</v>
      </c>
      <c r="U425" t="s">
        <v>8590</v>
      </c>
      <c r="V425" t="s">
        <v>8590</v>
      </c>
      <c r="W425">
        <v>12</v>
      </c>
      <c r="X425" t="s">
        <v>9015</v>
      </c>
      <c r="Y425">
        <v>0.82210589999370565</v>
      </c>
      <c r="Z425" t="str">
        <f>HYPERLINK("Melting_Curves/meltCurve_sp_P00492_HPRT_HUMAN_.pdf", "Melting_Curves/meltCurve_sp_P00492_HPRT_HUMAN_.pdf")</f>
        <v>Melting_Curves/meltCurve_sp_P00492_HPRT_HUMAN_.pdf</v>
      </c>
      <c r="AA425" t="s">
        <v>13304</v>
      </c>
      <c r="AB425" t="s">
        <v>17510</v>
      </c>
    </row>
    <row r="426" spans="1:28" x14ac:dyDescent="0.25">
      <c r="A426" t="s">
        <v>430</v>
      </c>
      <c r="B426">
        <v>0.99876560204751996</v>
      </c>
      <c r="C426">
        <v>1.0012756162272101</v>
      </c>
      <c r="D426">
        <v>0.96642020562959097</v>
      </c>
      <c r="E426">
        <v>0.68108860979975305</v>
      </c>
      <c r="F426">
        <v>0.53294522187882498</v>
      </c>
      <c r="G426">
        <v>0.69859006242152399</v>
      </c>
      <c r="H426">
        <v>0.33925781583966802</v>
      </c>
      <c r="I426">
        <v>0.54880711178609798</v>
      </c>
      <c r="J426">
        <v>0.21721103953786899</v>
      </c>
      <c r="K426">
        <v>0.12674265448396599</v>
      </c>
      <c r="L426">
        <v>437.54447467900002</v>
      </c>
      <c r="M426">
        <v>7.4926700600607301</v>
      </c>
      <c r="N426">
        <v>58.396339019662904</v>
      </c>
      <c r="O426">
        <v>54.670663056278997</v>
      </c>
      <c r="P426">
        <v>-3.4312196190773199E-2</v>
      </c>
      <c r="Q426">
        <v>0</v>
      </c>
      <c r="R426">
        <v>0.85836099027400903</v>
      </c>
      <c r="S426" t="s">
        <v>4722</v>
      </c>
      <c r="T426" t="s">
        <v>8590</v>
      </c>
      <c r="U426" t="s">
        <v>8590</v>
      </c>
      <c r="V426" t="s">
        <v>8590</v>
      </c>
      <c r="W426">
        <v>42</v>
      </c>
      <c r="X426" t="s">
        <v>9016</v>
      </c>
      <c r="Y426">
        <v>0.61058185173757928</v>
      </c>
      <c r="Z426" t="str">
        <f>HYPERLINK("Melting_Curves/meltCurve_sp_P00505_AATM_HUMAN_.pdf", "Melting_Curves/meltCurve_sp_P00505_AATM_HUMAN_.pdf")</f>
        <v>Melting_Curves/meltCurve_sp_P00505_AATM_HUMAN_.pdf</v>
      </c>
      <c r="AA426" t="s">
        <v>13305</v>
      </c>
      <c r="AB426" t="s">
        <v>17511</v>
      </c>
    </row>
    <row r="427" spans="1:28" x14ac:dyDescent="0.25">
      <c r="A427" t="s">
        <v>431</v>
      </c>
      <c r="B427">
        <v>0.99876560204751996</v>
      </c>
      <c r="C427">
        <v>0.924118581137505</v>
      </c>
      <c r="D427">
        <v>0.95316412935611305</v>
      </c>
      <c r="E427">
        <v>0.90284051089026696</v>
      </c>
      <c r="F427">
        <v>0.19883402697053501</v>
      </c>
      <c r="G427">
        <v>7.4982638550389002E-2</v>
      </c>
      <c r="H427">
        <v>3.99086113594814E-2</v>
      </c>
      <c r="I427">
        <v>3.1684318360316002E-2</v>
      </c>
      <c r="J427">
        <v>2.97582496888232E-2</v>
      </c>
      <c r="K427">
        <v>2.5579601711662001E-2</v>
      </c>
      <c r="L427">
        <v>3332.9080238777101</v>
      </c>
      <c r="M427">
        <v>64.490557112155599</v>
      </c>
      <c r="N427">
        <v>51.7468987106773</v>
      </c>
      <c r="O427">
        <v>51.630933373224998</v>
      </c>
      <c r="P427">
        <v>-0.29987668500981701</v>
      </c>
      <c r="Q427">
        <v>3.9679034351919697E-2</v>
      </c>
      <c r="R427">
        <v>0.99500712263292501</v>
      </c>
      <c r="S427" t="s">
        <v>4723</v>
      </c>
      <c r="T427" t="s">
        <v>8590</v>
      </c>
      <c r="U427" t="s">
        <v>8590</v>
      </c>
      <c r="V427" t="s">
        <v>8590</v>
      </c>
      <c r="W427">
        <v>40</v>
      </c>
      <c r="X427" t="s">
        <v>9017</v>
      </c>
      <c r="Y427">
        <v>0.41489486554851479</v>
      </c>
      <c r="Z427" t="str">
        <f>HYPERLINK("Melting_Curves/meltCurve_sp_P00558_PGK1_HUMAN_.pdf", "Melting_Curves/meltCurve_sp_P00558_PGK1_HUMAN_.pdf")</f>
        <v>Melting_Curves/meltCurve_sp_P00558_PGK1_HUMAN_.pdf</v>
      </c>
      <c r="AA427" t="s">
        <v>13306</v>
      </c>
      <c r="AB427" t="s">
        <v>17512</v>
      </c>
    </row>
    <row r="428" spans="1:28" x14ac:dyDescent="0.25">
      <c r="A428" t="s">
        <v>432</v>
      </c>
      <c r="B428">
        <v>0.99876560204751996</v>
      </c>
      <c r="C428">
        <v>0.87284053037282405</v>
      </c>
      <c r="D428">
        <v>0.95521945223214699</v>
      </c>
      <c r="E428">
        <v>0.74399866081394395</v>
      </c>
      <c r="F428">
        <v>0.37158933432588998</v>
      </c>
      <c r="G428">
        <v>0.17398034181543301</v>
      </c>
      <c r="H428">
        <v>9.4889404023776894E-2</v>
      </c>
      <c r="I428">
        <v>8.6210164761254399E-2</v>
      </c>
      <c r="J428">
        <v>8.8077061886820102E-2</v>
      </c>
      <c r="K428">
        <v>8.5257861655939099E-2</v>
      </c>
      <c r="L428">
        <v>1338.37970872295</v>
      </c>
      <c r="M428">
        <v>25.931184214848201</v>
      </c>
      <c r="N428">
        <v>51.981524231947503</v>
      </c>
      <c r="O428">
        <v>51.3087418179868</v>
      </c>
      <c r="P428">
        <v>-0.11573462156698899</v>
      </c>
      <c r="Q428">
        <v>8.4017465670299302E-2</v>
      </c>
      <c r="R428">
        <v>0.98859488125107597</v>
      </c>
      <c r="S428" t="s">
        <v>4724</v>
      </c>
      <c r="T428" t="s">
        <v>8590</v>
      </c>
      <c r="U428" t="s">
        <v>8590</v>
      </c>
      <c r="V428" t="s">
        <v>8590</v>
      </c>
      <c r="W428">
        <v>14</v>
      </c>
      <c r="X428" t="s">
        <v>9018</v>
      </c>
      <c r="Y428">
        <v>0.44634324579589002</v>
      </c>
      <c r="Z428" t="str">
        <f>HYPERLINK("Melting_Curves/meltCurve_sp_P00568_KAD1_HUMAN_.pdf", "Melting_Curves/meltCurve_sp_P00568_KAD1_HUMAN_.pdf")</f>
        <v>Melting_Curves/meltCurve_sp_P00568_KAD1_HUMAN_.pdf</v>
      </c>
      <c r="AA428" t="s">
        <v>13307</v>
      </c>
      <c r="AB428" t="s">
        <v>17513</v>
      </c>
    </row>
    <row r="429" spans="1:28" x14ac:dyDescent="0.25">
      <c r="A429" t="s">
        <v>433</v>
      </c>
      <c r="B429">
        <v>0.99876560204751996</v>
      </c>
      <c r="C429">
        <v>0.95609873355015795</v>
      </c>
      <c r="D429">
        <v>0.91299309723885003</v>
      </c>
      <c r="E429">
        <v>0.83617849283858303</v>
      </c>
      <c r="F429">
        <v>0.529589722672129</v>
      </c>
      <c r="G429">
        <v>0.237865401870343</v>
      </c>
      <c r="H429">
        <v>0.16957021553989399</v>
      </c>
      <c r="I429">
        <v>0.14109679174075801</v>
      </c>
      <c r="J429">
        <v>0.15303458590408101</v>
      </c>
      <c r="K429">
        <v>0.13875751230380501</v>
      </c>
      <c r="L429">
        <v>1300.42264571284</v>
      </c>
      <c r="M429">
        <v>24.709211101433102</v>
      </c>
      <c r="N429">
        <v>53.321033768439399</v>
      </c>
      <c r="O429">
        <v>52.287981194126601</v>
      </c>
      <c r="P429">
        <v>-0.101936680282255</v>
      </c>
      <c r="Q429">
        <v>0.137165788275562</v>
      </c>
      <c r="R429">
        <v>0.99503963274679497</v>
      </c>
      <c r="S429" t="s">
        <v>4725</v>
      </c>
      <c r="T429" t="s">
        <v>8590</v>
      </c>
      <c r="U429" t="s">
        <v>8590</v>
      </c>
      <c r="V429" t="s">
        <v>8590</v>
      </c>
      <c r="W429">
        <v>14</v>
      </c>
      <c r="X429" t="s">
        <v>9019</v>
      </c>
      <c r="Y429">
        <v>0.50849118858966524</v>
      </c>
      <c r="Z429" t="str">
        <f>HYPERLINK("Melting_Curves/meltCurve_sp_P00734_THRB_HUMAN_.pdf", "Melting_Curves/meltCurve_sp_P00734_THRB_HUMAN_.pdf")</f>
        <v>Melting_Curves/meltCurve_sp_P00734_THRB_HUMAN_.pdf</v>
      </c>
      <c r="AA429" t="s">
        <v>13308</v>
      </c>
      <c r="AB429" t="s">
        <v>17514</v>
      </c>
    </row>
    <row r="430" spans="1:28" x14ac:dyDescent="0.25">
      <c r="A430" t="s">
        <v>434</v>
      </c>
      <c r="B430">
        <v>0.99876560204751996</v>
      </c>
      <c r="C430">
        <v>0.96462965722872795</v>
      </c>
      <c r="D430">
        <v>0.82294757593715595</v>
      </c>
      <c r="E430">
        <v>0.64420155411198399</v>
      </c>
      <c r="F430">
        <v>0.38852553931511502</v>
      </c>
      <c r="G430">
        <v>0.194442245203618</v>
      </c>
      <c r="H430">
        <v>9.0060471346753004E-2</v>
      </c>
      <c r="I430">
        <v>5.5220716893974502E-2</v>
      </c>
      <c r="J430">
        <v>5.0484903340316897E-2</v>
      </c>
      <c r="K430">
        <v>3.7077340323850697E-2</v>
      </c>
      <c r="L430">
        <v>779.72163180477799</v>
      </c>
      <c r="M430">
        <v>15.1551557184653</v>
      </c>
      <c r="N430">
        <v>51.542797644502201</v>
      </c>
      <c r="O430">
        <v>50.578412603592398</v>
      </c>
      <c r="P430">
        <v>-7.3900366745970905E-2</v>
      </c>
      <c r="Q430">
        <v>1.3563267192946E-2</v>
      </c>
      <c r="R430">
        <v>0.99798991477353605</v>
      </c>
      <c r="S430" t="s">
        <v>4726</v>
      </c>
      <c r="T430" t="s">
        <v>8590</v>
      </c>
      <c r="U430" t="s">
        <v>8590</v>
      </c>
      <c r="V430" t="s">
        <v>8590</v>
      </c>
      <c r="W430">
        <v>6</v>
      </c>
      <c r="X430" t="s">
        <v>9020</v>
      </c>
      <c r="Y430">
        <v>0.41212736100243708</v>
      </c>
      <c r="Z430" t="str">
        <f>HYPERLINK("Melting_Curves/meltCurve_sp_P00736_C1R_HUMAN_.pdf", "Melting_Curves/meltCurve_sp_P00736_C1R_HUMAN_.pdf")</f>
        <v>Melting_Curves/meltCurve_sp_P00736_C1R_HUMAN_.pdf</v>
      </c>
      <c r="AA430" t="s">
        <v>13309</v>
      </c>
      <c r="AB430" t="s">
        <v>17515</v>
      </c>
    </row>
    <row r="431" spans="1:28" x14ac:dyDescent="0.25">
      <c r="A431" t="s">
        <v>435</v>
      </c>
      <c r="B431">
        <v>0.99876560204751996</v>
      </c>
      <c r="C431">
        <v>1.07971931140735</v>
      </c>
      <c r="D431">
        <v>0.99146195855310304</v>
      </c>
      <c r="E431">
        <v>1.0753305472438599</v>
      </c>
      <c r="F431">
        <v>1.05671159785767</v>
      </c>
      <c r="G431">
        <v>0.85804640637398499</v>
      </c>
      <c r="H431">
        <v>0.50094251408035995</v>
      </c>
      <c r="I431">
        <v>0.310006070583006</v>
      </c>
      <c r="J431">
        <v>0.31210834331152998</v>
      </c>
      <c r="K431">
        <v>0.29574188784147198</v>
      </c>
      <c r="L431">
        <v>2197.1666257239399</v>
      </c>
      <c r="M431">
        <v>36.990932012708399</v>
      </c>
      <c r="N431">
        <v>60.821810800735399</v>
      </c>
      <c r="O431">
        <v>59.224622500733801</v>
      </c>
      <c r="P431">
        <v>-0.11090455884654001</v>
      </c>
      <c r="Q431">
        <v>0.28974327310942899</v>
      </c>
      <c r="R431">
        <v>0.983700047175744</v>
      </c>
      <c r="S431" t="s">
        <v>4727</v>
      </c>
      <c r="T431" t="s">
        <v>8590</v>
      </c>
      <c r="U431" t="s">
        <v>8590</v>
      </c>
      <c r="V431" t="s">
        <v>8590</v>
      </c>
      <c r="W431">
        <v>33</v>
      </c>
      <c r="X431" t="s">
        <v>9021</v>
      </c>
      <c r="Y431">
        <v>0.75218988788976937</v>
      </c>
      <c r="Z431" t="str">
        <f>HYPERLINK("Melting_Curves/meltCurve_sp_P00738_HPT_HUMAN_.pdf", "Melting_Curves/meltCurve_sp_P00738_HPT_HUMAN_.pdf")</f>
        <v>Melting_Curves/meltCurve_sp_P00738_HPT_HUMAN_.pdf</v>
      </c>
      <c r="AA431" t="s">
        <v>13310</v>
      </c>
      <c r="AB431" t="s">
        <v>17516</v>
      </c>
    </row>
    <row r="432" spans="1:28" x14ac:dyDescent="0.25">
      <c r="A432" t="s">
        <v>436</v>
      </c>
      <c r="B432">
        <v>0.99876560204751996</v>
      </c>
      <c r="C432">
        <v>0.84009253119733596</v>
      </c>
      <c r="D432">
        <v>0.68706927298812603</v>
      </c>
      <c r="E432">
        <v>0.66641299421090305</v>
      </c>
      <c r="F432">
        <v>0.33545935418567602</v>
      </c>
      <c r="G432">
        <v>0.19154299583611301</v>
      </c>
      <c r="H432">
        <v>7.6651812664375998E-2</v>
      </c>
      <c r="I432">
        <v>5.9005651619825503E-2</v>
      </c>
      <c r="J432">
        <v>5.3535875712902303E-2</v>
      </c>
      <c r="K432">
        <v>3.5905192367021402E-2</v>
      </c>
      <c r="L432">
        <v>602.53416393016403</v>
      </c>
      <c r="M432">
        <v>11.911935896747501</v>
      </c>
      <c r="N432">
        <v>50.582387929995399</v>
      </c>
      <c r="O432">
        <v>49.220015914167597</v>
      </c>
      <c r="P432">
        <v>-6.0518497847706999E-2</v>
      </c>
      <c r="Q432">
        <v>0</v>
      </c>
      <c r="R432">
        <v>0.97455556502788299</v>
      </c>
      <c r="S432" t="s">
        <v>4728</v>
      </c>
      <c r="T432" t="s">
        <v>8590</v>
      </c>
      <c r="U432" t="s">
        <v>8590</v>
      </c>
      <c r="V432" t="s">
        <v>8590</v>
      </c>
      <c r="W432">
        <v>19</v>
      </c>
      <c r="X432" t="s">
        <v>9022</v>
      </c>
      <c r="Y432">
        <v>0.38655841906117788</v>
      </c>
      <c r="Z432" t="str">
        <f>HYPERLINK("Melting_Curves/meltCurve_sp_P00739_HPTR_HUMAN_.pdf", "Melting_Curves/meltCurve_sp_P00739_HPTR_HUMAN_.pdf")</f>
        <v>Melting_Curves/meltCurve_sp_P00739_HPTR_HUMAN_.pdf</v>
      </c>
      <c r="AA432" t="s">
        <v>13311</v>
      </c>
      <c r="AB432" t="s">
        <v>17517</v>
      </c>
    </row>
    <row r="433" spans="1:28" x14ac:dyDescent="0.25">
      <c r="A433" t="s">
        <v>437</v>
      </c>
      <c r="B433">
        <v>0.99876560204751996</v>
      </c>
      <c r="C433">
        <v>0.98947545067553799</v>
      </c>
      <c r="D433">
        <v>0.93920959849701302</v>
      </c>
      <c r="E433">
        <v>0.85941208547196002</v>
      </c>
      <c r="F433">
        <v>0.59065217431697803</v>
      </c>
      <c r="G433">
        <v>0.368408023031148</v>
      </c>
      <c r="H433">
        <v>0.266476019496178</v>
      </c>
      <c r="I433">
        <v>0.25532804667169101</v>
      </c>
      <c r="J433">
        <v>0.26759042133297301</v>
      </c>
      <c r="K433">
        <v>0.25442196131620698</v>
      </c>
      <c r="L433">
        <v>1256.1007365079499</v>
      </c>
      <c r="M433">
        <v>23.822517312046799</v>
      </c>
      <c r="N433">
        <v>54.315451522353598</v>
      </c>
      <c r="O433">
        <v>52.360113911656804</v>
      </c>
      <c r="P433">
        <v>-8.5214259623327807E-2</v>
      </c>
      <c r="Q433">
        <v>0.25083373470905601</v>
      </c>
      <c r="R433">
        <v>0.99747538695367899</v>
      </c>
      <c r="S433" t="s">
        <v>4729</v>
      </c>
      <c r="T433" t="s">
        <v>8590</v>
      </c>
      <c r="U433" t="s">
        <v>8590</v>
      </c>
      <c r="V433" t="s">
        <v>8590</v>
      </c>
      <c r="W433">
        <v>3</v>
      </c>
      <c r="X433" t="s">
        <v>9023</v>
      </c>
      <c r="Y433">
        <v>0.57620260326215622</v>
      </c>
      <c r="Z433" t="str">
        <f>HYPERLINK("Melting_Curves/meltCurve_sp_P00740_FA9_HUMAN_.pdf", "Melting_Curves/meltCurve_sp_P00740_FA9_HUMAN_.pdf")</f>
        <v>Melting_Curves/meltCurve_sp_P00740_FA9_HUMAN_.pdf</v>
      </c>
      <c r="AA433" t="s">
        <v>13312</v>
      </c>
      <c r="AB433" t="s">
        <v>17518</v>
      </c>
    </row>
    <row r="434" spans="1:28" x14ac:dyDescent="0.25">
      <c r="A434" t="s">
        <v>438</v>
      </c>
      <c r="B434">
        <v>0.99876560204751996</v>
      </c>
      <c r="C434">
        <v>2.6597306460230801</v>
      </c>
      <c r="D434">
        <v>4.0105327764845704</v>
      </c>
      <c r="E434">
        <v>2.2986385112494498</v>
      </c>
      <c r="F434">
        <v>2.9604985551454401</v>
      </c>
      <c r="G434">
        <v>2.2470512530332298</v>
      </c>
      <c r="H434">
        <v>1.27368875706192</v>
      </c>
      <c r="I434">
        <v>2.5301188384548099</v>
      </c>
      <c r="J434">
        <v>1.5809084821945201</v>
      </c>
      <c r="K434">
        <v>1.0115170709061201</v>
      </c>
      <c r="L434">
        <v>10227.156483377399</v>
      </c>
      <c r="M434">
        <v>250</v>
      </c>
      <c r="O434">
        <v>40.906022656591603</v>
      </c>
      <c r="P434">
        <v>0.76394645828371799</v>
      </c>
      <c r="Q434">
        <v>1.5</v>
      </c>
      <c r="R434">
        <v>-0.49197302248133701</v>
      </c>
      <c r="S434" t="s">
        <v>4730</v>
      </c>
      <c r="T434" t="s">
        <v>8590</v>
      </c>
      <c r="U434" t="s">
        <v>8590</v>
      </c>
      <c r="V434" t="s">
        <v>8590</v>
      </c>
      <c r="W434">
        <v>2</v>
      </c>
      <c r="X434" t="s">
        <v>9024</v>
      </c>
      <c r="Y434">
        <v>1.484811511138338</v>
      </c>
      <c r="Z434" t="str">
        <f>HYPERLINK("Melting_Curves/meltCurve_sp_P00742_FA10_HUMAN_.pdf", "Melting_Curves/meltCurve_sp_P00742_FA10_HUMAN_.pdf")</f>
        <v>Melting_Curves/meltCurve_sp_P00742_FA10_HUMAN_.pdf</v>
      </c>
      <c r="AA434" t="s">
        <v>13313</v>
      </c>
      <c r="AB434" t="s">
        <v>17519</v>
      </c>
    </row>
    <row r="435" spans="1:28" x14ac:dyDescent="0.25">
      <c r="A435" t="s">
        <v>439</v>
      </c>
      <c r="B435">
        <v>0.99876560204751996</v>
      </c>
      <c r="C435">
        <v>0.97408957735325796</v>
      </c>
      <c r="D435">
        <v>0.87621275189298198</v>
      </c>
      <c r="E435">
        <v>0.61714905403814102</v>
      </c>
      <c r="F435">
        <v>0.27506072882188998</v>
      </c>
      <c r="G435">
        <v>0.168003672734063</v>
      </c>
      <c r="H435">
        <v>0.118129223408974</v>
      </c>
      <c r="I435">
        <v>9.9536150444499497E-2</v>
      </c>
      <c r="J435">
        <v>0.124422661134892</v>
      </c>
      <c r="K435">
        <v>0.10290233676431899</v>
      </c>
      <c r="L435">
        <v>1179.44071490939</v>
      </c>
      <c r="M435">
        <v>23.458726579250701</v>
      </c>
      <c r="N435">
        <v>50.783564475326799</v>
      </c>
      <c r="O435">
        <v>49.916205528248703</v>
      </c>
      <c r="P435">
        <v>-0.105241827846587</v>
      </c>
      <c r="Q435">
        <v>0.104268490153802</v>
      </c>
      <c r="R435">
        <v>0.99681998459342802</v>
      </c>
      <c r="S435" t="s">
        <v>4731</v>
      </c>
      <c r="T435" t="s">
        <v>8590</v>
      </c>
      <c r="U435" t="s">
        <v>8590</v>
      </c>
      <c r="V435" t="s">
        <v>8590</v>
      </c>
      <c r="W435">
        <v>18</v>
      </c>
      <c r="X435" t="s">
        <v>9025</v>
      </c>
      <c r="Y435">
        <v>0.42023816770876549</v>
      </c>
      <c r="Z435" t="str">
        <f>HYPERLINK("Melting_Curves/meltCurve_sp_P00747_PLMN_HUMAN_.pdf", "Melting_Curves/meltCurve_sp_P00747_PLMN_HUMAN_.pdf")</f>
        <v>Melting_Curves/meltCurve_sp_P00747_PLMN_HUMAN_.pdf</v>
      </c>
      <c r="AA435" t="s">
        <v>13314</v>
      </c>
      <c r="AB435" t="s">
        <v>17520</v>
      </c>
    </row>
    <row r="436" spans="1:28" x14ac:dyDescent="0.25">
      <c r="A436" t="s">
        <v>440</v>
      </c>
      <c r="B436">
        <v>0.99876560204751996</v>
      </c>
      <c r="C436">
        <v>0.9501033352546</v>
      </c>
      <c r="D436">
        <v>0.91614475804190498</v>
      </c>
      <c r="E436">
        <v>0.65121771668081596</v>
      </c>
      <c r="F436">
        <v>0.47731350085151802</v>
      </c>
      <c r="G436">
        <v>0.28089389956178001</v>
      </c>
      <c r="H436">
        <v>6.3066773292405204E-2</v>
      </c>
      <c r="I436">
        <v>4.9297643388440802E-2</v>
      </c>
      <c r="J436">
        <v>2.4599567482042201E-2</v>
      </c>
      <c r="K436">
        <v>4.0503253249870301E-2</v>
      </c>
      <c r="L436">
        <v>789.41054460463499</v>
      </c>
      <c r="M436">
        <v>15.0257704317356</v>
      </c>
      <c r="N436">
        <v>52.5371238562402</v>
      </c>
      <c r="O436">
        <v>51.632899695880397</v>
      </c>
      <c r="P436">
        <v>-7.2760189664154096E-2</v>
      </c>
      <c r="Q436">
        <v>0</v>
      </c>
      <c r="R436">
        <v>0.99543092521370702</v>
      </c>
      <c r="S436" t="s">
        <v>4732</v>
      </c>
      <c r="T436" t="s">
        <v>8590</v>
      </c>
      <c r="U436" t="s">
        <v>8590</v>
      </c>
      <c r="V436" t="s">
        <v>8590</v>
      </c>
      <c r="W436">
        <v>4</v>
      </c>
      <c r="X436" t="s">
        <v>9026</v>
      </c>
      <c r="Y436">
        <v>0.43977139848197028</v>
      </c>
      <c r="Z436" t="str">
        <f>HYPERLINK("Melting_Curves/meltCurve_sp_P00748_FA12_HUMAN_.pdf", "Melting_Curves/meltCurve_sp_P00748_FA12_HUMAN_.pdf")</f>
        <v>Melting_Curves/meltCurve_sp_P00748_FA12_HUMAN_.pdf</v>
      </c>
      <c r="AA436" t="s">
        <v>13315</v>
      </c>
      <c r="AB436" t="s">
        <v>17521</v>
      </c>
    </row>
    <row r="437" spans="1:28" x14ac:dyDescent="0.25">
      <c r="A437" t="s">
        <v>441</v>
      </c>
      <c r="B437">
        <v>0.99876560204751996</v>
      </c>
      <c r="C437">
        <v>1.1088156299673999</v>
      </c>
      <c r="D437">
        <v>0.69178478714158798</v>
      </c>
      <c r="E437">
        <v>0.55738458220669296</v>
      </c>
      <c r="F437">
        <v>0.34397871134548802</v>
      </c>
      <c r="G437">
        <v>0.244377996692208</v>
      </c>
      <c r="H437">
        <v>0.13202636818251101</v>
      </c>
      <c r="I437">
        <v>4.7084421715564498E-2</v>
      </c>
      <c r="J437">
        <v>3.5169128646381803E-2</v>
      </c>
      <c r="K437">
        <v>2.73578653152423E-2</v>
      </c>
      <c r="L437">
        <v>705.98506808299805</v>
      </c>
      <c r="M437">
        <v>13.945660784095001</v>
      </c>
      <c r="N437">
        <v>50.776691486093902</v>
      </c>
      <c r="O437">
        <v>49.617105528301799</v>
      </c>
      <c r="P437">
        <v>-6.8832776054395306E-2</v>
      </c>
      <c r="Q437">
        <v>2.05338537892116E-2</v>
      </c>
      <c r="R437">
        <v>0.964480749490779</v>
      </c>
      <c r="S437" t="s">
        <v>4733</v>
      </c>
      <c r="T437" t="s">
        <v>8590</v>
      </c>
      <c r="U437" t="s">
        <v>8590</v>
      </c>
      <c r="V437" t="s">
        <v>8590</v>
      </c>
      <c r="W437">
        <v>37</v>
      </c>
      <c r="X437" t="s">
        <v>9027</v>
      </c>
      <c r="Y437">
        <v>0.39325082173682618</v>
      </c>
      <c r="Z437" t="str">
        <f>HYPERLINK("Melting_Curves/meltCurve_sp_P00966_ASSY_HUMAN_.pdf", "Melting_Curves/meltCurve_sp_P00966_ASSY_HUMAN_.pdf")</f>
        <v>Melting_Curves/meltCurve_sp_P00966_ASSY_HUMAN_.pdf</v>
      </c>
      <c r="AA437" t="s">
        <v>13316</v>
      </c>
      <c r="AB437" t="s">
        <v>17522</v>
      </c>
    </row>
    <row r="438" spans="1:28" x14ac:dyDescent="0.25">
      <c r="A438" t="s">
        <v>442</v>
      </c>
      <c r="B438">
        <v>0.99876560204751996</v>
      </c>
      <c r="C438">
        <v>0.92411417533763196</v>
      </c>
      <c r="D438">
        <v>0.98364075541124596</v>
      </c>
      <c r="E438">
        <v>0.89867996449931697</v>
      </c>
      <c r="F438">
        <v>0.84678157582696401</v>
      </c>
      <c r="G438">
        <v>0.74553203341659802</v>
      </c>
      <c r="H438">
        <v>0.54108781056521205</v>
      </c>
      <c r="I438">
        <v>0.405187997749972</v>
      </c>
      <c r="J438">
        <v>0.39807279996990302</v>
      </c>
      <c r="K438">
        <v>0.36201613679486599</v>
      </c>
      <c r="L438">
        <v>730.11606580397199</v>
      </c>
      <c r="M438">
        <v>12.4004897818585</v>
      </c>
      <c r="N438">
        <v>62.400641638090498</v>
      </c>
      <c r="O438">
        <v>57.409688730848899</v>
      </c>
      <c r="P438">
        <v>-4.0415909549286803E-2</v>
      </c>
      <c r="Q438">
        <v>0.251715875119354</v>
      </c>
      <c r="R438">
        <v>0.98281925055359798</v>
      </c>
      <c r="S438" t="s">
        <v>4734</v>
      </c>
      <c r="T438" t="s">
        <v>8590</v>
      </c>
      <c r="U438" t="s">
        <v>8590</v>
      </c>
      <c r="V438" t="s">
        <v>8590</v>
      </c>
      <c r="W438">
        <v>21</v>
      </c>
      <c r="X438" t="s">
        <v>9028</v>
      </c>
      <c r="Y438">
        <v>0.72937820808959619</v>
      </c>
      <c r="Z438" t="str">
        <f>HYPERLINK("Melting_Curves/meltCurve_sp_P01009_A1AT_HUMAN_.pdf", "Melting_Curves/meltCurve_sp_P01009_A1AT_HUMAN_.pdf")</f>
        <v>Melting_Curves/meltCurve_sp_P01009_A1AT_HUMAN_.pdf</v>
      </c>
      <c r="AA438" t="s">
        <v>13317</v>
      </c>
      <c r="AB438" t="s">
        <v>17523</v>
      </c>
    </row>
    <row r="439" spans="1:28" x14ac:dyDescent="0.25">
      <c r="A439" t="s">
        <v>443</v>
      </c>
      <c r="B439">
        <v>0.99876560204751996</v>
      </c>
      <c r="C439">
        <v>0.97513259887415704</v>
      </c>
      <c r="D439">
        <v>0.92932487999367897</v>
      </c>
      <c r="E439">
        <v>0.91882460473200001</v>
      </c>
      <c r="F439">
        <v>0.892099389260959</v>
      </c>
      <c r="G439">
        <v>0.59296622630687701</v>
      </c>
      <c r="H439">
        <v>0.24051538978771</v>
      </c>
      <c r="I439">
        <v>0.158367719389582</v>
      </c>
      <c r="J439">
        <v>0.12381706815541001</v>
      </c>
      <c r="K439">
        <v>9.2183176992369401E-2</v>
      </c>
      <c r="L439">
        <v>1327.2094231879501</v>
      </c>
      <c r="M439">
        <v>23.125725674797199</v>
      </c>
      <c r="N439">
        <v>57.821148248117296</v>
      </c>
      <c r="O439">
        <v>56.967077484616198</v>
      </c>
      <c r="P439">
        <v>-9.3469376383915101E-2</v>
      </c>
      <c r="Q439">
        <v>7.9020788138852494E-2</v>
      </c>
      <c r="R439">
        <v>0.99352804743753798</v>
      </c>
      <c r="S439" t="s">
        <v>4735</v>
      </c>
      <c r="T439" t="s">
        <v>8590</v>
      </c>
      <c r="U439" t="s">
        <v>8590</v>
      </c>
      <c r="V439" t="s">
        <v>8590</v>
      </c>
      <c r="W439">
        <v>16</v>
      </c>
      <c r="X439" t="s">
        <v>9029</v>
      </c>
      <c r="Y439">
        <v>0.6220834876320035</v>
      </c>
      <c r="Z439" t="str">
        <f>HYPERLINK("Melting_Curves/meltCurve_sp_P01011_AACT_HUMAN_.pdf", "Melting_Curves/meltCurve_sp_P01011_AACT_HUMAN_.pdf")</f>
        <v>Melting_Curves/meltCurve_sp_P01011_AACT_HUMAN_.pdf</v>
      </c>
      <c r="AA439" t="s">
        <v>13318</v>
      </c>
      <c r="AB439" t="s">
        <v>17524</v>
      </c>
    </row>
    <row r="440" spans="1:28" x14ac:dyDescent="0.25">
      <c r="A440" t="s">
        <v>444</v>
      </c>
      <c r="B440">
        <v>0.99876560204751996</v>
      </c>
      <c r="C440">
        <v>0.92542795040049597</v>
      </c>
      <c r="D440">
        <v>1.00657807422877</v>
      </c>
      <c r="E440">
        <v>0.91817142511968097</v>
      </c>
      <c r="F440">
        <v>0.918374896676732</v>
      </c>
      <c r="G440">
        <v>0.70411555753757404</v>
      </c>
      <c r="H440">
        <v>0.29999957106798403</v>
      </c>
      <c r="I440">
        <v>7.1229062750075803E-2</v>
      </c>
      <c r="J440">
        <v>3.9948722136416898E-2</v>
      </c>
      <c r="K440">
        <v>3.4372343162701199E-2</v>
      </c>
      <c r="L440">
        <v>1496.6231395938601</v>
      </c>
      <c r="M440">
        <v>25.454110186292599</v>
      </c>
      <c r="N440">
        <v>58.796914539544197</v>
      </c>
      <c r="O440">
        <v>58.437612363644703</v>
      </c>
      <c r="P440">
        <v>-0.108895742852119</v>
      </c>
      <c r="Q440">
        <v>0</v>
      </c>
      <c r="R440">
        <v>0.991777330030299</v>
      </c>
      <c r="S440" t="s">
        <v>4736</v>
      </c>
      <c r="T440" t="s">
        <v>8590</v>
      </c>
      <c r="U440" t="s">
        <v>8590</v>
      </c>
      <c r="V440" t="s">
        <v>8590</v>
      </c>
      <c r="W440">
        <v>9</v>
      </c>
      <c r="X440" t="s">
        <v>9030</v>
      </c>
      <c r="Y440">
        <v>0.63469477290823961</v>
      </c>
      <c r="Z440" t="str">
        <f>HYPERLINK("Melting_Curves/meltCurve_sp_P01019_ANGT_HUMAN_.pdf", "Melting_Curves/meltCurve_sp_P01019_ANGT_HUMAN_.pdf")</f>
        <v>Melting_Curves/meltCurve_sp_P01019_ANGT_HUMAN_.pdf</v>
      </c>
      <c r="AA440" t="s">
        <v>13319</v>
      </c>
      <c r="AB440" t="s">
        <v>17525</v>
      </c>
    </row>
    <row r="441" spans="1:28" x14ac:dyDescent="0.25">
      <c r="A441" t="s">
        <v>445</v>
      </c>
      <c r="B441">
        <v>0.99876560204751996</v>
      </c>
      <c r="C441">
        <v>1.03984162254864</v>
      </c>
      <c r="D441">
        <v>0.89647248216486897</v>
      </c>
      <c r="E441">
        <v>0.98648517738566699</v>
      </c>
      <c r="F441">
        <v>0.92997949646528899</v>
      </c>
      <c r="G441">
        <v>0.751879650531868</v>
      </c>
      <c r="H441">
        <v>0.57927202592198801</v>
      </c>
      <c r="I441">
        <v>0.45548001434076701</v>
      </c>
      <c r="J441">
        <v>0.43319337391973001</v>
      </c>
      <c r="K441">
        <v>0.275298446951038</v>
      </c>
      <c r="L441">
        <v>803.37760661133905</v>
      </c>
      <c r="M441">
        <v>13.169903541720201</v>
      </c>
      <c r="N441">
        <v>63.182286136274499</v>
      </c>
      <c r="O441">
        <v>59.646000719433303</v>
      </c>
      <c r="P441">
        <v>-4.5124364054844199E-2</v>
      </c>
      <c r="Q441">
        <v>0.18267089324690799</v>
      </c>
      <c r="R441">
        <v>0.975197465249389</v>
      </c>
      <c r="S441" t="s">
        <v>4737</v>
      </c>
      <c r="T441" t="s">
        <v>8590</v>
      </c>
      <c r="U441" t="s">
        <v>8590</v>
      </c>
      <c r="V441" t="s">
        <v>8590</v>
      </c>
      <c r="W441">
        <v>29</v>
      </c>
      <c r="X441" t="s">
        <v>9031</v>
      </c>
      <c r="Y441">
        <v>0.75411924110171102</v>
      </c>
      <c r="Z441" t="str">
        <f>HYPERLINK("Melting_Curves/meltCurve_sp_P01023_A2MG_HUMAN_.pdf", "Melting_Curves/meltCurve_sp_P01023_A2MG_HUMAN_.pdf")</f>
        <v>Melting_Curves/meltCurve_sp_P01023_A2MG_HUMAN_.pdf</v>
      </c>
      <c r="AA441" t="s">
        <v>13320</v>
      </c>
      <c r="AB441" t="s">
        <v>17526</v>
      </c>
    </row>
    <row r="442" spans="1:28" x14ac:dyDescent="0.25">
      <c r="A442" t="s">
        <v>446</v>
      </c>
      <c r="B442">
        <v>0.99876560204751996</v>
      </c>
      <c r="C442">
        <v>1.0193211064622301</v>
      </c>
      <c r="D442">
        <v>0.93030562986010901</v>
      </c>
      <c r="E442">
        <v>1.03351398169126</v>
      </c>
      <c r="F442">
        <v>0.94679763045045895</v>
      </c>
      <c r="G442">
        <v>0.63113225047587695</v>
      </c>
      <c r="H442">
        <v>0.19374662188097799</v>
      </c>
      <c r="I442">
        <v>0.130570100692395</v>
      </c>
      <c r="J442">
        <v>0.124247713787615</v>
      </c>
      <c r="K442">
        <v>0.107468418293434</v>
      </c>
      <c r="L442">
        <v>2178.4644350864801</v>
      </c>
      <c r="M442">
        <v>37.897941654328399</v>
      </c>
      <c r="N442">
        <v>57.866580919758803</v>
      </c>
      <c r="O442">
        <v>57.323048376947298</v>
      </c>
      <c r="P442">
        <v>-0.146898927737314</v>
      </c>
      <c r="Q442">
        <v>0.111226447423005</v>
      </c>
      <c r="R442">
        <v>0.99558862578217899</v>
      </c>
      <c r="S442" t="s">
        <v>4738</v>
      </c>
      <c r="T442" t="s">
        <v>8590</v>
      </c>
      <c r="U442" t="s">
        <v>8590</v>
      </c>
      <c r="V442" t="s">
        <v>8590</v>
      </c>
      <c r="W442">
        <v>87</v>
      </c>
      <c r="X442" t="s">
        <v>9032</v>
      </c>
      <c r="Y442">
        <v>0.6330139519748289</v>
      </c>
      <c r="Z442" t="str">
        <f>HYPERLINK("Melting_Curves/meltCurve_sp_P01024_CO3_HUMAN_.pdf", "Melting_Curves/meltCurve_sp_P01024_CO3_HUMAN_.pdf")</f>
        <v>Melting_Curves/meltCurve_sp_P01024_CO3_HUMAN_.pdf</v>
      </c>
      <c r="AA442" t="s">
        <v>13321</v>
      </c>
      <c r="AB442" t="s">
        <v>17527</v>
      </c>
    </row>
    <row r="443" spans="1:28" x14ac:dyDescent="0.25">
      <c r="A443" t="s">
        <v>447</v>
      </c>
      <c r="B443">
        <v>0.99876560204751996</v>
      </c>
      <c r="C443">
        <v>0.97003431573781596</v>
      </c>
      <c r="D443">
        <v>0.913815174154049</v>
      </c>
      <c r="E443">
        <v>0.91677737201794796</v>
      </c>
      <c r="F443">
        <v>0.850345106392983</v>
      </c>
      <c r="G443">
        <v>0.61491231486790299</v>
      </c>
      <c r="H443">
        <v>0.50479188065456104</v>
      </c>
      <c r="I443">
        <v>0.43479103243577</v>
      </c>
      <c r="J443">
        <v>0.40343802885462399</v>
      </c>
      <c r="K443">
        <v>0.27482833757535802</v>
      </c>
      <c r="L443">
        <v>629.69143278351203</v>
      </c>
      <c r="M443">
        <v>10.709028864531501</v>
      </c>
      <c r="N443">
        <v>61.441110789650999</v>
      </c>
      <c r="O443">
        <v>56.860950600395199</v>
      </c>
      <c r="P443">
        <v>-3.8413374204557503E-2</v>
      </c>
      <c r="Q443">
        <v>0.18446226940101701</v>
      </c>
      <c r="R443">
        <v>0.98423757483514496</v>
      </c>
      <c r="S443" t="s">
        <v>4739</v>
      </c>
      <c r="T443" t="s">
        <v>8590</v>
      </c>
      <c r="U443" t="s">
        <v>8590</v>
      </c>
      <c r="V443" t="s">
        <v>8590</v>
      </c>
      <c r="W443">
        <v>4</v>
      </c>
      <c r="X443" t="s">
        <v>9033</v>
      </c>
      <c r="Y443">
        <v>0.70089042976954208</v>
      </c>
      <c r="Z443" t="str">
        <f>HYPERLINK("Melting_Curves/meltCurve_sp_P01034_CYTC_HUMAN_.pdf", "Melting_Curves/meltCurve_sp_P01034_CYTC_HUMAN_.pdf")</f>
        <v>Melting_Curves/meltCurve_sp_P01034_CYTC_HUMAN_.pdf</v>
      </c>
      <c r="AA443" t="s">
        <v>13322</v>
      </c>
      <c r="AB443" t="s">
        <v>17528</v>
      </c>
    </row>
    <row r="444" spans="1:28" x14ac:dyDescent="0.25">
      <c r="A444" t="s">
        <v>448</v>
      </c>
      <c r="B444">
        <v>0.99876560204751996</v>
      </c>
      <c r="C444">
        <v>0.93753486577206402</v>
      </c>
      <c r="D444">
        <v>0.97919866637491604</v>
      </c>
      <c r="E444">
        <v>0.93201696167911896</v>
      </c>
      <c r="F444">
        <v>0.973962124118949</v>
      </c>
      <c r="G444">
        <v>0.627472380994054</v>
      </c>
      <c r="H444">
        <v>0.75821858304759404</v>
      </c>
      <c r="I444">
        <v>0.94987562304102402</v>
      </c>
      <c r="J444">
        <v>1.8334732540424099</v>
      </c>
      <c r="K444">
        <v>1.3954778624873401</v>
      </c>
      <c r="L444">
        <v>15000</v>
      </c>
      <c r="M444">
        <v>230.02761074148799</v>
      </c>
      <c r="O444">
        <v>65.204634108945001</v>
      </c>
      <c r="P444">
        <v>0.44097251335542897</v>
      </c>
      <c r="Q444">
        <v>1.5</v>
      </c>
      <c r="R444">
        <v>0.68160071229609298</v>
      </c>
      <c r="S444" t="s">
        <v>4740</v>
      </c>
      <c r="T444" t="s">
        <v>8590</v>
      </c>
      <c r="U444" t="s">
        <v>8590</v>
      </c>
      <c r="V444" t="s">
        <v>8590</v>
      </c>
      <c r="W444">
        <v>2</v>
      </c>
      <c r="X444" t="s">
        <v>9034</v>
      </c>
      <c r="Y444">
        <v>1.0797730241158641</v>
      </c>
      <c r="Z444" t="str">
        <f>HYPERLINK("Melting_Curves/meltCurve_sp_P01040_CYTA_HUMAN_.pdf", "Melting_Curves/meltCurve_sp_P01040_CYTA_HUMAN_.pdf")</f>
        <v>Melting_Curves/meltCurve_sp_P01040_CYTA_HUMAN_.pdf</v>
      </c>
      <c r="AA444" t="s">
        <v>13323</v>
      </c>
      <c r="AB444" t="s">
        <v>17529</v>
      </c>
    </row>
    <row r="445" spans="1:28" x14ac:dyDescent="0.25">
      <c r="A445" t="s">
        <v>449</v>
      </c>
      <c r="B445">
        <v>0.99876560204751996</v>
      </c>
      <c r="C445">
        <v>0.99180527800554696</v>
      </c>
      <c r="D445">
        <v>1.00659583464238</v>
      </c>
      <c r="E445">
        <v>0.90524927879065498</v>
      </c>
      <c r="F445">
        <v>0.84816158202511005</v>
      </c>
      <c r="G445">
        <v>0.65699352242512798</v>
      </c>
      <c r="H445">
        <v>0.48720354823530698</v>
      </c>
      <c r="I445">
        <v>0.44044798508776101</v>
      </c>
      <c r="J445">
        <v>0.45474652747732403</v>
      </c>
      <c r="K445">
        <v>0.41070654494722297</v>
      </c>
      <c r="L445">
        <v>1020.19756756691</v>
      </c>
      <c r="M445">
        <v>18.275857554402101</v>
      </c>
      <c r="N445">
        <v>61.260239218081303</v>
      </c>
      <c r="O445">
        <v>55.166673993424403</v>
      </c>
      <c r="P445">
        <v>-4.9588671211416399E-2</v>
      </c>
      <c r="Q445">
        <v>0.40128337420349303</v>
      </c>
      <c r="R445">
        <v>0.995057081005573</v>
      </c>
      <c r="S445" t="s">
        <v>4741</v>
      </c>
      <c r="T445" t="s">
        <v>8590</v>
      </c>
      <c r="U445" t="s">
        <v>8590</v>
      </c>
      <c r="V445" t="s">
        <v>8590</v>
      </c>
      <c r="W445">
        <v>16</v>
      </c>
      <c r="X445" t="s">
        <v>9035</v>
      </c>
      <c r="Y445">
        <v>0.72579357931628485</v>
      </c>
      <c r="Z445" t="str">
        <f>HYPERLINK("Melting_Curves/meltCurve_sp_P01042_2_KNG1_HUMAN_.pdf", "Melting_Curves/meltCurve_sp_P01042_2_KNG1_HUMAN_.pdf")</f>
        <v>Melting_Curves/meltCurve_sp_P01042_2_KNG1_HUMAN_.pdf</v>
      </c>
      <c r="AA445" t="s">
        <v>13324</v>
      </c>
      <c r="AB445" t="s">
        <v>17530</v>
      </c>
    </row>
    <row r="446" spans="1:28" x14ac:dyDescent="0.25">
      <c r="A446" t="s">
        <v>450</v>
      </c>
      <c r="B446">
        <v>0.99876560204751996</v>
      </c>
      <c r="C446">
        <v>0.86888465703510698</v>
      </c>
      <c r="D446">
        <v>0.76253829741287904</v>
      </c>
      <c r="E446">
        <v>0.45612556602009502</v>
      </c>
      <c r="F446">
        <v>0.31966522890194998</v>
      </c>
      <c r="G446">
        <v>0.16955943176236901</v>
      </c>
      <c r="H446">
        <v>0.109074446458163</v>
      </c>
      <c r="I446">
        <v>8.0041431781855202E-2</v>
      </c>
      <c r="J446">
        <v>8.6797006317766698E-2</v>
      </c>
      <c r="K446">
        <v>6.3319193551082897E-2</v>
      </c>
      <c r="L446">
        <v>705.18476680145602</v>
      </c>
      <c r="M446">
        <v>14.3319416068304</v>
      </c>
      <c r="N446">
        <v>49.605922603120803</v>
      </c>
      <c r="O446">
        <v>48.2755140785234</v>
      </c>
      <c r="P446">
        <v>-7.0156802441915994E-2</v>
      </c>
      <c r="Q446">
        <v>5.4853312192651403E-2</v>
      </c>
      <c r="R446">
        <v>0.997493588072766</v>
      </c>
      <c r="S446" t="s">
        <v>4742</v>
      </c>
      <c r="T446" t="s">
        <v>8590</v>
      </c>
      <c r="U446" t="s">
        <v>8590</v>
      </c>
      <c r="V446" t="s">
        <v>8590</v>
      </c>
      <c r="W446">
        <v>5</v>
      </c>
      <c r="X446" t="s">
        <v>9036</v>
      </c>
      <c r="Y446">
        <v>0.36999478770405048</v>
      </c>
      <c r="Z446" t="str">
        <f>HYPERLINK("Melting_Curves/meltCurve_sp_P01111_RASN_HUMAN_.pdf", "Melting_Curves/meltCurve_sp_P01111_RASN_HUMAN_.pdf")</f>
        <v>Melting_Curves/meltCurve_sp_P01111_RASN_HUMAN_.pdf</v>
      </c>
      <c r="AA446" t="s">
        <v>13325</v>
      </c>
      <c r="AB446" t="s">
        <v>17531</v>
      </c>
    </row>
    <row r="447" spans="1:28" x14ac:dyDescent="0.25">
      <c r="A447" t="s">
        <v>451</v>
      </c>
      <c r="B447">
        <v>0.99876560204751996</v>
      </c>
      <c r="C447">
        <v>0.92489480446681605</v>
      </c>
      <c r="D447">
        <v>0.94842130393637503</v>
      </c>
      <c r="E447">
        <v>0.66252414964489603</v>
      </c>
      <c r="F447">
        <v>0.41074707969235502</v>
      </c>
      <c r="G447">
        <v>0.21352071612713</v>
      </c>
      <c r="H447">
        <v>0.12841560991519699</v>
      </c>
      <c r="I447">
        <v>8.7524996671395003E-2</v>
      </c>
      <c r="J447">
        <v>7.9254402915883093E-2</v>
      </c>
      <c r="K447">
        <v>5.5762318213516203E-2</v>
      </c>
      <c r="L447">
        <v>949.18452746057005</v>
      </c>
      <c r="M447">
        <v>18.385433499650699</v>
      </c>
      <c r="N447">
        <v>52.008937764833902</v>
      </c>
      <c r="O447">
        <v>51.027841452009802</v>
      </c>
      <c r="P447">
        <v>-8.4390951501603806E-2</v>
      </c>
      <c r="Q447">
        <v>6.3151233603646995E-2</v>
      </c>
      <c r="R447">
        <v>0.996490990167335</v>
      </c>
      <c r="S447" t="s">
        <v>4743</v>
      </c>
      <c r="T447" t="s">
        <v>8590</v>
      </c>
      <c r="U447" t="s">
        <v>8590</v>
      </c>
      <c r="V447" t="s">
        <v>8590</v>
      </c>
      <c r="W447">
        <v>8</v>
      </c>
      <c r="X447" t="s">
        <v>9037</v>
      </c>
      <c r="Y447">
        <v>0.44133818751218512</v>
      </c>
      <c r="Z447" t="str">
        <f>HYPERLINK("Melting_Curves/meltCurve_sp_P01116_2_RASK_HUMAN_.pdf", "Melting_Curves/meltCurve_sp_P01116_2_RASK_HUMAN_.pdf")</f>
        <v>Melting_Curves/meltCurve_sp_P01116_2_RASK_HUMAN_.pdf</v>
      </c>
      <c r="AA447" t="s">
        <v>13326</v>
      </c>
      <c r="AB447" t="s">
        <v>17532</v>
      </c>
    </row>
    <row r="448" spans="1:28" x14ac:dyDescent="0.25">
      <c r="A448" t="s">
        <v>452</v>
      </c>
      <c r="B448">
        <v>0.99876560204751996</v>
      </c>
      <c r="C448">
        <v>0.84653543636546402</v>
      </c>
      <c r="D448">
        <v>0.70270785691113302</v>
      </c>
      <c r="E448">
        <v>0.56297693783059199</v>
      </c>
      <c r="F448">
        <v>0.36837710637497401</v>
      </c>
      <c r="G448">
        <v>0.189763157244979</v>
      </c>
      <c r="H448">
        <v>0.112572791664228</v>
      </c>
      <c r="I448">
        <v>6.7501047096956895E-2</v>
      </c>
      <c r="J448">
        <v>4.36033153442048E-2</v>
      </c>
      <c r="K448">
        <v>6.2302415581931399E-2</v>
      </c>
      <c r="L448">
        <v>569.83332217135398</v>
      </c>
      <c r="M448">
        <v>11.327229006506</v>
      </c>
      <c r="N448">
        <v>50.3065066978833</v>
      </c>
      <c r="O448">
        <v>48.815083700014803</v>
      </c>
      <c r="P448">
        <v>-5.80283874982837E-2</v>
      </c>
      <c r="Q448">
        <v>0</v>
      </c>
      <c r="R448">
        <v>0.99269959689642395</v>
      </c>
      <c r="S448" t="s">
        <v>4744</v>
      </c>
      <c r="T448" t="s">
        <v>8590</v>
      </c>
      <c r="U448" t="s">
        <v>8590</v>
      </c>
      <c r="V448" t="s">
        <v>8590</v>
      </c>
      <c r="W448">
        <v>7</v>
      </c>
      <c r="X448" t="s">
        <v>9038</v>
      </c>
      <c r="Y448">
        <v>0.38060455084609629</v>
      </c>
      <c r="Z448" t="str">
        <f>HYPERLINK("Melting_Curves/meltCurve_sp_P01116_RASK_HUMAN_.pdf", "Melting_Curves/meltCurve_sp_P01116_RASK_HUMAN_.pdf")</f>
        <v>Melting_Curves/meltCurve_sp_P01116_RASK_HUMAN_.pdf</v>
      </c>
      <c r="AA448" t="s">
        <v>13326</v>
      </c>
      <c r="AB448" t="s">
        <v>17533</v>
      </c>
    </row>
    <row r="449" spans="1:28" x14ac:dyDescent="0.25">
      <c r="A449" t="s">
        <v>453</v>
      </c>
      <c r="B449">
        <v>0.99876560204751996</v>
      </c>
      <c r="C449">
        <v>1.02766719655603</v>
      </c>
      <c r="D449">
        <v>0.57603974552270398</v>
      </c>
      <c r="E449">
        <v>0.57668056020221803</v>
      </c>
      <c r="F449">
        <v>0.14302697587389299</v>
      </c>
      <c r="G449">
        <v>0.104262076804625</v>
      </c>
      <c r="H449">
        <v>6.8291941552126506E-2</v>
      </c>
      <c r="I449">
        <v>5.0150702869959901E-2</v>
      </c>
      <c r="J449">
        <v>4.5342176417426001E-2</v>
      </c>
      <c r="K449">
        <v>4.0082804160545799E-2</v>
      </c>
      <c r="L449">
        <v>796.60218193337596</v>
      </c>
      <c r="M449">
        <v>16.314559602670101</v>
      </c>
      <c r="N449">
        <v>48.993971273022602</v>
      </c>
      <c r="O449">
        <v>48.111754162824901</v>
      </c>
      <c r="P449">
        <v>-8.2497032168679499E-2</v>
      </c>
      <c r="Q449">
        <v>2.6933323893522501E-2</v>
      </c>
      <c r="R449">
        <v>0.94813549040586498</v>
      </c>
      <c r="S449" t="s">
        <v>4745</v>
      </c>
      <c r="T449" t="s">
        <v>8590</v>
      </c>
      <c r="U449" t="s">
        <v>8590</v>
      </c>
      <c r="V449" t="s">
        <v>8590</v>
      </c>
      <c r="W449">
        <v>1</v>
      </c>
      <c r="X449" t="s">
        <v>9039</v>
      </c>
      <c r="Y449">
        <v>0.33382070467356673</v>
      </c>
      <c r="Z449" t="str">
        <f>HYPERLINK("Melting_Curves/meltCurve_sp_P01608_KV116_HUMAN_.pdf", "Melting_Curves/meltCurve_sp_P01608_KV116_HUMAN_.pdf")</f>
        <v>Melting_Curves/meltCurve_sp_P01608_KV116_HUMAN_.pdf</v>
      </c>
      <c r="AB449" t="s">
        <v>17534</v>
      </c>
    </row>
    <row r="450" spans="1:28" x14ac:dyDescent="0.25">
      <c r="A450" t="s">
        <v>454</v>
      </c>
      <c r="B450">
        <v>0.99876560204751996</v>
      </c>
      <c r="C450">
        <v>0.91299136870979403</v>
      </c>
      <c r="D450">
        <v>0.90395047531179296</v>
      </c>
      <c r="E450">
        <v>1.01786129457319</v>
      </c>
      <c r="F450">
        <v>1.027755883939</v>
      </c>
      <c r="G450">
        <v>0.70715023712901504</v>
      </c>
      <c r="H450">
        <v>0.65811568825285904</v>
      </c>
      <c r="I450">
        <v>0.48787723371228903</v>
      </c>
      <c r="J450">
        <v>0.47391044681859701</v>
      </c>
      <c r="K450">
        <v>0.36868959006970498</v>
      </c>
      <c r="L450">
        <v>1058.2199685584301</v>
      </c>
      <c r="M450">
        <v>17.788325613516299</v>
      </c>
      <c r="N450">
        <v>64.088562325257996</v>
      </c>
      <c r="O450">
        <v>58.753021497034098</v>
      </c>
      <c r="P450">
        <v>-4.84075524562156E-2</v>
      </c>
      <c r="Q450">
        <v>0.36049223763419003</v>
      </c>
      <c r="R450">
        <v>0.92977685189277504</v>
      </c>
      <c r="S450" t="s">
        <v>4746</v>
      </c>
      <c r="T450" t="s">
        <v>8590</v>
      </c>
      <c r="U450" t="s">
        <v>8590</v>
      </c>
      <c r="V450" t="s">
        <v>8590</v>
      </c>
      <c r="W450">
        <v>1</v>
      </c>
      <c r="X450" t="s">
        <v>9040</v>
      </c>
      <c r="Y450">
        <v>0.78204204413838974</v>
      </c>
      <c r="Z450" t="str">
        <f>HYPERLINK("Melting_Curves/meltCurve_sp_P01743_HV102_HUMAN_.pdf", "Melting_Curves/meltCurve_sp_P01743_HV102_HUMAN_.pdf")</f>
        <v>Melting_Curves/meltCurve_sp_P01743_HV102_HUMAN_.pdf</v>
      </c>
      <c r="AB450" t="s">
        <v>17535</v>
      </c>
    </row>
    <row r="451" spans="1:28" x14ac:dyDescent="0.25">
      <c r="A451" t="s">
        <v>455</v>
      </c>
      <c r="B451">
        <v>0.99876560204751996</v>
      </c>
      <c r="C451">
        <v>0.97318348719285497</v>
      </c>
      <c r="D451">
        <v>1.1144545354775599</v>
      </c>
      <c r="E451">
        <v>0.97794689468051998</v>
      </c>
      <c r="F451">
        <v>0.92379696356181495</v>
      </c>
      <c r="G451">
        <v>0.72672672113096404</v>
      </c>
      <c r="H451">
        <v>0.51421502236773398</v>
      </c>
      <c r="I451">
        <v>0.42718705335631002</v>
      </c>
      <c r="J451">
        <v>0.42566718918831098</v>
      </c>
      <c r="K451">
        <v>0.211381101985889</v>
      </c>
      <c r="L451">
        <v>946.90717055835</v>
      </c>
      <c r="M451">
        <v>15.8652160149929</v>
      </c>
      <c r="N451">
        <v>61.889924993871503</v>
      </c>
      <c r="O451">
        <v>58.760375490456099</v>
      </c>
      <c r="P451">
        <v>-5.2929327760539498E-2</v>
      </c>
      <c r="Q451">
        <v>0.21592115081006799</v>
      </c>
      <c r="R451">
        <v>0.96469227649942701</v>
      </c>
      <c r="S451" t="s">
        <v>4747</v>
      </c>
      <c r="T451" t="s">
        <v>8590</v>
      </c>
      <c r="U451" t="s">
        <v>8590</v>
      </c>
      <c r="V451" t="s">
        <v>8590</v>
      </c>
      <c r="W451">
        <v>1</v>
      </c>
      <c r="X451" t="s">
        <v>9041</v>
      </c>
      <c r="Y451">
        <v>0.73711625089440547</v>
      </c>
      <c r="Z451" t="str">
        <f>HYPERLINK("Melting_Curves/meltCurve_sp_P01764_HV303_HUMAN_.pdf", "Melting_Curves/meltCurve_sp_P01764_HV303_HUMAN_.pdf")</f>
        <v>Melting_Curves/meltCurve_sp_P01764_HV303_HUMAN_.pdf</v>
      </c>
      <c r="AB451" t="s">
        <v>17536</v>
      </c>
    </row>
    <row r="452" spans="1:28" x14ac:dyDescent="0.25">
      <c r="A452" t="s">
        <v>456</v>
      </c>
      <c r="B452">
        <v>0.99876560204751996</v>
      </c>
      <c r="C452">
        <v>0.98997419353767602</v>
      </c>
      <c r="D452">
        <v>0.90691653889259904</v>
      </c>
      <c r="E452">
        <v>0.96263594534391295</v>
      </c>
      <c r="F452">
        <v>0.93884116880923396</v>
      </c>
      <c r="G452">
        <v>0.790306205022554</v>
      </c>
      <c r="H452">
        <v>0.63405983875488003</v>
      </c>
      <c r="I452">
        <v>0.57060802465840199</v>
      </c>
      <c r="J452">
        <v>0.64482265152519302</v>
      </c>
      <c r="K452">
        <v>0.49597818133508298</v>
      </c>
      <c r="L452">
        <v>1023.54163335161</v>
      </c>
      <c r="M452">
        <v>17.7630005729192</v>
      </c>
      <c r="O452">
        <v>56.906687982737999</v>
      </c>
      <c r="P452">
        <v>-3.70686286221968E-2</v>
      </c>
      <c r="Q452">
        <v>0.52500294856438701</v>
      </c>
      <c r="R452">
        <v>0.94335998384867703</v>
      </c>
      <c r="S452" t="s">
        <v>4748</v>
      </c>
      <c r="T452" t="s">
        <v>8590</v>
      </c>
      <c r="U452" t="s">
        <v>8590</v>
      </c>
      <c r="V452" t="s">
        <v>8590</v>
      </c>
      <c r="W452">
        <v>1</v>
      </c>
      <c r="X452" t="s">
        <v>9042</v>
      </c>
      <c r="Y452">
        <v>0.81022369168632302</v>
      </c>
      <c r="Z452" t="str">
        <f>HYPERLINK("Melting_Curves/meltCurve_sp_P01766_HV305_HUMAN_.pdf", "Melting_Curves/meltCurve_sp_P01766_HV305_HUMAN_.pdf")</f>
        <v>Melting_Curves/meltCurve_sp_P01766_HV305_HUMAN_.pdf</v>
      </c>
      <c r="AB452" t="s">
        <v>17537</v>
      </c>
    </row>
    <row r="453" spans="1:28" x14ac:dyDescent="0.25">
      <c r="A453" t="s">
        <v>457</v>
      </c>
      <c r="B453">
        <v>0.99876560204751996</v>
      </c>
      <c r="C453">
        <v>0.81775369345285298</v>
      </c>
      <c r="D453">
        <v>0.87143967263760702</v>
      </c>
      <c r="E453">
        <v>0.65918435214267102</v>
      </c>
      <c r="F453">
        <v>0.51937233653807902</v>
      </c>
      <c r="G453">
        <v>0.46355831751444199</v>
      </c>
      <c r="H453">
        <v>0.15341243229122001</v>
      </c>
      <c r="I453">
        <v>0.219151478814641</v>
      </c>
      <c r="J453">
        <v>0.107892359814504</v>
      </c>
      <c r="K453">
        <v>0</v>
      </c>
      <c r="L453">
        <v>533.31422258148802</v>
      </c>
      <c r="M453">
        <v>9.9377471366600094</v>
      </c>
      <c r="N453">
        <v>53.665504923428003</v>
      </c>
      <c r="O453">
        <v>51.628096520236603</v>
      </c>
      <c r="P453">
        <v>-4.8145767017393398E-2</v>
      </c>
      <c r="Q453">
        <v>0</v>
      </c>
      <c r="R453">
        <v>0.96254294937441498</v>
      </c>
      <c r="S453" t="s">
        <v>4749</v>
      </c>
      <c r="T453" t="s">
        <v>8590</v>
      </c>
      <c r="U453" t="s">
        <v>8590</v>
      </c>
      <c r="V453" t="s">
        <v>8590</v>
      </c>
      <c r="W453">
        <v>2</v>
      </c>
      <c r="X453" t="s">
        <v>9043</v>
      </c>
      <c r="Y453">
        <v>0.48724751503771357</v>
      </c>
      <c r="Z453" t="str">
        <f>HYPERLINK("Melting_Curves/meltCurve_sp_P01834_IGKC_HUMAN_.pdf", "Melting_Curves/meltCurve_sp_P01834_IGKC_HUMAN_.pdf")</f>
        <v>Melting_Curves/meltCurve_sp_P01834_IGKC_HUMAN_.pdf</v>
      </c>
      <c r="AA453" t="s">
        <v>13327</v>
      </c>
      <c r="AB453" t="s">
        <v>17538</v>
      </c>
    </row>
    <row r="454" spans="1:28" x14ac:dyDescent="0.25">
      <c r="A454" t="s">
        <v>458</v>
      </c>
      <c r="B454">
        <v>0.99876560204751996</v>
      </c>
      <c r="C454">
        <v>0.99965936932127697</v>
      </c>
      <c r="D454">
        <v>0.96395886810495801</v>
      </c>
      <c r="E454">
        <v>0.99846093003535996</v>
      </c>
      <c r="F454">
        <v>0.87817079071803905</v>
      </c>
      <c r="G454">
        <v>0.748004632645076</v>
      </c>
      <c r="H454">
        <v>0.58387868742669402</v>
      </c>
      <c r="I454">
        <v>0.46269999727328198</v>
      </c>
      <c r="J454">
        <v>0.439564522891362</v>
      </c>
      <c r="K454">
        <v>0.27342925585864503</v>
      </c>
      <c r="L454">
        <v>728.10004335774499</v>
      </c>
      <c r="M454">
        <v>11.8379770275904</v>
      </c>
      <c r="N454">
        <v>63.339645418407102</v>
      </c>
      <c r="O454">
        <v>59.8290676979599</v>
      </c>
      <c r="P454">
        <v>-4.2298481706692898E-2</v>
      </c>
      <c r="Q454">
        <v>0.145112126190064</v>
      </c>
      <c r="R454">
        <v>0.98765185904472996</v>
      </c>
      <c r="S454" t="s">
        <v>4750</v>
      </c>
      <c r="T454" t="s">
        <v>8590</v>
      </c>
      <c r="U454" t="s">
        <v>8590</v>
      </c>
      <c r="V454" t="s">
        <v>8590</v>
      </c>
      <c r="W454">
        <v>8</v>
      </c>
      <c r="X454" t="s">
        <v>9044</v>
      </c>
      <c r="Y454">
        <v>0.75094377387946853</v>
      </c>
      <c r="Z454" t="str">
        <f>HYPERLINK("Melting_Curves/meltCurve_sp_P01857_IGHG1_HUMAN_.pdf", "Melting_Curves/meltCurve_sp_P01857_IGHG1_HUMAN_.pdf")</f>
        <v>Melting_Curves/meltCurve_sp_P01857_IGHG1_HUMAN_.pdf</v>
      </c>
      <c r="AA454" t="s">
        <v>13328</v>
      </c>
      <c r="AB454" t="s">
        <v>17539</v>
      </c>
    </row>
    <row r="455" spans="1:28" x14ac:dyDescent="0.25">
      <c r="A455" t="s">
        <v>459</v>
      </c>
      <c r="B455">
        <v>0.99876560204751996</v>
      </c>
      <c r="C455">
        <v>0.87044653682349005</v>
      </c>
      <c r="D455">
        <v>0.77217380956694903</v>
      </c>
      <c r="E455">
        <v>0.85437969976589201</v>
      </c>
      <c r="F455">
        <v>0.77124302668448397</v>
      </c>
      <c r="G455">
        <v>0.62741761600767898</v>
      </c>
      <c r="H455">
        <v>0.39505682701775402</v>
      </c>
      <c r="I455">
        <v>0.41006961346903098</v>
      </c>
      <c r="J455">
        <v>0.274911393078691</v>
      </c>
      <c r="K455">
        <v>0.13954958614795401</v>
      </c>
      <c r="L455">
        <v>479.390776841665</v>
      </c>
      <c r="M455">
        <v>8.0977639943520199</v>
      </c>
      <c r="N455">
        <v>59.200388791919998</v>
      </c>
      <c r="O455">
        <v>55.918062667512501</v>
      </c>
      <c r="P455">
        <v>-3.6242825628564498E-2</v>
      </c>
      <c r="Q455">
        <v>0</v>
      </c>
      <c r="R455">
        <v>0.93910258404546099</v>
      </c>
      <c r="S455" t="s">
        <v>4751</v>
      </c>
      <c r="T455" t="s">
        <v>8590</v>
      </c>
      <c r="U455" t="s">
        <v>8590</v>
      </c>
      <c r="V455" t="s">
        <v>8590</v>
      </c>
      <c r="W455">
        <v>5</v>
      </c>
      <c r="X455" t="s">
        <v>9045</v>
      </c>
      <c r="Y455">
        <v>0.63329215141353334</v>
      </c>
      <c r="Z455" t="str">
        <f>HYPERLINK("Melting_Curves/meltCurve_sp_P01859_IGHG2_HUMAN_.pdf", "Melting_Curves/meltCurve_sp_P01859_IGHG2_HUMAN_.pdf")</f>
        <v>Melting_Curves/meltCurve_sp_P01859_IGHG2_HUMAN_.pdf</v>
      </c>
      <c r="AA455" t="s">
        <v>13329</v>
      </c>
      <c r="AB455" t="s">
        <v>17540</v>
      </c>
    </row>
    <row r="456" spans="1:28" x14ac:dyDescent="0.25">
      <c r="A456" t="s">
        <v>460</v>
      </c>
      <c r="B456">
        <v>0.99876560204751996</v>
      </c>
      <c r="C456">
        <v>1.05002502803957</v>
      </c>
      <c r="D456">
        <v>0.982231081508808</v>
      </c>
      <c r="E456">
        <v>1.0508076035820699</v>
      </c>
      <c r="F456">
        <v>1.0108079348357299</v>
      </c>
      <c r="G456">
        <v>0.86885743317978004</v>
      </c>
      <c r="H456">
        <v>0.66863907747152695</v>
      </c>
      <c r="I456">
        <v>0.57130958174027202</v>
      </c>
      <c r="J456">
        <v>0.53336855884479895</v>
      </c>
      <c r="K456">
        <v>0.34815806540050798</v>
      </c>
      <c r="L456">
        <v>1066.5712311264599</v>
      </c>
      <c r="M456">
        <v>17.1805443882856</v>
      </c>
      <c r="N456">
        <v>65.791951849270404</v>
      </c>
      <c r="O456">
        <v>61.257443779296203</v>
      </c>
      <c r="P456">
        <v>-4.8360556939198197E-2</v>
      </c>
      <c r="Q456">
        <v>0.31032050157796198</v>
      </c>
      <c r="R456">
        <v>0.97028644405827502</v>
      </c>
      <c r="S456" t="s">
        <v>4752</v>
      </c>
      <c r="T456" t="s">
        <v>8590</v>
      </c>
      <c r="U456" t="s">
        <v>8590</v>
      </c>
      <c r="V456" t="s">
        <v>8590</v>
      </c>
      <c r="W456">
        <v>8</v>
      </c>
      <c r="X456" t="s">
        <v>9046</v>
      </c>
      <c r="Y456">
        <v>0.81808885403872034</v>
      </c>
      <c r="Z456" t="str">
        <f>HYPERLINK("Melting_Curves/meltCurve_sp_P01860_IGHG3_HUMAN_.pdf", "Melting_Curves/meltCurve_sp_P01860_IGHG3_HUMAN_.pdf")</f>
        <v>Melting_Curves/meltCurve_sp_P01860_IGHG3_HUMAN_.pdf</v>
      </c>
      <c r="AA456" t="s">
        <v>13330</v>
      </c>
      <c r="AB456" t="s">
        <v>17541</v>
      </c>
    </row>
    <row r="457" spans="1:28" x14ac:dyDescent="0.25">
      <c r="A457" t="s">
        <v>461</v>
      </c>
      <c r="B457">
        <v>0.99876560204751996</v>
      </c>
      <c r="C457">
        <v>1.0495297603699001</v>
      </c>
      <c r="D457">
        <v>1.0124544096516599</v>
      </c>
      <c r="E457">
        <v>1.0323044565636299</v>
      </c>
      <c r="F457">
        <v>0.88665385342879399</v>
      </c>
      <c r="G457">
        <v>0.72041608672808499</v>
      </c>
      <c r="H457">
        <v>0.49915861913749998</v>
      </c>
      <c r="I457">
        <v>0.35087382827193098</v>
      </c>
      <c r="J457">
        <v>0.37215256495170101</v>
      </c>
      <c r="K457">
        <v>0.220638557199274</v>
      </c>
      <c r="L457">
        <v>1073.9815818745999</v>
      </c>
      <c r="M457">
        <v>18.240145365593602</v>
      </c>
      <c r="N457">
        <v>60.901815227565201</v>
      </c>
      <c r="O457">
        <v>58.186065518624503</v>
      </c>
      <c r="P457">
        <v>-6.0574761468588E-2</v>
      </c>
      <c r="Q457">
        <v>0.22710221827388299</v>
      </c>
      <c r="R457">
        <v>0.98467294489236401</v>
      </c>
      <c r="S457" t="s">
        <v>4753</v>
      </c>
      <c r="T457" t="s">
        <v>8590</v>
      </c>
      <c r="U457" t="s">
        <v>8590</v>
      </c>
      <c r="V457" t="s">
        <v>8590</v>
      </c>
      <c r="W457">
        <v>6</v>
      </c>
      <c r="X457" t="s">
        <v>9047</v>
      </c>
      <c r="Y457">
        <v>0.72184034310896628</v>
      </c>
      <c r="Z457" t="str">
        <f>HYPERLINK("Melting_Curves/meltCurve_sp_P01871_IGHM_HUMAN_.pdf", "Melting_Curves/meltCurve_sp_P01871_IGHM_HUMAN_.pdf")</f>
        <v>Melting_Curves/meltCurve_sp_P01871_IGHM_HUMAN_.pdf</v>
      </c>
      <c r="AA457" t="s">
        <v>13331</v>
      </c>
      <c r="AB457" t="s">
        <v>17542</v>
      </c>
    </row>
    <row r="458" spans="1:28" x14ac:dyDescent="0.25">
      <c r="A458" t="s">
        <v>462</v>
      </c>
      <c r="B458">
        <v>0.99876560204751996</v>
      </c>
      <c r="C458">
        <v>1.0332815318940001</v>
      </c>
      <c r="D458">
        <v>0.97036085166700103</v>
      </c>
      <c r="E458">
        <v>1.0031084065446401</v>
      </c>
      <c r="F458">
        <v>0.93694311582357404</v>
      </c>
      <c r="G458">
        <v>0.818166652168279</v>
      </c>
      <c r="H458">
        <v>0.63235500357978003</v>
      </c>
      <c r="I458">
        <v>0.57351738363604798</v>
      </c>
      <c r="J458">
        <v>0.56818584356689905</v>
      </c>
      <c r="K458">
        <v>0.40401144951261603</v>
      </c>
      <c r="L458">
        <v>895.72547803624605</v>
      </c>
      <c r="M458">
        <v>14.845142318914901</v>
      </c>
      <c r="N458">
        <v>66.901730699188306</v>
      </c>
      <c r="O458">
        <v>59.274800010392603</v>
      </c>
      <c r="P458">
        <v>-3.8605882481849298E-2</v>
      </c>
      <c r="Q458">
        <v>0.38347101811552597</v>
      </c>
      <c r="R458">
        <v>0.97597715945016905</v>
      </c>
      <c r="S458" t="s">
        <v>4754</v>
      </c>
      <c r="T458" t="s">
        <v>8590</v>
      </c>
      <c r="U458" t="s">
        <v>8590</v>
      </c>
      <c r="V458" t="s">
        <v>8590</v>
      </c>
      <c r="W458">
        <v>11</v>
      </c>
      <c r="X458" t="s">
        <v>9048</v>
      </c>
      <c r="Y458">
        <v>0.80471336171809038</v>
      </c>
      <c r="Z458" t="str">
        <f>HYPERLINK("Melting_Curves/meltCurve_sp_P01876_IGHA1_HUMAN_.pdf", "Melting_Curves/meltCurve_sp_P01876_IGHA1_HUMAN_.pdf")</f>
        <v>Melting_Curves/meltCurve_sp_P01876_IGHA1_HUMAN_.pdf</v>
      </c>
      <c r="AA458" t="s">
        <v>13332</v>
      </c>
      <c r="AB458" t="s">
        <v>17543</v>
      </c>
    </row>
    <row r="459" spans="1:28" x14ac:dyDescent="0.25">
      <c r="A459" t="s">
        <v>463</v>
      </c>
      <c r="B459">
        <v>0.99876560204751996</v>
      </c>
      <c r="C459">
        <v>1.00803823612143</v>
      </c>
      <c r="D459">
        <v>0.93782411214462102</v>
      </c>
      <c r="E459">
        <v>0.98820675296366201</v>
      </c>
      <c r="F459">
        <v>0.90317962278549302</v>
      </c>
      <c r="G459">
        <v>0.68049445220523896</v>
      </c>
      <c r="H459">
        <v>0.56449326634496</v>
      </c>
      <c r="I459">
        <v>0.51917807524835302</v>
      </c>
      <c r="J459">
        <v>0.53066744754293005</v>
      </c>
      <c r="K459">
        <v>0.42466197144989698</v>
      </c>
      <c r="L459">
        <v>1204.43600874598</v>
      </c>
      <c r="M459">
        <v>21.3760831700125</v>
      </c>
      <c r="N459">
        <v>64.802521414453906</v>
      </c>
      <c r="O459">
        <v>55.858866150277002</v>
      </c>
      <c r="P459">
        <v>-5.0774881833166599E-2</v>
      </c>
      <c r="Q459">
        <v>0.469284195928797</v>
      </c>
      <c r="R459">
        <v>0.98072687626371002</v>
      </c>
      <c r="S459" t="s">
        <v>4755</v>
      </c>
      <c r="T459" t="s">
        <v>8590</v>
      </c>
      <c r="U459" t="s">
        <v>8590</v>
      </c>
      <c r="V459" t="s">
        <v>8590</v>
      </c>
      <c r="W459">
        <v>8</v>
      </c>
      <c r="X459" t="s">
        <v>9049</v>
      </c>
      <c r="Y459">
        <v>0.76458794020317478</v>
      </c>
      <c r="Z459" t="str">
        <f>HYPERLINK("Melting_Curves/meltCurve_sp_P01877_IGHA2_HUMAN_.pdf", "Melting_Curves/meltCurve_sp_P01877_IGHA2_HUMAN_.pdf")</f>
        <v>Melting_Curves/meltCurve_sp_P01877_IGHA2_HUMAN_.pdf</v>
      </c>
      <c r="AA459" t="s">
        <v>13333</v>
      </c>
      <c r="AB459" t="s">
        <v>17544</v>
      </c>
    </row>
    <row r="460" spans="1:28" x14ac:dyDescent="0.25">
      <c r="A460" t="s">
        <v>464</v>
      </c>
      <c r="B460">
        <v>0.99876560204751996</v>
      </c>
      <c r="C460">
        <v>1.26036641431664</v>
      </c>
      <c r="D460">
        <v>1.41635240011979</v>
      </c>
      <c r="E460">
        <v>1.1564229125366301</v>
      </c>
      <c r="F460">
        <v>1.0638612245424801</v>
      </c>
      <c r="G460">
        <v>0.76960736918308104</v>
      </c>
      <c r="H460">
        <v>0.46049734169954698</v>
      </c>
      <c r="I460">
        <v>0.21060487467734801</v>
      </c>
      <c r="J460">
        <v>0.122874061634136</v>
      </c>
      <c r="K460">
        <v>5.2976541980508003E-2</v>
      </c>
      <c r="L460">
        <v>1578.60269289147</v>
      </c>
      <c r="M460">
        <v>26.220957844789702</v>
      </c>
      <c r="N460">
        <v>60.426468911066301</v>
      </c>
      <c r="O460">
        <v>59.856977157094803</v>
      </c>
      <c r="P460">
        <v>-0.10447436649391501</v>
      </c>
      <c r="Q460">
        <v>4.6038232636944398E-2</v>
      </c>
      <c r="R460">
        <v>0.87785707417143499</v>
      </c>
      <c r="S460" t="s">
        <v>4756</v>
      </c>
      <c r="T460" t="s">
        <v>8590</v>
      </c>
      <c r="U460" t="s">
        <v>8590</v>
      </c>
      <c r="V460" t="s">
        <v>8590</v>
      </c>
      <c r="W460">
        <v>1</v>
      </c>
      <c r="X460" t="s">
        <v>9050</v>
      </c>
      <c r="Y460">
        <v>0.69510617748653014</v>
      </c>
      <c r="Z460" t="str">
        <f>HYPERLINK("Melting_Curves/meltCurve_sp_P02008_HBAZ_HUMAN_.pdf", "Melting_Curves/meltCurve_sp_P02008_HBAZ_HUMAN_.pdf")</f>
        <v>Melting_Curves/meltCurve_sp_P02008_HBAZ_HUMAN_.pdf</v>
      </c>
      <c r="AA460" t="s">
        <v>13334</v>
      </c>
      <c r="AB460" t="s">
        <v>17545</v>
      </c>
    </row>
    <row r="461" spans="1:28" x14ac:dyDescent="0.25">
      <c r="A461" t="s">
        <v>465</v>
      </c>
      <c r="B461">
        <v>0.99876560204751996</v>
      </c>
      <c r="C461">
        <v>0.98158724218539395</v>
      </c>
      <c r="D461">
        <v>0.92640849668805103</v>
      </c>
      <c r="E461">
        <v>0.957659447557759</v>
      </c>
      <c r="F461">
        <v>0.80155560184168595</v>
      </c>
      <c r="G461">
        <v>0.69853198301996</v>
      </c>
      <c r="H461">
        <v>0.225020440395927</v>
      </c>
      <c r="I461">
        <v>8.4274702863020703E-2</v>
      </c>
      <c r="J461">
        <v>5.08085926420885E-2</v>
      </c>
      <c r="K461">
        <v>8.0145493047774505E-2</v>
      </c>
      <c r="L461">
        <v>1303.4812786872201</v>
      </c>
      <c r="M461">
        <v>22.424531900146199</v>
      </c>
      <c r="N461">
        <v>58.179231263197302</v>
      </c>
      <c r="O461">
        <v>57.6711314246283</v>
      </c>
      <c r="P461">
        <v>-9.6250703283483993E-2</v>
      </c>
      <c r="Q461">
        <v>9.8750605740303508E-3</v>
      </c>
      <c r="R461">
        <v>0.982194356539694</v>
      </c>
      <c r="S461" t="s">
        <v>4757</v>
      </c>
      <c r="T461" t="s">
        <v>8590</v>
      </c>
      <c r="U461" t="s">
        <v>8590</v>
      </c>
      <c r="V461" t="s">
        <v>8590</v>
      </c>
      <c r="W461">
        <v>1</v>
      </c>
      <c r="X461" t="s">
        <v>9051</v>
      </c>
      <c r="Y461">
        <v>0.61798539723283819</v>
      </c>
      <c r="Z461" t="str">
        <f>HYPERLINK("Melting_Curves/meltCurve_sp_P02452_CO1A1_HUMAN_.pdf", "Melting_Curves/meltCurve_sp_P02452_CO1A1_HUMAN_.pdf")</f>
        <v>Melting_Curves/meltCurve_sp_P02452_CO1A1_HUMAN_.pdf</v>
      </c>
      <c r="AA461" t="s">
        <v>13335</v>
      </c>
      <c r="AB461" t="s">
        <v>17546</v>
      </c>
    </row>
    <row r="462" spans="1:28" x14ac:dyDescent="0.25">
      <c r="A462" t="s">
        <v>466</v>
      </c>
      <c r="B462">
        <v>0.99876560204751996</v>
      </c>
      <c r="C462">
        <v>0.73946159688254998</v>
      </c>
      <c r="D462">
        <v>1.04620529930154</v>
      </c>
      <c r="E462">
        <v>0.77427888784521703</v>
      </c>
      <c r="F462">
        <v>1.2887457190051199</v>
      </c>
      <c r="G462">
        <v>1.0088966338811101</v>
      </c>
      <c r="H462">
        <v>0.769043806600477</v>
      </c>
      <c r="I462">
        <v>0.58482014030685803</v>
      </c>
      <c r="J462">
        <v>0.93039405721979596</v>
      </c>
      <c r="K462">
        <v>0.44809212990458802</v>
      </c>
      <c r="L462">
        <v>801.81461114093997</v>
      </c>
      <c r="M462">
        <v>11.2871387848827</v>
      </c>
      <c r="O462">
        <v>68.917604261839003</v>
      </c>
      <c r="P462">
        <v>-4.09568319812392E-2</v>
      </c>
      <c r="Q462">
        <v>0</v>
      </c>
      <c r="R462">
        <v>0.36520389844366502</v>
      </c>
      <c r="S462" t="s">
        <v>4758</v>
      </c>
      <c r="T462" t="s">
        <v>8590</v>
      </c>
      <c r="U462" t="s">
        <v>8590</v>
      </c>
      <c r="V462" t="s">
        <v>8590</v>
      </c>
      <c r="W462">
        <v>2</v>
      </c>
      <c r="X462" t="s">
        <v>9052</v>
      </c>
      <c r="Y462">
        <v>0.89515751388746689</v>
      </c>
      <c r="Z462" t="str">
        <f>HYPERLINK("Melting_Curves/meltCurve_sp_P02462_CO4A1_HUMAN_.pdf", "Melting_Curves/meltCurve_sp_P02462_CO4A1_HUMAN_.pdf")</f>
        <v>Melting_Curves/meltCurve_sp_P02462_CO4A1_HUMAN_.pdf</v>
      </c>
      <c r="AA462" t="s">
        <v>13336</v>
      </c>
      <c r="AB462" t="s">
        <v>17547</v>
      </c>
    </row>
    <row r="463" spans="1:28" x14ac:dyDescent="0.25">
      <c r="A463" t="s">
        <v>467</v>
      </c>
      <c r="B463">
        <v>0.99876560204751996</v>
      </c>
      <c r="C463">
        <v>0.97902456229949097</v>
      </c>
      <c r="D463">
        <v>0.42795552034378198</v>
      </c>
      <c r="E463">
        <v>0.82390394322027405</v>
      </c>
      <c r="F463">
        <v>0.56528272375981403</v>
      </c>
      <c r="G463">
        <v>0.30457689748706801</v>
      </c>
      <c r="H463">
        <v>0.19574988214438499</v>
      </c>
      <c r="I463">
        <v>0.40559173130381199</v>
      </c>
      <c r="J463">
        <v>0.1414712496612</v>
      </c>
      <c r="K463">
        <v>0.93053732864310201</v>
      </c>
      <c r="L463">
        <v>700.81396694310502</v>
      </c>
      <c r="M463">
        <v>15.229191037571001</v>
      </c>
      <c r="N463">
        <v>52.333128341579901</v>
      </c>
      <c r="O463">
        <v>45.246215568236401</v>
      </c>
      <c r="P463">
        <v>-4.8774466328132302E-2</v>
      </c>
      <c r="Q463">
        <v>0.42041547642607202</v>
      </c>
      <c r="R463">
        <v>0.39893794880087402</v>
      </c>
      <c r="S463" t="s">
        <v>4759</v>
      </c>
      <c r="T463" t="s">
        <v>8590</v>
      </c>
      <c r="U463" t="s">
        <v>8590</v>
      </c>
      <c r="V463" t="s">
        <v>8590</v>
      </c>
      <c r="W463">
        <v>15</v>
      </c>
      <c r="X463" t="s">
        <v>9053</v>
      </c>
      <c r="Y463">
        <v>0.55304616563832631</v>
      </c>
      <c r="Z463" t="str">
        <f>HYPERLINK("Melting_Curves/meltCurve_sp_P02538_K2C6A_HUMAN_.pdf", "Melting_Curves/meltCurve_sp_P02538_K2C6A_HUMAN_.pdf")</f>
        <v>Melting_Curves/meltCurve_sp_P02538_K2C6A_HUMAN_.pdf</v>
      </c>
      <c r="AA463" t="s">
        <v>13337</v>
      </c>
      <c r="AB463" t="s">
        <v>17548</v>
      </c>
    </row>
    <row r="464" spans="1:28" x14ac:dyDescent="0.25">
      <c r="A464" t="s">
        <v>468</v>
      </c>
      <c r="B464">
        <v>0.99876560204751996</v>
      </c>
      <c r="C464">
        <v>0.97635292383192096</v>
      </c>
      <c r="D464">
        <v>1.00090405846388</v>
      </c>
      <c r="E464">
        <v>0.95532039150784298</v>
      </c>
      <c r="F464">
        <v>0.960339726747795</v>
      </c>
      <c r="G464">
        <v>0.76983609163199995</v>
      </c>
      <c r="H464">
        <v>0.49208549198203999</v>
      </c>
      <c r="I464">
        <v>0.40380689557257099</v>
      </c>
      <c r="J464">
        <v>0.44756023566022801</v>
      </c>
      <c r="K464">
        <v>0.43302382941644801</v>
      </c>
      <c r="L464">
        <v>2051.7655751043299</v>
      </c>
      <c r="M464">
        <v>35.627703290725101</v>
      </c>
      <c r="N464">
        <v>60.762029509066899</v>
      </c>
      <c r="O464">
        <v>57.408524294115097</v>
      </c>
      <c r="P464">
        <v>-8.9645775808551098E-2</v>
      </c>
      <c r="Q464">
        <v>0.422200833617697</v>
      </c>
      <c r="R464">
        <v>0.99327485289184603</v>
      </c>
      <c r="S464" t="s">
        <v>4760</v>
      </c>
      <c r="T464" t="s">
        <v>8590</v>
      </c>
      <c r="U464" t="s">
        <v>8590</v>
      </c>
      <c r="V464" t="s">
        <v>8590</v>
      </c>
      <c r="W464">
        <v>59</v>
      </c>
      <c r="X464" t="s">
        <v>9054</v>
      </c>
      <c r="Y464">
        <v>0.76378295766575222</v>
      </c>
      <c r="Z464" t="str">
        <f>HYPERLINK("Melting_Curves/meltCurve_sp_P02545_LMNA_HUMAN_.pdf", "Melting_Curves/meltCurve_sp_P02545_LMNA_HUMAN_.pdf")</f>
        <v>Melting_Curves/meltCurve_sp_P02545_LMNA_HUMAN_.pdf</v>
      </c>
      <c r="AA464" t="s">
        <v>13338</v>
      </c>
      <c r="AB464" t="s">
        <v>17549</v>
      </c>
    </row>
    <row r="465" spans="1:28" x14ac:dyDescent="0.25">
      <c r="A465" t="s">
        <v>469</v>
      </c>
      <c r="B465">
        <v>0.99876560204751996</v>
      </c>
      <c r="C465">
        <v>0.98794642491880402</v>
      </c>
      <c r="D465">
        <v>0.96541519313330404</v>
      </c>
      <c r="E465">
        <v>0.87114577597739895</v>
      </c>
      <c r="F465">
        <v>0.75313722576040099</v>
      </c>
      <c r="G465">
        <v>0.54348014796251698</v>
      </c>
      <c r="H465">
        <v>0.43761940761959101</v>
      </c>
      <c r="I465">
        <v>0.41408403207370398</v>
      </c>
      <c r="J465">
        <v>0.49110846098188299</v>
      </c>
      <c r="K465">
        <v>0.49088482877741801</v>
      </c>
      <c r="L465">
        <v>1217.4958896337901</v>
      </c>
      <c r="M465">
        <v>22.9423323099752</v>
      </c>
      <c r="N465">
        <v>58.977024098188302</v>
      </c>
      <c r="O465">
        <v>52.669406871815298</v>
      </c>
      <c r="P465">
        <v>-5.9915742300043498E-2</v>
      </c>
      <c r="Q465">
        <v>0.44980886600030001</v>
      </c>
      <c r="R465">
        <v>0.985140752799887</v>
      </c>
      <c r="S465" t="s">
        <v>4761</v>
      </c>
      <c r="T465" t="s">
        <v>8590</v>
      </c>
      <c r="U465" t="s">
        <v>8590</v>
      </c>
      <c r="V465" t="s">
        <v>8590</v>
      </c>
      <c r="W465">
        <v>29</v>
      </c>
      <c r="X465" t="s">
        <v>9055</v>
      </c>
      <c r="Y465">
        <v>0.69540490647801145</v>
      </c>
      <c r="Z465" t="str">
        <f>HYPERLINK("Melting_Curves/meltCurve_sp_P02647_APOA1_HUMAN_.pdf", "Melting_Curves/meltCurve_sp_P02647_APOA1_HUMAN_.pdf")</f>
        <v>Melting_Curves/meltCurve_sp_P02647_APOA1_HUMAN_.pdf</v>
      </c>
      <c r="AA465" t="s">
        <v>13339</v>
      </c>
      <c r="AB465" t="s">
        <v>17550</v>
      </c>
    </row>
    <row r="466" spans="1:28" x14ac:dyDescent="0.25">
      <c r="A466" t="s">
        <v>470</v>
      </c>
      <c r="B466">
        <v>0.99876560204751996</v>
      </c>
      <c r="C466">
        <v>1.0116649862025899</v>
      </c>
      <c r="D466">
        <v>0.97371850647010305</v>
      </c>
      <c r="E466">
        <v>0.80007890768165102</v>
      </c>
      <c r="F466">
        <v>0.67239477735817499</v>
      </c>
      <c r="G466">
        <v>0.41021442668566599</v>
      </c>
      <c r="H466">
        <v>0.26720737709752901</v>
      </c>
      <c r="I466">
        <v>0.20534476641987401</v>
      </c>
      <c r="J466">
        <v>0.22118000172348801</v>
      </c>
      <c r="K466">
        <v>0.19361067529918699</v>
      </c>
      <c r="L466">
        <v>929.57212592449196</v>
      </c>
      <c r="M466">
        <v>17.230741346319999</v>
      </c>
      <c r="N466">
        <v>55.329120547998997</v>
      </c>
      <c r="O466">
        <v>53.237548794734401</v>
      </c>
      <c r="P466">
        <v>-6.6779842068358505E-2</v>
      </c>
      <c r="Q466">
        <v>0.17473383134631701</v>
      </c>
      <c r="R466">
        <v>0.997354668807098</v>
      </c>
      <c r="S466" t="s">
        <v>4762</v>
      </c>
      <c r="T466" t="s">
        <v>8590</v>
      </c>
      <c r="U466" t="s">
        <v>8590</v>
      </c>
      <c r="V466" t="s">
        <v>8590</v>
      </c>
      <c r="W466">
        <v>11</v>
      </c>
      <c r="X466" t="s">
        <v>9056</v>
      </c>
      <c r="Y466">
        <v>0.57253588537292943</v>
      </c>
      <c r="Z466" t="str">
        <f>HYPERLINK("Melting_Curves/meltCurve_sp_P02649_APOE_HUMAN_.pdf", "Melting_Curves/meltCurve_sp_P02649_APOE_HUMAN_.pdf")</f>
        <v>Melting_Curves/meltCurve_sp_P02649_APOE_HUMAN_.pdf</v>
      </c>
      <c r="AA466" t="s">
        <v>13340</v>
      </c>
      <c r="AB466" t="s">
        <v>17551</v>
      </c>
    </row>
    <row r="467" spans="1:28" x14ac:dyDescent="0.25">
      <c r="A467" t="s">
        <v>471</v>
      </c>
      <c r="B467">
        <v>0.99876560204751996</v>
      </c>
      <c r="C467">
        <v>0.98695835210031602</v>
      </c>
      <c r="D467">
        <v>0.87905597786294098</v>
      </c>
      <c r="E467">
        <v>0.79197970804703599</v>
      </c>
      <c r="F467">
        <v>0.85316913055310495</v>
      </c>
      <c r="G467">
        <v>0.60259031257610396</v>
      </c>
      <c r="H467">
        <v>0.49190188319179001</v>
      </c>
      <c r="I467">
        <v>0.50531171913444695</v>
      </c>
      <c r="J467">
        <v>0.55201591285762397</v>
      </c>
      <c r="K467">
        <v>0.51945795198869504</v>
      </c>
      <c r="L467">
        <v>653.13587956667095</v>
      </c>
      <c r="M467">
        <v>12.2849412054645</v>
      </c>
      <c r="N467">
        <v>68.994473955875407</v>
      </c>
      <c r="O467">
        <v>51.815701176146298</v>
      </c>
      <c r="P467">
        <v>-3.1412296366911799E-2</v>
      </c>
      <c r="Q467">
        <v>0.47015066395934202</v>
      </c>
      <c r="R467">
        <v>0.93104040199035898</v>
      </c>
      <c r="S467" t="s">
        <v>4763</v>
      </c>
      <c r="T467" t="s">
        <v>8590</v>
      </c>
      <c r="U467" t="s">
        <v>8590</v>
      </c>
      <c r="V467" t="s">
        <v>8590</v>
      </c>
      <c r="W467">
        <v>2</v>
      </c>
      <c r="X467" t="s">
        <v>9057</v>
      </c>
      <c r="Y467">
        <v>0.71718459576994742</v>
      </c>
      <c r="Z467" t="str">
        <f>HYPERLINK("Melting_Curves/meltCurve_sp_P02652_APOA2_HUMAN_.pdf", "Melting_Curves/meltCurve_sp_P02652_APOA2_HUMAN_.pdf")</f>
        <v>Melting_Curves/meltCurve_sp_P02652_APOA2_HUMAN_.pdf</v>
      </c>
      <c r="AA467" t="s">
        <v>13341</v>
      </c>
      <c r="AB467" t="s">
        <v>17552</v>
      </c>
    </row>
    <row r="468" spans="1:28" x14ac:dyDescent="0.25">
      <c r="A468" t="s">
        <v>472</v>
      </c>
      <c r="B468">
        <v>0.99876560204751996</v>
      </c>
      <c r="C468">
        <v>0.93807267291327401</v>
      </c>
      <c r="D468">
        <v>0.68587060213677997</v>
      </c>
      <c r="E468">
        <v>0.59173984536289104</v>
      </c>
      <c r="F468">
        <v>0.36736282827406602</v>
      </c>
      <c r="G468">
        <v>0.182464310556889</v>
      </c>
      <c r="H468">
        <v>0.13194049547414</v>
      </c>
      <c r="I468">
        <v>0.123936501510278</v>
      </c>
      <c r="J468">
        <v>0.15561305399609399</v>
      </c>
      <c r="K468">
        <v>8.5626523665500998E-2</v>
      </c>
      <c r="L468">
        <v>667.00949520732104</v>
      </c>
      <c r="M468">
        <v>13.396840682540599</v>
      </c>
      <c r="N468">
        <v>50.443592377273802</v>
      </c>
      <c r="O468">
        <v>48.718450323707799</v>
      </c>
      <c r="P468">
        <v>-6.3267778763367297E-2</v>
      </c>
      <c r="Q468">
        <v>7.98356189584533E-2</v>
      </c>
      <c r="R468">
        <v>0.98381343982981695</v>
      </c>
      <c r="S468" t="s">
        <v>4764</v>
      </c>
      <c r="T468" t="s">
        <v>8590</v>
      </c>
      <c r="U468" t="s">
        <v>8590</v>
      </c>
      <c r="V468" t="s">
        <v>8590</v>
      </c>
      <c r="W468">
        <v>3</v>
      </c>
      <c r="X468" t="s">
        <v>9058</v>
      </c>
      <c r="Y468">
        <v>0.40698895749079639</v>
      </c>
      <c r="Z468" t="str">
        <f>HYPERLINK("Melting_Curves/meltCurve_sp_P02656_APOC3_HUMAN_.pdf", "Melting_Curves/meltCurve_sp_P02656_APOC3_HUMAN_.pdf")</f>
        <v>Melting_Curves/meltCurve_sp_P02656_APOC3_HUMAN_.pdf</v>
      </c>
      <c r="AA468" t="s">
        <v>13342</v>
      </c>
      <c r="AB468" t="s">
        <v>17553</v>
      </c>
    </row>
    <row r="469" spans="1:28" x14ac:dyDescent="0.25">
      <c r="A469" t="s">
        <v>473</v>
      </c>
      <c r="B469">
        <v>0.99876560204751996</v>
      </c>
      <c r="C469">
        <v>1.0368375487850501</v>
      </c>
      <c r="D469">
        <v>0.99517141994296399</v>
      </c>
      <c r="E469">
        <v>0.74753445968187204</v>
      </c>
      <c r="F469">
        <v>0.29473632132646499</v>
      </c>
      <c r="G469">
        <v>0.188548475601722</v>
      </c>
      <c r="H469">
        <v>0.13868901860376601</v>
      </c>
      <c r="I469">
        <v>0.121245913326557</v>
      </c>
      <c r="J469">
        <v>0.134682094185271</v>
      </c>
      <c r="K469">
        <v>0.128872185156784</v>
      </c>
      <c r="L469">
        <v>2053.5231816788501</v>
      </c>
      <c r="M469">
        <v>40.200663435005303</v>
      </c>
      <c r="N469">
        <v>51.496976154471497</v>
      </c>
      <c r="O469">
        <v>50.955909473169797</v>
      </c>
      <c r="P469">
        <v>-0.16993411968104499</v>
      </c>
      <c r="Q469">
        <v>0.138409240717455</v>
      </c>
      <c r="R469">
        <v>0.99786665735605795</v>
      </c>
      <c r="S469" t="s">
        <v>4765</v>
      </c>
      <c r="T469" t="s">
        <v>8590</v>
      </c>
      <c r="U469" t="s">
        <v>8590</v>
      </c>
      <c r="V469" t="s">
        <v>8590</v>
      </c>
      <c r="W469">
        <v>28</v>
      </c>
      <c r="X469" t="s">
        <v>9059</v>
      </c>
      <c r="Y469">
        <v>0.45968720858739348</v>
      </c>
      <c r="Z469" t="str">
        <f>HYPERLINK("Melting_Curves/meltCurve_sp_P02671_2_FIBA_HUMAN_.pdf", "Melting_Curves/meltCurve_sp_P02671_2_FIBA_HUMAN_.pdf")</f>
        <v>Melting_Curves/meltCurve_sp_P02671_2_FIBA_HUMAN_.pdf</v>
      </c>
      <c r="AA469" t="s">
        <v>13343</v>
      </c>
      <c r="AB469" t="s">
        <v>17554</v>
      </c>
    </row>
    <row r="470" spans="1:28" x14ac:dyDescent="0.25">
      <c r="A470" t="s">
        <v>474</v>
      </c>
      <c r="B470">
        <v>0.99876560204751996</v>
      </c>
      <c r="C470">
        <v>1.04416211744465</v>
      </c>
      <c r="D470">
        <v>0.94387157692255796</v>
      </c>
      <c r="E470">
        <v>0.76289005724012904</v>
      </c>
      <c r="F470">
        <v>0.210768348431944</v>
      </c>
      <c r="G470">
        <v>0.12086140430322399</v>
      </c>
      <c r="H470">
        <v>7.8259188358616505E-2</v>
      </c>
      <c r="I470">
        <v>6.24069888279917E-2</v>
      </c>
      <c r="J470">
        <v>6.2548400378786798E-2</v>
      </c>
      <c r="K470">
        <v>5.3489831362785602E-2</v>
      </c>
      <c r="L470">
        <v>2396.0701633615599</v>
      </c>
      <c r="M470">
        <v>46.883676511698702</v>
      </c>
      <c r="N470">
        <v>51.278648707007903</v>
      </c>
      <c r="O470">
        <v>51.013982311493102</v>
      </c>
      <c r="P470">
        <v>-0.21304842000687299</v>
      </c>
      <c r="Q470">
        <v>7.2731731778101105E-2</v>
      </c>
      <c r="R470">
        <v>0.99603934292016105</v>
      </c>
      <c r="S470" t="s">
        <v>4766</v>
      </c>
      <c r="T470" t="s">
        <v>8590</v>
      </c>
      <c r="U470" t="s">
        <v>8590</v>
      </c>
      <c r="V470" t="s">
        <v>8590</v>
      </c>
      <c r="W470">
        <v>30</v>
      </c>
      <c r="X470" t="s">
        <v>9060</v>
      </c>
      <c r="Y470">
        <v>0.41840737396679822</v>
      </c>
      <c r="Z470" t="str">
        <f>HYPERLINK("Melting_Curves/meltCurve_sp_P02675_FIBB_HUMAN_.pdf", "Melting_Curves/meltCurve_sp_P02675_FIBB_HUMAN_.pdf")</f>
        <v>Melting_Curves/meltCurve_sp_P02675_FIBB_HUMAN_.pdf</v>
      </c>
      <c r="AA470" t="s">
        <v>13344</v>
      </c>
      <c r="AB470" t="s">
        <v>17555</v>
      </c>
    </row>
    <row r="471" spans="1:28" x14ac:dyDescent="0.25">
      <c r="A471" t="s">
        <v>475</v>
      </c>
      <c r="B471">
        <v>0.99876560204751996</v>
      </c>
      <c r="C471">
        <v>1.10992917615561</v>
      </c>
      <c r="D471">
        <v>1.04538745921766</v>
      </c>
      <c r="E471">
        <v>0.77325533251705103</v>
      </c>
      <c r="F471">
        <v>0.21725268795285799</v>
      </c>
      <c r="G471">
        <v>0.111260034776131</v>
      </c>
      <c r="H471">
        <v>6.2589545710040204E-2</v>
      </c>
      <c r="I471">
        <v>4.7082893172985599E-2</v>
      </c>
      <c r="J471">
        <v>4.5713557051637002E-2</v>
      </c>
      <c r="K471">
        <v>3.6109203295435398E-2</v>
      </c>
      <c r="L471">
        <v>2408.2875442821201</v>
      </c>
      <c r="M471">
        <v>47.010848048150201</v>
      </c>
      <c r="N471">
        <v>51.363685921934497</v>
      </c>
      <c r="O471">
        <v>51.135896634694902</v>
      </c>
      <c r="P471">
        <v>-0.216443977050428</v>
      </c>
      <c r="Q471">
        <v>5.8256131498359703E-2</v>
      </c>
      <c r="R471">
        <v>0.99133923612476704</v>
      </c>
      <c r="S471" t="s">
        <v>4767</v>
      </c>
      <c r="T471" t="s">
        <v>8590</v>
      </c>
      <c r="U471" t="s">
        <v>8590</v>
      </c>
      <c r="V471" t="s">
        <v>8590</v>
      </c>
      <c r="W471">
        <v>17</v>
      </c>
      <c r="X471" t="s">
        <v>9061</v>
      </c>
      <c r="Y471">
        <v>0.41313891777038569</v>
      </c>
      <c r="Z471" t="str">
        <f>HYPERLINK("Melting_Curves/meltCurve_sp_P02679_2_FIBG_HUMAN_.pdf", "Melting_Curves/meltCurve_sp_P02679_2_FIBG_HUMAN_.pdf")</f>
        <v>Melting_Curves/meltCurve_sp_P02679_2_FIBG_HUMAN_.pdf</v>
      </c>
      <c r="AA471" t="s">
        <v>13345</v>
      </c>
      <c r="AB471" t="s">
        <v>17556</v>
      </c>
    </row>
    <row r="472" spans="1:28" x14ac:dyDescent="0.25">
      <c r="A472" t="s">
        <v>476</v>
      </c>
      <c r="B472">
        <v>0.99876560204751996</v>
      </c>
      <c r="C472">
        <v>0.98744603338525305</v>
      </c>
      <c r="D472">
        <v>0.89534818571823405</v>
      </c>
      <c r="E472">
        <v>0.98822081042143395</v>
      </c>
      <c r="F472">
        <v>0.82181405874302604</v>
      </c>
      <c r="G472">
        <v>0.59288518812380198</v>
      </c>
      <c r="H472">
        <v>0.49658891621120199</v>
      </c>
      <c r="I472">
        <v>0.392586566068506</v>
      </c>
      <c r="J472">
        <v>0.24813328424804601</v>
      </c>
      <c r="K472">
        <v>0.160255758677878</v>
      </c>
      <c r="L472">
        <v>656.08400612871503</v>
      </c>
      <c r="M472">
        <v>10.8588126937764</v>
      </c>
      <c r="N472">
        <v>60.419497491652201</v>
      </c>
      <c r="O472">
        <v>58.478706386884603</v>
      </c>
      <c r="P472">
        <v>-4.64385403997815E-2</v>
      </c>
      <c r="Q472">
        <v>0</v>
      </c>
      <c r="R472">
        <v>0.97968026736903502</v>
      </c>
      <c r="S472" t="s">
        <v>4768</v>
      </c>
      <c r="T472" t="s">
        <v>8590</v>
      </c>
      <c r="U472" t="s">
        <v>8590</v>
      </c>
      <c r="V472" t="s">
        <v>8590</v>
      </c>
      <c r="W472">
        <v>7</v>
      </c>
      <c r="X472" t="s">
        <v>9062</v>
      </c>
      <c r="Y472">
        <v>0.67686927222420457</v>
      </c>
      <c r="Z472" t="str">
        <f>HYPERLINK("Melting_Curves/meltCurve_sp_P02743_SAMP_HUMAN_.pdf", "Melting_Curves/meltCurve_sp_P02743_SAMP_HUMAN_.pdf")</f>
        <v>Melting_Curves/meltCurve_sp_P02743_SAMP_HUMAN_.pdf</v>
      </c>
      <c r="AA472" t="s">
        <v>13346</v>
      </c>
      <c r="AB472" t="s">
        <v>17557</v>
      </c>
    </row>
    <row r="473" spans="1:28" x14ac:dyDescent="0.25">
      <c r="A473" t="s">
        <v>477</v>
      </c>
      <c r="B473">
        <v>0.99876560204751996</v>
      </c>
      <c r="C473">
        <v>0.991119762268312</v>
      </c>
      <c r="D473">
        <v>0.97323219096629598</v>
      </c>
      <c r="E473">
        <v>0.89729754021358099</v>
      </c>
      <c r="F473">
        <v>0.50761263120349798</v>
      </c>
      <c r="G473">
        <v>0.22466952650618099</v>
      </c>
      <c r="H473">
        <v>0.15353612035604899</v>
      </c>
      <c r="I473">
        <v>0.109500089797709</v>
      </c>
      <c r="J473">
        <v>0.116346508842775</v>
      </c>
      <c r="K473">
        <v>9.4216764824666593E-2</v>
      </c>
      <c r="L473">
        <v>1651.6486830418301</v>
      </c>
      <c r="M473">
        <v>31.288184411046601</v>
      </c>
      <c r="N473">
        <v>53.245746461928398</v>
      </c>
      <c r="O473">
        <v>52.5740427379626</v>
      </c>
      <c r="P473">
        <v>-0.131245685218705</v>
      </c>
      <c r="Q473">
        <v>0.11786824523395401</v>
      </c>
      <c r="R473">
        <v>0.99753910628562004</v>
      </c>
      <c r="S473" t="s">
        <v>4769</v>
      </c>
      <c r="T473" t="s">
        <v>8590</v>
      </c>
      <c r="U473" t="s">
        <v>8590</v>
      </c>
      <c r="V473" t="s">
        <v>8590</v>
      </c>
      <c r="W473">
        <v>14</v>
      </c>
      <c r="X473" t="s">
        <v>9063</v>
      </c>
      <c r="Y473">
        <v>0.49914918701970229</v>
      </c>
      <c r="Z473" t="str">
        <f>HYPERLINK("Melting_Curves/meltCurve_sp_P02748_CO9_HUMAN_.pdf", "Melting_Curves/meltCurve_sp_P02748_CO9_HUMAN_.pdf")</f>
        <v>Melting_Curves/meltCurve_sp_P02748_CO9_HUMAN_.pdf</v>
      </c>
      <c r="AA473" t="s">
        <v>13347</v>
      </c>
      <c r="AB473" t="s">
        <v>17558</v>
      </c>
    </row>
    <row r="474" spans="1:28" x14ac:dyDescent="0.25">
      <c r="A474" t="s">
        <v>478</v>
      </c>
      <c r="B474">
        <v>0.99876560204751996</v>
      </c>
      <c r="C474">
        <v>0.96636959299619596</v>
      </c>
      <c r="D474">
        <v>0.85352933592290603</v>
      </c>
      <c r="E474">
        <v>0.82448205846720202</v>
      </c>
      <c r="F474">
        <v>0.841531862582651</v>
      </c>
      <c r="G474">
        <v>0.58435778644214598</v>
      </c>
      <c r="H474">
        <v>0.49090911520697</v>
      </c>
      <c r="I474">
        <v>0.44398444182682201</v>
      </c>
      <c r="J474">
        <v>0.51028552247066605</v>
      </c>
      <c r="K474">
        <v>0.513808256659814</v>
      </c>
      <c r="L474">
        <v>654.76575514962599</v>
      </c>
      <c r="M474">
        <v>12.218533625231601</v>
      </c>
      <c r="N474">
        <v>64.2188475533804</v>
      </c>
      <c r="O474">
        <v>52.213121840748997</v>
      </c>
      <c r="P474">
        <v>-3.3129020629003601E-2</v>
      </c>
      <c r="Q474">
        <v>0.43384994920667402</v>
      </c>
      <c r="R474">
        <v>0.93242039306343205</v>
      </c>
      <c r="S474" t="s">
        <v>4770</v>
      </c>
      <c r="T474" t="s">
        <v>8590</v>
      </c>
      <c r="U474" t="s">
        <v>8590</v>
      </c>
      <c r="V474" t="s">
        <v>8590</v>
      </c>
      <c r="W474">
        <v>5</v>
      </c>
      <c r="X474" t="s">
        <v>9064</v>
      </c>
      <c r="Y474">
        <v>0.70535089596915346</v>
      </c>
      <c r="Z474" t="str">
        <f>HYPERLINK("Melting_Curves/meltCurve_sp_P02749_APOH_HUMAN_.pdf", "Melting_Curves/meltCurve_sp_P02749_APOH_HUMAN_.pdf")</f>
        <v>Melting_Curves/meltCurve_sp_P02749_APOH_HUMAN_.pdf</v>
      </c>
      <c r="AA474" t="s">
        <v>13348</v>
      </c>
      <c r="AB474" t="s">
        <v>17559</v>
      </c>
    </row>
    <row r="475" spans="1:28" x14ac:dyDescent="0.25">
      <c r="A475" t="s">
        <v>479</v>
      </c>
      <c r="B475">
        <v>0.99876560204751996</v>
      </c>
      <c r="C475">
        <v>1.0644620868183501</v>
      </c>
      <c r="D475">
        <v>0.95338386646236095</v>
      </c>
      <c r="E475">
        <v>0.82252925524123899</v>
      </c>
      <c r="F475">
        <v>0.802246724886575</v>
      </c>
      <c r="G475">
        <v>0.61263000545253699</v>
      </c>
      <c r="H475">
        <v>0.47338654915337097</v>
      </c>
      <c r="I475">
        <v>0.36287991903273498</v>
      </c>
      <c r="J475">
        <v>0.43591625999471301</v>
      </c>
      <c r="K475">
        <v>0.319185959186986</v>
      </c>
      <c r="L475">
        <v>723.80254570758598</v>
      </c>
      <c r="M475">
        <v>12.9375403533094</v>
      </c>
      <c r="N475">
        <v>60.101336607966303</v>
      </c>
      <c r="O475">
        <v>54.6598671644023</v>
      </c>
      <c r="P475">
        <v>-4.16891674447998E-2</v>
      </c>
      <c r="Q475">
        <v>0.29559598231226197</v>
      </c>
      <c r="R475">
        <v>0.97507277291307404</v>
      </c>
      <c r="S475" t="s">
        <v>4771</v>
      </c>
      <c r="T475" t="s">
        <v>8590</v>
      </c>
      <c r="U475" t="s">
        <v>8590</v>
      </c>
      <c r="V475" t="s">
        <v>8590</v>
      </c>
      <c r="W475">
        <v>3</v>
      </c>
      <c r="X475" t="s">
        <v>9065</v>
      </c>
      <c r="Y475">
        <v>0.68397145378919511</v>
      </c>
      <c r="Z475" t="str">
        <f>HYPERLINK("Melting_Curves/meltCurve_sp_P02750_A2GL_HUMAN_.pdf", "Melting_Curves/meltCurve_sp_P02750_A2GL_HUMAN_.pdf")</f>
        <v>Melting_Curves/meltCurve_sp_P02750_A2GL_HUMAN_.pdf</v>
      </c>
      <c r="AA475" t="s">
        <v>13349</v>
      </c>
      <c r="AB475" t="s">
        <v>17560</v>
      </c>
    </row>
    <row r="476" spans="1:28" x14ac:dyDescent="0.25">
      <c r="A476" t="s">
        <v>480</v>
      </c>
      <c r="B476">
        <v>0.99876560204751996</v>
      </c>
      <c r="C476">
        <v>0.95447479847251304</v>
      </c>
      <c r="D476">
        <v>0.87390160069298495</v>
      </c>
      <c r="E476">
        <v>0.83434060524290299</v>
      </c>
      <c r="F476">
        <v>0.69817812858642603</v>
      </c>
      <c r="G476">
        <v>0.58475895386838095</v>
      </c>
      <c r="H476">
        <v>0.47675988207786002</v>
      </c>
      <c r="I476">
        <v>0.39796427891792202</v>
      </c>
      <c r="J476">
        <v>0.43916156802704298</v>
      </c>
      <c r="K476">
        <v>0.33849011031971399</v>
      </c>
      <c r="L476">
        <v>529.12711699812405</v>
      </c>
      <c r="M476">
        <v>9.5977090440467503</v>
      </c>
      <c r="N476">
        <v>60.173640003090597</v>
      </c>
      <c r="O476">
        <v>52.896607604630503</v>
      </c>
      <c r="P476">
        <v>-3.2845530220053598E-2</v>
      </c>
      <c r="Q476">
        <v>0.276315296583168</v>
      </c>
      <c r="R476">
        <v>0.98816352074207303</v>
      </c>
      <c r="S476" t="s">
        <v>4772</v>
      </c>
      <c r="T476" t="s">
        <v>8590</v>
      </c>
      <c r="U476" t="s">
        <v>8590</v>
      </c>
      <c r="V476" t="s">
        <v>8590</v>
      </c>
      <c r="W476">
        <v>11</v>
      </c>
      <c r="X476" t="s">
        <v>9066</v>
      </c>
      <c r="Y476">
        <v>0.65983366263112098</v>
      </c>
      <c r="Z476" t="str">
        <f>HYPERLINK("Melting_Curves/meltCurve_sp_P02751_10_FINC_HUMAN_.pdf", "Melting_Curves/meltCurve_sp_P02751_10_FINC_HUMAN_.pdf")</f>
        <v>Melting_Curves/meltCurve_sp_P02751_10_FINC_HUMAN_.pdf</v>
      </c>
      <c r="AA476" t="s">
        <v>13350</v>
      </c>
      <c r="AB476" t="s">
        <v>17561</v>
      </c>
    </row>
    <row r="477" spans="1:28" x14ac:dyDescent="0.25">
      <c r="A477" t="s">
        <v>481</v>
      </c>
      <c r="B477">
        <v>0.99876560204751996</v>
      </c>
      <c r="C477">
        <v>0.823793663384075</v>
      </c>
      <c r="D477">
        <v>0.90367215176654403</v>
      </c>
      <c r="E477">
        <v>0.86725621114763896</v>
      </c>
      <c r="F477">
        <v>0.89741997155407105</v>
      </c>
      <c r="G477">
        <v>0.67529417443527295</v>
      </c>
      <c r="H477">
        <v>0.51288520239266799</v>
      </c>
      <c r="I477">
        <v>0.48940581372981401</v>
      </c>
      <c r="J477">
        <v>0.55942414094748905</v>
      </c>
      <c r="K477">
        <v>0.55318562141090599</v>
      </c>
      <c r="L477">
        <v>532.681511528442</v>
      </c>
      <c r="M477">
        <v>9.5884119734628595</v>
      </c>
      <c r="N477">
        <v>69.898718636347297</v>
      </c>
      <c r="O477">
        <v>53.299479820261297</v>
      </c>
      <c r="P477">
        <v>-2.56451101737411E-2</v>
      </c>
      <c r="Q477">
        <v>0.43010750570388101</v>
      </c>
      <c r="R477">
        <v>0.84058359433228003</v>
      </c>
      <c r="S477" t="s">
        <v>4773</v>
      </c>
      <c r="T477" t="s">
        <v>8590</v>
      </c>
      <c r="U477" t="s">
        <v>8590</v>
      </c>
      <c r="V477" t="s">
        <v>8590</v>
      </c>
      <c r="W477">
        <v>10</v>
      </c>
      <c r="X477" t="s">
        <v>9067</v>
      </c>
      <c r="Y477">
        <v>0.7389414177681396</v>
      </c>
      <c r="Z477" t="str">
        <f>HYPERLINK("Melting_Curves/meltCurve_sp_P02760_AMBP_HUMAN_.pdf", "Melting_Curves/meltCurve_sp_P02760_AMBP_HUMAN_.pdf")</f>
        <v>Melting_Curves/meltCurve_sp_P02760_AMBP_HUMAN_.pdf</v>
      </c>
      <c r="AA477" t="s">
        <v>13351</v>
      </c>
      <c r="AB477" t="s">
        <v>17562</v>
      </c>
    </row>
    <row r="478" spans="1:28" x14ac:dyDescent="0.25">
      <c r="A478" t="s">
        <v>482</v>
      </c>
      <c r="B478">
        <v>0.99876560204751996</v>
      </c>
      <c r="C478">
        <v>0.91166223110094802</v>
      </c>
      <c r="D478">
        <v>0.94520760888528299</v>
      </c>
      <c r="E478">
        <v>0.86195956246419003</v>
      </c>
      <c r="F478">
        <v>0.81547410925011399</v>
      </c>
      <c r="G478">
        <v>0.66468453535929795</v>
      </c>
      <c r="H478">
        <v>0.641602394897683</v>
      </c>
      <c r="I478">
        <v>0.58189738167247396</v>
      </c>
      <c r="J478">
        <v>0.65635256913352602</v>
      </c>
      <c r="K478">
        <v>0.65676396233856704</v>
      </c>
      <c r="L478">
        <v>724.49267233759599</v>
      </c>
      <c r="M478">
        <v>13.962238244695801</v>
      </c>
      <c r="O478">
        <v>50.859766165367397</v>
      </c>
      <c r="P478">
        <v>-2.6762675060999701E-2</v>
      </c>
      <c r="Q478">
        <v>0.610102228317699</v>
      </c>
      <c r="R478">
        <v>0.937709508953671</v>
      </c>
      <c r="S478" t="s">
        <v>4774</v>
      </c>
      <c r="T478" t="s">
        <v>8590</v>
      </c>
      <c r="U478" t="s">
        <v>8590</v>
      </c>
      <c r="V478" t="s">
        <v>8590</v>
      </c>
      <c r="W478">
        <v>10</v>
      </c>
      <c r="X478" t="s">
        <v>9068</v>
      </c>
      <c r="Y478">
        <v>0.77437146714644145</v>
      </c>
      <c r="Z478" t="str">
        <f>HYPERLINK("Melting_Curves/meltCurve_sp_P02763_A1AG1_HUMAN_.pdf", "Melting_Curves/meltCurve_sp_P02763_A1AG1_HUMAN_.pdf")</f>
        <v>Melting_Curves/meltCurve_sp_P02763_A1AG1_HUMAN_.pdf</v>
      </c>
      <c r="AA478" t="s">
        <v>13352</v>
      </c>
      <c r="AB478" t="s">
        <v>17563</v>
      </c>
    </row>
    <row r="479" spans="1:28" x14ac:dyDescent="0.25">
      <c r="A479" t="s">
        <v>483</v>
      </c>
      <c r="B479">
        <v>0.99876560204751996</v>
      </c>
      <c r="C479">
        <v>1.01922071492146</v>
      </c>
      <c r="D479">
        <v>1.04242255115782</v>
      </c>
      <c r="E479">
        <v>0.997246244630697</v>
      </c>
      <c r="F479">
        <v>1.0995671406599801</v>
      </c>
      <c r="G479">
        <v>0.86582441382819197</v>
      </c>
      <c r="H479">
        <v>0.74390827008762395</v>
      </c>
      <c r="I479">
        <v>0.78372023895935705</v>
      </c>
      <c r="J479">
        <v>0.87783041197824296</v>
      </c>
      <c r="K479">
        <v>0.82723411339802499</v>
      </c>
      <c r="L479">
        <v>14201.849874809001</v>
      </c>
      <c r="M479">
        <v>250</v>
      </c>
      <c r="O479">
        <v>56.803756100637798</v>
      </c>
      <c r="P479">
        <v>-0.21106297328732901</v>
      </c>
      <c r="Q479">
        <v>0.80817325829995301</v>
      </c>
      <c r="R479">
        <v>0.83285889091244603</v>
      </c>
      <c r="S479" t="s">
        <v>4775</v>
      </c>
      <c r="T479" t="s">
        <v>8590</v>
      </c>
      <c r="U479" t="s">
        <v>8590</v>
      </c>
      <c r="V479" t="s">
        <v>8590</v>
      </c>
      <c r="W479">
        <v>9</v>
      </c>
      <c r="X479" t="s">
        <v>9069</v>
      </c>
      <c r="Y479">
        <v>0.91566267209134178</v>
      </c>
      <c r="Z479" t="str">
        <f>HYPERLINK("Melting_Curves/meltCurve_sp_P02765_FETUA_HUMAN_.pdf", "Melting_Curves/meltCurve_sp_P02765_FETUA_HUMAN_.pdf")</f>
        <v>Melting_Curves/meltCurve_sp_P02765_FETUA_HUMAN_.pdf</v>
      </c>
      <c r="AA479" t="s">
        <v>13353</v>
      </c>
      <c r="AB479" t="s">
        <v>17564</v>
      </c>
    </row>
    <row r="480" spans="1:28" x14ac:dyDescent="0.25">
      <c r="A480" t="s">
        <v>484</v>
      </c>
      <c r="B480">
        <v>0.99876560204751996</v>
      </c>
      <c r="C480">
        <v>1.00122129541875</v>
      </c>
      <c r="D480">
        <v>1.0308890653642</v>
      </c>
      <c r="E480">
        <v>0.924467593328829</v>
      </c>
      <c r="F480">
        <v>0.76382997317991097</v>
      </c>
      <c r="G480">
        <v>0.580057961200939</v>
      </c>
      <c r="H480">
        <v>0.469744915739919</v>
      </c>
      <c r="I480">
        <v>0.39523322241689302</v>
      </c>
      <c r="J480">
        <v>0.47941081974008598</v>
      </c>
      <c r="K480">
        <v>0.46607779770774899</v>
      </c>
      <c r="L480">
        <v>1313.5614873966399</v>
      </c>
      <c r="M480">
        <v>24.394662233968599</v>
      </c>
      <c r="N480">
        <v>59.159027211804201</v>
      </c>
      <c r="O480">
        <v>53.488355330525799</v>
      </c>
      <c r="P480">
        <v>-6.3385718340044306E-2</v>
      </c>
      <c r="Q480">
        <v>0.444083877651897</v>
      </c>
      <c r="R480">
        <v>0.98820594404004103</v>
      </c>
      <c r="S480" t="s">
        <v>4776</v>
      </c>
      <c r="T480" t="s">
        <v>8590</v>
      </c>
      <c r="U480" t="s">
        <v>8590</v>
      </c>
      <c r="V480" t="s">
        <v>8590</v>
      </c>
      <c r="W480">
        <v>6</v>
      </c>
      <c r="X480" t="s">
        <v>9070</v>
      </c>
      <c r="Y480">
        <v>0.7060392252576464</v>
      </c>
      <c r="Z480" t="str">
        <f>HYPERLINK("Melting_Curves/meltCurve_sp_P02766_TTHY_HUMAN_.pdf", "Melting_Curves/meltCurve_sp_P02766_TTHY_HUMAN_.pdf")</f>
        <v>Melting_Curves/meltCurve_sp_P02766_TTHY_HUMAN_.pdf</v>
      </c>
      <c r="AA480" t="s">
        <v>13354</v>
      </c>
      <c r="AB480" t="s">
        <v>17565</v>
      </c>
    </row>
    <row r="481" spans="1:28" x14ac:dyDescent="0.25">
      <c r="A481" t="s">
        <v>485</v>
      </c>
      <c r="B481">
        <v>0.99876560204751996</v>
      </c>
      <c r="C481">
        <v>0.93263534844743501</v>
      </c>
      <c r="D481">
        <v>0.938260546228874</v>
      </c>
      <c r="E481">
        <v>0.952124388670052</v>
      </c>
      <c r="F481">
        <v>0.89059747355730601</v>
      </c>
      <c r="G481">
        <v>0.87701390077781705</v>
      </c>
      <c r="H481">
        <v>0.71704323597103403</v>
      </c>
      <c r="I481">
        <v>0.56801327951040803</v>
      </c>
      <c r="J481">
        <v>0.36420829819739797</v>
      </c>
      <c r="K481">
        <v>0.25405297604722199</v>
      </c>
      <c r="L481">
        <v>879.43043068882605</v>
      </c>
      <c r="M481">
        <v>13.575960989753799</v>
      </c>
      <c r="N481">
        <v>64.778502115046805</v>
      </c>
      <c r="O481">
        <v>63.421451692137197</v>
      </c>
      <c r="P481">
        <v>-5.3522854904825098E-2</v>
      </c>
      <c r="Q481">
        <v>0</v>
      </c>
      <c r="R481">
        <v>0.97706570189584496</v>
      </c>
      <c r="S481" t="s">
        <v>4777</v>
      </c>
      <c r="T481" t="s">
        <v>8590</v>
      </c>
      <c r="U481" t="s">
        <v>8590</v>
      </c>
      <c r="V481" t="s">
        <v>8590</v>
      </c>
      <c r="W481">
        <v>5</v>
      </c>
      <c r="X481" t="s">
        <v>9071</v>
      </c>
      <c r="Y481">
        <v>0.7967283042766099</v>
      </c>
      <c r="Z481" t="str">
        <f>HYPERLINK("Melting_Curves/meltCurve_sp_P02771_FETA_HUMAN_.pdf", "Melting_Curves/meltCurve_sp_P02771_FETA_HUMAN_.pdf")</f>
        <v>Melting_Curves/meltCurve_sp_P02771_FETA_HUMAN_.pdf</v>
      </c>
      <c r="AA481" t="s">
        <v>13355</v>
      </c>
      <c r="AB481" t="s">
        <v>17566</v>
      </c>
    </row>
    <row r="482" spans="1:28" x14ac:dyDescent="0.25">
      <c r="A482" t="s">
        <v>486</v>
      </c>
      <c r="B482">
        <v>0.99876560204751996</v>
      </c>
      <c r="C482">
        <v>0.99509820523637504</v>
      </c>
      <c r="D482">
        <v>0.97882418021917394</v>
      </c>
      <c r="E482">
        <v>1.00448847672969</v>
      </c>
      <c r="F482">
        <v>0.97935321485723903</v>
      </c>
      <c r="G482">
        <v>0.86131607692838097</v>
      </c>
      <c r="H482">
        <v>0.74040356292363196</v>
      </c>
      <c r="I482">
        <v>0.73506975982031997</v>
      </c>
      <c r="J482">
        <v>0.67405975000579099</v>
      </c>
      <c r="K482">
        <v>0.53610406319193105</v>
      </c>
      <c r="L482">
        <v>664.65731186782796</v>
      </c>
      <c r="M482">
        <v>10.118630176918399</v>
      </c>
      <c r="O482">
        <v>63.275765803381098</v>
      </c>
      <c r="P482">
        <v>-2.6753021528384501E-2</v>
      </c>
      <c r="Q482">
        <v>0.33112240659693598</v>
      </c>
      <c r="R482">
        <v>0.96751539144142296</v>
      </c>
      <c r="S482" t="s">
        <v>4778</v>
      </c>
      <c r="T482" t="s">
        <v>8590</v>
      </c>
      <c r="U482" t="s">
        <v>8590</v>
      </c>
      <c r="V482" t="s">
        <v>8590</v>
      </c>
      <c r="W482">
        <v>27</v>
      </c>
      <c r="X482" t="s">
        <v>9072</v>
      </c>
      <c r="Y482">
        <v>0.86216036401731799</v>
      </c>
      <c r="Z482" t="str">
        <f>HYPERLINK("Melting_Curves/meltCurve_sp_P02774_VTDB_HUMAN_.pdf", "Melting_Curves/meltCurve_sp_P02774_VTDB_HUMAN_.pdf")</f>
        <v>Melting_Curves/meltCurve_sp_P02774_VTDB_HUMAN_.pdf</v>
      </c>
      <c r="AA482" t="s">
        <v>13356</v>
      </c>
      <c r="AB482" t="s">
        <v>17567</v>
      </c>
    </row>
    <row r="483" spans="1:28" x14ac:dyDescent="0.25">
      <c r="A483" t="s">
        <v>487</v>
      </c>
      <c r="B483">
        <v>0.99876560204751996</v>
      </c>
      <c r="C483">
        <v>0.89562413281789899</v>
      </c>
      <c r="D483">
        <v>0.82272199541265401</v>
      </c>
      <c r="E483">
        <v>0.77756275947932696</v>
      </c>
      <c r="F483">
        <v>0.71856004361064696</v>
      </c>
      <c r="G483">
        <v>0.648044702504606</v>
      </c>
      <c r="H483">
        <v>0.54190962821370703</v>
      </c>
      <c r="I483">
        <v>0.44338364898004901</v>
      </c>
      <c r="J483">
        <v>0.429674971217752</v>
      </c>
      <c r="K483">
        <v>0.306592393942206</v>
      </c>
      <c r="L483">
        <v>334.56446605830303</v>
      </c>
      <c r="M483">
        <v>5.3938259993366904</v>
      </c>
      <c r="N483">
        <v>62.027301228674801</v>
      </c>
      <c r="O483">
        <v>55.050302486561598</v>
      </c>
      <c r="P483">
        <v>-2.4610493482965699E-2</v>
      </c>
      <c r="Q483">
        <v>0</v>
      </c>
      <c r="R483">
        <v>0.97973995218654297</v>
      </c>
      <c r="S483" t="s">
        <v>4779</v>
      </c>
      <c r="T483" t="s">
        <v>8590</v>
      </c>
      <c r="U483" t="s">
        <v>8590</v>
      </c>
      <c r="V483" t="s">
        <v>8590</v>
      </c>
      <c r="W483">
        <v>16</v>
      </c>
      <c r="X483" t="s">
        <v>9073</v>
      </c>
      <c r="Y483">
        <v>0.66231401190005867</v>
      </c>
      <c r="Z483" t="str">
        <f>HYPERLINK("Melting_Curves/meltCurve_sp_P02790_HEMO_HUMAN_.pdf", "Melting_Curves/meltCurve_sp_P02790_HEMO_HUMAN_.pdf")</f>
        <v>Melting_Curves/meltCurve_sp_P02790_HEMO_HUMAN_.pdf</v>
      </c>
      <c r="AA483" t="s">
        <v>13357</v>
      </c>
      <c r="AB483" t="s">
        <v>17568</v>
      </c>
    </row>
    <row r="484" spans="1:28" x14ac:dyDescent="0.25">
      <c r="A484" t="s">
        <v>488</v>
      </c>
      <c r="B484">
        <v>0.99876560204751996</v>
      </c>
      <c r="C484">
        <v>1.0868104258425999</v>
      </c>
      <c r="D484">
        <v>0.99100960900446</v>
      </c>
      <c r="E484">
        <v>1.0435801540018099</v>
      </c>
      <c r="F484">
        <v>0.88500952836215396</v>
      </c>
      <c r="G484">
        <v>0.58246720915388595</v>
      </c>
      <c r="H484">
        <v>0.45303684341637501</v>
      </c>
      <c r="I484">
        <v>0.32800349642561699</v>
      </c>
      <c r="J484">
        <v>0.34338207863773201</v>
      </c>
      <c r="K484">
        <v>0.195584480861414</v>
      </c>
      <c r="L484">
        <v>1206.0566936180501</v>
      </c>
      <c r="M484">
        <v>21.1213309557155</v>
      </c>
      <c r="N484">
        <v>59.096622725517697</v>
      </c>
      <c r="O484">
        <v>56.596888009920001</v>
      </c>
      <c r="P484">
        <v>-6.95136505230107E-2</v>
      </c>
      <c r="Q484">
        <v>0.25494220557771402</v>
      </c>
      <c r="R484">
        <v>0.97436728550797702</v>
      </c>
      <c r="S484" t="s">
        <v>4780</v>
      </c>
      <c r="T484" t="s">
        <v>8590</v>
      </c>
      <c r="U484" t="s">
        <v>8590</v>
      </c>
      <c r="V484" t="s">
        <v>8590</v>
      </c>
      <c r="W484">
        <v>12</v>
      </c>
      <c r="X484" t="s">
        <v>9074</v>
      </c>
      <c r="Y484">
        <v>0.68813921782756149</v>
      </c>
      <c r="Z484" t="str">
        <f>HYPERLINK("Melting_Curves/meltCurve_sp_P02792_FRIL_HUMAN_.pdf", "Melting_Curves/meltCurve_sp_P02792_FRIL_HUMAN_.pdf")</f>
        <v>Melting_Curves/meltCurve_sp_P02792_FRIL_HUMAN_.pdf</v>
      </c>
      <c r="AA484" t="s">
        <v>13358</v>
      </c>
      <c r="AB484" t="s">
        <v>17569</v>
      </c>
    </row>
    <row r="485" spans="1:28" x14ac:dyDescent="0.25">
      <c r="A485" t="s">
        <v>489</v>
      </c>
      <c r="B485">
        <v>0.99876560204751996</v>
      </c>
      <c r="C485">
        <v>1.04259014275599</v>
      </c>
      <c r="D485">
        <v>0.97404313832956801</v>
      </c>
      <c r="E485">
        <v>0.97858294917910604</v>
      </c>
      <c r="F485">
        <v>0.74502811940171698</v>
      </c>
      <c r="G485">
        <v>0.47667158576214302</v>
      </c>
      <c r="H485">
        <v>0.38277775157119098</v>
      </c>
      <c r="I485">
        <v>0.27460667725954002</v>
      </c>
      <c r="J485">
        <v>0.190528255729007</v>
      </c>
      <c r="K485">
        <v>0.144281934152832</v>
      </c>
      <c r="L485">
        <v>945.289401372616</v>
      </c>
      <c r="M485">
        <v>16.816288571202499</v>
      </c>
      <c r="N485">
        <v>57.411699242255999</v>
      </c>
      <c r="O485">
        <v>55.4358341307885</v>
      </c>
      <c r="P485">
        <v>-6.4611404962574004E-2</v>
      </c>
      <c r="Q485">
        <v>0.148074259850135</v>
      </c>
      <c r="R485">
        <v>0.98681954410918304</v>
      </c>
      <c r="S485" t="s">
        <v>4781</v>
      </c>
      <c r="T485" t="s">
        <v>8590</v>
      </c>
      <c r="U485" t="s">
        <v>8590</v>
      </c>
      <c r="V485" t="s">
        <v>8590</v>
      </c>
      <c r="W485">
        <v>5</v>
      </c>
      <c r="X485" t="s">
        <v>9075</v>
      </c>
      <c r="Y485">
        <v>0.6218112890053803</v>
      </c>
      <c r="Z485" t="str">
        <f>HYPERLINK("Melting_Curves/meltCurve_sp_P02794_FRIH_HUMAN_.pdf", "Melting_Curves/meltCurve_sp_P02794_FRIH_HUMAN_.pdf")</f>
        <v>Melting_Curves/meltCurve_sp_P02794_FRIH_HUMAN_.pdf</v>
      </c>
      <c r="AA485" t="s">
        <v>13359</v>
      </c>
      <c r="AB485" t="s">
        <v>17570</v>
      </c>
    </row>
    <row r="486" spans="1:28" x14ac:dyDescent="0.25">
      <c r="A486" t="s">
        <v>490</v>
      </c>
      <c r="B486">
        <v>0.99876560204751996</v>
      </c>
      <c r="C486">
        <v>0.97818732673127196</v>
      </c>
      <c r="D486">
        <v>1.4920038134140401</v>
      </c>
      <c r="E486">
        <v>0.86444889636227495</v>
      </c>
      <c r="F486">
        <v>1.3241322464532299</v>
      </c>
      <c r="G486">
        <v>1.3073819662031001</v>
      </c>
      <c r="H486">
        <v>1.3038475604767401</v>
      </c>
      <c r="I486">
        <v>2.3181616384967199</v>
      </c>
      <c r="J486">
        <v>2.8707514224901201</v>
      </c>
      <c r="K486">
        <v>3.7055202834801801</v>
      </c>
      <c r="L486">
        <v>13217.594953870101</v>
      </c>
      <c r="M486">
        <v>250</v>
      </c>
      <c r="O486">
        <v>52.866976607748697</v>
      </c>
      <c r="P486">
        <v>0.59110602188707095</v>
      </c>
      <c r="Q486">
        <v>1.5</v>
      </c>
      <c r="R486">
        <v>2.8773951055091299E-2</v>
      </c>
      <c r="S486" t="s">
        <v>4782</v>
      </c>
      <c r="T486" t="s">
        <v>8590</v>
      </c>
      <c r="U486" t="s">
        <v>8590</v>
      </c>
      <c r="V486" t="s">
        <v>8590</v>
      </c>
      <c r="W486">
        <v>6</v>
      </c>
      <c r="X486" t="s">
        <v>9076</v>
      </c>
      <c r="Y486">
        <v>1.285447276395129</v>
      </c>
      <c r="Z486" t="str">
        <f>HYPERLINK("Melting_Curves/meltCurve_sp_P02795_MT2_HUMAN_.pdf", "Melting_Curves/meltCurve_sp_P02795_MT2_HUMAN_.pdf")</f>
        <v>Melting_Curves/meltCurve_sp_P02795_MT2_HUMAN_.pdf</v>
      </c>
      <c r="AA486" t="s">
        <v>13360</v>
      </c>
      <c r="AB486" t="s">
        <v>17571</v>
      </c>
    </row>
    <row r="487" spans="1:28" x14ac:dyDescent="0.25">
      <c r="A487" t="s">
        <v>491</v>
      </c>
      <c r="B487">
        <v>0.99876560204751996</v>
      </c>
      <c r="C487">
        <v>0.94680024110739303</v>
      </c>
      <c r="D487">
        <v>0.98407223853949699</v>
      </c>
      <c r="E487">
        <v>0.94154055403423598</v>
      </c>
      <c r="F487">
        <v>0.91976652714061902</v>
      </c>
      <c r="G487">
        <v>0.79103180722738298</v>
      </c>
      <c r="H487">
        <v>0.568498239237059</v>
      </c>
      <c r="I487">
        <v>0.34623389559259599</v>
      </c>
      <c r="J487">
        <v>9.1958969700462606E-2</v>
      </c>
      <c r="K487">
        <v>5.9007573035715501E-2</v>
      </c>
      <c r="L487">
        <v>1212.1608026737899</v>
      </c>
      <c r="M487">
        <v>19.746344301276402</v>
      </c>
      <c r="N487">
        <v>61.386598481658602</v>
      </c>
      <c r="O487">
        <v>60.767414130326301</v>
      </c>
      <c r="P487">
        <v>-8.1240170473012796E-2</v>
      </c>
      <c r="Q487">
        <v>0</v>
      </c>
      <c r="R487">
        <v>0.98760444947602</v>
      </c>
      <c r="S487" t="s">
        <v>4783</v>
      </c>
      <c r="T487" t="s">
        <v>8590</v>
      </c>
      <c r="U487" t="s">
        <v>8590</v>
      </c>
      <c r="V487" t="s">
        <v>8590</v>
      </c>
      <c r="W487">
        <v>6</v>
      </c>
      <c r="X487" t="s">
        <v>9077</v>
      </c>
      <c r="Y487">
        <v>0.7177942477550282</v>
      </c>
      <c r="Z487" t="str">
        <f>HYPERLINK("Melting_Curves/meltCurve_sp_P03950_ANGI_HUMAN_.pdf", "Melting_Curves/meltCurve_sp_P03950_ANGI_HUMAN_.pdf")</f>
        <v>Melting_Curves/meltCurve_sp_P03950_ANGI_HUMAN_.pdf</v>
      </c>
      <c r="AA487" t="s">
        <v>13361</v>
      </c>
      <c r="AB487" t="s">
        <v>17572</v>
      </c>
    </row>
    <row r="488" spans="1:28" x14ac:dyDescent="0.25">
      <c r="A488" t="s">
        <v>492</v>
      </c>
      <c r="B488">
        <v>0.99876560204751996</v>
      </c>
      <c r="C488">
        <v>1.10029332578949</v>
      </c>
      <c r="D488">
        <v>1.10723046815399</v>
      </c>
      <c r="E488">
        <v>0.94270204204459396</v>
      </c>
      <c r="F488">
        <v>0.57770865526764303</v>
      </c>
      <c r="G488">
        <v>0.38803665072898802</v>
      </c>
      <c r="H488">
        <v>0.21968514294789901</v>
      </c>
      <c r="I488">
        <v>0.15761426771273099</v>
      </c>
      <c r="J488">
        <v>0.18768363610736299</v>
      </c>
      <c r="K488">
        <v>0.129064449030451</v>
      </c>
      <c r="L488">
        <v>1338.5864675755599</v>
      </c>
      <c r="M488">
        <v>24.911961774027301</v>
      </c>
      <c r="N488">
        <v>54.606201149880597</v>
      </c>
      <c r="O488">
        <v>53.390039026974101</v>
      </c>
      <c r="P488">
        <v>-9.7482020829801397E-2</v>
      </c>
      <c r="Q488">
        <v>0.16433765236295</v>
      </c>
      <c r="R488">
        <v>0.97447536499498</v>
      </c>
      <c r="S488" t="s">
        <v>4784</v>
      </c>
      <c r="T488" t="s">
        <v>8590</v>
      </c>
      <c r="U488" t="s">
        <v>8590</v>
      </c>
      <c r="V488" t="s">
        <v>8590</v>
      </c>
      <c r="W488">
        <v>1</v>
      </c>
      <c r="X488" t="s">
        <v>9078</v>
      </c>
      <c r="Y488">
        <v>0.55464323863758558</v>
      </c>
      <c r="Z488" t="str">
        <f>HYPERLINK("Melting_Curves/meltCurve_sp_P03952_KLKB1_HUMAN_.pdf", "Melting_Curves/meltCurve_sp_P03952_KLKB1_HUMAN_.pdf")</f>
        <v>Melting_Curves/meltCurve_sp_P03952_KLKB1_HUMAN_.pdf</v>
      </c>
      <c r="AA488" t="s">
        <v>13362</v>
      </c>
      <c r="AB488" t="s">
        <v>17573</v>
      </c>
    </row>
    <row r="489" spans="1:28" x14ac:dyDescent="0.25">
      <c r="A489" t="s">
        <v>493</v>
      </c>
      <c r="B489">
        <v>0.99876560204751996</v>
      </c>
      <c r="C489">
        <v>0.96292039007224595</v>
      </c>
      <c r="D489">
        <v>0.95275986023754899</v>
      </c>
      <c r="E489">
        <v>0.84750072390382203</v>
      </c>
      <c r="F489">
        <v>0.75983951021713303</v>
      </c>
      <c r="G489">
        <v>0.59885787002763802</v>
      </c>
      <c r="H489">
        <v>0.45681034618343402</v>
      </c>
      <c r="I489">
        <v>0.41006006462453298</v>
      </c>
      <c r="J489">
        <v>0.45677113822452797</v>
      </c>
      <c r="K489">
        <v>0.43315464352490501</v>
      </c>
      <c r="L489">
        <v>826.55586756830803</v>
      </c>
      <c r="M489">
        <v>15.319353319589499</v>
      </c>
      <c r="N489">
        <v>60.221022589369397</v>
      </c>
      <c r="O489">
        <v>53.060662012799298</v>
      </c>
      <c r="P489">
        <v>-4.3423556669935401E-2</v>
      </c>
      <c r="Q489">
        <v>0.398442162166395</v>
      </c>
      <c r="R489">
        <v>0.99048328686301401</v>
      </c>
      <c r="S489" t="s">
        <v>4785</v>
      </c>
      <c r="T489" t="s">
        <v>8590</v>
      </c>
      <c r="U489" t="s">
        <v>8590</v>
      </c>
      <c r="V489" t="s">
        <v>8590</v>
      </c>
      <c r="W489">
        <v>6</v>
      </c>
      <c r="X489" t="s">
        <v>9079</v>
      </c>
      <c r="Y489">
        <v>0.69031483902244895</v>
      </c>
      <c r="Z489" t="str">
        <f>HYPERLINK("Melting_Curves/meltCurve_sp_P04003_C4BPA_HUMAN_.pdf", "Melting_Curves/meltCurve_sp_P04003_C4BPA_HUMAN_.pdf")</f>
        <v>Melting_Curves/meltCurve_sp_P04003_C4BPA_HUMAN_.pdf</v>
      </c>
      <c r="AA489" t="s">
        <v>13363</v>
      </c>
      <c r="AB489" t="s">
        <v>17574</v>
      </c>
    </row>
    <row r="490" spans="1:28" x14ac:dyDescent="0.25">
      <c r="A490" t="s">
        <v>494</v>
      </c>
      <c r="B490">
        <v>0.99876560204751996</v>
      </c>
      <c r="C490">
        <v>0.96248125945098395</v>
      </c>
      <c r="D490">
        <v>0.93184963651064701</v>
      </c>
      <c r="E490">
        <v>0.851081408760474</v>
      </c>
      <c r="F490">
        <v>0.73614929721150502</v>
      </c>
      <c r="G490">
        <v>0.47469948528622502</v>
      </c>
      <c r="H490">
        <v>0.25030618847462199</v>
      </c>
      <c r="I490">
        <v>0.203215390187934</v>
      </c>
      <c r="J490">
        <v>0.25998113236702802</v>
      </c>
      <c r="K490">
        <v>0.24094573080029</v>
      </c>
      <c r="L490">
        <v>1010.45161398728</v>
      </c>
      <c r="M490">
        <v>18.5000376838533</v>
      </c>
      <c r="N490">
        <v>56.148662493743402</v>
      </c>
      <c r="O490">
        <v>53.992713108607198</v>
      </c>
      <c r="P490">
        <v>-6.8706160494489701E-2</v>
      </c>
      <c r="Q490">
        <v>0.19795462572983799</v>
      </c>
      <c r="R490">
        <v>0.98873466528145804</v>
      </c>
      <c r="S490" t="s">
        <v>4786</v>
      </c>
      <c r="T490" t="s">
        <v>8590</v>
      </c>
      <c r="U490" t="s">
        <v>8590</v>
      </c>
      <c r="V490" t="s">
        <v>8590</v>
      </c>
      <c r="W490">
        <v>8</v>
      </c>
      <c r="X490" t="s">
        <v>9080</v>
      </c>
      <c r="Y490">
        <v>0.60089450383962562</v>
      </c>
      <c r="Z490" t="str">
        <f>HYPERLINK("Melting_Curves/meltCurve_sp_P04004_VTNC_HUMAN_.pdf", "Melting_Curves/meltCurve_sp_P04004_VTNC_HUMAN_.pdf")</f>
        <v>Melting_Curves/meltCurve_sp_P04004_VTNC_HUMAN_.pdf</v>
      </c>
      <c r="AA490" t="s">
        <v>13364</v>
      </c>
      <c r="AB490" t="s">
        <v>17575</v>
      </c>
    </row>
    <row r="491" spans="1:28" x14ac:dyDescent="0.25">
      <c r="A491" t="s">
        <v>495</v>
      </c>
      <c r="B491">
        <v>0.99876560204751996</v>
      </c>
      <c r="C491">
        <v>0.91694727856161495</v>
      </c>
      <c r="D491">
        <v>0.84526072694112497</v>
      </c>
      <c r="E491">
        <v>0.74550958271860401</v>
      </c>
      <c r="F491">
        <v>0.56177116335325095</v>
      </c>
      <c r="G491">
        <v>0.315140458689606</v>
      </c>
      <c r="H491">
        <v>0.11855446941857201</v>
      </c>
      <c r="I491">
        <v>6.1100813120541497E-2</v>
      </c>
      <c r="J491">
        <v>5.4293420853133198E-2</v>
      </c>
      <c r="K491">
        <v>4.4204863510323801E-2</v>
      </c>
      <c r="L491">
        <v>738.91917158127296</v>
      </c>
      <c r="M491">
        <v>13.8085067924203</v>
      </c>
      <c r="N491">
        <v>53.511883039184703</v>
      </c>
      <c r="O491">
        <v>52.427052769210903</v>
      </c>
      <c r="P491">
        <v>-6.5855501898717694E-2</v>
      </c>
      <c r="Q491">
        <v>0</v>
      </c>
      <c r="R491">
        <v>0.99256266321817699</v>
      </c>
      <c r="S491" t="s">
        <v>4787</v>
      </c>
      <c r="T491" t="s">
        <v>8590</v>
      </c>
      <c r="U491" t="s">
        <v>8590</v>
      </c>
      <c r="V491" t="s">
        <v>8590</v>
      </c>
      <c r="W491">
        <v>8</v>
      </c>
      <c r="X491" t="s">
        <v>9081</v>
      </c>
      <c r="Y491">
        <v>0.4737426493144184</v>
      </c>
      <c r="Z491" t="str">
        <f>HYPERLINK("Melting_Curves/meltCurve_sp_P04066_FUCO_HUMAN_.pdf", "Melting_Curves/meltCurve_sp_P04066_FUCO_HUMAN_.pdf")</f>
        <v>Melting_Curves/meltCurve_sp_P04066_FUCO_HUMAN_.pdf</v>
      </c>
      <c r="AA491" t="s">
        <v>13365</v>
      </c>
      <c r="AB491" t="s">
        <v>17576</v>
      </c>
    </row>
    <row r="492" spans="1:28" x14ac:dyDescent="0.25">
      <c r="A492" t="s">
        <v>496</v>
      </c>
      <c r="B492">
        <v>0.99876560204751996</v>
      </c>
      <c r="C492">
        <v>0.840244786617099</v>
      </c>
      <c r="D492">
        <v>0.88247458681440205</v>
      </c>
      <c r="E492">
        <v>0.78971031414780901</v>
      </c>
      <c r="F492">
        <v>0.80546059448017304</v>
      </c>
      <c r="G492">
        <v>0.62165154523891097</v>
      </c>
      <c r="H492">
        <v>0.584566986281148</v>
      </c>
      <c r="I492">
        <v>0.52893534715223101</v>
      </c>
      <c r="J492">
        <v>0.57758146142143596</v>
      </c>
      <c r="K492">
        <v>0.53038392142084501</v>
      </c>
      <c r="L492">
        <v>378.40482277990202</v>
      </c>
      <c r="M492">
        <v>6.9936197469362504</v>
      </c>
      <c r="O492">
        <v>50.2041529916998</v>
      </c>
      <c r="P492">
        <v>-2.0150797399575902E-2</v>
      </c>
      <c r="Q492">
        <v>0.42245912684251702</v>
      </c>
      <c r="R492">
        <v>0.92592334433729495</v>
      </c>
      <c r="S492" t="s">
        <v>4788</v>
      </c>
      <c r="T492" t="s">
        <v>8590</v>
      </c>
      <c r="U492" t="s">
        <v>8590</v>
      </c>
      <c r="V492" t="s">
        <v>8590</v>
      </c>
      <c r="W492">
        <v>6</v>
      </c>
      <c r="X492" t="s">
        <v>9082</v>
      </c>
      <c r="Y492">
        <v>0.71415899634618085</v>
      </c>
      <c r="Z492" t="str">
        <f>HYPERLINK("Melting_Curves/meltCurve_sp_P04080_CYTB_HUMAN_.pdf", "Melting_Curves/meltCurve_sp_P04080_CYTB_HUMAN_.pdf")</f>
        <v>Melting_Curves/meltCurve_sp_P04080_CYTB_HUMAN_.pdf</v>
      </c>
      <c r="AA492" t="s">
        <v>13366</v>
      </c>
      <c r="AB492" t="s">
        <v>17577</v>
      </c>
    </row>
    <row r="493" spans="1:28" x14ac:dyDescent="0.25">
      <c r="A493" t="s">
        <v>497</v>
      </c>
      <c r="B493">
        <v>0.99876560204751996</v>
      </c>
      <c r="C493">
        <v>1.07674725770992</v>
      </c>
      <c r="D493">
        <v>0.89742141100717598</v>
      </c>
      <c r="E493">
        <v>0.92585253910378396</v>
      </c>
      <c r="F493">
        <v>0.80140285569193803</v>
      </c>
      <c r="G493">
        <v>0.54309667980148002</v>
      </c>
      <c r="H493">
        <v>0.314134656393395</v>
      </c>
      <c r="I493">
        <v>0.200935338320131</v>
      </c>
      <c r="J493">
        <v>0.168952669840711</v>
      </c>
      <c r="K493">
        <v>0.11952644067926101</v>
      </c>
      <c r="L493">
        <v>931.35167769508598</v>
      </c>
      <c r="M493">
        <v>16.328600700203399</v>
      </c>
      <c r="N493">
        <v>57.652131726163702</v>
      </c>
      <c r="O493">
        <v>56.203148050806902</v>
      </c>
      <c r="P493">
        <v>-6.6839294161217297E-2</v>
      </c>
      <c r="Q493">
        <v>7.9821549817947396E-2</v>
      </c>
      <c r="R493">
        <v>0.98889258122252899</v>
      </c>
      <c r="S493" t="s">
        <v>4789</v>
      </c>
      <c r="T493" t="s">
        <v>8590</v>
      </c>
      <c r="U493" t="s">
        <v>8590</v>
      </c>
      <c r="V493" t="s">
        <v>8590</v>
      </c>
      <c r="W493">
        <v>51</v>
      </c>
      <c r="X493" t="s">
        <v>9083</v>
      </c>
      <c r="Y493">
        <v>0.61611709367067391</v>
      </c>
      <c r="Z493" t="str">
        <f>HYPERLINK("Melting_Curves/meltCurve_sp_P04114_APOB_HUMAN_.pdf", "Melting_Curves/meltCurve_sp_P04114_APOB_HUMAN_.pdf")</f>
        <v>Melting_Curves/meltCurve_sp_P04114_APOB_HUMAN_.pdf</v>
      </c>
      <c r="AA493" t="s">
        <v>13367</v>
      </c>
      <c r="AB493" t="s">
        <v>17578</v>
      </c>
    </row>
    <row r="494" spans="1:28" x14ac:dyDescent="0.25">
      <c r="A494" t="s">
        <v>498</v>
      </c>
      <c r="B494">
        <v>0.99876560204751996</v>
      </c>
      <c r="C494">
        <v>0.95707349683092802</v>
      </c>
      <c r="D494">
        <v>0.99578280961836296</v>
      </c>
      <c r="E494">
        <v>0.90393153746271404</v>
      </c>
      <c r="F494">
        <v>0.77731680821957605</v>
      </c>
      <c r="G494">
        <v>0.53953967050691398</v>
      </c>
      <c r="H494">
        <v>0.46067089386080201</v>
      </c>
      <c r="I494">
        <v>0.44227991471990802</v>
      </c>
      <c r="J494">
        <v>0.489457608461563</v>
      </c>
      <c r="K494">
        <v>0.49267858906846501</v>
      </c>
      <c r="L494">
        <v>1451.9971660696101</v>
      </c>
      <c r="M494">
        <v>27.193671053897202</v>
      </c>
      <c r="N494">
        <v>59.166007676873598</v>
      </c>
      <c r="O494">
        <v>53.108435546156201</v>
      </c>
      <c r="P494">
        <v>-6.8516021475124103E-2</v>
      </c>
      <c r="Q494">
        <v>0.46476612161367797</v>
      </c>
      <c r="R494">
        <v>0.99013407954933497</v>
      </c>
      <c r="S494" t="s">
        <v>4790</v>
      </c>
      <c r="T494" t="s">
        <v>8590</v>
      </c>
      <c r="U494" t="s">
        <v>8590</v>
      </c>
      <c r="V494" t="s">
        <v>8590</v>
      </c>
      <c r="W494">
        <v>5</v>
      </c>
      <c r="X494" t="s">
        <v>9084</v>
      </c>
      <c r="Y494">
        <v>0.70795928720772772</v>
      </c>
      <c r="Z494" t="str">
        <f>HYPERLINK("Melting_Curves/meltCurve_sp_P04150_7_GCR_HUMAN_.pdf", "Melting_Curves/meltCurve_sp_P04150_7_GCR_HUMAN_.pdf")</f>
        <v>Melting_Curves/meltCurve_sp_P04150_7_GCR_HUMAN_.pdf</v>
      </c>
      <c r="AA494" t="s">
        <v>13368</v>
      </c>
      <c r="AB494" t="s">
        <v>17579</v>
      </c>
    </row>
    <row r="495" spans="1:28" x14ac:dyDescent="0.25">
      <c r="A495" t="s">
        <v>499</v>
      </c>
      <c r="B495">
        <v>0.99876560204751996</v>
      </c>
      <c r="C495">
        <v>1.0658544965862999</v>
      </c>
      <c r="D495">
        <v>1.3389043090103001</v>
      </c>
      <c r="E495">
        <v>0.73093298893591097</v>
      </c>
      <c r="F495">
        <v>0.57555399635862203</v>
      </c>
      <c r="G495">
        <v>0.93456752857288306</v>
      </c>
      <c r="H495">
        <v>0.38520938419505202</v>
      </c>
      <c r="I495">
        <v>0.95362042190112295</v>
      </c>
      <c r="J495">
        <v>0.297366768540481</v>
      </c>
      <c r="K495">
        <v>0.35203974606324101</v>
      </c>
      <c r="L495">
        <v>471.84173718622401</v>
      </c>
      <c r="M495">
        <v>7.2011817237837201</v>
      </c>
      <c r="N495">
        <v>65.522820256034706</v>
      </c>
      <c r="O495">
        <v>61.035315136685803</v>
      </c>
      <c r="P495">
        <v>-2.95452407034161E-2</v>
      </c>
      <c r="Q495">
        <v>0</v>
      </c>
      <c r="R495">
        <v>0.50401966430026102</v>
      </c>
      <c r="S495" t="s">
        <v>4791</v>
      </c>
      <c r="T495" t="s">
        <v>8590</v>
      </c>
      <c r="U495" t="s">
        <v>8590</v>
      </c>
      <c r="V495" t="s">
        <v>8590</v>
      </c>
      <c r="W495">
        <v>13</v>
      </c>
      <c r="X495" t="s">
        <v>9085</v>
      </c>
      <c r="Y495">
        <v>0.75617368139677377</v>
      </c>
      <c r="Z495" t="str">
        <f>HYPERLINK("Melting_Curves/meltCurve_sp_P04179_SODM_HUMAN_.pdf", "Melting_Curves/meltCurve_sp_P04179_SODM_HUMAN_.pdf")</f>
        <v>Melting_Curves/meltCurve_sp_P04179_SODM_HUMAN_.pdf</v>
      </c>
      <c r="AA495" t="s">
        <v>13369</v>
      </c>
      <c r="AB495" t="s">
        <v>17580</v>
      </c>
    </row>
    <row r="496" spans="1:28" x14ac:dyDescent="0.25">
      <c r="A496" t="s">
        <v>500</v>
      </c>
      <c r="B496">
        <v>0.99876560204751996</v>
      </c>
      <c r="C496">
        <v>0.76173935622038103</v>
      </c>
      <c r="D496">
        <v>0.55079383455838105</v>
      </c>
      <c r="E496">
        <v>0.37181917174835599</v>
      </c>
      <c r="F496">
        <v>0.23938955394149999</v>
      </c>
      <c r="G496">
        <v>0.17683540021191499</v>
      </c>
      <c r="H496">
        <v>0.107260234902813</v>
      </c>
      <c r="I496">
        <v>8.1764879064835205E-2</v>
      </c>
      <c r="J496">
        <v>5.1948453901852598E-2</v>
      </c>
      <c r="K496">
        <v>3.3690117044459698E-2</v>
      </c>
      <c r="L496">
        <v>594.21206024365495</v>
      </c>
      <c r="M496">
        <v>12.6128037428805</v>
      </c>
      <c r="N496">
        <v>47.474094456827601</v>
      </c>
      <c r="O496">
        <v>45.974597037427699</v>
      </c>
      <c r="P496">
        <v>-6.5451810526859999E-2</v>
      </c>
      <c r="Q496">
        <v>4.5883069738743697E-2</v>
      </c>
      <c r="R496">
        <v>0.98660469644767901</v>
      </c>
      <c r="S496" t="s">
        <v>4792</v>
      </c>
      <c r="T496" t="s">
        <v>8590</v>
      </c>
      <c r="U496" t="s">
        <v>8590</v>
      </c>
      <c r="V496" t="s">
        <v>8590</v>
      </c>
      <c r="W496">
        <v>8</v>
      </c>
      <c r="X496" t="s">
        <v>9086</v>
      </c>
      <c r="Y496">
        <v>0.3082882814725057</v>
      </c>
      <c r="Z496" t="str">
        <f>HYPERLINK("Melting_Curves/meltCurve_sp_P04181_OAT_HUMAN_.pdf", "Melting_Curves/meltCurve_sp_P04181_OAT_HUMAN_.pdf")</f>
        <v>Melting_Curves/meltCurve_sp_P04181_OAT_HUMAN_.pdf</v>
      </c>
      <c r="AA496" t="s">
        <v>13370</v>
      </c>
      <c r="AB496" t="s">
        <v>17581</v>
      </c>
    </row>
    <row r="497" spans="1:28" x14ac:dyDescent="0.25">
      <c r="A497" t="s">
        <v>501</v>
      </c>
      <c r="B497">
        <v>0.99876560204751996</v>
      </c>
      <c r="C497">
        <v>1.0066809500396301</v>
      </c>
      <c r="D497">
        <v>0.94975122465830797</v>
      </c>
      <c r="E497">
        <v>0.94508438704574405</v>
      </c>
      <c r="F497">
        <v>0.87239307946055999</v>
      </c>
      <c r="G497">
        <v>0.70886642140743095</v>
      </c>
      <c r="H497">
        <v>0.58906820853267505</v>
      </c>
      <c r="I497">
        <v>0.57029889950646595</v>
      </c>
      <c r="J497">
        <v>0.60735902627035299</v>
      </c>
      <c r="K497">
        <v>0.50127602631035995</v>
      </c>
      <c r="L497">
        <v>1003.27422278361</v>
      </c>
      <c r="M497">
        <v>18.070192914708102</v>
      </c>
      <c r="O497">
        <v>54.854385323650703</v>
      </c>
      <c r="P497">
        <v>-3.8644239404734597E-2</v>
      </c>
      <c r="Q497">
        <v>0.53078464327480701</v>
      </c>
      <c r="R497">
        <v>0.98052615485528105</v>
      </c>
      <c r="S497" t="s">
        <v>4793</v>
      </c>
      <c r="T497" t="s">
        <v>8590</v>
      </c>
      <c r="U497" t="s">
        <v>8590</v>
      </c>
      <c r="V497" t="s">
        <v>8590</v>
      </c>
      <c r="W497">
        <v>11</v>
      </c>
      <c r="X497" t="s">
        <v>9087</v>
      </c>
      <c r="Y497">
        <v>0.78059736209965236</v>
      </c>
      <c r="Z497" t="str">
        <f>HYPERLINK("Melting_Curves/meltCurve_sp_P04196_HRG_HUMAN_.pdf", "Melting_Curves/meltCurve_sp_P04196_HRG_HUMAN_.pdf")</f>
        <v>Melting_Curves/meltCurve_sp_P04196_HRG_HUMAN_.pdf</v>
      </c>
      <c r="AA497" t="s">
        <v>13371</v>
      </c>
      <c r="AB497" t="s">
        <v>17582</v>
      </c>
    </row>
    <row r="498" spans="1:28" x14ac:dyDescent="0.25">
      <c r="A498" t="s">
        <v>502</v>
      </c>
      <c r="B498">
        <v>0.99876560204751996</v>
      </c>
      <c r="C498">
        <v>0.86003125082526599</v>
      </c>
      <c r="D498">
        <v>0.77051599105060697</v>
      </c>
      <c r="E498">
        <v>0.66517963561045101</v>
      </c>
      <c r="F498">
        <v>0.61511415589238005</v>
      </c>
      <c r="G498">
        <v>0.67670734177188496</v>
      </c>
      <c r="H498">
        <v>0.47852759112794901</v>
      </c>
      <c r="I498">
        <v>0.50050130865961995</v>
      </c>
      <c r="J498">
        <v>0.20707309036555199</v>
      </c>
      <c r="K498">
        <v>0</v>
      </c>
      <c r="L498">
        <v>386.58482322906599</v>
      </c>
      <c r="M498">
        <v>6.6966313856124904</v>
      </c>
      <c r="N498">
        <v>57.728241098814799</v>
      </c>
      <c r="O498">
        <v>53.233669401864098</v>
      </c>
      <c r="P498">
        <v>-3.1517781351538203E-2</v>
      </c>
      <c r="Q498">
        <v>0</v>
      </c>
      <c r="R498">
        <v>0.83464857969149397</v>
      </c>
      <c r="S498" t="s">
        <v>4794</v>
      </c>
      <c r="T498" t="s">
        <v>8590</v>
      </c>
      <c r="U498" t="s">
        <v>8590</v>
      </c>
      <c r="V498" t="s">
        <v>8590</v>
      </c>
      <c r="W498">
        <v>1</v>
      </c>
      <c r="X498" t="s">
        <v>9088</v>
      </c>
      <c r="Y498">
        <v>0.59037503093760713</v>
      </c>
      <c r="Z498" t="str">
        <f>HYPERLINK("Melting_Curves/meltCurve_sp_P04206_KV307_HUMAN_.pdf", "Melting_Curves/meltCurve_sp_P04206_KV307_HUMAN_.pdf")</f>
        <v>Melting_Curves/meltCurve_sp_P04206_KV307_HUMAN_.pdf</v>
      </c>
      <c r="AB498" t="s">
        <v>17583</v>
      </c>
    </row>
    <row r="499" spans="1:28" x14ac:dyDescent="0.25">
      <c r="A499" t="s">
        <v>503</v>
      </c>
      <c r="B499">
        <v>0.99876560204751996</v>
      </c>
      <c r="C499">
        <v>0.95364018800954697</v>
      </c>
      <c r="D499">
        <v>0.99863145808991305</v>
      </c>
      <c r="E499">
        <v>0.93039472934966405</v>
      </c>
      <c r="F499">
        <v>0.796973834144314</v>
      </c>
      <c r="G499">
        <v>0.52017764751272499</v>
      </c>
      <c r="H499">
        <v>0.32428200095161502</v>
      </c>
      <c r="I499">
        <v>0.28635079914566203</v>
      </c>
      <c r="J499">
        <v>0.31465848766461202</v>
      </c>
      <c r="K499">
        <v>0.273233887651332</v>
      </c>
      <c r="L499">
        <v>1278.0226879438401</v>
      </c>
      <c r="M499">
        <v>23.160352294088302</v>
      </c>
      <c r="N499">
        <v>57.123932296750198</v>
      </c>
      <c r="O499">
        <v>54.775033291347803</v>
      </c>
      <c r="P499">
        <v>-7.6900906557103799E-2</v>
      </c>
      <c r="Q499">
        <v>0.27252000961915901</v>
      </c>
      <c r="R499">
        <v>0.99587641193370902</v>
      </c>
      <c r="S499" t="s">
        <v>4795</v>
      </c>
      <c r="T499" t="s">
        <v>8590</v>
      </c>
      <c r="U499" t="s">
        <v>8590</v>
      </c>
      <c r="V499" t="s">
        <v>8590</v>
      </c>
      <c r="W499">
        <v>12</v>
      </c>
      <c r="X499" t="s">
        <v>9089</v>
      </c>
      <c r="Y499">
        <v>0.64831798513304473</v>
      </c>
      <c r="Z499" t="str">
        <f>HYPERLINK("Melting_Curves/meltCurve_sp_P04217_A1BG_HUMAN_.pdf", "Melting_Curves/meltCurve_sp_P04217_A1BG_HUMAN_.pdf")</f>
        <v>Melting_Curves/meltCurve_sp_P04217_A1BG_HUMAN_.pdf</v>
      </c>
      <c r="AA499" t="s">
        <v>13372</v>
      </c>
      <c r="AB499" t="s">
        <v>17584</v>
      </c>
    </row>
    <row r="500" spans="1:28" x14ac:dyDescent="0.25">
      <c r="A500" t="s">
        <v>504</v>
      </c>
      <c r="B500">
        <v>0.99876560204751996</v>
      </c>
      <c r="C500">
        <v>0.64064041584988896</v>
      </c>
      <c r="D500">
        <v>0.34033929499390703</v>
      </c>
      <c r="E500">
        <v>0.76865986783524598</v>
      </c>
      <c r="F500">
        <v>0.49927931570408801</v>
      </c>
      <c r="G500">
        <v>0.30649922210663999</v>
      </c>
      <c r="H500">
        <v>0.293681968887199</v>
      </c>
      <c r="I500">
        <v>0.59241797615205705</v>
      </c>
      <c r="J500">
        <v>0.18027487195716399</v>
      </c>
      <c r="K500">
        <v>0.51217676064548301</v>
      </c>
      <c r="L500">
        <v>10700.704451289999</v>
      </c>
      <c r="M500">
        <v>250</v>
      </c>
      <c r="N500">
        <v>43.1595210609768</v>
      </c>
      <c r="O500">
        <v>42.800083639438398</v>
      </c>
      <c r="P500">
        <v>-0.82262383980693399</v>
      </c>
      <c r="Q500">
        <v>0.43666615908128897</v>
      </c>
      <c r="R500">
        <v>0.53814278838335705</v>
      </c>
      <c r="S500" t="s">
        <v>4796</v>
      </c>
      <c r="T500" t="s">
        <v>8590</v>
      </c>
      <c r="U500" t="s">
        <v>8590</v>
      </c>
      <c r="V500" t="s">
        <v>8590</v>
      </c>
      <c r="W500">
        <v>29</v>
      </c>
      <c r="X500" t="s">
        <v>9090</v>
      </c>
      <c r="Y500">
        <v>0.48933921313793438</v>
      </c>
      <c r="Z500" t="str">
        <f>HYPERLINK("Melting_Curves/meltCurve_sp_P04264_K2C1_HUMAN_.pdf", "Melting_Curves/meltCurve_sp_P04264_K2C1_HUMAN_.pdf")</f>
        <v>Melting_Curves/meltCurve_sp_P04264_K2C1_HUMAN_.pdf</v>
      </c>
      <c r="AA500" t="s">
        <v>13373</v>
      </c>
      <c r="AB500" t="s">
        <v>17585</v>
      </c>
    </row>
    <row r="501" spans="1:28" x14ac:dyDescent="0.25">
      <c r="A501" t="s">
        <v>505</v>
      </c>
      <c r="B501">
        <v>0.99876560204751996</v>
      </c>
      <c r="C501">
        <v>1.0444164094830799</v>
      </c>
      <c r="D501">
        <v>0.97533893061454702</v>
      </c>
      <c r="E501">
        <v>1.0223116531519001</v>
      </c>
      <c r="F501">
        <v>0.85674831405405205</v>
      </c>
      <c r="G501">
        <v>0.43290595819250899</v>
      </c>
      <c r="H501">
        <v>9.5065152750434395E-2</v>
      </c>
      <c r="I501">
        <v>6.2702568030919101E-2</v>
      </c>
      <c r="J501">
        <v>5.3141547802117703E-2</v>
      </c>
      <c r="K501">
        <v>4.2927854051707702E-2</v>
      </c>
      <c r="L501">
        <v>1775.0449724058101</v>
      </c>
      <c r="M501">
        <v>31.559562413805999</v>
      </c>
      <c r="N501">
        <v>56.390036899377797</v>
      </c>
      <c r="O501">
        <v>56.0199044608161</v>
      </c>
      <c r="P501">
        <v>-0.13532516320565199</v>
      </c>
      <c r="Q501">
        <v>3.9167622842830499E-2</v>
      </c>
      <c r="R501">
        <v>0.99722775169792</v>
      </c>
      <c r="S501" t="s">
        <v>4797</v>
      </c>
      <c r="T501" t="s">
        <v>8590</v>
      </c>
      <c r="U501" t="s">
        <v>8590</v>
      </c>
      <c r="V501" t="s">
        <v>8590</v>
      </c>
      <c r="W501">
        <v>35</v>
      </c>
      <c r="X501" t="s">
        <v>9091</v>
      </c>
      <c r="Y501">
        <v>0.56527578262156974</v>
      </c>
      <c r="Z501" t="str">
        <f>HYPERLINK("Melting_Curves/meltCurve_sp_P04406_G3P_HUMAN_.pdf", "Melting_Curves/meltCurve_sp_P04406_G3P_HUMAN_.pdf")</f>
        <v>Melting_Curves/meltCurve_sp_P04406_G3P_HUMAN_.pdf</v>
      </c>
      <c r="AA501" t="s">
        <v>13374</v>
      </c>
      <c r="AB501" t="s">
        <v>17586</v>
      </c>
    </row>
    <row r="502" spans="1:28" x14ac:dyDescent="0.25">
      <c r="A502" t="s">
        <v>506</v>
      </c>
      <c r="B502">
        <v>0.99876560204751996</v>
      </c>
      <c r="C502">
        <v>1.1288913431816601</v>
      </c>
      <c r="D502">
        <v>1.05262180510332</v>
      </c>
      <c r="E502">
        <v>1.09959246432959</v>
      </c>
      <c r="F502">
        <v>1.0436475897019</v>
      </c>
      <c r="G502">
        <v>0.38463931226308101</v>
      </c>
      <c r="H502">
        <v>8.6326615194296505E-2</v>
      </c>
      <c r="I502">
        <v>6.1690019316355302E-2</v>
      </c>
      <c r="J502">
        <v>5.54483836582782E-2</v>
      </c>
      <c r="K502">
        <v>4.9274183568672698E-2</v>
      </c>
      <c r="L502">
        <v>11934.9486561127</v>
      </c>
      <c r="M502">
        <v>210.034415630361</v>
      </c>
      <c r="N502">
        <v>56.860350783852901</v>
      </c>
      <c r="O502">
        <v>56.818624400784699</v>
      </c>
      <c r="P502">
        <v>-0.86575249999817705</v>
      </c>
      <c r="Q502">
        <v>6.3184647854773193E-2</v>
      </c>
      <c r="R502">
        <v>0.98602518350033097</v>
      </c>
      <c r="S502" t="s">
        <v>4798</v>
      </c>
      <c r="T502" t="s">
        <v>8590</v>
      </c>
      <c r="U502" t="s">
        <v>8590</v>
      </c>
      <c r="V502" t="s">
        <v>8590</v>
      </c>
      <c r="W502">
        <v>33</v>
      </c>
      <c r="X502" t="s">
        <v>9092</v>
      </c>
      <c r="Y502">
        <v>0.58867608497779311</v>
      </c>
      <c r="Z502" t="str">
        <f>HYPERLINK("Melting_Curves/meltCurve_sp_P04424_ARLY_HUMAN_.pdf", "Melting_Curves/meltCurve_sp_P04424_ARLY_HUMAN_.pdf")</f>
        <v>Melting_Curves/meltCurve_sp_P04424_ARLY_HUMAN_.pdf</v>
      </c>
      <c r="AA502" t="s">
        <v>13375</v>
      </c>
      <c r="AB502" t="s">
        <v>17587</v>
      </c>
    </row>
    <row r="503" spans="1:28" x14ac:dyDescent="0.25">
      <c r="A503" t="s">
        <v>507</v>
      </c>
      <c r="B503">
        <v>0.99876560204751996</v>
      </c>
      <c r="C503">
        <v>1.1218684833769701</v>
      </c>
      <c r="D503">
        <v>1.0398077306797999</v>
      </c>
      <c r="E503">
        <v>1.06073649759888</v>
      </c>
      <c r="F503">
        <v>1.00128319356608</v>
      </c>
      <c r="G503">
        <v>0.68988209577010196</v>
      </c>
      <c r="H503">
        <v>0.47461721832981002</v>
      </c>
      <c r="I503">
        <v>0.36027887225400401</v>
      </c>
      <c r="J503">
        <v>0.32681408196827899</v>
      </c>
      <c r="K503">
        <v>0.28956661120340899</v>
      </c>
      <c r="L503">
        <v>1634.35983767214</v>
      </c>
      <c r="M503">
        <v>28.2350816892647</v>
      </c>
      <c r="N503">
        <v>59.932792214868698</v>
      </c>
      <c r="O503">
        <v>57.595990584762603</v>
      </c>
      <c r="P503">
        <v>-8.4620289610195201E-2</v>
      </c>
      <c r="Q503">
        <v>0.30954704764281199</v>
      </c>
      <c r="R503">
        <v>0.97470329157767599</v>
      </c>
      <c r="S503" t="s">
        <v>4799</v>
      </c>
      <c r="T503" t="s">
        <v>8590</v>
      </c>
      <c r="U503" t="s">
        <v>8590</v>
      </c>
      <c r="V503" t="s">
        <v>8590</v>
      </c>
      <c r="W503">
        <v>10</v>
      </c>
      <c r="X503" t="s">
        <v>9093</v>
      </c>
      <c r="Y503">
        <v>0.72617628802961631</v>
      </c>
      <c r="Z503" t="str">
        <f>HYPERLINK("Melting_Curves/meltCurve_sp_P04632_CPNS1_HUMAN_.pdf", "Melting_Curves/meltCurve_sp_P04632_CPNS1_HUMAN_.pdf")</f>
        <v>Melting_Curves/meltCurve_sp_P04632_CPNS1_HUMAN_.pdf</v>
      </c>
      <c r="AA503" t="s">
        <v>13376</v>
      </c>
      <c r="AB503" t="s">
        <v>17588</v>
      </c>
    </row>
    <row r="504" spans="1:28" x14ac:dyDescent="0.25">
      <c r="A504" t="s">
        <v>508</v>
      </c>
      <c r="B504">
        <v>0.99876560204751996</v>
      </c>
      <c r="C504">
        <v>0.95177273001461205</v>
      </c>
      <c r="D504">
        <v>1.9003934862463401</v>
      </c>
      <c r="E504">
        <v>0.92462163388793905</v>
      </c>
      <c r="F504">
        <v>1.14687013160735</v>
      </c>
      <c r="G504">
        <v>1.02484920196884</v>
      </c>
      <c r="H504">
        <v>1.0661770412595799</v>
      </c>
      <c r="I504">
        <v>1.40333270225249</v>
      </c>
      <c r="J504">
        <v>2.5630998755993999</v>
      </c>
      <c r="K504">
        <v>2.4328866417672201</v>
      </c>
      <c r="L504">
        <v>5930.3205329696302</v>
      </c>
      <c r="M504">
        <v>94.748224197554094</v>
      </c>
      <c r="O504">
        <v>62.562437059010797</v>
      </c>
      <c r="P504">
        <v>0.189307334755979</v>
      </c>
      <c r="Q504">
        <v>1.5</v>
      </c>
      <c r="R504">
        <v>0.19993876663389001</v>
      </c>
      <c r="S504" t="s">
        <v>4800</v>
      </c>
      <c r="T504" t="s">
        <v>8590</v>
      </c>
      <c r="U504" t="s">
        <v>8590</v>
      </c>
      <c r="V504" t="s">
        <v>8590</v>
      </c>
      <c r="W504">
        <v>4</v>
      </c>
      <c r="X504" t="s">
        <v>9094</v>
      </c>
      <c r="Y504">
        <v>1.1231126091961381</v>
      </c>
      <c r="Z504" t="str">
        <f>HYPERLINK("Melting_Curves/meltCurve_sp_P04731_MT1A_HUMAN_.pdf", "Melting_Curves/meltCurve_sp_P04731_MT1A_HUMAN_.pdf")</f>
        <v>Melting_Curves/meltCurve_sp_P04731_MT1A_HUMAN_.pdf</v>
      </c>
      <c r="AA504" t="s">
        <v>13377</v>
      </c>
      <c r="AB504" t="s">
        <v>17589</v>
      </c>
    </row>
    <row r="505" spans="1:28" x14ac:dyDescent="0.25">
      <c r="A505" t="s">
        <v>509</v>
      </c>
      <c r="B505">
        <v>0.99876560204751996</v>
      </c>
      <c r="C505">
        <v>1.24703506280635</v>
      </c>
      <c r="D505">
        <v>1.18049740847054</v>
      </c>
      <c r="E505">
        <v>1.2690112993787199</v>
      </c>
      <c r="F505">
        <v>1.1241201452649401</v>
      </c>
      <c r="G505">
        <v>0.90298773027437895</v>
      </c>
      <c r="H505">
        <v>1.2118539932783901</v>
      </c>
      <c r="I505">
        <v>1.1270675760503499</v>
      </c>
      <c r="J505">
        <v>1.6215096074445901</v>
      </c>
      <c r="K505">
        <v>1.44225139262365</v>
      </c>
      <c r="L505">
        <v>257.202807180847</v>
      </c>
      <c r="M505">
        <v>4.3523317736871201</v>
      </c>
      <c r="O505">
        <v>49.761320898971903</v>
      </c>
      <c r="P505">
        <v>1.1039811767173001E-2</v>
      </c>
      <c r="Q505">
        <v>1.5</v>
      </c>
      <c r="R505">
        <v>0.222886446789235</v>
      </c>
      <c r="S505" t="s">
        <v>4801</v>
      </c>
      <c r="T505" t="s">
        <v>8590</v>
      </c>
      <c r="U505" t="s">
        <v>8590</v>
      </c>
      <c r="V505" t="s">
        <v>8590</v>
      </c>
      <c r="W505">
        <v>5</v>
      </c>
      <c r="X505" t="s">
        <v>9095</v>
      </c>
      <c r="Y505">
        <v>1.203183406003804</v>
      </c>
      <c r="Z505" t="str">
        <f>HYPERLINK("Melting_Curves/meltCurve_sp_P04732_MT1E_HUMAN_.pdf", "Melting_Curves/meltCurve_sp_P04732_MT1E_HUMAN_.pdf")</f>
        <v>Melting_Curves/meltCurve_sp_P04732_MT1E_HUMAN_.pdf</v>
      </c>
      <c r="AA505" t="s">
        <v>13378</v>
      </c>
      <c r="AB505" t="s">
        <v>17590</v>
      </c>
    </row>
    <row r="506" spans="1:28" x14ac:dyDescent="0.25">
      <c r="A506" t="s">
        <v>510</v>
      </c>
      <c r="B506">
        <v>0.99876560204751996</v>
      </c>
      <c r="C506">
        <v>0.85078272168765301</v>
      </c>
      <c r="D506">
        <v>0.91788278000540502</v>
      </c>
      <c r="E506">
        <v>0.81154525730434202</v>
      </c>
      <c r="F506">
        <v>0.85154277987028404</v>
      </c>
      <c r="G506">
        <v>0.96442451283443198</v>
      </c>
      <c r="H506">
        <v>0.909792657161691</v>
      </c>
      <c r="I506">
        <v>1.43453238528976</v>
      </c>
      <c r="J506">
        <v>1.51784751223243</v>
      </c>
      <c r="K506">
        <v>2.2390329361335701</v>
      </c>
      <c r="L506">
        <v>15000</v>
      </c>
      <c r="M506">
        <v>236.26681579036699</v>
      </c>
      <c r="O506">
        <v>63.482995847086102</v>
      </c>
      <c r="P506">
        <v>0.465216734568213</v>
      </c>
      <c r="Q506">
        <v>1.5</v>
      </c>
      <c r="R506">
        <v>0.65538844098903004</v>
      </c>
      <c r="S506" t="s">
        <v>4802</v>
      </c>
      <c r="T506" t="s">
        <v>8590</v>
      </c>
      <c r="U506" t="s">
        <v>8590</v>
      </c>
      <c r="V506" t="s">
        <v>8590</v>
      </c>
      <c r="W506">
        <v>4</v>
      </c>
      <c r="X506" t="s">
        <v>9096</v>
      </c>
      <c r="Y506">
        <v>1.1084785476381691</v>
      </c>
      <c r="Z506" t="str">
        <f>HYPERLINK("Melting_Curves/meltCurve_sp_P04733_MT1F_HUMAN_.pdf", "Melting_Curves/meltCurve_sp_P04733_MT1F_HUMAN_.pdf")</f>
        <v>Melting_Curves/meltCurve_sp_P04733_MT1F_HUMAN_.pdf</v>
      </c>
      <c r="AA506" t="s">
        <v>13379</v>
      </c>
      <c r="AB506" t="s">
        <v>17591</v>
      </c>
    </row>
    <row r="507" spans="1:28" x14ac:dyDescent="0.25">
      <c r="A507" t="s">
        <v>511</v>
      </c>
      <c r="B507">
        <v>0.99876560204751996</v>
      </c>
      <c r="C507">
        <v>0.94591488764376097</v>
      </c>
      <c r="D507">
        <v>0.92860599543696298</v>
      </c>
      <c r="E507">
        <v>0.702197901118774</v>
      </c>
      <c r="F507">
        <v>0.63166993577179797</v>
      </c>
      <c r="G507">
        <v>0.37537125839289598</v>
      </c>
      <c r="H507">
        <v>0.31515829525398997</v>
      </c>
      <c r="I507">
        <v>0.32446410672806603</v>
      </c>
      <c r="J507">
        <v>0.431882836349338</v>
      </c>
      <c r="K507">
        <v>0.50688869843913698</v>
      </c>
      <c r="L507">
        <v>1053.3599391851001</v>
      </c>
      <c r="M507">
        <v>20.824553312258701</v>
      </c>
      <c r="N507">
        <v>54.395116450828503</v>
      </c>
      <c r="O507">
        <v>50.123080389505297</v>
      </c>
      <c r="P507">
        <v>-6.4001199029415701E-2</v>
      </c>
      <c r="Q507">
        <v>0.38383346313812999</v>
      </c>
      <c r="R507">
        <v>0.93676248985255595</v>
      </c>
      <c r="S507" t="s">
        <v>4803</v>
      </c>
      <c r="T507" t="s">
        <v>8590</v>
      </c>
      <c r="U507" t="s">
        <v>8590</v>
      </c>
      <c r="V507" t="s">
        <v>8590</v>
      </c>
      <c r="W507">
        <v>15</v>
      </c>
      <c r="X507" t="s">
        <v>9097</v>
      </c>
      <c r="Y507">
        <v>0.60911311762618114</v>
      </c>
      <c r="Z507" t="str">
        <f>HYPERLINK("Melting_Curves/meltCurve_sp_P04792_HSPB1_HUMAN_.pdf", "Melting_Curves/meltCurve_sp_P04792_HSPB1_HUMAN_.pdf")</f>
        <v>Melting_Curves/meltCurve_sp_P04792_HSPB1_HUMAN_.pdf</v>
      </c>
      <c r="AA507" t="s">
        <v>13380</v>
      </c>
      <c r="AB507" t="s">
        <v>17592</v>
      </c>
    </row>
    <row r="508" spans="1:28" x14ac:dyDescent="0.25">
      <c r="A508" t="s">
        <v>512</v>
      </c>
      <c r="B508">
        <v>0.99876560204751996</v>
      </c>
      <c r="C508">
        <v>0.90584114322353604</v>
      </c>
      <c r="D508">
        <v>0.65722800810308502</v>
      </c>
      <c r="E508">
        <v>0.51568489295447895</v>
      </c>
      <c r="F508">
        <v>0.24311149964329301</v>
      </c>
      <c r="G508">
        <v>0.12558062444381099</v>
      </c>
      <c r="H508">
        <v>8.0816735982574495E-2</v>
      </c>
      <c r="I508">
        <v>6.7882276273504696E-2</v>
      </c>
      <c r="J508">
        <v>5.5395986020543297E-2</v>
      </c>
      <c r="K508">
        <v>3.4158571628831E-2</v>
      </c>
      <c r="L508">
        <v>693.89137212308503</v>
      </c>
      <c r="M508">
        <v>14.1568078165133</v>
      </c>
      <c r="N508">
        <v>49.190213343753399</v>
      </c>
      <c r="O508">
        <v>48.067756144598597</v>
      </c>
      <c r="P508">
        <v>-7.1824901151630802E-2</v>
      </c>
      <c r="Q508">
        <v>2.4631916509892601E-2</v>
      </c>
      <c r="R508">
        <v>0.98980742186829795</v>
      </c>
      <c r="S508" t="s">
        <v>4804</v>
      </c>
      <c r="T508" t="s">
        <v>8590</v>
      </c>
      <c r="U508" t="s">
        <v>8590</v>
      </c>
      <c r="V508" t="s">
        <v>8590</v>
      </c>
      <c r="W508">
        <v>2</v>
      </c>
      <c r="X508" t="s">
        <v>9098</v>
      </c>
      <c r="Y508">
        <v>0.34450641036073593</v>
      </c>
      <c r="Z508" t="str">
        <f>HYPERLINK("Melting_Curves/meltCurve_sp_P04899_GNAI2_HUMAN_.pdf", "Melting_Curves/meltCurve_sp_P04899_GNAI2_HUMAN_.pdf")</f>
        <v>Melting_Curves/meltCurve_sp_P04899_GNAI2_HUMAN_.pdf</v>
      </c>
      <c r="AA508" t="s">
        <v>13381</v>
      </c>
      <c r="AB508" t="s">
        <v>17593</v>
      </c>
    </row>
    <row r="509" spans="1:28" x14ac:dyDescent="0.25">
      <c r="A509" t="s">
        <v>513</v>
      </c>
      <c r="B509">
        <v>0.99876560204751996</v>
      </c>
      <c r="C509">
        <v>1.11583647089578</v>
      </c>
      <c r="D509">
        <v>0.67628238336848001</v>
      </c>
      <c r="E509">
        <v>0.59495143645249304</v>
      </c>
      <c r="F509">
        <v>0.39188377159360499</v>
      </c>
      <c r="G509">
        <v>0.22049803450948</v>
      </c>
      <c r="H509">
        <v>0.14640652602912499</v>
      </c>
      <c r="I509">
        <v>0.122283817542019</v>
      </c>
      <c r="J509">
        <v>0.109519161476604</v>
      </c>
      <c r="K509">
        <v>9.2962381533675101E-2</v>
      </c>
      <c r="L509">
        <v>749.15135446591</v>
      </c>
      <c r="M509">
        <v>14.8917933016098</v>
      </c>
      <c r="N509">
        <v>50.954738282509702</v>
      </c>
      <c r="O509">
        <v>49.425291989148299</v>
      </c>
      <c r="P509">
        <v>-6.8830245556418201E-2</v>
      </c>
      <c r="Q509">
        <v>8.6314825652028901E-2</v>
      </c>
      <c r="R509">
        <v>0.95865240057956902</v>
      </c>
      <c r="S509" t="s">
        <v>4805</v>
      </c>
      <c r="T509" t="s">
        <v>8590</v>
      </c>
      <c r="U509" t="s">
        <v>8590</v>
      </c>
      <c r="V509" t="s">
        <v>8590</v>
      </c>
      <c r="W509">
        <v>5</v>
      </c>
      <c r="X509" t="s">
        <v>9099</v>
      </c>
      <c r="Y509">
        <v>0.4220544223355413</v>
      </c>
      <c r="Z509" t="str">
        <f>HYPERLINK("Melting_Curves/meltCurve_sp_P05023_3_AT1A1_HUMAN_.pdf", "Melting_Curves/meltCurve_sp_P05023_3_AT1A1_HUMAN_.pdf")</f>
        <v>Melting_Curves/meltCurve_sp_P05023_3_AT1A1_HUMAN_.pdf</v>
      </c>
      <c r="AA509" t="s">
        <v>13382</v>
      </c>
      <c r="AB509" t="s">
        <v>17594</v>
      </c>
    </row>
    <row r="510" spans="1:28" x14ac:dyDescent="0.25">
      <c r="A510" t="s">
        <v>514</v>
      </c>
      <c r="B510">
        <v>0.99876560204751996</v>
      </c>
      <c r="C510">
        <v>1.04987670176604</v>
      </c>
      <c r="D510">
        <v>0.97093740695310704</v>
      </c>
      <c r="E510">
        <v>1.1089005267409999</v>
      </c>
      <c r="F510">
        <v>0.96459809096608795</v>
      </c>
      <c r="G510">
        <v>0.25200926965322401</v>
      </c>
      <c r="H510">
        <v>8.1600922794798594E-2</v>
      </c>
      <c r="I510">
        <v>4.8190637756665301E-2</v>
      </c>
      <c r="J510">
        <v>4.0673041741950397E-2</v>
      </c>
      <c r="K510">
        <v>3.5108407573953199E-2</v>
      </c>
      <c r="L510">
        <v>3461.9320031450402</v>
      </c>
      <c r="M510">
        <v>62.037356126268001</v>
      </c>
      <c r="N510">
        <v>55.898651254665403</v>
      </c>
      <c r="O510">
        <v>55.746091745053398</v>
      </c>
      <c r="P510">
        <v>-0.26433968069765001</v>
      </c>
      <c r="Q510">
        <v>4.9869326041079402E-2</v>
      </c>
      <c r="R510">
        <v>0.99254309751733505</v>
      </c>
      <c r="S510" t="s">
        <v>4806</v>
      </c>
      <c r="T510" t="s">
        <v>8590</v>
      </c>
      <c r="U510" t="s">
        <v>8590</v>
      </c>
      <c r="V510" t="s">
        <v>8590</v>
      </c>
      <c r="W510">
        <v>36</v>
      </c>
      <c r="X510" t="s">
        <v>9100</v>
      </c>
      <c r="Y510">
        <v>0.5519139307010138</v>
      </c>
      <c r="Z510" t="str">
        <f>HYPERLINK("Melting_Curves/meltCurve_sp_P05062_ALDOB_HUMAN_.pdf", "Melting_Curves/meltCurve_sp_P05062_ALDOB_HUMAN_.pdf")</f>
        <v>Melting_Curves/meltCurve_sp_P05062_ALDOB_HUMAN_.pdf</v>
      </c>
      <c r="AA510" t="s">
        <v>13383</v>
      </c>
      <c r="AB510" t="s">
        <v>17595</v>
      </c>
    </row>
    <row r="511" spans="1:28" x14ac:dyDescent="0.25">
      <c r="A511" t="s">
        <v>515</v>
      </c>
      <c r="B511">
        <v>0.99876560204751996</v>
      </c>
      <c r="C511">
        <v>1.10013371039022</v>
      </c>
      <c r="D511">
        <v>1.0994401247527501</v>
      </c>
      <c r="E511">
        <v>0.82181076330917502</v>
      </c>
      <c r="F511">
        <v>0.73872104424577301</v>
      </c>
      <c r="G511">
        <v>0.87635357837761296</v>
      </c>
      <c r="H511">
        <v>0.51896291464037503</v>
      </c>
      <c r="I511">
        <v>0.62647808962196605</v>
      </c>
      <c r="J511">
        <v>0.295609601687504</v>
      </c>
      <c r="K511">
        <v>7.6397535176942893E-2</v>
      </c>
      <c r="L511">
        <v>756.99194802490501</v>
      </c>
      <c r="M511">
        <v>12.0657625340158</v>
      </c>
      <c r="N511">
        <v>62.738840262786397</v>
      </c>
      <c r="O511">
        <v>61.090023741819699</v>
      </c>
      <c r="P511">
        <v>-4.9388620168335798E-2</v>
      </c>
      <c r="Q511">
        <v>0</v>
      </c>
      <c r="R511">
        <v>0.86645461799147605</v>
      </c>
      <c r="S511" t="s">
        <v>4807</v>
      </c>
      <c r="T511" t="s">
        <v>8590</v>
      </c>
      <c r="U511" t="s">
        <v>8590</v>
      </c>
      <c r="V511" t="s">
        <v>8590</v>
      </c>
      <c r="W511">
        <v>29</v>
      </c>
      <c r="X511" t="s">
        <v>9101</v>
      </c>
      <c r="Y511">
        <v>0.74083467642836276</v>
      </c>
      <c r="Z511" t="str">
        <f>HYPERLINK("Melting_Curves/meltCurve_sp_P05089_ARGI1_HUMAN_.pdf", "Melting_Curves/meltCurve_sp_P05089_ARGI1_HUMAN_.pdf")</f>
        <v>Melting_Curves/meltCurve_sp_P05089_ARGI1_HUMAN_.pdf</v>
      </c>
      <c r="AA511" t="s">
        <v>13384</v>
      </c>
      <c r="AB511" t="s">
        <v>17596</v>
      </c>
    </row>
    <row r="512" spans="1:28" x14ac:dyDescent="0.25">
      <c r="A512" t="s">
        <v>516</v>
      </c>
      <c r="B512">
        <v>0.99876560204751996</v>
      </c>
      <c r="C512">
        <v>1.11860807939744</v>
      </c>
      <c r="D512">
        <v>0.89311572249507998</v>
      </c>
      <c r="E512">
        <v>0.81798994254179902</v>
      </c>
      <c r="F512">
        <v>0.69324711899334701</v>
      </c>
      <c r="G512">
        <v>0.44105644868979799</v>
      </c>
      <c r="H512">
        <v>0.320322111752119</v>
      </c>
      <c r="I512">
        <v>0.20485928564233899</v>
      </c>
      <c r="J512">
        <v>0.170878133787918</v>
      </c>
      <c r="K512">
        <v>0.12167525925091099</v>
      </c>
      <c r="L512">
        <v>737.86905312327701</v>
      </c>
      <c r="M512">
        <v>13.284970187471201</v>
      </c>
      <c r="N512">
        <v>56.253860264704898</v>
      </c>
      <c r="O512">
        <v>54.328411508892898</v>
      </c>
      <c r="P512">
        <v>-5.6409766031403699E-2</v>
      </c>
      <c r="Q512">
        <v>7.7406894484513003E-2</v>
      </c>
      <c r="R512">
        <v>0.98139532412347696</v>
      </c>
      <c r="S512" t="s">
        <v>4808</v>
      </c>
      <c r="T512" t="s">
        <v>8590</v>
      </c>
      <c r="U512" t="s">
        <v>8590</v>
      </c>
      <c r="V512" t="s">
        <v>8590</v>
      </c>
      <c r="W512">
        <v>9</v>
      </c>
      <c r="X512" t="s">
        <v>9102</v>
      </c>
      <c r="Y512">
        <v>0.57425607819577185</v>
      </c>
      <c r="Z512" t="str">
        <f>HYPERLINK("Melting_Curves/meltCurve_sp_P05090_APOD_HUMAN_.pdf", "Melting_Curves/meltCurve_sp_P05090_APOD_HUMAN_.pdf")</f>
        <v>Melting_Curves/meltCurve_sp_P05090_APOD_HUMAN_.pdf</v>
      </c>
      <c r="AA512" t="s">
        <v>13385</v>
      </c>
      <c r="AB512" t="s">
        <v>17597</v>
      </c>
    </row>
    <row r="513" spans="1:28" x14ac:dyDescent="0.25">
      <c r="A513" t="s">
        <v>517</v>
      </c>
      <c r="B513">
        <v>0.99876560204751996</v>
      </c>
      <c r="C513">
        <v>1.07299310216735</v>
      </c>
      <c r="D513">
        <v>0.96085937361835405</v>
      </c>
      <c r="E513">
        <v>0.98864770587321404</v>
      </c>
      <c r="F513">
        <v>0.58520995709543699</v>
      </c>
      <c r="G513">
        <v>0.18119860426828499</v>
      </c>
      <c r="H513">
        <v>6.4152552389471207E-2</v>
      </c>
      <c r="I513">
        <v>4.5057785622345699E-2</v>
      </c>
      <c r="J513">
        <v>4.0563913259091498E-2</v>
      </c>
      <c r="K513">
        <v>3.4072498867631799E-2</v>
      </c>
      <c r="L513">
        <v>1904.98429662627</v>
      </c>
      <c r="M513">
        <v>35.557945718236198</v>
      </c>
      <c r="N513">
        <v>53.724601144589499</v>
      </c>
      <c r="O513">
        <v>53.405480364357999</v>
      </c>
      <c r="P513">
        <v>-0.158561509024125</v>
      </c>
      <c r="Q513">
        <v>4.7411149806624003E-2</v>
      </c>
      <c r="R513">
        <v>0.99373102290446802</v>
      </c>
      <c r="S513" t="s">
        <v>4809</v>
      </c>
      <c r="T513" t="s">
        <v>8590</v>
      </c>
      <c r="U513" t="s">
        <v>8590</v>
      </c>
      <c r="V513" t="s">
        <v>8590</v>
      </c>
      <c r="W513">
        <v>39</v>
      </c>
      <c r="X513" t="s">
        <v>9103</v>
      </c>
      <c r="Y513">
        <v>0.48288352070004809</v>
      </c>
      <c r="Z513" t="str">
        <f>HYPERLINK("Melting_Curves/meltCurve_sp_P05091_ALDH2_HUMAN_.pdf", "Melting_Curves/meltCurve_sp_P05091_ALDH2_HUMAN_.pdf")</f>
        <v>Melting_Curves/meltCurve_sp_P05091_ALDH2_HUMAN_.pdf</v>
      </c>
      <c r="AA513" t="s">
        <v>13386</v>
      </c>
      <c r="AB513" t="s">
        <v>17598</v>
      </c>
    </row>
    <row r="514" spans="1:28" x14ac:dyDescent="0.25">
      <c r="A514" t="s">
        <v>518</v>
      </c>
      <c r="B514">
        <v>0.99876560204751996</v>
      </c>
      <c r="C514">
        <v>0.90305901263268995</v>
      </c>
      <c r="D514">
        <v>0.93788666177336999</v>
      </c>
      <c r="E514">
        <v>0.85716270997205002</v>
      </c>
      <c r="F514">
        <v>0.84848921766576901</v>
      </c>
      <c r="G514">
        <v>0.48462614950846</v>
      </c>
      <c r="H514">
        <v>0.41898337385437801</v>
      </c>
      <c r="I514">
        <v>0.35700005030481802</v>
      </c>
      <c r="J514">
        <v>0.23043427536092201</v>
      </c>
      <c r="K514">
        <v>0.19598734773986601</v>
      </c>
      <c r="L514">
        <v>664.22319730018899</v>
      </c>
      <c r="M514">
        <v>11.542565942142099</v>
      </c>
      <c r="N514">
        <v>58.674398312090801</v>
      </c>
      <c r="O514">
        <v>55.899578992392598</v>
      </c>
      <c r="P514">
        <v>-4.64947627441651E-2</v>
      </c>
      <c r="Q514">
        <v>9.9572571646468197E-2</v>
      </c>
      <c r="R514">
        <v>0.97127073118932705</v>
      </c>
      <c r="S514" t="s">
        <v>4810</v>
      </c>
      <c r="T514" t="s">
        <v>8590</v>
      </c>
      <c r="U514" t="s">
        <v>8590</v>
      </c>
      <c r="V514" t="s">
        <v>8590</v>
      </c>
      <c r="W514">
        <v>4</v>
      </c>
      <c r="X514" t="s">
        <v>9104</v>
      </c>
      <c r="Y514">
        <v>0.63915518385371306</v>
      </c>
      <c r="Z514" t="str">
        <f>HYPERLINK("Melting_Curves/meltCurve_sp_P05109_S10A8_HUMAN_.pdf", "Melting_Curves/meltCurve_sp_P05109_S10A8_HUMAN_.pdf")</f>
        <v>Melting_Curves/meltCurve_sp_P05109_S10A8_HUMAN_.pdf</v>
      </c>
      <c r="AA514" t="s">
        <v>13387</v>
      </c>
      <c r="AB514" t="s">
        <v>17599</v>
      </c>
    </row>
    <row r="515" spans="1:28" x14ac:dyDescent="0.25">
      <c r="A515" t="s">
        <v>519</v>
      </c>
      <c r="B515">
        <v>0.99876560204751996</v>
      </c>
      <c r="C515">
        <v>0.85171402031485999</v>
      </c>
      <c r="D515">
        <v>1.1568770792893801</v>
      </c>
      <c r="E515">
        <v>1.10615421425168</v>
      </c>
      <c r="F515">
        <v>1.81967025178953</v>
      </c>
      <c r="G515">
        <v>1.3715563227531999</v>
      </c>
      <c r="H515">
        <v>1.3548659133327301</v>
      </c>
      <c r="I515">
        <v>1.5515673707745099</v>
      </c>
      <c r="J515">
        <v>2.0461777160837098</v>
      </c>
      <c r="K515">
        <v>2.1574347239553999</v>
      </c>
      <c r="L515">
        <v>12565.55067106</v>
      </c>
      <c r="M515">
        <v>250</v>
      </c>
      <c r="O515">
        <v>50.258986626595998</v>
      </c>
      <c r="P515">
        <v>0.62177935482934998</v>
      </c>
      <c r="Q515">
        <v>1.5</v>
      </c>
      <c r="R515">
        <v>0.484287389363868</v>
      </c>
      <c r="S515" t="s">
        <v>4811</v>
      </c>
      <c r="T515" t="s">
        <v>8590</v>
      </c>
      <c r="U515" t="s">
        <v>8590</v>
      </c>
      <c r="V515" t="s">
        <v>8590</v>
      </c>
      <c r="W515">
        <v>2</v>
      </c>
      <c r="X515" t="s">
        <v>9105</v>
      </c>
      <c r="Y515">
        <v>1.3289191839042711</v>
      </c>
      <c r="Z515" t="str">
        <f>HYPERLINK("Melting_Curves/meltCurve_sp_P05114_HMGN1_HUMAN_.pdf", "Melting_Curves/meltCurve_sp_P05114_HMGN1_HUMAN_.pdf")</f>
        <v>Melting_Curves/meltCurve_sp_P05114_HMGN1_HUMAN_.pdf</v>
      </c>
      <c r="AA515" t="s">
        <v>13388</v>
      </c>
      <c r="AB515" t="s">
        <v>17600</v>
      </c>
    </row>
    <row r="516" spans="1:28" x14ac:dyDescent="0.25">
      <c r="A516" t="s">
        <v>520</v>
      </c>
      <c r="B516">
        <v>0.99876560204751996</v>
      </c>
      <c r="C516">
        <v>1.21038479608675</v>
      </c>
      <c r="D516">
        <v>0.73024615835142104</v>
      </c>
      <c r="E516">
        <v>0.60213051045227906</v>
      </c>
      <c r="F516">
        <v>0.35431503828730998</v>
      </c>
      <c r="G516">
        <v>0.159620816974858</v>
      </c>
      <c r="H516">
        <v>0.118853789178805</v>
      </c>
      <c r="I516">
        <v>0.108508829409454</v>
      </c>
      <c r="J516">
        <v>0.103488141982608</v>
      </c>
      <c r="K516">
        <v>8.80084498189833E-2</v>
      </c>
      <c r="L516">
        <v>950.63679467239695</v>
      </c>
      <c r="M516">
        <v>18.890602456259899</v>
      </c>
      <c r="N516">
        <v>50.846709486135403</v>
      </c>
      <c r="O516">
        <v>49.7695066925696</v>
      </c>
      <c r="P516">
        <v>-8.6509021341522593E-2</v>
      </c>
      <c r="Q516">
        <v>8.8364561602809505E-2</v>
      </c>
      <c r="R516">
        <v>0.94848943751474601</v>
      </c>
      <c r="S516" t="s">
        <v>4812</v>
      </c>
      <c r="T516" t="s">
        <v>8590</v>
      </c>
      <c r="U516" t="s">
        <v>8590</v>
      </c>
      <c r="V516" t="s">
        <v>8590</v>
      </c>
      <c r="W516">
        <v>2</v>
      </c>
      <c r="X516" t="s">
        <v>9106</v>
      </c>
      <c r="Y516">
        <v>0.41620434809772439</v>
      </c>
      <c r="Z516" t="str">
        <f>HYPERLINK("Melting_Curves/meltCurve_sp_P05141_ADT2_HUMAN_.pdf", "Melting_Curves/meltCurve_sp_P05141_ADT2_HUMAN_.pdf")</f>
        <v>Melting_Curves/meltCurve_sp_P05141_ADT2_HUMAN_.pdf</v>
      </c>
      <c r="AA516" t="s">
        <v>13389</v>
      </c>
      <c r="AB516" t="s">
        <v>17601</v>
      </c>
    </row>
    <row r="517" spans="1:28" x14ac:dyDescent="0.25">
      <c r="A517" t="s">
        <v>521</v>
      </c>
      <c r="B517">
        <v>0.99876560204751996</v>
      </c>
      <c r="C517">
        <v>1.09641767633725</v>
      </c>
      <c r="D517">
        <v>1.21562921491172</v>
      </c>
      <c r="E517">
        <v>1.0477864963410499</v>
      </c>
      <c r="F517">
        <v>0.92257401645811998</v>
      </c>
      <c r="G517">
        <v>0.62065092753121098</v>
      </c>
      <c r="H517">
        <v>0.47721075045961497</v>
      </c>
      <c r="I517">
        <v>0.361235727858149</v>
      </c>
      <c r="J517">
        <v>0.16103999120138601</v>
      </c>
      <c r="K517">
        <v>8.4897645507845204E-2</v>
      </c>
      <c r="L517">
        <v>955.72417251183197</v>
      </c>
      <c r="M517">
        <v>15.843843968693699</v>
      </c>
      <c r="N517">
        <v>60.393593851789497</v>
      </c>
      <c r="O517">
        <v>59.385063093528998</v>
      </c>
      <c r="P517">
        <v>-6.6080037576562403E-2</v>
      </c>
      <c r="Q517">
        <v>9.3698988236410093E-3</v>
      </c>
      <c r="R517">
        <v>0.94609841392720695</v>
      </c>
      <c r="S517" t="s">
        <v>4813</v>
      </c>
      <c r="T517" t="s">
        <v>8590</v>
      </c>
      <c r="U517" t="s">
        <v>8590</v>
      </c>
      <c r="V517" t="s">
        <v>8590</v>
      </c>
      <c r="W517">
        <v>1</v>
      </c>
      <c r="X517" t="s">
        <v>9107</v>
      </c>
      <c r="Y517">
        <v>0.68664850858244053</v>
      </c>
      <c r="Z517" t="str">
        <f>HYPERLINK("Melting_Curves/meltCurve_sp_P05154_IPSP_HUMAN_.pdf", "Melting_Curves/meltCurve_sp_P05154_IPSP_HUMAN_.pdf")</f>
        <v>Melting_Curves/meltCurve_sp_P05154_IPSP_HUMAN_.pdf</v>
      </c>
      <c r="AA517" t="s">
        <v>13390</v>
      </c>
      <c r="AB517" t="s">
        <v>17602</v>
      </c>
    </row>
    <row r="518" spans="1:28" x14ac:dyDescent="0.25">
      <c r="A518" t="s">
        <v>522</v>
      </c>
      <c r="B518">
        <v>0.99876560204751996</v>
      </c>
      <c r="C518">
        <v>0.95433199466918295</v>
      </c>
      <c r="D518">
        <v>0.96640461528399502</v>
      </c>
      <c r="E518">
        <v>0.85737998404972005</v>
      </c>
      <c r="F518">
        <v>0.76448065474872495</v>
      </c>
      <c r="G518">
        <v>0.49200738459107102</v>
      </c>
      <c r="H518">
        <v>0.27180085783833602</v>
      </c>
      <c r="I518">
        <v>0.18385360169534701</v>
      </c>
      <c r="J518">
        <v>0.17982894198938701</v>
      </c>
      <c r="K518">
        <v>0.15558921135745299</v>
      </c>
      <c r="L518">
        <v>922.20886179506704</v>
      </c>
      <c r="M518">
        <v>16.5173891301922</v>
      </c>
      <c r="N518">
        <v>56.705537591631</v>
      </c>
      <c r="O518">
        <v>55.033473677255699</v>
      </c>
      <c r="P518">
        <v>-6.6614803393740193E-2</v>
      </c>
      <c r="Q518">
        <v>0.112259139808787</v>
      </c>
      <c r="R518">
        <v>0.99620640163940999</v>
      </c>
      <c r="S518" t="s">
        <v>4814</v>
      </c>
      <c r="T518" t="s">
        <v>8590</v>
      </c>
      <c r="U518" t="s">
        <v>8590</v>
      </c>
      <c r="V518" t="s">
        <v>8590</v>
      </c>
      <c r="W518">
        <v>16</v>
      </c>
      <c r="X518" t="s">
        <v>9108</v>
      </c>
      <c r="Y518">
        <v>0.59533045824663977</v>
      </c>
      <c r="Z518" t="str">
        <f>HYPERLINK("Melting_Curves/meltCurve_sp_P05155_IC1_HUMAN_.pdf", "Melting_Curves/meltCurve_sp_P05155_IC1_HUMAN_.pdf")</f>
        <v>Melting_Curves/meltCurve_sp_P05155_IC1_HUMAN_.pdf</v>
      </c>
      <c r="AA518" t="s">
        <v>13391</v>
      </c>
      <c r="AB518" t="s">
        <v>17603</v>
      </c>
    </row>
    <row r="519" spans="1:28" x14ac:dyDescent="0.25">
      <c r="A519" t="s">
        <v>523</v>
      </c>
      <c r="B519">
        <v>0.99876560204751996</v>
      </c>
      <c r="C519">
        <v>0.95050595713900798</v>
      </c>
      <c r="D519">
        <v>0.91040988824521696</v>
      </c>
      <c r="E519">
        <v>0.72650611393806397</v>
      </c>
      <c r="F519">
        <v>0.49168803837668901</v>
      </c>
      <c r="G519">
        <v>0.228887494752536</v>
      </c>
      <c r="H519">
        <v>0.12284787872882399</v>
      </c>
      <c r="I519">
        <v>5.33811490403438E-2</v>
      </c>
      <c r="J519">
        <v>2.9627831583727001E-2</v>
      </c>
      <c r="K519">
        <v>2.4705062350530001E-2</v>
      </c>
      <c r="L519">
        <v>840.05343890309098</v>
      </c>
      <c r="M519">
        <v>15.881775649839099</v>
      </c>
      <c r="N519">
        <v>52.894182788776398</v>
      </c>
      <c r="O519">
        <v>52.0768748583939</v>
      </c>
      <c r="P519">
        <v>-7.6248139191723893E-2</v>
      </c>
      <c r="Q519">
        <v>0</v>
      </c>
      <c r="R519">
        <v>0.99915085753210997</v>
      </c>
      <c r="S519" t="s">
        <v>4815</v>
      </c>
      <c r="T519" t="s">
        <v>8590</v>
      </c>
      <c r="U519" t="s">
        <v>8590</v>
      </c>
      <c r="V519" t="s">
        <v>8590</v>
      </c>
      <c r="W519">
        <v>3</v>
      </c>
      <c r="X519" t="s">
        <v>9109</v>
      </c>
      <c r="Y519">
        <v>0.44971230370919801</v>
      </c>
      <c r="Z519" t="str">
        <f>HYPERLINK("Melting_Curves/meltCurve_sp_P05161_ISG15_HUMAN_.pdf", "Melting_Curves/meltCurve_sp_P05161_ISG15_HUMAN_.pdf")</f>
        <v>Melting_Curves/meltCurve_sp_P05161_ISG15_HUMAN_.pdf</v>
      </c>
      <c r="AA519" t="s">
        <v>13392</v>
      </c>
      <c r="AB519" t="s">
        <v>17604</v>
      </c>
    </row>
    <row r="520" spans="1:28" x14ac:dyDescent="0.25">
      <c r="A520" t="s">
        <v>524</v>
      </c>
      <c r="B520">
        <v>0.99876560204751996</v>
      </c>
      <c r="C520">
        <v>1.13601838335798</v>
      </c>
      <c r="D520">
        <v>1.13055445203525</v>
      </c>
      <c r="E520">
        <v>0.96592143425245602</v>
      </c>
      <c r="F520">
        <v>0.80431836287879899</v>
      </c>
      <c r="G520">
        <v>0.50514147067512905</v>
      </c>
      <c r="H520">
        <v>0.43544092701785397</v>
      </c>
      <c r="I520">
        <v>0.21922415613733001</v>
      </c>
      <c r="J520">
        <v>0.12763485483940201</v>
      </c>
      <c r="K520">
        <v>8.9665891326842995E-2</v>
      </c>
      <c r="L520">
        <v>918.63965345303495</v>
      </c>
      <c r="M520">
        <v>15.853766242824401</v>
      </c>
      <c r="N520">
        <v>58.299289733881103</v>
      </c>
      <c r="O520">
        <v>57.046141734949202</v>
      </c>
      <c r="P520">
        <v>-6.6288780164971306E-2</v>
      </c>
      <c r="Q520">
        <v>4.5977685200016397E-2</v>
      </c>
      <c r="R520">
        <v>0.96258065094797796</v>
      </c>
      <c r="S520" t="s">
        <v>4816</v>
      </c>
      <c r="T520" t="s">
        <v>8590</v>
      </c>
      <c r="U520" t="s">
        <v>8590</v>
      </c>
      <c r="V520" t="s">
        <v>8590</v>
      </c>
      <c r="W520">
        <v>2</v>
      </c>
      <c r="X520" t="s">
        <v>9110</v>
      </c>
      <c r="Y520">
        <v>0.62937541963294508</v>
      </c>
      <c r="Z520" t="str">
        <f>HYPERLINK("Melting_Curves/meltCurve_sp_P05164_2_PERM_HUMAN_.pdf", "Melting_Curves/meltCurve_sp_P05164_2_PERM_HUMAN_.pdf")</f>
        <v>Melting_Curves/meltCurve_sp_P05164_2_PERM_HUMAN_.pdf</v>
      </c>
      <c r="AA520" t="s">
        <v>13393</v>
      </c>
      <c r="AB520" t="s">
        <v>17605</v>
      </c>
    </row>
    <row r="521" spans="1:28" x14ac:dyDescent="0.25">
      <c r="A521" t="s">
        <v>525</v>
      </c>
      <c r="B521">
        <v>0.99876560204751996</v>
      </c>
      <c r="C521">
        <v>1.1237388794710901</v>
      </c>
      <c r="D521">
        <v>1.0583284651929299</v>
      </c>
      <c r="E521">
        <v>1.06955256624225</v>
      </c>
      <c r="F521">
        <v>0.35943396734813898</v>
      </c>
      <c r="G521">
        <v>0.18484631261162901</v>
      </c>
      <c r="H521">
        <v>7.0684194847097606E-2</v>
      </c>
      <c r="I521">
        <v>6.0170171139487097E-2</v>
      </c>
      <c r="J521">
        <v>5.6478878898940398E-2</v>
      </c>
      <c r="K521">
        <v>4.4464996952059001E-2</v>
      </c>
      <c r="L521">
        <v>13205.3968278019</v>
      </c>
      <c r="M521">
        <v>250</v>
      </c>
      <c r="N521">
        <v>52.860139725443297</v>
      </c>
      <c r="O521">
        <v>52.818184661026102</v>
      </c>
      <c r="P521">
        <v>-1.0847006754922901</v>
      </c>
      <c r="Q521">
        <v>8.3328880124234103E-2</v>
      </c>
      <c r="R521">
        <v>0.98308637409542299</v>
      </c>
      <c r="S521" t="s">
        <v>4817</v>
      </c>
      <c r="T521" t="s">
        <v>8590</v>
      </c>
      <c r="U521" t="s">
        <v>8590</v>
      </c>
      <c r="V521" t="s">
        <v>8590</v>
      </c>
      <c r="W521">
        <v>50</v>
      </c>
      <c r="X521" t="s">
        <v>9111</v>
      </c>
      <c r="Y521">
        <v>0.47518648315037931</v>
      </c>
      <c r="Z521" t="str">
        <f>HYPERLINK("Melting_Curves/meltCurve_sp_P05165_PCCA_HUMAN_.pdf", "Melting_Curves/meltCurve_sp_P05165_PCCA_HUMAN_.pdf")</f>
        <v>Melting_Curves/meltCurve_sp_P05165_PCCA_HUMAN_.pdf</v>
      </c>
      <c r="AA521" t="s">
        <v>13394</v>
      </c>
      <c r="AB521" t="s">
        <v>17606</v>
      </c>
    </row>
    <row r="522" spans="1:28" x14ac:dyDescent="0.25">
      <c r="A522" t="s">
        <v>526</v>
      </c>
      <c r="B522">
        <v>0.99876560204751996</v>
      </c>
      <c r="C522">
        <v>1.13415616302432</v>
      </c>
      <c r="D522">
        <v>1.04569698198742</v>
      </c>
      <c r="E522">
        <v>1.1503748630772499</v>
      </c>
      <c r="F522">
        <v>0.97374888341189203</v>
      </c>
      <c r="G522">
        <v>0.58199920976651998</v>
      </c>
      <c r="H522">
        <v>0.115057012017846</v>
      </c>
      <c r="I522">
        <v>7.0959736245014296E-2</v>
      </c>
      <c r="J522">
        <v>5.18413409542446E-2</v>
      </c>
      <c r="K522">
        <v>4.0579905005277299E-2</v>
      </c>
      <c r="L522">
        <v>2576.3942910313599</v>
      </c>
      <c r="M522">
        <v>44.954241472475204</v>
      </c>
      <c r="N522">
        <v>57.452140181310298</v>
      </c>
      <c r="O522">
        <v>57.198442133536503</v>
      </c>
      <c r="P522">
        <v>-0.18624542688558901</v>
      </c>
      <c r="Q522">
        <v>5.2109020243394998E-2</v>
      </c>
      <c r="R522">
        <v>0.98038772273188601</v>
      </c>
      <c r="S522" t="s">
        <v>4818</v>
      </c>
      <c r="T522" t="s">
        <v>8590</v>
      </c>
      <c r="U522" t="s">
        <v>8590</v>
      </c>
      <c r="V522" t="s">
        <v>8590</v>
      </c>
      <c r="W522">
        <v>34</v>
      </c>
      <c r="X522" t="s">
        <v>9112</v>
      </c>
      <c r="Y522">
        <v>0.60203899953065032</v>
      </c>
      <c r="Z522" t="str">
        <f>HYPERLINK("Melting_Curves/meltCurve_sp_P05166_PCCB_HUMAN_.pdf", "Melting_Curves/meltCurve_sp_P05166_PCCB_HUMAN_.pdf")</f>
        <v>Melting_Curves/meltCurve_sp_P05166_PCCB_HUMAN_.pdf</v>
      </c>
      <c r="AA522" t="s">
        <v>13395</v>
      </c>
      <c r="AB522" t="s">
        <v>17607</v>
      </c>
    </row>
    <row r="523" spans="1:28" x14ac:dyDescent="0.25">
      <c r="A523" t="s">
        <v>527</v>
      </c>
      <c r="B523">
        <v>0.99876560204751996</v>
      </c>
      <c r="C523">
        <v>1.2134033704256599</v>
      </c>
      <c r="D523">
        <v>0.62307409779152401</v>
      </c>
      <c r="E523">
        <v>0.39351476998305501</v>
      </c>
      <c r="F523">
        <v>0.117806643744415</v>
      </c>
      <c r="G523">
        <v>6.5414171828731202E-2</v>
      </c>
      <c r="H523">
        <v>3.9316832185423298E-2</v>
      </c>
      <c r="I523">
        <v>3.4218991275462601E-2</v>
      </c>
      <c r="J523">
        <v>1.7314099891494902E-2</v>
      </c>
      <c r="K523">
        <v>1.7241461504072301E-2</v>
      </c>
      <c r="L523">
        <v>1121.8725550715001</v>
      </c>
      <c r="M523">
        <v>23.253971915370901</v>
      </c>
      <c r="N523">
        <v>48.367641736423799</v>
      </c>
      <c r="O523">
        <v>47.891808352640702</v>
      </c>
      <c r="P523">
        <v>-0.117896792150826</v>
      </c>
      <c r="Q523">
        <v>2.8778510131374301E-2</v>
      </c>
      <c r="R523">
        <v>0.94715136612308903</v>
      </c>
      <c r="S523" t="s">
        <v>4819</v>
      </c>
      <c r="T523" t="s">
        <v>8590</v>
      </c>
      <c r="U523" t="s">
        <v>8590</v>
      </c>
      <c r="V523" t="s">
        <v>8590</v>
      </c>
      <c r="W523">
        <v>3</v>
      </c>
      <c r="X523" t="s">
        <v>9113</v>
      </c>
      <c r="Y523">
        <v>0.30567975312897061</v>
      </c>
      <c r="Z523" t="str">
        <f>HYPERLINK("Melting_Curves/meltCurve_sp_P05177_CP1A2_HUMAN_.pdf", "Melting_Curves/meltCurve_sp_P05177_CP1A2_HUMAN_.pdf")</f>
        <v>Melting_Curves/meltCurve_sp_P05177_CP1A2_HUMAN_.pdf</v>
      </c>
      <c r="AA523" t="s">
        <v>13396</v>
      </c>
      <c r="AB523" t="s">
        <v>17608</v>
      </c>
    </row>
    <row r="524" spans="1:28" x14ac:dyDescent="0.25">
      <c r="A524" t="s">
        <v>528</v>
      </c>
      <c r="B524">
        <v>0.99876560204751996</v>
      </c>
      <c r="C524">
        <v>1.07873660183689</v>
      </c>
      <c r="D524">
        <v>0.65626824725432797</v>
      </c>
      <c r="E524">
        <v>0.47652986171155598</v>
      </c>
      <c r="F524">
        <v>0.27165933282423999</v>
      </c>
      <c r="G524">
        <v>0.15071252307678101</v>
      </c>
      <c r="H524">
        <v>0.114618757462966</v>
      </c>
      <c r="I524">
        <v>8.6722204327006697E-2</v>
      </c>
      <c r="J524">
        <v>0.11450724081272499</v>
      </c>
      <c r="K524">
        <v>8.2042303930541599E-2</v>
      </c>
      <c r="L524">
        <v>884.38886157916704</v>
      </c>
      <c r="M524">
        <v>18.160298609182998</v>
      </c>
      <c r="N524">
        <v>49.248933914454497</v>
      </c>
      <c r="O524">
        <v>48.120037411114502</v>
      </c>
      <c r="P524">
        <v>-8.5694688222677895E-2</v>
      </c>
      <c r="Q524">
        <v>9.1769272380733999E-2</v>
      </c>
      <c r="R524">
        <v>0.97192552851314495</v>
      </c>
      <c r="S524" t="s">
        <v>4820</v>
      </c>
      <c r="T524" t="s">
        <v>8590</v>
      </c>
      <c r="U524" t="s">
        <v>8590</v>
      </c>
      <c r="V524" t="s">
        <v>8590</v>
      </c>
      <c r="W524">
        <v>13</v>
      </c>
      <c r="X524" t="s">
        <v>9114</v>
      </c>
      <c r="Y524">
        <v>0.37067238691720222</v>
      </c>
      <c r="Z524" t="str">
        <f>HYPERLINK("Melting_Curves/meltCurve_sp_P05181_CP2E1_HUMAN_.pdf", "Melting_Curves/meltCurve_sp_P05181_CP2E1_HUMAN_.pdf")</f>
        <v>Melting_Curves/meltCurve_sp_P05181_CP2E1_HUMAN_.pdf</v>
      </c>
      <c r="AA524" t="s">
        <v>13397</v>
      </c>
      <c r="AB524" t="s">
        <v>17609</v>
      </c>
    </row>
    <row r="525" spans="1:28" x14ac:dyDescent="0.25">
      <c r="A525" t="s">
        <v>529</v>
      </c>
      <c r="B525">
        <v>0.99876560204751996</v>
      </c>
      <c r="C525">
        <v>1.0612668921237001</v>
      </c>
      <c r="D525">
        <v>0.75861130977512803</v>
      </c>
      <c r="E525">
        <v>0.77364030927637095</v>
      </c>
      <c r="F525">
        <v>0.73453167827774901</v>
      </c>
      <c r="G525">
        <v>0.51620050361820902</v>
      </c>
      <c r="H525">
        <v>0.36050246865954499</v>
      </c>
      <c r="I525">
        <v>0.29802875036780202</v>
      </c>
      <c r="J525">
        <v>0.35421810949219601</v>
      </c>
      <c r="K525">
        <v>0.26290657875788198</v>
      </c>
      <c r="L525">
        <v>549.21093111806795</v>
      </c>
      <c r="M525">
        <v>10.008740933042599</v>
      </c>
      <c r="N525">
        <v>57.477405343148497</v>
      </c>
      <c r="O525">
        <v>52.8175402447702</v>
      </c>
      <c r="P525">
        <v>-3.87567381145663E-2</v>
      </c>
      <c r="Q525">
        <v>0.18229758548244199</v>
      </c>
      <c r="R525">
        <v>0.94441846515328098</v>
      </c>
      <c r="S525" t="s">
        <v>4821</v>
      </c>
      <c r="T525" t="s">
        <v>8590</v>
      </c>
      <c r="U525" t="s">
        <v>8590</v>
      </c>
      <c r="V525" t="s">
        <v>8590</v>
      </c>
      <c r="W525">
        <v>3</v>
      </c>
      <c r="X525" t="s">
        <v>9115</v>
      </c>
      <c r="Y525">
        <v>0.60930596588181674</v>
      </c>
      <c r="Z525" t="str">
        <f>HYPERLINK("Melting_Curves/meltCurve_sp_P05186_PPBT_HUMAN_.pdf", "Melting_Curves/meltCurve_sp_P05186_PPBT_HUMAN_.pdf")</f>
        <v>Melting_Curves/meltCurve_sp_P05186_PPBT_HUMAN_.pdf</v>
      </c>
      <c r="AA525" t="s">
        <v>13398</v>
      </c>
      <c r="AB525" t="s">
        <v>17610</v>
      </c>
    </row>
    <row r="526" spans="1:28" x14ac:dyDescent="0.25">
      <c r="A526" t="s">
        <v>530</v>
      </c>
      <c r="B526">
        <v>0.99876560204751996</v>
      </c>
      <c r="C526">
        <v>1.04437392898924</v>
      </c>
      <c r="D526">
        <v>1.00868464421047</v>
      </c>
      <c r="E526">
        <v>0.97536158978509002</v>
      </c>
      <c r="F526">
        <v>0.77177053520104699</v>
      </c>
      <c r="G526">
        <v>0.342594751808252</v>
      </c>
      <c r="H526">
        <v>0.1002936551407</v>
      </c>
      <c r="I526">
        <v>6.6356535125351696E-2</v>
      </c>
      <c r="J526">
        <v>5.6887286094736103E-2</v>
      </c>
      <c r="K526">
        <v>4.5872582764329303E-2</v>
      </c>
      <c r="L526">
        <v>1563.01093167657</v>
      </c>
      <c r="M526">
        <v>28.256092462447299</v>
      </c>
      <c r="N526">
        <v>55.501492694161598</v>
      </c>
      <c r="O526">
        <v>55.041051620420298</v>
      </c>
      <c r="P526">
        <v>-0.122555750508043</v>
      </c>
      <c r="Q526">
        <v>4.5085000670749699E-2</v>
      </c>
      <c r="R526">
        <v>0.998441746154904</v>
      </c>
      <c r="S526" t="s">
        <v>4822</v>
      </c>
      <c r="T526" t="s">
        <v>8590</v>
      </c>
      <c r="U526" t="s">
        <v>8590</v>
      </c>
      <c r="V526" t="s">
        <v>8590</v>
      </c>
      <c r="W526">
        <v>19</v>
      </c>
      <c r="X526" t="s">
        <v>9116</v>
      </c>
      <c r="Y526">
        <v>0.53969073526802647</v>
      </c>
      <c r="Z526" t="str">
        <f>HYPERLINK("Melting_Curves/meltCurve_sp_P05198_IF2A_HUMAN_.pdf", "Melting_Curves/meltCurve_sp_P05198_IF2A_HUMAN_.pdf")</f>
        <v>Melting_Curves/meltCurve_sp_P05198_IF2A_HUMAN_.pdf</v>
      </c>
      <c r="AA526" t="s">
        <v>13399</v>
      </c>
      <c r="AB526" t="s">
        <v>17611</v>
      </c>
    </row>
    <row r="527" spans="1:28" x14ac:dyDescent="0.25">
      <c r="A527" t="s">
        <v>531</v>
      </c>
      <c r="B527">
        <v>0.99876560204751996</v>
      </c>
      <c r="C527">
        <v>1.0867808748188801</v>
      </c>
      <c r="D527">
        <v>1.3279534661036201</v>
      </c>
      <c r="E527">
        <v>1.2028589735183099</v>
      </c>
      <c r="F527">
        <v>1.3578258289720699</v>
      </c>
      <c r="G527">
        <v>0.97862342828885196</v>
      </c>
      <c r="H527">
        <v>1.1471120068885901</v>
      </c>
      <c r="I527">
        <v>1.2455878679168499</v>
      </c>
      <c r="J527">
        <v>1.4359868197510901</v>
      </c>
      <c r="K527">
        <v>1.53379429292518</v>
      </c>
      <c r="L527">
        <v>236.86665514683199</v>
      </c>
      <c r="M527">
        <v>4.2347369663732</v>
      </c>
      <c r="O527">
        <v>46.727672301095701</v>
      </c>
      <c r="P527">
        <v>1.14492967992869E-2</v>
      </c>
      <c r="Q527">
        <v>1.5</v>
      </c>
      <c r="R527">
        <v>0.31509129004497399</v>
      </c>
      <c r="S527" t="s">
        <v>4823</v>
      </c>
      <c r="T527" t="s">
        <v>8590</v>
      </c>
      <c r="U527" t="s">
        <v>8590</v>
      </c>
      <c r="V527" t="s">
        <v>8590</v>
      </c>
      <c r="W527">
        <v>5</v>
      </c>
      <c r="X527" t="s">
        <v>9117</v>
      </c>
      <c r="Y527">
        <v>1.230783956380475</v>
      </c>
      <c r="Z527" t="str">
        <f>HYPERLINK("Melting_Curves/meltCurve_sp_P05204_HMGN2_HUMAN_.pdf", "Melting_Curves/meltCurve_sp_P05204_HMGN2_HUMAN_.pdf")</f>
        <v>Melting_Curves/meltCurve_sp_P05204_HMGN2_HUMAN_.pdf</v>
      </c>
      <c r="AA527" t="s">
        <v>13400</v>
      </c>
      <c r="AB527" t="s">
        <v>17612</v>
      </c>
    </row>
    <row r="528" spans="1:28" x14ac:dyDescent="0.25">
      <c r="A528" t="s">
        <v>532</v>
      </c>
      <c r="B528">
        <v>0.99876560204751996</v>
      </c>
      <c r="C528">
        <v>1.0303640977861099</v>
      </c>
      <c r="D528">
        <v>1.11339115517223</v>
      </c>
      <c r="E528">
        <v>0.90422264919446504</v>
      </c>
      <c r="F528">
        <v>0.48693042618263999</v>
      </c>
      <c r="G528">
        <v>0.67539143571983296</v>
      </c>
      <c r="H528">
        <v>0.56949335155668701</v>
      </c>
      <c r="I528">
        <v>0.569756213322406</v>
      </c>
      <c r="J528">
        <v>0.79126654927254103</v>
      </c>
      <c r="K528">
        <v>0.64084891401738597</v>
      </c>
      <c r="L528">
        <v>12553.982738533599</v>
      </c>
      <c r="M528">
        <v>250</v>
      </c>
      <c r="O528">
        <v>50.212718380961398</v>
      </c>
      <c r="P528">
        <v>-0.470148419039225</v>
      </c>
      <c r="Q528">
        <v>0.62228112471172803</v>
      </c>
      <c r="R528">
        <v>0.84303084393399896</v>
      </c>
      <c r="S528" t="s">
        <v>4824</v>
      </c>
      <c r="T528" t="s">
        <v>8590</v>
      </c>
      <c r="U528" t="s">
        <v>8590</v>
      </c>
      <c r="V528" t="s">
        <v>8590</v>
      </c>
      <c r="W528">
        <v>2</v>
      </c>
      <c r="X528" t="s">
        <v>9118</v>
      </c>
      <c r="Y528">
        <v>0.75093941072167891</v>
      </c>
      <c r="Z528" t="str">
        <f>HYPERLINK("Melting_Curves/meltCurve_sp_P05387_RLA2_HUMAN_.pdf", "Melting_Curves/meltCurve_sp_P05387_RLA2_HUMAN_.pdf")</f>
        <v>Melting_Curves/meltCurve_sp_P05387_RLA2_HUMAN_.pdf</v>
      </c>
      <c r="AA528" t="s">
        <v>13401</v>
      </c>
      <c r="AB528" t="s">
        <v>17613</v>
      </c>
    </row>
    <row r="529" spans="1:28" x14ac:dyDescent="0.25">
      <c r="A529" t="s">
        <v>533</v>
      </c>
      <c r="B529">
        <v>0.99876560204751996</v>
      </c>
      <c r="C529">
        <v>1.0340176724927801</v>
      </c>
      <c r="D529">
        <v>1.0631976034097399</v>
      </c>
      <c r="E529">
        <v>1.04550069716196</v>
      </c>
      <c r="F529">
        <v>0.91121453184758405</v>
      </c>
      <c r="G529">
        <v>0.54230913018698301</v>
      </c>
      <c r="H529">
        <v>0.19060309393717101</v>
      </c>
      <c r="I529">
        <v>8.6373533279060902E-2</v>
      </c>
      <c r="J529">
        <v>8.0312948637476497E-2</v>
      </c>
      <c r="K529">
        <v>5.9686115054877899E-2</v>
      </c>
      <c r="L529">
        <v>1751.70589727539</v>
      </c>
      <c r="M529">
        <v>30.668128350066699</v>
      </c>
      <c r="N529">
        <v>57.368468532904501</v>
      </c>
      <c r="O529">
        <v>56.876923077976599</v>
      </c>
      <c r="P529">
        <v>-0.12635814640975099</v>
      </c>
      <c r="Q529">
        <v>6.2633596131882893E-2</v>
      </c>
      <c r="R529">
        <v>0.995181829611263</v>
      </c>
      <c r="S529" t="s">
        <v>4825</v>
      </c>
      <c r="T529" t="s">
        <v>8590</v>
      </c>
      <c r="U529" t="s">
        <v>8590</v>
      </c>
      <c r="V529" t="s">
        <v>8590</v>
      </c>
      <c r="W529">
        <v>21</v>
      </c>
      <c r="X529" t="s">
        <v>9119</v>
      </c>
      <c r="Y529">
        <v>0.60349921449580346</v>
      </c>
      <c r="Z529" t="str">
        <f>HYPERLINK("Melting_Curves/meltCurve_sp_P05455_LA_HUMAN_.pdf", "Melting_Curves/meltCurve_sp_P05455_LA_HUMAN_.pdf")</f>
        <v>Melting_Curves/meltCurve_sp_P05455_LA_HUMAN_.pdf</v>
      </c>
      <c r="AA529" t="s">
        <v>13402</v>
      </c>
      <c r="AB529" t="s">
        <v>17614</v>
      </c>
    </row>
    <row r="530" spans="1:28" x14ac:dyDescent="0.25">
      <c r="A530" t="s">
        <v>534</v>
      </c>
      <c r="B530">
        <v>0.99876560204751996</v>
      </c>
      <c r="C530">
        <v>0.84594362456498295</v>
      </c>
      <c r="D530">
        <v>0.88289795162570395</v>
      </c>
      <c r="E530">
        <v>0.78722184036782406</v>
      </c>
      <c r="F530">
        <v>0.68182256730536095</v>
      </c>
      <c r="G530">
        <v>0.58600014244464405</v>
      </c>
      <c r="H530">
        <v>0.301824104676992</v>
      </c>
      <c r="I530">
        <v>0.13064636086996301</v>
      </c>
      <c r="J530">
        <v>9.7897259806294198E-2</v>
      </c>
      <c r="K530">
        <v>0.13669066402920099</v>
      </c>
      <c r="L530">
        <v>622.32732690865498</v>
      </c>
      <c r="M530">
        <v>11.014253328427801</v>
      </c>
      <c r="N530">
        <v>56.501998994417399</v>
      </c>
      <c r="O530">
        <v>54.735303383399597</v>
      </c>
      <c r="P530">
        <v>-5.0323786771780801E-2</v>
      </c>
      <c r="Q530">
        <v>0</v>
      </c>
      <c r="R530">
        <v>0.96233154225885997</v>
      </c>
      <c r="S530" t="s">
        <v>4826</v>
      </c>
      <c r="T530" t="s">
        <v>8590</v>
      </c>
      <c r="U530" t="s">
        <v>8590</v>
      </c>
      <c r="V530" t="s">
        <v>8590</v>
      </c>
      <c r="W530">
        <v>3</v>
      </c>
      <c r="X530" t="s">
        <v>9120</v>
      </c>
      <c r="Y530">
        <v>0.56887130096600869</v>
      </c>
      <c r="Z530" t="str">
        <f>HYPERLINK("Melting_Curves/meltCurve_sp_P05543_THBG_HUMAN_.pdf", "Melting_Curves/meltCurve_sp_P05543_THBG_HUMAN_.pdf")</f>
        <v>Melting_Curves/meltCurve_sp_P05543_THBG_HUMAN_.pdf</v>
      </c>
      <c r="AA530" t="s">
        <v>13403</v>
      </c>
      <c r="AB530" t="s">
        <v>17615</v>
      </c>
    </row>
    <row r="531" spans="1:28" x14ac:dyDescent="0.25">
      <c r="A531" t="s">
        <v>535</v>
      </c>
      <c r="B531">
        <v>0.99876560204751996</v>
      </c>
      <c r="C531">
        <v>0.88859400464707705</v>
      </c>
      <c r="D531">
        <v>0.82224863966683104</v>
      </c>
      <c r="E531">
        <v>0.85852784853944497</v>
      </c>
      <c r="F531">
        <v>0.67031440146949195</v>
      </c>
      <c r="G531">
        <v>0.505826589374333</v>
      </c>
      <c r="H531">
        <v>0.17604963906226501</v>
      </c>
      <c r="I531">
        <v>9.9238150363338704E-2</v>
      </c>
      <c r="J531">
        <v>8.4114808513580497E-2</v>
      </c>
      <c r="K531">
        <v>5.1649109216064103E-2</v>
      </c>
      <c r="L531">
        <v>768.96096122841698</v>
      </c>
      <c r="M531">
        <v>13.797321182122401</v>
      </c>
      <c r="N531">
        <v>55.732627772413899</v>
      </c>
      <c r="O531">
        <v>54.6009899146744</v>
      </c>
      <c r="P531">
        <v>-6.3182251832679906E-2</v>
      </c>
      <c r="Q531">
        <v>0</v>
      </c>
      <c r="R531">
        <v>0.97072505697485301</v>
      </c>
      <c r="S531" t="s">
        <v>4827</v>
      </c>
      <c r="T531" t="s">
        <v>8590</v>
      </c>
      <c r="U531" t="s">
        <v>8590</v>
      </c>
      <c r="V531" t="s">
        <v>8590</v>
      </c>
      <c r="W531">
        <v>6</v>
      </c>
      <c r="X531" t="s">
        <v>9121</v>
      </c>
      <c r="Y531">
        <v>0.54391839052016355</v>
      </c>
      <c r="Z531" t="str">
        <f>HYPERLINK("Melting_Curves/meltCurve_sp_P05546_HEP2_HUMAN_.pdf", "Melting_Curves/meltCurve_sp_P05546_HEP2_HUMAN_.pdf")</f>
        <v>Melting_Curves/meltCurve_sp_P05546_HEP2_HUMAN_.pdf</v>
      </c>
      <c r="AA531" t="s">
        <v>13404</v>
      </c>
      <c r="AB531" t="s">
        <v>17616</v>
      </c>
    </row>
    <row r="532" spans="1:28" x14ac:dyDescent="0.25">
      <c r="A532" t="s">
        <v>536</v>
      </c>
      <c r="B532">
        <v>0.99876560204751996</v>
      </c>
      <c r="C532">
        <v>1.09019985874966</v>
      </c>
      <c r="D532">
        <v>0.80670991698065198</v>
      </c>
      <c r="E532">
        <v>0.72850097956945303</v>
      </c>
      <c r="F532">
        <v>0.59960084182748197</v>
      </c>
      <c r="G532">
        <v>0.43686633828308002</v>
      </c>
      <c r="H532">
        <v>0.35806816061186397</v>
      </c>
      <c r="I532">
        <v>0.28364084223226899</v>
      </c>
      <c r="J532">
        <v>0.34728602282603099</v>
      </c>
      <c r="K532">
        <v>0.322043470720001</v>
      </c>
      <c r="L532">
        <v>753.10090091063705</v>
      </c>
      <c r="M532">
        <v>14.6172697949666</v>
      </c>
      <c r="N532">
        <v>54.874079306068097</v>
      </c>
      <c r="O532">
        <v>50.585836935792997</v>
      </c>
      <c r="P532">
        <v>-5.0912481196064799E-2</v>
      </c>
      <c r="Q532">
        <v>0.29530955351676402</v>
      </c>
      <c r="R532">
        <v>0.964445725036435</v>
      </c>
      <c r="S532" t="s">
        <v>4828</v>
      </c>
      <c r="T532" t="s">
        <v>8590</v>
      </c>
      <c r="U532" t="s">
        <v>8590</v>
      </c>
      <c r="V532" t="s">
        <v>8590</v>
      </c>
      <c r="W532">
        <v>4</v>
      </c>
      <c r="X532" t="s">
        <v>9122</v>
      </c>
      <c r="Y532">
        <v>0.58261874883232001</v>
      </c>
      <c r="Z532" t="str">
        <f>HYPERLINK("Melting_Curves/meltCurve_sp_P05556_ITB1_HUMAN_.pdf", "Melting_Curves/meltCurve_sp_P05556_ITB1_HUMAN_.pdf")</f>
        <v>Melting_Curves/meltCurve_sp_P05556_ITB1_HUMAN_.pdf</v>
      </c>
      <c r="AA532" t="s">
        <v>13405</v>
      </c>
      <c r="AB532" t="s">
        <v>17617</v>
      </c>
    </row>
    <row r="533" spans="1:28" x14ac:dyDescent="0.25">
      <c r="A533" t="s">
        <v>537</v>
      </c>
      <c r="B533">
        <v>0.99876560204751996</v>
      </c>
      <c r="C533">
        <v>1.0792928577355501</v>
      </c>
      <c r="D533">
        <v>1.0911497509794701</v>
      </c>
      <c r="E533">
        <v>1.0602304050109499</v>
      </c>
      <c r="F533">
        <v>1.0442908422650501</v>
      </c>
      <c r="G533">
        <v>0.77128712792423904</v>
      </c>
      <c r="H533">
        <v>0.59452622519884801</v>
      </c>
      <c r="I533">
        <v>0.47167327969655098</v>
      </c>
      <c r="J533">
        <v>0.42833815755308302</v>
      </c>
      <c r="K533">
        <v>0.23726740642137301</v>
      </c>
      <c r="L533">
        <v>1132.3208963256</v>
      </c>
      <c r="M533">
        <v>18.606842428648999</v>
      </c>
      <c r="N533">
        <v>63.051984297807202</v>
      </c>
      <c r="O533">
        <v>60.165211101317396</v>
      </c>
      <c r="P533">
        <v>-5.8875590223735001E-2</v>
      </c>
      <c r="Q533">
        <v>0.23853595494314001</v>
      </c>
      <c r="R533">
        <v>0.95506013234961196</v>
      </c>
      <c r="S533" t="s">
        <v>4829</v>
      </c>
      <c r="T533" t="s">
        <v>8590</v>
      </c>
      <c r="U533" t="s">
        <v>8590</v>
      </c>
      <c r="V533" t="s">
        <v>8590</v>
      </c>
      <c r="W533">
        <v>54</v>
      </c>
      <c r="X533" t="s">
        <v>9123</v>
      </c>
      <c r="Y533">
        <v>0.77248074772306785</v>
      </c>
      <c r="Z533" t="str">
        <f>HYPERLINK("Melting_Curves/meltCurve_sp_P05783_K1C18_HUMAN_.pdf", "Melting_Curves/meltCurve_sp_P05783_K1C18_HUMAN_.pdf")</f>
        <v>Melting_Curves/meltCurve_sp_P05783_K1C18_HUMAN_.pdf</v>
      </c>
      <c r="AA533" t="s">
        <v>13406</v>
      </c>
      <c r="AB533" t="s">
        <v>17618</v>
      </c>
    </row>
    <row r="534" spans="1:28" x14ac:dyDescent="0.25">
      <c r="A534" t="s">
        <v>538</v>
      </c>
      <c r="B534">
        <v>0.99876560204751996</v>
      </c>
      <c r="C534">
        <v>1.0639950627875401</v>
      </c>
      <c r="D534">
        <v>1.06681639103413</v>
      </c>
      <c r="E534">
        <v>1.0499596056199501</v>
      </c>
      <c r="F534">
        <v>1.0863865373560799</v>
      </c>
      <c r="G534">
        <v>0.85728283531203298</v>
      </c>
      <c r="H534">
        <v>0.72052548084111001</v>
      </c>
      <c r="I534">
        <v>0.61530342392099902</v>
      </c>
      <c r="J534">
        <v>0.69432775040601802</v>
      </c>
      <c r="K534">
        <v>0.674271874693539</v>
      </c>
      <c r="L534">
        <v>3343.0273775660098</v>
      </c>
      <c r="M534">
        <v>58.304365138752097</v>
      </c>
      <c r="O534">
        <v>57.270179126056</v>
      </c>
      <c r="P534">
        <v>-8.3299341155857395E-2</v>
      </c>
      <c r="Q534">
        <v>0.67271294763999401</v>
      </c>
      <c r="R534">
        <v>0.92549476810446896</v>
      </c>
      <c r="S534" t="s">
        <v>4830</v>
      </c>
      <c r="T534" t="s">
        <v>8590</v>
      </c>
      <c r="U534" t="s">
        <v>8590</v>
      </c>
      <c r="V534" t="s">
        <v>8590</v>
      </c>
      <c r="W534">
        <v>61</v>
      </c>
      <c r="X534" t="s">
        <v>9124</v>
      </c>
      <c r="Y534">
        <v>0.86246516470450962</v>
      </c>
      <c r="Z534" t="str">
        <f>HYPERLINK("Melting_Curves/meltCurve_sp_P05787_K2C8_HUMAN_.pdf", "Melting_Curves/meltCurve_sp_P05787_K2C8_HUMAN_.pdf")</f>
        <v>Melting_Curves/meltCurve_sp_P05787_K2C8_HUMAN_.pdf</v>
      </c>
      <c r="AA534" t="s">
        <v>13407</v>
      </c>
      <c r="AB534" t="s">
        <v>17619</v>
      </c>
    </row>
    <row r="535" spans="1:28" x14ac:dyDescent="0.25">
      <c r="A535" t="s">
        <v>539</v>
      </c>
      <c r="B535">
        <v>0.99876560204751996</v>
      </c>
      <c r="C535">
        <v>0.96244546327158098</v>
      </c>
      <c r="D535">
        <v>1.0847559729804399</v>
      </c>
      <c r="E535">
        <v>1.0016254120484001</v>
      </c>
      <c r="F535">
        <v>1.0508773868457999</v>
      </c>
      <c r="G535">
        <v>0.83738811558084003</v>
      </c>
      <c r="H535">
        <v>0.71327817844608399</v>
      </c>
      <c r="I535">
        <v>0.71041678844084</v>
      </c>
      <c r="J535">
        <v>0.84972073776039203</v>
      </c>
      <c r="K535">
        <v>0.74736587474502103</v>
      </c>
      <c r="L535">
        <v>14211.1089230339</v>
      </c>
      <c r="M535">
        <v>250</v>
      </c>
      <c r="O535">
        <v>56.840799288575298</v>
      </c>
      <c r="P535">
        <v>-0.269177922402007</v>
      </c>
      <c r="Q535">
        <v>0.75519539356316301</v>
      </c>
      <c r="R535">
        <v>0.867885252789099</v>
      </c>
      <c r="S535" t="s">
        <v>4831</v>
      </c>
      <c r="T535" t="s">
        <v>8590</v>
      </c>
      <c r="U535" t="s">
        <v>8590</v>
      </c>
      <c r="V535" t="s">
        <v>8590</v>
      </c>
      <c r="W535">
        <v>2</v>
      </c>
      <c r="X535" t="s">
        <v>9125</v>
      </c>
      <c r="Y535">
        <v>0.89267299721543492</v>
      </c>
      <c r="Z535" t="str">
        <f>HYPERLINK("Melting_Curves/meltCurve_sp_P05976_2_MYL1_HUMAN_.pdf", "Melting_Curves/meltCurve_sp_P05976_2_MYL1_HUMAN_.pdf")</f>
        <v>Melting_Curves/meltCurve_sp_P05976_2_MYL1_HUMAN_.pdf</v>
      </c>
      <c r="AA535" t="s">
        <v>13408</v>
      </c>
      <c r="AB535" t="s">
        <v>17620</v>
      </c>
    </row>
    <row r="536" spans="1:28" x14ac:dyDescent="0.25">
      <c r="A536" t="s">
        <v>540</v>
      </c>
      <c r="B536">
        <v>0.99876560204751996</v>
      </c>
      <c r="C536">
        <v>0.90771870598716498</v>
      </c>
      <c r="D536">
        <v>0.882396699427623</v>
      </c>
      <c r="E536">
        <v>0.88565146278287898</v>
      </c>
      <c r="F536">
        <v>0.76474516291320604</v>
      </c>
      <c r="G536">
        <v>0.67526489613646801</v>
      </c>
      <c r="H536">
        <v>0.40184277206246999</v>
      </c>
      <c r="I536">
        <v>0.21273993799294899</v>
      </c>
      <c r="J536">
        <v>7.6250056329204494E-2</v>
      </c>
      <c r="K536">
        <v>5.1738608135938002E-2</v>
      </c>
      <c r="L536">
        <v>834.97991591724303</v>
      </c>
      <c r="M536">
        <v>14.249818331834801</v>
      </c>
      <c r="N536">
        <v>58.595829021263697</v>
      </c>
      <c r="O536">
        <v>57.4780759581514</v>
      </c>
      <c r="P536">
        <v>-6.19870180128788E-2</v>
      </c>
      <c r="Q536">
        <v>0</v>
      </c>
      <c r="R536">
        <v>0.97120435243641101</v>
      </c>
      <c r="S536" t="s">
        <v>4832</v>
      </c>
      <c r="T536" t="s">
        <v>8590</v>
      </c>
      <c r="U536" t="s">
        <v>8590</v>
      </c>
      <c r="V536" t="s">
        <v>8590</v>
      </c>
      <c r="W536">
        <v>9</v>
      </c>
      <c r="X536" t="s">
        <v>9126</v>
      </c>
      <c r="Y536">
        <v>0.63144517635082642</v>
      </c>
      <c r="Z536" t="str">
        <f>HYPERLINK("Melting_Curves/meltCurve_sp_P06132_DCUP_HUMAN_.pdf", "Melting_Curves/meltCurve_sp_P06132_DCUP_HUMAN_.pdf")</f>
        <v>Melting_Curves/meltCurve_sp_P06132_DCUP_HUMAN_.pdf</v>
      </c>
      <c r="AA536" t="s">
        <v>13409</v>
      </c>
      <c r="AB536" t="s">
        <v>17621</v>
      </c>
    </row>
    <row r="537" spans="1:28" x14ac:dyDescent="0.25">
      <c r="A537" t="s">
        <v>541</v>
      </c>
      <c r="B537">
        <v>0.99876560204751996</v>
      </c>
      <c r="C537">
        <v>1.13043032280293</v>
      </c>
      <c r="D537">
        <v>0.47464420562424198</v>
      </c>
      <c r="E537">
        <v>0.36838058461781698</v>
      </c>
      <c r="F537">
        <v>0.239183365951671</v>
      </c>
      <c r="G537">
        <v>5.7776432891768703E-2</v>
      </c>
      <c r="H537">
        <v>9.71505163588023E-2</v>
      </c>
      <c r="I537">
        <v>3.2431614885591702E-2</v>
      </c>
      <c r="J537">
        <v>0</v>
      </c>
      <c r="K537">
        <v>0</v>
      </c>
      <c r="L537">
        <v>882.52629132369304</v>
      </c>
      <c r="M537">
        <v>18.531124287045301</v>
      </c>
      <c r="N537">
        <v>47.812313213937102</v>
      </c>
      <c r="O537">
        <v>47.079813484761502</v>
      </c>
      <c r="P537">
        <v>-9.4943800336151699E-2</v>
      </c>
      <c r="Q537">
        <v>3.5193145014973802E-2</v>
      </c>
      <c r="R537">
        <v>0.92840778228832499</v>
      </c>
      <c r="S537" t="s">
        <v>4833</v>
      </c>
      <c r="T537" t="s">
        <v>8590</v>
      </c>
      <c r="U537" t="s">
        <v>8590</v>
      </c>
      <c r="V537" t="s">
        <v>8590</v>
      </c>
      <c r="W537">
        <v>2</v>
      </c>
      <c r="X537" t="s">
        <v>9127</v>
      </c>
      <c r="Y537">
        <v>0.29667629404794221</v>
      </c>
      <c r="Z537" t="str">
        <f>HYPERLINK("Melting_Curves/meltCurve_sp_P06133_UD2B4_HUMAN_.pdf", "Melting_Curves/meltCurve_sp_P06133_UD2B4_HUMAN_.pdf")</f>
        <v>Melting_Curves/meltCurve_sp_P06133_UD2B4_HUMAN_.pdf</v>
      </c>
      <c r="AA537" t="s">
        <v>13410</v>
      </c>
      <c r="AB537" t="s">
        <v>17622</v>
      </c>
    </row>
    <row r="538" spans="1:28" x14ac:dyDescent="0.25">
      <c r="A538" t="s">
        <v>542</v>
      </c>
      <c r="B538">
        <v>0.99876560204751996</v>
      </c>
      <c r="C538">
        <v>1.00190345360004</v>
      </c>
      <c r="D538">
        <v>1.0251365492473701</v>
      </c>
      <c r="E538">
        <v>0.59880205502036099</v>
      </c>
      <c r="F538">
        <v>0.33127493953961201</v>
      </c>
      <c r="G538">
        <v>0.13180091136945299</v>
      </c>
      <c r="H538">
        <v>7.6101779200506897E-2</v>
      </c>
      <c r="I538">
        <v>2.92511209919856E-2</v>
      </c>
      <c r="J538">
        <v>4.7782341520564701E-2</v>
      </c>
      <c r="K538">
        <v>0</v>
      </c>
      <c r="L538">
        <v>1264.6755677927099</v>
      </c>
      <c r="M538">
        <v>24.766534764192301</v>
      </c>
      <c r="N538">
        <v>51.226141994020303</v>
      </c>
      <c r="O538">
        <v>50.734464502782501</v>
      </c>
      <c r="P538">
        <v>-0.117438066061858</v>
      </c>
      <c r="Q538">
        <v>3.7721797982263099E-2</v>
      </c>
      <c r="R538">
        <v>0.992932767587141</v>
      </c>
      <c r="S538" t="s">
        <v>4834</v>
      </c>
      <c r="T538" t="s">
        <v>8590</v>
      </c>
      <c r="U538" t="s">
        <v>8590</v>
      </c>
      <c r="V538" t="s">
        <v>8590</v>
      </c>
      <c r="W538">
        <v>2</v>
      </c>
      <c r="X538" t="s">
        <v>9128</v>
      </c>
      <c r="Y538">
        <v>0.40146739367865059</v>
      </c>
      <c r="Z538" t="str">
        <f>HYPERLINK("Melting_Curves/meltCurve_sp_P06280_AGAL_HUMAN_.pdf", "Melting_Curves/meltCurve_sp_P06280_AGAL_HUMAN_.pdf")</f>
        <v>Melting_Curves/meltCurve_sp_P06280_AGAL_HUMAN_.pdf</v>
      </c>
      <c r="AA538" t="s">
        <v>13411</v>
      </c>
      <c r="AB538" t="s">
        <v>17623</v>
      </c>
    </row>
    <row r="539" spans="1:28" x14ac:dyDescent="0.25">
      <c r="A539" t="s">
        <v>543</v>
      </c>
      <c r="B539">
        <v>0.99876560204751996</v>
      </c>
      <c r="C539">
        <v>0.83825070263285795</v>
      </c>
      <c r="D539">
        <v>0.63995236891615803</v>
      </c>
      <c r="E539">
        <v>0.37881775341962398</v>
      </c>
      <c r="F539">
        <v>0.197916632632332</v>
      </c>
      <c r="G539">
        <v>0.114377291205024</v>
      </c>
      <c r="H539">
        <v>8.0252006517734897E-2</v>
      </c>
      <c r="I539">
        <v>5.9600533035353703E-2</v>
      </c>
      <c r="J539">
        <v>5.7972767761181702E-2</v>
      </c>
      <c r="K539">
        <v>3.4257388324831203E-2</v>
      </c>
      <c r="L539">
        <v>731.22763017791999</v>
      </c>
      <c r="M539">
        <v>15.3259823400019</v>
      </c>
      <c r="N539">
        <v>47.973259276490602</v>
      </c>
      <c r="O539">
        <v>46.921456694777298</v>
      </c>
      <c r="P539">
        <v>-7.8391325280603705E-2</v>
      </c>
      <c r="Q539">
        <v>4.0089296823744798E-2</v>
      </c>
      <c r="R539">
        <v>0.99705099043769596</v>
      </c>
      <c r="S539" t="s">
        <v>4835</v>
      </c>
      <c r="T539" t="s">
        <v>8590</v>
      </c>
      <c r="U539" t="s">
        <v>8590</v>
      </c>
      <c r="V539" t="s">
        <v>8590</v>
      </c>
      <c r="W539">
        <v>21</v>
      </c>
      <c r="X539" t="s">
        <v>9129</v>
      </c>
      <c r="Y539">
        <v>0.31083107775178248</v>
      </c>
      <c r="Z539" t="str">
        <f>HYPERLINK("Melting_Curves/meltCurve_sp_P06576_ATPB_HUMAN_.pdf", "Melting_Curves/meltCurve_sp_P06576_ATPB_HUMAN_.pdf")</f>
        <v>Melting_Curves/meltCurve_sp_P06576_ATPB_HUMAN_.pdf</v>
      </c>
      <c r="AA539" t="s">
        <v>13412</v>
      </c>
      <c r="AB539" t="s">
        <v>17624</v>
      </c>
    </row>
    <row r="540" spans="1:28" x14ac:dyDescent="0.25">
      <c r="A540" t="s">
        <v>544</v>
      </c>
      <c r="B540">
        <v>0.99876560204751996</v>
      </c>
      <c r="C540">
        <v>0.93875194916906801</v>
      </c>
      <c r="D540">
        <v>0.85326669213830597</v>
      </c>
      <c r="E540">
        <v>0.72210482860543002</v>
      </c>
      <c r="F540">
        <v>0.51184275132849399</v>
      </c>
      <c r="G540">
        <v>0.25303925763494001</v>
      </c>
      <c r="H540">
        <v>0.18007041373971699</v>
      </c>
      <c r="I540">
        <v>0.12108995009139301</v>
      </c>
      <c r="J540">
        <v>0.11108273185421901</v>
      </c>
      <c r="K540">
        <v>7.2693225004932804E-2</v>
      </c>
      <c r="L540">
        <v>733.901757444895</v>
      </c>
      <c r="M540">
        <v>13.9523400735757</v>
      </c>
      <c r="N540">
        <v>52.997705196079004</v>
      </c>
      <c r="O540">
        <v>51.555389346008901</v>
      </c>
      <c r="P540">
        <v>-6.4307856926553594E-2</v>
      </c>
      <c r="Q540">
        <v>4.9629493945279497E-2</v>
      </c>
      <c r="R540">
        <v>0.99620630984893299</v>
      </c>
      <c r="S540" t="s">
        <v>4836</v>
      </c>
      <c r="T540" t="s">
        <v>8590</v>
      </c>
      <c r="U540" t="s">
        <v>8590</v>
      </c>
      <c r="V540" t="s">
        <v>8590</v>
      </c>
      <c r="W540">
        <v>12</v>
      </c>
      <c r="X540" t="s">
        <v>9130</v>
      </c>
      <c r="Y540">
        <v>0.47181568936917978</v>
      </c>
      <c r="Z540" t="str">
        <f>HYPERLINK("Melting_Curves/meltCurve_sp_P06681_CO2_HUMAN_.pdf", "Melting_Curves/meltCurve_sp_P06681_CO2_HUMAN_.pdf")</f>
        <v>Melting_Curves/meltCurve_sp_P06681_CO2_HUMAN_.pdf</v>
      </c>
      <c r="AA540" t="s">
        <v>13413</v>
      </c>
      <c r="AB540" t="s">
        <v>17625</v>
      </c>
    </row>
    <row r="541" spans="1:28" x14ac:dyDescent="0.25">
      <c r="A541" t="s">
        <v>545</v>
      </c>
      <c r="B541">
        <v>0.99876560204751996</v>
      </c>
      <c r="C541">
        <v>0.91020663661755397</v>
      </c>
      <c r="D541">
        <v>0.87232074801742299</v>
      </c>
      <c r="E541">
        <v>0.79205318208609499</v>
      </c>
      <c r="F541">
        <v>0.83232037067769904</v>
      </c>
      <c r="G541">
        <v>0.38207354649464398</v>
      </c>
      <c r="H541">
        <v>0.29663278663694498</v>
      </c>
      <c r="I541">
        <v>0.29911041484644402</v>
      </c>
      <c r="J541">
        <v>0.34219975547461101</v>
      </c>
      <c r="K541">
        <v>0.39057768023038703</v>
      </c>
      <c r="L541">
        <v>1233.87578333223</v>
      </c>
      <c r="M541">
        <v>22.983125634177899</v>
      </c>
      <c r="N541">
        <v>56.053077084655598</v>
      </c>
      <c r="O541">
        <v>53.284677990820001</v>
      </c>
      <c r="P541">
        <v>-7.4345825501191801E-2</v>
      </c>
      <c r="Q541">
        <v>0.31055174274288999</v>
      </c>
      <c r="R541">
        <v>0.91821360549672304</v>
      </c>
      <c r="S541" t="s">
        <v>4837</v>
      </c>
      <c r="T541" t="s">
        <v>8590</v>
      </c>
      <c r="U541" t="s">
        <v>8590</v>
      </c>
      <c r="V541" t="s">
        <v>8590</v>
      </c>
      <c r="W541">
        <v>2</v>
      </c>
      <c r="X541" t="s">
        <v>9131</v>
      </c>
      <c r="Y541">
        <v>0.63250180174542192</v>
      </c>
      <c r="Z541" t="str">
        <f>HYPERLINK("Melting_Curves/meltCurve_sp_P06702_S10A9_HUMAN_.pdf", "Melting_Curves/meltCurve_sp_P06702_S10A9_HUMAN_.pdf")</f>
        <v>Melting_Curves/meltCurve_sp_P06702_S10A9_HUMAN_.pdf</v>
      </c>
      <c r="AA541" t="s">
        <v>13414</v>
      </c>
      <c r="AB541" t="s">
        <v>17626</v>
      </c>
    </row>
    <row r="542" spans="1:28" x14ac:dyDescent="0.25">
      <c r="A542" t="s">
        <v>546</v>
      </c>
      <c r="B542">
        <v>0.99876560204751996</v>
      </c>
      <c r="C542">
        <v>1.2044170834057999</v>
      </c>
      <c r="D542">
        <v>0.64162963572152698</v>
      </c>
      <c r="E542">
        <v>0.60725122583311697</v>
      </c>
      <c r="F542">
        <v>0.30706013147559003</v>
      </c>
      <c r="G542">
        <v>0.16835068226532801</v>
      </c>
      <c r="H542">
        <v>0.111170077468264</v>
      </c>
      <c r="I542">
        <v>0.104941591662865</v>
      </c>
      <c r="J542">
        <v>0.132829186246329</v>
      </c>
      <c r="K542">
        <v>0.10964632832387999</v>
      </c>
      <c r="L542">
        <v>898.49069734053296</v>
      </c>
      <c r="M542">
        <v>18.072512753713799</v>
      </c>
      <c r="N542">
        <v>50.334022910173303</v>
      </c>
      <c r="O542">
        <v>49.119152020677802</v>
      </c>
      <c r="P542">
        <v>-8.2832753543150894E-2</v>
      </c>
      <c r="Q542">
        <v>9.9521558546614097E-2</v>
      </c>
      <c r="R542">
        <v>0.92739570917701297</v>
      </c>
      <c r="S542" t="s">
        <v>4838</v>
      </c>
      <c r="T542" t="s">
        <v>8590</v>
      </c>
      <c r="U542" t="s">
        <v>8590</v>
      </c>
      <c r="V542" t="s">
        <v>8590</v>
      </c>
      <c r="W542">
        <v>8</v>
      </c>
      <c r="X542" t="s">
        <v>9132</v>
      </c>
      <c r="Y542">
        <v>0.406449524294964</v>
      </c>
      <c r="Z542" t="str">
        <f>HYPERLINK("Melting_Curves/meltCurve_sp_P06727_APOA4_HUMAN_.pdf", "Melting_Curves/meltCurve_sp_P06727_APOA4_HUMAN_.pdf")</f>
        <v>Melting_Curves/meltCurve_sp_P06727_APOA4_HUMAN_.pdf</v>
      </c>
      <c r="AA542" t="s">
        <v>13415</v>
      </c>
      <c r="AB542" t="s">
        <v>17627</v>
      </c>
    </row>
    <row r="543" spans="1:28" x14ac:dyDescent="0.25">
      <c r="A543" t="s">
        <v>547</v>
      </c>
      <c r="B543">
        <v>0.99876560204751996</v>
      </c>
      <c r="C543">
        <v>0.81275264396745195</v>
      </c>
      <c r="D543">
        <v>0.76234724862481396</v>
      </c>
      <c r="E543">
        <v>0.520921893637459</v>
      </c>
      <c r="F543">
        <v>0.26618655663922702</v>
      </c>
      <c r="G543">
        <v>0.125592132204283</v>
      </c>
      <c r="H543">
        <v>7.9343591918794906E-2</v>
      </c>
      <c r="I543">
        <v>5.9457429180766998E-2</v>
      </c>
      <c r="J543">
        <v>6.2474918503131999E-2</v>
      </c>
      <c r="K543">
        <v>5.2999036698245197E-2</v>
      </c>
      <c r="L543">
        <v>687.93215577844705</v>
      </c>
      <c r="M543">
        <v>13.920856480282</v>
      </c>
      <c r="N543">
        <v>49.575301058431201</v>
      </c>
      <c r="O543">
        <v>48.4311326491177</v>
      </c>
      <c r="P543">
        <v>-7.0310032977690007E-2</v>
      </c>
      <c r="Q543">
        <v>2.1688822270011801E-2</v>
      </c>
      <c r="R543">
        <v>0.98929648567436601</v>
      </c>
      <c r="S543" t="s">
        <v>4839</v>
      </c>
      <c r="T543" t="s">
        <v>8590</v>
      </c>
      <c r="U543" t="s">
        <v>8590</v>
      </c>
      <c r="V543" t="s">
        <v>8590</v>
      </c>
      <c r="W543">
        <v>7</v>
      </c>
      <c r="X543" t="s">
        <v>9133</v>
      </c>
      <c r="Y543">
        <v>0.35601186212090519</v>
      </c>
      <c r="Z543" t="str">
        <f>HYPERLINK("Melting_Curves/meltCurve_sp_P06730_IF4E_HUMAN_.pdf", "Melting_Curves/meltCurve_sp_P06730_IF4E_HUMAN_.pdf")</f>
        <v>Melting_Curves/meltCurve_sp_P06730_IF4E_HUMAN_.pdf</v>
      </c>
      <c r="AA543" t="s">
        <v>13416</v>
      </c>
      <c r="AB543" t="s">
        <v>17628</v>
      </c>
    </row>
    <row r="544" spans="1:28" x14ac:dyDescent="0.25">
      <c r="A544" t="s">
        <v>548</v>
      </c>
      <c r="B544">
        <v>0.99876560204751996</v>
      </c>
      <c r="C544">
        <v>1.06811759759849</v>
      </c>
      <c r="D544">
        <v>1.01771538358491</v>
      </c>
      <c r="E544">
        <v>1.01231653362883</v>
      </c>
      <c r="F544">
        <v>0.79562820616553998</v>
      </c>
      <c r="G544">
        <v>0.37382359687928102</v>
      </c>
      <c r="H544">
        <v>0.12884572443706799</v>
      </c>
      <c r="I544">
        <v>5.9564927476270103E-2</v>
      </c>
      <c r="J544">
        <v>3.9996270726051802E-2</v>
      </c>
      <c r="K544">
        <v>3.1597997021184203E-2</v>
      </c>
      <c r="L544">
        <v>1551.9404499845</v>
      </c>
      <c r="M544">
        <v>27.8421217924102</v>
      </c>
      <c r="N544">
        <v>55.885533638216003</v>
      </c>
      <c r="O544">
        <v>55.455562848644398</v>
      </c>
      <c r="P544">
        <v>-0.121148713029034</v>
      </c>
      <c r="Q544">
        <v>3.4798971777657797E-2</v>
      </c>
      <c r="R544">
        <v>0.99575428087012097</v>
      </c>
      <c r="S544" t="s">
        <v>4840</v>
      </c>
      <c r="T544" t="s">
        <v>8590</v>
      </c>
      <c r="U544" t="s">
        <v>8590</v>
      </c>
      <c r="V544" t="s">
        <v>8590</v>
      </c>
      <c r="W544">
        <v>39</v>
      </c>
      <c r="X544" t="s">
        <v>9134</v>
      </c>
      <c r="Y544">
        <v>0.5485988179848833</v>
      </c>
      <c r="Z544" t="str">
        <f>HYPERLINK("Melting_Curves/meltCurve_sp_P06733_ENOA_HUMAN_.pdf", "Melting_Curves/meltCurve_sp_P06733_ENOA_HUMAN_.pdf")</f>
        <v>Melting_Curves/meltCurve_sp_P06733_ENOA_HUMAN_.pdf</v>
      </c>
      <c r="AA544" t="s">
        <v>13417</v>
      </c>
      <c r="AB544" t="s">
        <v>17629</v>
      </c>
    </row>
    <row r="545" spans="1:28" x14ac:dyDescent="0.25">
      <c r="A545" t="s">
        <v>549</v>
      </c>
      <c r="B545">
        <v>0.99876560204751996</v>
      </c>
      <c r="C545">
        <v>1.07564607889271</v>
      </c>
      <c r="D545">
        <v>0.97881973603483197</v>
      </c>
      <c r="E545">
        <v>1.06470421291602</v>
      </c>
      <c r="F545">
        <v>0.90626545539565395</v>
      </c>
      <c r="G545">
        <v>0.59614690735606801</v>
      </c>
      <c r="H545">
        <v>0.153941132056341</v>
      </c>
      <c r="I545">
        <v>6.9775536366109406E-2</v>
      </c>
      <c r="J545">
        <v>4.92532006816871E-2</v>
      </c>
      <c r="K545">
        <v>4.3354198295536703E-2</v>
      </c>
      <c r="L545">
        <v>1871.16754173854</v>
      </c>
      <c r="M545">
        <v>32.548958059500599</v>
      </c>
      <c r="N545">
        <v>57.622590340337901</v>
      </c>
      <c r="O545">
        <v>57.272078823430498</v>
      </c>
      <c r="P545">
        <v>-0.136872400819362</v>
      </c>
      <c r="Q545">
        <v>3.6659579559876698E-2</v>
      </c>
      <c r="R545">
        <v>0.99330731262905902</v>
      </c>
      <c r="S545" t="s">
        <v>4841</v>
      </c>
      <c r="T545" t="s">
        <v>8590</v>
      </c>
      <c r="U545" t="s">
        <v>8590</v>
      </c>
      <c r="V545" t="s">
        <v>8590</v>
      </c>
      <c r="W545">
        <v>62</v>
      </c>
      <c r="X545" t="s">
        <v>9135</v>
      </c>
      <c r="Y545">
        <v>0.60375463647410998</v>
      </c>
      <c r="Z545" t="str">
        <f>HYPERLINK("Melting_Curves/meltCurve_sp_P06737_PYGL_HUMAN_.pdf", "Melting_Curves/meltCurve_sp_P06737_PYGL_HUMAN_.pdf")</f>
        <v>Melting_Curves/meltCurve_sp_P06737_PYGL_HUMAN_.pdf</v>
      </c>
      <c r="AA545" t="s">
        <v>13418</v>
      </c>
      <c r="AB545" t="s">
        <v>17630</v>
      </c>
    </row>
    <row r="546" spans="1:28" x14ac:dyDescent="0.25">
      <c r="A546" t="s">
        <v>550</v>
      </c>
      <c r="B546">
        <v>0.99876560204751996</v>
      </c>
      <c r="C546">
        <v>1.0950126707257799</v>
      </c>
      <c r="D546">
        <v>0.724459415517131</v>
      </c>
      <c r="E546">
        <v>0.95951760618688897</v>
      </c>
      <c r="F546">
        <v>0.69129087694700797</v>
      </c>
      <c r="G546">
        <v>0.319734513509291</v>
      </c>
      <c r="H546">
        <v>5.4540629820605403E-2</v>
      </c>
      <c r="I546">
        <v>3.34991022391933E-2</v>
      </c>
      <c r="J546">
        <v>2.7768772866583701E-2</v>
      </c>
      <c r="K546">
        <v>2.3463520580508899E-2</v>
      </c>
      <c r="L546">
        <v>1265.3222692889501</v>
      </c>
      <c r="M546">
        <v>23.026079132356699</v>
      </c>
      <c r="N546">
        <v>54.952224561719497</v>
      </c>
      <c r="O546">
        <v>54.542257722179798</v>
      </c>
      <c r="P546">
        <v>-0.105532789651888</v>
      </c>
      <c r="Q546">
        <v>1.09316112504522E-4</v>
      </c>
      <c r="R546">
        <v>0.953237077784716</v>
      </c>
      <c r="S546" t="s">
        <v>4842</v>
      </c>
      <c r="T546" t="s">
        <v>8590</v>
      </c>
      <c r="U546" t="s">
        <v>8590</v>
      </c>
      <c r="V546" t="s">
        <v>8590</v>
      </c>
      <c r="W546">
        <v>31</v>
      </c>
      <c r="X546" t="s">
        <v>9136</v>
      </c>
      <c r="Y546">
        <v>0.50909855078908828</v>
      </c>
      <c r="Z546" t="str">
        <f>HYPERLINK("Melting_Curves/meltCurve_sp_P06744_G6PI_HUMAN_.pdf", "Melting_Curves/meltCurve_sp_P06744_G6PI_HUMAN_.pdf")</f>
        <v>Melting_Curves/meltCurve_sp_P06744_G6PI_HUMAN_.pdf</v>
      </c>
      <c r="AA546" t="s">
        <v>13419</v>
      </c>
      <c r="AB546" t="s">
        <v>17631</v>
      </c>
    </row>
    <row r="547" spans="1:28" x14ac:dyDescent="0.25">
      <c r="A547" t="s">
        <v>551</v>
      </c>
      <c r="B547">
        <v>0.99876560204751996</v>
      </c>
      <c r="C547">
        <v>0.97789124345345602</v>
      </c>
      <c r="D547">
        <v>1.03320847832494</v>
      </c>
      <c r="E547">
        <v>0.94993956062415996</v>
      </c>
      <c r="F547">
        <v>0.92081584098088198</v>
      </c>
      <c r="G547">
        <v>0.81302070652302405</v>
      </c>
      <c r="H547">
        <v>0.72792667413872203</v>
      </c>
      <c r="I547">
        <v>0.85453683915864997</v>
      </c>
      <c r="J547">
        <v>1.0773413086833601</v>
      </c>
      <c r="K547">
        <v>1.0571549876163799</v>
      </c>
      <c r="L547">
        <v>3412.6714129806001</v>
      </c>
      <c r="M547">
        <v>68.383443967280897</v>
      </c>
      <c r="O547">
        <v>49.862309720237903</v>
      </c>
      <c r="P547">
        <v>-3.1518108410501199E-2</v>
      </c>
      <c r="Q547">
        <v>0.90807334635782899</v>
      </c>
      <c r="R547">
        <v>0.15695265390357799</v>
      </c>
      <c r="S547" t="s">
        <v>4843</v>
      </c>
      <c r="T547" t="s">
        <v>8590</v>
      </c>
      <c r="U547" t="s">
        <v>8590</v>
      </c>
      <c r="V547" t="s">
        <v>8590</v>
      </c>
      <c r="W547">
        <v>21</v>
      </c>
      <c r="X547" t="s">
        <v>9137</v>
      </c>
      <c r="Y547">
        <v>0.93853217011760925</v>
      </c>
      <c r="Z547" t="str">
        <f>HYPERLINK("Melting_Curves/meltCurve_sp_P06748_NPM_HUMAN_.pdf", "Melting_Curves/meltCurve_sp_P06748_NPM_HUMAN_.pdf")</f>
        <v>Melting_Curves/meltCurve_sp_P06748_NPM_HUMAN_.pdf</v>
      </c>
      <c r="AA547" t="s">
        <v>13420</v>
      </c>
      <c r="AB547" t="s">
        <v>17632</v>
      </c>
    </row>
    <row r="548" spans="1:28" x14ac:dyDescent="0.25">
      <c r="A548" t="s">
        <v>552</v>
      </c>
      <c r="B548">
        <v>0.99876560204751996</v>
      </c>
      <c r="C548">
        <v>0.97331109963898899</v>
      </c>
      <c r="D548">
        <v>1.0366003197562701</v>
      </c>
      <c r="E548">
        <v>0.96210733649081204</v>
      </c>
      <c r="F548">
        <v>1.0097866743900099</v>
      </c>
      <c r="G548">
        <v>0.82597068349261704</v>
      </c>
      <c r="H548">
        <v>0.763680009665888</v>
      </c>
      <c r="I548">
        <v>0.79347619159166904</v>
      </c>
      <c r="J548">
        <v>0.95587061120082795</v>
      </c>
      <c r="K548">
        <v>0.93804091309382698</v>
      </c>
      <c r="L548">
        <v>6211.6142669684104</v>
      </c>
      <c r="M548">
        <v>113.50151753721001</v>
      </c>
      <c r="O548">
        <v>54.7101635085195</v>
      </c>
      <c r="P548">
        <v>-7.5085920820350704E-2</v>
      </c>
      <c r="Q548">
        <v>0.85522791375159302</v>
      </c>
      <c r="R548">
        <v>0.59302653381339598</v>
      </c>
      <c r="S548" t="s">
        <v>4844</v>
      </c>
      <c r="T548" t="s">
        <v>8590</v>
      </c>
      <c r="U548" t="s">
        <v>8590</v>
      </c>
      <c r="V548" t="s">
        <v>8590</v>
      </c>
      <c r="W548">
        <v>37</v>
      </c>
      <c r="X548" t="s">
        <v>9138</v>
      </c>
      <c r="Y548">
        <v>0.92636475787215222</v>
      </c>
      <c r="Z548" t="str">
        <f>HYPERLINK("Melting_Curves/meltCurve_sp_P06753_2_TPM3_HUMAN_.pdf", "Melting_Curves/meltCurve_sp_P06753_2_TPM3_HUMAN_.pdf")</f>
        <v>Melting_Curves/meltCurve_sp_P06753_2_TPM3_HUMAN_.pdf</v>
      </c>
      <c r="AA548" t="s">
        <v>13421</v>
      </c>
      <c r="AB548" t="s">
        <v>17633</v>
      </c>
    </row>
    <row r="549" spans="1:28" x14ac:dyDescent="0.25">
      <c r="A549" t="s">
        <v>553</v>
      </c>
      <c r="B549">
        <v>0.99876560204751996</v>
      </c>
      <c r="C549">
        <v>1.01427521182727</v>
      </c>
      <c r="D549">
        <v>0.92990887972745795</v>
      </c>
      <c r="E549">
        <v>0.95798828033948502</v>
      </c>
      <c r="F549">
        <v>0.76605350236674397</v>
      </c>
      <c r="G549">
        <v>0.22806345940754399</v>
      </c>
      <c r="H549">
        <v>8.4120047258814598E-2</v>
      </c>
      <c r="I549">
        <v>6.4778072668075906E-2</v>
      </c>
      <c r="J549">
        <v>5.8548704303135503E-2</v>
      </c>
      <c r="K549">
        <v>5.2484269908104501E-2</v>
      </c>
      <c r="L549">
        <v>1932.18478351556</v>
      </c>
      <c r="M549">
        <v>35.373608292069399</v>
      </c>
      <c r="N549">
        <v>54.8091650719321</v>
      </c>
      <c r="O549">
        <v>54.448545691476497</v>
      </c>
      <c r="P549">
        <v>-0.15318774800307899</v>
      </c>
      <c r="Q549">
        <v>5.6831403950604403E-2</v>
      </c>
      <c r="R549">
        <v>0.99718243630710202</v>
      </c>
      <c r="S549" t="s">
        <v>4845</v>
      </c>
      <c r="T549" t="s">
        <v>8590</v>
      </c>
      <c r="U549" t="s">
        <v>8590</v>
      </c>
      <c r="V549" t="s">
        <v>8590</v>
      </c>
      <c r="W549">
        <v>15</v>
      </c>
      <c r="X549" t="s">
        <v>9139</v>
      </c>
      <c r="Y549">
        <v>0.52106833349603787</v>
      </c>
      <c r="Z549" t="str">
        <f>HYPERLINK("Melting_Curves/meltCurve_sp_P06865_HEXA_HUMAN_.pdf", "Melting_Curves/meltCurve_sp_P06865_HEXA_HUMAN_.pdf")</f>
        <v>Melting_Curves/meltCurve_sp_P06865_HEXA_HUMAN_.pdf</v>
      </c>
      <c r="AA549" t="s">
        <v>13422</v>
      </c>
      <c r="AB549" t="s">
        <v>17634</v>
      </c>
    </row>
    <row r="550" spans="1:28" x14ac:dyDescent="0.25">
      <c r="A550" t="s">
        <v>554</v>
      </c>
      <c r="B550">
        <v>0.99876560204751996</v>
      </c>
      <c r="C550">
        <v>1.0801625959861001</v>
      </c>
      <c r="D550">
        <v>0.85402001531693295</v>
      </c>
      <c r="E550">
        <v>0.62701126726012801</v>
      </c>
      <c r="F550">
        <v>0.41343373992717097</v>
      </c>
      <c r="G550">
        <v>0.239593729016958</v>
      </c>
      <c r="H550">
        <v>0.13971211572571199</v>
      </c>
      <c r="I550">
        <v>9.3417559193111399E-2</v>
      </c>
      <c r="J550">
        <v>8.1009346587041203E-2</v>
      </c>
      <c r="K550">
        <v>6.3487579364634894E-2</v>
      </c>
      <c r="L550">
        <v>861.14563565259596</v>
      </c>
      <c r="M550">
        <v>16.756866370932599</v>
      </c>
      <c r="N550">
        <v>51.830151393499897</v>
      </c>
      <c r="O550">
        <v>50.6754530252623</v>
      </c>
      <c r="P550">
        <v>-7.71971933924267E-2</v>
      </c>
      <c r="Q550">
        <v>6.6234266052699706E-2</v>
      </c>
      <c r="R550">
        <v>0.98976737354600597</v>
      </c>
      <c r="S550" t="s">
        <v>4846</v>
      </c>
      <c r="T550" t="s">
        <v>8590</v>
      </c>
      <c r="U550" t="s">
        <v>8590</v>
      </c>
      <c r="V550" t="s">
        <v>8590</v>
      </c>
      <c r="W550">
        <v>22</v>
      </c>
      <c r="X550" t="s">
        <v>9140</v>
      </c>
      <c r="Y550">
        <v>0.43850674208452739</v>
      </c>
      <c r="Z550" t="str">
        <f>HYPERLINK("Melting_Curves/meltCurve_sp_P07099_HYEP_HUMAN_.pdf", "Melting_Curves/meltCurve_sp_P07099_HYEP_HUMAN_.pdf")</f>
        <v>Melting_Curves/meltCurve_sp_P07099_HYEP_HUMAN_.pdf</v>
      </c>
      <c r="AA550" t="s">
        <v>13423</v>
      </c>
      <c r="AB550" t="s">
        <v>17635</v>
      </c>
    </row>
    <row r="551" spans="1:28" x14ac:dyDescent="0.25">
      <c r="A551" t="s">
        <v>555</v>
      </c>
      <c r="B551">
        <v>0.99876560204751996</v>
      </c>
      <c r="C551">
        <v>0.955361032169741</v>
      </c>
      <c r="D551">
        <v>1.1243487008639199</v>
      </c>
      <c r="E551">
        <v>0.96311550717248795</v>
      </c>
      <c r="F551">
        <v>0.99969239955373901</v>
      </c>
      <c r="G551">
        <v>0.82885174653314497</v>
      </c>
      <c r="H551">
        <v>0.81116295493323398</v>
      </c>
      <c r="I551">
        <v>0.85824879161555401</v>
      </c>
      <c r="J551">
        <v>1.21052754036055</v>
      </c>
      <c r="K551">
        <v>1.16762141547223</v>
      </c>
      <c r="L551">
        <v>15000</v>
      </c>
      <c r="M551">
        <v>228.205779394546</v>
      </c>
      <c r="O551">
        <v>65.725126412405103</v>
      </c>
      <c r="P551">
        <v>0.16494041327261</v>
      </c>
      <c r="Q551">
        <v>1.1900166672546499</v>
      </c>
      <c r="R551">
        <v>0.40203431213921997</v>
      </c>
      <c r="S551" t="s">
        <v>4847</v>
      </c>
      <c r="T551" t="s">
        <v>8590</v>
      </c>
      <c r="U551" t="s">
        <v>8590</v>
      </c>
      <c r="V551" t="s">
        <v>8590</v>
      </c>
      <c r="W551">
        <v>11</v>
      </c>
      <c r="X551" t="s">
        <v>9141</v>
      </c>
      <c r="Y551">
        <v>1.0270184532469739</v>
      </c>
      <c r="Z551" t="str">
        <f>HYPERLINK("Melting_Curves/meltCurve_sp_P07108_ACBP_HUMAN_.pdf", "Melting_Curves/meltCurve_sp_P07108_ACBP_HUMAN_.pdf")</f>
        <v>Melting_Curves/meltCurve_sp_P07108_ACBP_HUMAN_.pdf</v>
      </c>
      <c r="AA551" t="s">
        <v>13424</v>
      </c>
      <c r="AB551" t="s">
        <v>17636</v>
      </c>
    </row>
    <row r="552" spans="1:28" x14ac:dyDescent="0.25">
      <c r="A552" t="s">
        <v>556</v>
      </c>
      <c r="B552">
        <v>0.99876560204751996</v>
      </c>
      <c r="C552">
        <v>0.87258376722668596</v>
      </c>
      <c r="D552">
        <v>1.2082611451873699</v>
      </c>
      <c r="E552">
        <v>0.90192793358673995</v>
      </c>
      <c r="F552">
        <v>1.1834960088262001</v>
      </c>
      <c r="G552">
        <v>0.88334554702896095</v>
      </c>
      <c r="H552">
        <v>0.90895643243731306</v>
      </c>
      <c r="I552">
        <v>0.782303550518616</v>
      </c>
      <c r="J552">
        <v>1.03936511678858</v>
      </c>
      <c r="K552">
        <v>0.92113756183685902</v>
      </c>
      <c r="L552">
        <v>4269.8090161291402</v>
      </c>
      <c r="M552">
        <v>76.763185768289802</v>
      </c>
      <c r="O552">
        <v>55.585420265194401</v>
      </c>
      <c r="P552">
        <v>-3.23684996319503E-2</v>
      </c>
      <c r="Q552">
        <v>0.90624587406489099</v>
      </c>
      <c r="R552">
        <v>0.19146263047043399</v>
      </c>
      <c r="S552" t="s">
        <v>4848</v>
      </c>
      <c r="T552" t="s">
        <v>8590</v>
      </c>
      <c r="U552" t="s">
        <v>8590</v>
      </c>
      <c r="V552" t="s">
        <v>8590</v>
      </c>
      <c r="W552">
        <v>15</v>
      </c>
      <c r="X552" t="s">
        <v>9142</v>
      </c>
      <c r="Y552">
        <v>0.95516759704333032</v>
      </c>
      <c r="Z552" t="str">
        <f>HYPERLINK("Melting_Curves/meltCurve_sp_P07148_FABPL_HUMAN_.pdf", "Melting_Curves/meltCurve_sp_P07148_FABPL_HUMAN_.pdf")</f>
        <v>Melting_Curves/meltCurve_sp_P07148_FABPL_HUMAN_.pdf</v>
      </c>
      <c r="AA552" t="s">
        <v>13425</v>
      </c>
      <c r="AB552" t="s">
        <v>17637</v>
      </c>
    </row>
    <row r="553" spans="1:28" x14ac:dyDescent="0.25">
      <c r="A553" t="s">
        <v>557</v>
      </c>
      <c r="B553">
        <v>0.99876560204751996</v>
      </c>
      <c r="C553">
        <v>1.05172915785596</v>
      </c>
      <c r="D553">
        <v>0.96602763227457</v>
      </c>
      <c r="E553">
        <v>1.0309099587628601</v>
      </c>
      <c r="F553">
        <v>0.93754777772445896</v>
      </c>
      <c r="G553">
        <v>0.79519060640803696</v>
      </c>
      <c r="H553">
        <v>0.433061442254153</v>
      </c>
      <c r="I553">
        <v>0.17521749910823101</v>
      </c>
      <c r="J553">
        <v>0.123682664585767</v>
      </c>
      <c r="K553">
        <v>7.4622258171808994E-2</v>
      </c>
      <c r="L553">
        <v>1527.9766207349101</v>
      </c>
      <c r="M553">
        <v>25.512670795022899</v>
      </c>
      <c r="N553">
        <v>60.1378379635565</v>
      </c>
      <c r="O553">
        <v>59.526566374999199</v>
      </c>
      <c r="P553">
        <v>-0.10182091760195</v>
      </c>
      <c r="Q553">
        <v>4.9731097460953097E-2</v>
      </c>
      <c r="R553">
        <v>0.99513017202454901</v>
      </c>
      <c r="S553" t="s">
        <v>4849</v>
      </c>
      <c r="T553" t="s">
        <v>8590</v>
      </c>
      <c r="U553" t="s">
        <v>8590</v>
      </c>
      <c r="V553" t="s">
        <v>8590</v>
      </c>
      <c r="W553">
        <v>15</v>
      </c>
      <c r="X553" t="s">
        <v>9143</v>
      </c>
      <c r="Y553">
        <v>0.68679922953498007</v>
      </c>
      <c r="Z553" t="str">
        <f>HYPERLINK("Melting_Curves/meltCurve_sp_P07195_LDHB_HUMAN_.pdf", "Melting_Curves/meltCurve_sp_P07195_LDHB_HUMAN_.pdf")</f>
        <v>Melting_Curves/meltCurve_sp_P07195_LDHB_HUMAN_.pdf</v>
      </c>
      <c r="AA553" t="s">
        <v>13426</v>
      </c>
      <c r="AB553" t="s">
        <v>17638</v>
      </c>
    </row>
    <row r="554" spans="1:28" x14ac:dyDescent="0.25">
      <c r="A554" t="s">
        <v>558</v>
      </c>
      <c r="B554">
        <v>0.99876560204751996</v>
      </c>
      <c r="C554">
        <v>0.86364135054300994</v>
      </c>
      <c r="D554">
        <v>0.66638116965273397</v>
      </c>
      <c r="E554">
        <v>0.47041725936294398</v>
      </c>
      <c r="F554">
        <v>0.331022899191252</v>
      </c>
      <c r="G554">
        <v>0.28126366946291498</v>
      </c>
      <c r="H554">
        <v>0.220621012636568</v>
      </c>
      <c r="I554">
        <v>0.203801193813578</v>
      </c>
      <c r="J554">
        <v>0.19124652324828101</v>
      </c>
      <c r="K554">
        <v>0.109706643572312</v>
      </c>
      <c r="L554">
        <v>644.68929450167298</v>
      </c>
      <c r="M554">
        <v>13.444765976023699</v>
      </c>
      <c r="N554">
        <v>49.362356824329403</v>
      </c>
      <c r="O554">
        <v>46.9274123403682</v>
      </c>
      <c r="P554">
        <v>-6.020490470506E-2</v>
      </c>
      <c r="Q554">
        <v>0.15957710742886499</v>
      </c>
      <c r="R554">
        <v>0.98886513725741998</v>
      </c>
      <c r="S554" t="s">
        <v>4850</v>
      </c>
      <c r="T554" t="s">
        <v>8590</v>
      </c>
      <c r="U554" t="s">
        <v>8590</v>
      </c>
      <c r="V554" t="s">
        <v>8590</v>
      </c>
      <c r="W554">
        <v>11</v>
      </c>
      <c r="X554" t="s">
        <v>9144</v>
      </c>
      <c r="Y554">
        <v>0.4091136563774363</v>
      </c>
      <c r="Z554" t="str">
        <f>HYPERLINK("Melting_Curves/meltCurve_sp_P07203_GPX1_HUMAN_.pdf", "Melting_Curves/meltCurve_sp_P07203_GPX1_HUMAN_.pdf")</f>
        <v>Melting_Curves/meltCurve_sp_P07203_GPX1_HUMAN_.pdf</v>
      </c>
      <c r="AA554" t="s">
        <v>13427</v>
      </c>
      <c r="AB554" t="s">
        <v>17639</v>
      </c>
    </row>
    <row r="555" spans="1:28" x14ac:dyDescent="0.25">
      <c r="A555" t="s">
        <v>559</v>
      </c>
      <c r="B555">
        <v>0.99876560204751996</v>
      </c>
      <c r="C555">
        <v>0.96189270940715599</v>
      </c>
      <c r="D555">
        <v>1.12446387771393</v>
      </c>
      <c r="E555">
        <v>0.83729936560544405</v>
      </c>
      <c r="F555">
        <v>0.315493760318313</v>
      </c>
      <c r="G555">
        <v>0.17755125355392501</v>
      </c>
      <c r="H555">
        <v>0.105177602562634</v>
      </c>
      <c r="I555">
        <v>8.3703662249644498E-2</v>
      </c>
      <c r="J555">
        <v>7.8824625838053705E-2</v>
      </c>
      <c r="K555">
        <v>8.7099273754042306E-2</v>
      </c>
      <c r="L555">
        <v>2336.6906398641199</v>
      </c>
      <c r="M555">
        <v>45.217300029194398</v>
      </c>
      <c r="N555">
        <v>51.940664870850902</v>
      </c>
      <c r="O555">
        <v>51.576145896103299</v>
      </c>
      <c r="P555">
        <v>-0.19669650389170801</v>
      </c>
      <c r="Q555">
        <v>0.102570504381397</v>
      </c>
      <c r="R555">
        <v>0.98713328777639597</v>
      </c>
      <c r="S555" t="s">
        <v>4851</v>
      </c>
      <c r="T555" t="s">
        <v>8590</v>
      </c>
      <c r="U555" t="s">
        <v>8590</v>
      </c>
      <c r="V555" t="s">
        <v>8590</v>
      </c>
      <c r="W555">
        <v>7</v>
      </c>
      <c r="X555" t="s">
        <v>9145</v>
      </c>
      <c r="Y555">
        <v>0.45438150422361212</v>
      </c>
      <c r="Z555" t="str">
        <f>HYPERLINK("Melting_Curves/meltCurve_sp_P07205_PGK2_HUMAN_.pdf", "Melting_Curves/meltCurve_sp_P07205_PGK2_HUMAN_.pdf")</f>
        <v>Melting_Curves/meltCurve_sp_P07205_PGK2_HUMAN_.pdf</v>
      </c>
      <c r="AA555" t="s">
        <v>13428</v>
      </c>
      <c r="AB555" t="s">
        <v>17640</v>
      </c>
    </row>
    <row r="556" spans="1:28" x14ac:dyDescent="0.25">
      <c r="A556" t="s">
        <v>560</v>
      </c>
      <c r="B556">
        <v>0.99876560204751996</v>
      </c>
      <c r="C556">
        <v>1.0231332536266899</v>
      </c>
      <c r="D556">
        <v>1.0187735603046499</v>
      </c>
      <c r="E556">
        <v>1.0211900356387</v>
      </c>
      <c r="F556">
        <v>1.01841916091496</v>
      </c>
      <c r="G556">
        <v>0.87044733399164298</v>
      </c>
      <c r="H556">
        <v>0.72278382762095805</v>
      </c>
      <c r="I556">
        <v>0.68645408640330696</v>
      </c>
      <c r="J556">
        <v>0.78549354091064405</v>
      </c>
      <c r="K556">
        <v>0.75459708779293699</v>
      </c>
      <c r="L556">
        <v>14251.5462615542</v>
      </c>
      <c r="M556">
        <v>250</v>
      </c>
      <c r="O556">
        <v>57.002536637304097</v>
      </c>
      <c r="P556">
        <v>-0.28800019550781902</v>
      </c>
      <c r="Q556">
        <v>0.73733213136934195</v>
      </c>
      <c r="R556">
        <v>0.960332900664714</v>
      </c>
      <c r="S556" t="s">
        <v>4852</v>
      </c>
      <c r="T556" t="s">
        <v>8590</v>
      </c>
      <c r="U556" t="s">
        <v>8590</v>
      </c>
      <c r="V556" t="s">
        <v>8590</v>
      </c>
      <c r="W556">
        <v>49</v>
      </c>
      <c r="X556" t="s">
        <v>9146</v>
      </c>
      <c r="Y556">
        <v>0.88625768928867843</v>
      </c>
      <c r="Z556" t="str">
        <f>HYPERLINK("Melting_Curves/meltCurve_sp_P07237_PDIA1_HUMAN_.pdf", "Melting_Curves/meltCurve_sp_P07237_PDIA1_HUMAN_.pdf")</f>
        <v>Melting_Curves/meltCurve_sp_P07237_PDIA1_HUMAN_.pdf</v>
      </c>
      <c r="AA556" t="s">
        <v>13429</v>
      </c>
      <c r="AB556" t="s">
        <v>17641</v>
      </c>
    </row>
    <row r="557" spans="1:28" x14ac:dyDescent="0.25">
      <c r="A557" t="s">
        <v>561</v>
      </c>
      <c r="B557">
        <v>0.99876560204751996</v>
      </c>
      <c r="C557">
        <v>0.98064104765523896</v>
      </c>
      <c r="D557">
        <v>0.87573306991459499</v>
      </c>
      <c r="E557">
        <v>0.86039556132799</v>
      </c>
      <c r="F557">
        <v>0.75954903019763198</v>
      </c>
      <c r="G557">
        <v>0.60382476996823298</v>
      </c>
      <c r="H557">
        <v>0.50709881338004004</v>
      </c>
      <c r="I557">
        <v>0.49410004916678701</v>
      </c>
      <c r="J557">
        <v>0.63125892899689096</v>
      </c>
      <c r="K557">
        <v>0.57611399187440704</v>
      </c>
      <c r="L557">
        <v>840.86147459276901</v>
      </c>
      <c r="M557">
        <v>16.251010462989701</v>
      </c>
      <c r="O557">
        <v>50.977621973633603</v>
      </c>
      <c r="P557">
        <v>-3.6892960808826203E-2</v>
      </c>
      <c r="Q557">
        <v>0.53711743408143697</v>
      </c>
      <c r="R557">
        <v>0.92830167138600805</v>
      </c>
      <c r="S557" t="s">
        <v>4853</v>
      </c>
      <c r="T557" t="s">
        <v>8590</v>
      </c>
      <c r="U557" t="s">
        <v>8590</v>
      </c>
      <c r="V557" t="s">
        <v>8590</v>
      </c>
      <c r="W557">
        <v>5</v>
      </c>
      <c r="X557" t="s">
        <v>9147</v>
      </c>
      <c r="Y557">
        <v>0.7274748873570166</v>
      </c>
      <c r="Z557" t="str">
        <f>HYPERLINK("Melting_Curves/meltCurve_sp_P07305_H10_HUMAN_.pdf", "Melting_Curves/meltCurve_sp_P07305_H10_HUMAN_.pdf")</f>
        <v>Melting_Curves/meltCurve_sp_P07305_H10_HUMAN_.pdf</v>
      </c>
      <c r="AA557" t="s">
        <v>13430</v>
      </c>
      <c r="AB557" t="s">
        <v>17642</v>
      </c>
    </row>
    <row r="558" spans="1:28" x14ac:dyDescent="0.25">
      <c r="A558" t="s">
        <v>562</v>
      </c>
      <c r="B558">
        <v>0.99876560204751996</v>
      </c>
      <c r="C558">
        <v>0.92835273873816504</v>
      </c>
      <c r="D558">
        <v>0.82329323706026603</v>
      </c>
      <c r="E558">
        <v>0.67665349030428701</v>
      </c>
      <c r="F558">
        <v>0.42440456765040901</v>
      </c>
      <c r="G558">
        <v>0.35652094559932501</v>
      </c>
      <c r="H558">
        <v>0.251056897508591</v>
      </c>
      <c r="I558">
        <v>0.195783828198697</v>
      </c>
      <c r="J558">
        <v>0.23929098455841899</v>
      </c>
      <c r="K558">
        <v>0.180075822806678</v>
      </c>
      <c r="L558">
        <v>695.12746919681103</v>
      </c>
      <c r="M558">
        <v>13.683499088716999</v>
      </c>
      <c r="N558">
        <v>52.464801494913203</v>
      </c>
      <c r="O558">
        <v>49.7523037006452</v>
      </c>
      <c r="P558">
        <v>-5.66598928106209E-2</v>
      </c>
      <c r="Q558">
        <v>0.17607297613974399</v>
      </c>
      <c r="R558">
        <v>0.99123369995190103</v>
      </c>
      <c r="S558" t="s">
        <v>4854</v>
      </c>
      <c r="T558" t="s">
        <v>8590</v>
      </c>
      <c r="U558" t="s">
        <v>8590</v>
      </c>
      <c r="V558" t="s">
        <v>8590</v>
      </c>
      <c r="W558">
        <v>1</v>
      </c>
      <c r="X558" t="s">
        <v>9148</v>
      </c>
      <c r="Y558">
        <v>0.49495982983579989</v>
      </c>
      <c r="Z558" t="str">
        <f>HYPERLINK("Melting_Curves/meltCurve_sp_P07307_3_ASGR2_HUMAN_.pdf", "Melting_Curves/meltCurve_sp_P07307_3_ASGR2_HUMAN_.pdf")</f>
        <v>Melting_Curves/meltCurve_sp_P07307_3_ASGR2_HUMAN_.pdf</v>
      </c>
      <c r="AA558" t="s">
        <v>13431</v>
      </c>
      <c r="AB558" t="s">
        <v>17643</v>
      </c>
    </row>
    <row r="559" spans="1:28" x14ac:dyDescent="0.25">
      <c r="A559" t="s">
        <v>563</v>
      </c>
      <c r="B559">
        <v>0.99876560204751996</v>
      </c>
      <c r="C559">
        <v>0.98579294932001205</v>
      </c>
      <c r="D559">
        <v>0.94472663877627605</v>
      </c>
      <c r="E559">
        <v>0.93636962932805601</v>
      </c>
      <c r="F559">
        <v>0.79125750220298696</v>
      </c>
      <c r="G559">
        <v>0.610725089303646</v>
      </c>
      <c r="H559">
        <v>0.405668634683577</v>
      </c>
      <c r="I559">
        <v>0.31445028009936399</v>
      </c>
      <c r="J559">
        <v>0.23577588490242901</v>
      </c>
      <c r="K559">
        <v>0.114351461132602</v>
      </c>
      <c r="L559">
        <v>695.56467144821102</v>
      </c>
      <c r="M559">
        <v>11.7228624011191</v>
      </c>
      <c r="N559">
        <v>59.3340302029101</v>
      </c>
      <c r="O559">
        <v>57.686374534897503</v>
      </c>
      <c r="P559">
        <v>-5.08177019996797E-2</v>
      </c>
      <c r="Q559">
        <v>0</v>
      </c>
      <c r="R559">
        <v>0.99597689061108896</v>
      </c>
      <c r="S559" t="s">
        <v>4855</v>
      </c>
      <c r="T559" t="s">
        <v>8590</v>
      </c>
      <c r="U559" t="s">
        <v>8590</v>
      </c>
      <c r="V559" t="s">
        <v>8590</v>
      </c>
      <c r="W559">
        <v>29</v>
      </c>
      <c r="X559" t="s">
        <v>9149</v>
      </c>
      <c r="Y559">
        <v>0.65008927012270046</v>
      </c>
      <c r="Z559" t="str">
        <f>HYPERLINK("Melting_Curves/meltCurve_sp_P07327_ADH1A_HUMAN_.pdf", "Melting_Curves/meltCurve_sp_P07327_ADH1A_HUMAN_.pdf")</f>
        <v>Melting_Curves/meltCurve_sp_P07327_ADH1A_HUMAN_.pdf</v>
      </c>
      <c r="AA559" t="s">
        <v>13432</v>
      </c>
      <c r="AB559" t="s">
        <v>17644</v>
      </c>
    </row>
    <row r="560" spans="1:28" x14ac:dyDescent="0.25">
      <c r="A560" t="s">
        <v>564</v>
      </c>
      <c r="B560">
        <v>0.99876560204751996</v>
      </c>
      <c r="C560">
        <v>1.0009492757524401</v>
      </c>
      <c r="D560">
        <v>0.78448367088862903</v>
      </c>
      <c r="E560">
        <v>0.69844218738334896</v>
      </c>
      <c r="F560">
        <v>0.53240036272340396</v>
      </c>
      <c r="G560">
        <v>0.17414793469560699</v>
      </c>
      <c r="H560">
        <v>9.2836758230298994E-2</v>
      </c>
      <c r="I560">
        <v>7.8833021170217302E-2</v>
      </c>
      <c r="J560">
        <v>6.8512106310461299E-2</v>
      </c>
      <c r="K560">
        <v>0.10958480667361301</v>
      </c>
      <c r="L560">
        <v>806.26738589076604</v>
      </c>
      <c r="M560">
        <v>15.453143356341901</v>
      </c>
      <c r="N560">
        <v>52.427045311416897</v>
      </c>
      <c r="O560">
        <v>51.324666190604503</v>
      </c>
      <c r="P560">
        <v>-7.2583121833738898E-2</v>
      </c>
      <c r="Q560">
        <v>3.5802820443385001E-2</v>
      </c>
      <c r="R560">
        <v>0.98012824079698102</v>
      </c>
      <c r="S560" t="s">
        <v>4856</v>
      </c>
      <c r="T560" t="s">
        <v>8590</v>
      </c>
      <c r="U560" t="s">
        <v>8590</v>
      </c>
      <c r="V560" t="s">
        <v>8590</v>
      </c>
      <c r="W560">
        <v>7</v>
      </c>
      <c r="X560" t="s">
        <v>9150</v>
      </c>
      <c r="Y560">
        <v>0.44758032657475832</v>
      </c>
      <c r="Z560" t="str">
        <f>HYPERLINK("Melting_Curves/meltCurve_sp_P07355_ANXA2_HUMAN_.pdf", "Melting_Curves/meltCurve_sp_P07355_ANXA2_HUMAN_.pdf")</f>
        <v>Melting_Curves/meltCurve_sp_P07355_ANXA2_HUMAN_.pdf</v>
      </c>
      <c r="AA560" t="s">
        <v>13433</v>
      </c>
      <c r="AB560" t="s">
        <v>17645</v>
      </c>
    </row>
    <row r="561" spans="1:28" x14ac:dyDescent="0.25">
      <c r="A561" t="s">
        <v>565</v>
      </c>
      <c r="B561">
        <v>0.99876560204751996</v>
      </c>
      <c r="C561">
        <v>0.93421826638865901</v>
      </c>
      <c r="D561">
        <v>0.73721025872811097</v>
      </c>
      <c r="E561">
        <v>0.66998587498644901</v>
      </c>
      <c r="F561">
        <v>0.42544963716800399</v>
      </c>
      <c r="G561">
        <v>0.19053346616008601</v>
      </c>
      <c r="H561">
        <v>8.4124823825319703E-2</v>
      </c>
      <c r="I561">
        <v>6.14965373638168E-2</v>
      </c>
      <c r="J561">
        <v>6.38076518378725E-2</v>
      </c>
      <c r="K561">
        <v>5.8018756617591802E-2</v>
      </c>
      <c r="L561">
        <v>666.77118130840495</v>
      </c>
      <c r="M561">
        <v>12.939305507839901</v>
      </c>
      <c r="N561">
        <v>51.5306776870299</v>
      </c>
      <c r="O561">
        <v>50.346425792512399</v>
      </c>
      <c r="P561">
        <v>-6.4262920522203199E-2</v>
      </c>
      <c r="Q561">
        <v>0</v>
      </c>
      <c r="R561">
        <v>0.986945894841052</v>
      </c>
      <c r="S561" t="s">
        <v>4857</v>
      </c>
      <c r="T561" t="s">
        <v>8590</v>
      </c>
      <c r="U561" t="s">
        <v>8590</v>
      </c>
      <c r="V561" t="s">
        <v>8590</v>
      </c>
      <c r="W561">
        <v>8</v>
      </c>
      <c r="X561" t="s">
        <v>9151</v>
      </c>
      <c r="Y561">
        <v>0.41276156877451697</v>
      </c>
      <c r="Z561" t="str">
        <f>HYPERLINK("Melting_Curves/meltCurve_sp_P07357_CO8A_HUMAN_.pdf", "Melting_Curves/meltCurve_sp_P07357_CO8A_HUMAN_.pdf")</f>
        <v>Melting_Curves/meltCurve_sp_P07357_CO8A_HUMAN_.pdf</v>
      </c>
      <c r="AA561" t="s">
        <v>13434</v>
      </c>
      <c r="AB561" t="s">
        <v>17646</v>
      </c>
    </row>
    <row r="562" spans="1:28" x14ac:dyDescent="0.25">
      <c r="A562" t="s">
        <v>566</v>
      </c>
      <c r="B562">
        <v>0.99876560204751996</v>
      </c>
      <c r="C562">
        <v>1.15171250628776</v>
      </c>
      <c r="D562">
        <v>0.94576376890021097</v>
      </c>
      <c r="E562">
        <v>0.95707311746826396</v>
      </c>
      <c r="F562">
        <v>0.75552479661100003</v>
      </c>
      <c r="G562">
        <v>0.32344877558180801</v>
      </c>
      <c r="H562">
        <v>9.7110517987723799E-2</v>
      </c>
      <c r="I562">
        <v>7.5446075114051006E-2</v>
      </c>
      <c r="J562">
        <v>8.5879232644411302E-2</v>
      </c>
      <c r="K562">
        <v>7.5033190697919694E-2</v>
      </c>
      <c r="L562">
        <v>1585.6712478363199</v>
      </c>
      <c r="M562">
        <v>28.846730846575198</v>
      </c>
      <c r="N562">
        <v>55.243733139620602</v>
      </c>
      <c r="O562">
        <v>54.706727432121603</v>
      </c>
      <c r="P562">
        <v>-0.123011865140476</v>
      </c>
      <c r="Q562">
        <v>6.68582203840066E-2</v>
      </c>
      <c r="R562">
        <v>0.98562134660970901</v>
      </c>
      <c r="S562" t="s">
        <v>4858</v>
      </c>
      <c r="T562" t="s">
        <v>8590</v>
      </c>
      <c r="U562" t="s">
        <v>8590</v>
      </c>
      <c r="V562" t="s">
        <v>8590</v>
      </c>
      <c r="W562">
        <v>5</v>
      </c>
      <c r="X562" t="s">
        <v>9152</v>
      </c>
      <c r="Y562">
        <v>0.53912077952841897</v>
      </c>
      <c r="Z562" t="str">
        <f>HYPERLINK("Melting_Curves/meltCurve_sp_P07360_CO8G_HUMAN_.pdf", "Melting_Curves/meltCurve_sp_P07360_CO8G_HUMAN_.pdf")</f>
        <v>Melting_Curves/meltCurve_sp_P07360_CO8G_HUMAN_.pdf</v>
      </c>
      <c r="AA562" t="s">
        <v>13435</v>
      </c>
      <c r="AB562" t="s">
        <v>17647</v>
      </c>
    </row>
    <row r="563" spans="1:28" x14ac:dyDescent="0.25">
      <c r="A563" t="s">
        <v>567</v>
      </c>
      <c r="B563">
        <v>0.99876560204751996</v>
      </c>
      <c r="C563">
        <v>1.03720181634291</v>
      </c>
      <c r="D563">
        <v>0.95205488898722301</v>
      </c>
      <c r="E563">
        <v>0.99425671426981299</v>
      </c>
      <c r="F563">
        <v>0.84195498128902102</v>
      </c>
      <c r="G563">
        <v>0.66886422497391795</v>
      </c>
      <c r="H563">
        <v>0.441764401040179</v>
      </c>
      <c r="I563">
        <v>0.33129016215725998</v>
      </c>
      <c r="J563">
        <v>0.23447864651054801</v>
      </c>
      <c r="K563">
        <v>9.5661715743140793E-2</v>
      </c>
      <c r="L563">
        <v>807.40719448261598</v>
      </c>
      <c r="M563">
        <v>13.4134853307346</v>
      </c>
      <c r="N563">
        <v>60.193691370302297</v>
      </c>
      <c r="O563">
        <v>58.903034324284299</v>
      </c>
      <c r="P563">
        <v>-5.6939271997120802E-2</v>
      </c>
      <c r="Q563">
        <v>0</v>
      </c>
      <c r="R563">
        <v>0.99193566314636294</v>
      </c>
      <c r="S563" t="s">
        <v>4859</v>
      </c>
      <c r="T563" t="s">
        <v>8590</v>
      </c>
      <c r="U563" t="s">
        <v>8590</v>
      </c>
      <c r="V563" t="s">
        <v>8590</v>
      </c>
      <c r="W563">
        <v>31</v>
      </c>
      <c r="X563" t="s">
        <v>9153</v>
      </c>
      <c r="Y563">
        <v>0.67719666158236758</v>
      </c>
      <c r="Z563" t="str">
        <f>HYPERLINK("Melting_Curves/meltCurve_sp_P07384_CAN1_HUMAN_.pdf", "Melting_Curves/meltCurve_sp_P07384_CAN1_HUMAN_.pdf")</f>
        <v>Melting_Curves/meltCurve_sp_P07384_CAN1_HUMAN_.pdf</v>
      </c>
      <c r="AA563" t="s">
        <v>13436</v>
      </c>
      <c r="AB563" t="s">
        <v>17648</v>
      </c>
    </row>
    <row r="564" spans="1:28" x14ac:dyDescent="0.25">
      <c r="A564" t="s">
        <v>568</v>
      </c>
      <c r="B564">
        <v>0.99876560204751996</v>
      </c>
      <c r="C564">
        <v>0.96669104809254802</v>
      </c>
      <c r="D564">
        <v>1.52388472876436</v>
      </c>
      <c r="E564">
        <v>1.2014331782275001</v>
      </c>
      <c r="F564">
        <v>1.46671074987866</v>
      </c>
      <c r="G564">
        <v>1.0853977345273</v>
      </c>
      <c r="H564">
        <v>1.40275246019487</v>
      </c>
      <c r="I564">
        <v>1.5241880782191499</v>
      </c>
      <c r="J564">
        <v>2.76238151127234</v>
      </c>
      <c r="K564">
        <v>2.8783392273580102</v>
      </c>
      <c r="L564">
        <v>802.18769340151403</v>
      </c>
      <c r="M564">
        <v>17.519890049038001</v>
      </c>
      <c r="O564">
        <v>45.203219341305498</v>
      </c>
      <c r="P564">
        <v>4.8450231930240402E-2</v>
      </c>
      <c r="Q564">
        <v>1.5</v>
      </c>
      <c r="R564">
        <v>0.10153145355069999</v>
      </c>
      <c r="S564" t="s">
        <v>4860</v>
      </c>
      <c r="T564" t="s">
        <v>8590</v>
      </c>
      <c r="U564" t="s">
        <v>8590</v>
      </c>
      <c r="V564" t="s">
        <v>8590</v>
      </c>
      <c r="W564">
        <v>3</v>
      </c>
      <c r="X564" t="s">
        <v>9154</v>
      </c>
      <c r="Y564">
        <v>1.392936710434727</v>
      </c>
      <c r="Z564" t="str">
        <f>HYPERLINK("Melting_Curves/meltCurve_sp_P07438_MT1B_HUMAN_.pdf", "Melting_Curves/meltCurve_sp_P07438_MT1B_HUMAN_.pdf")</f>
        <v>Melting_Curves/meltCurve_sp_P07438_MT1B_HUMAN_.pdf</v>
      </c>
      <c r="AA564" t="s">
        <v>13437</v>
      </c>
      <c r="AB564" t="s">
        <v>17649</v>
      </c>
    </row>
    <row r="565" spans="1:28" x14ac:dyDescent="0.25">
      <c r="A565" t="s">
        <v>569</v>
      </c>
      <c r="B565">
        <v>0.99876560204751996</v>
      </c>
      <c r="C565">
        <v>0.91574291207380298</v>
      </c>
      <c r="D565">
        <v>1.06530023433721</v>
      </c>
      <c r="E565">
        <v>0.87861497287755597</v>
      </c>
      <c r="F565">
        <v>0.919115114261012</v>
      </c>
      <c r="G565">
        <v>0.72952862739311197</v>
      </c>
      <c r="H565">
        <v>0.66483926064987098</v>
      </c>
      <c r="I565">
        <v>0.70780912542726704</v>
      </c>
      <c r="J565">
        <v>0.86911214260945002</v>
      </c>
      <c r="K565">
        <v>0.92767416650456902</v>
      </c>
      <c r="L565">
        <v>1483.14948989153</v>
      </c>
      <c r="M565">
        <v>28.8451972760428</v>
      </c>
      <c r="O565">
        <v>51.172330195002097</v>
      </c>
      <c r="P565">
        <v>-3.0346264427584899E-2</v>
      </c>
      <c r="Q565">
        <v>0.78466054887147396</v>
      </c>
      <c r="R565">
        <v>0.51423216941696304</v>
      </c>
      <c r="S565" t="s">
        <v>4861</v>
      </c>
      <c r="T565" t="s">
        <v>8590</v>
      </c>
      <c r="U565" t="s">
        <v>8590</v>
      </c>
      <c r="V565" t="s">
        <v>8590</v>
      </c>
      <c r="W565">
        <v>16</v>
      </c>
      <c r="X565" t="s">
        <v>9155</v>
      </c>
      <c r="Y565">
        <v>0.86808956275345328</v>
      </c>
      <c r="Z565" t="str">
        <f>HYPERLINK("Melting_Curves/meltCurve_sp_P07602_SAP_HUMAN_.pdf", "Melting_Curves/meltCurve_sp_P07602_SAP_HUMAN_.pdf")</f>
        <v>Melting_Curves/meltCurve_sp_P07602_SAP_HUMAN_.pdf</v>
      </c>
      <c r="AA565" t="s">
        <v>13438</v>
      </c>
      <c r="AB565" t="s">
        <v>17650</v>
      </c>
    </row>
    <row r="566" spans="1:28" x14ac:dyDescent="0.25">
      <c r="A566" t="s">
        <v>570</v>
      </c>
      <c r="B566">
        <v>0.99876560204751996</v>
      </c>
      <c r="C566">
        <v>0.97520693891204402</v>
      </c>
      <c r="D566">
        <v>0.88040355485503896</v>
      </c>
      <c r="E566">
        <v>0.91514355688409399</v>
      </c>
      <c r="F566">
        <v>0.74231859104122699</v>
      </c>
      <c r="G566">
        <v>0.46163894814989198</v>
      </c>
      <c r="H566">
        <v>0.155966353970838</v>
      </c>
      <c r="I566">
        <v>6.2998831718607401E-2</v>
      </c>
      <c r="J566">
        <v>5.1756142065796998E-2</v>
      </c>
      <c r="K566">
        <v>4.4260842262409401E-2</v>
      </c>
      <c r="L566">
        <v>1043.5467853586199</v>
      </c>
      <c r="M566">
        <v>18.596800079627702</v>
      </c>
      <c r="N566">
        <v>56.114319704743501</v>
      </c>
      <c r="O566">
        <v>55.477521531519699</v>
      </c>
      <c r="P566">
        <v>-8.3806918658313301E-2</v>
      </c>
      <c r="Q566">
        <v>0</v>
      </c>
      <c r="R566">
        <v>0.99079882151117005</v>
      </c>
      <c r="S566" t="s">
        <v>4862</v>
      </c>
      <c r="T566" t="s">
        <v>8590</v>
      </c>
      <c r="U566" t="s">
        <v>8590</v>
      </c>
      <c r="V566" t="s">
        <v>8590</v>
      </c>
      <c r="W566">
        <v>22</v>
      </c>
      <c r="X566" t="s">
        <v>9156</v>
      </c>
      <c r="Y566">
        <v>0.55121661586981496</v>
      </c>
      <c r="Z566" t="str">
        <f>HYPERLINK("Melting_Curves/meltCurve_sp_P07686_HEXB_HUMAN_.pdf", "Melting_Curves/meltCurve_sp_P07686_HEXB_HUMAN_.pdf")</f>
        <v>Melting_Curves/meltCurve_sp_P07686_HEXB_HUMAN_.pdf</v>
      </c>
      <c r="AA566" t="s">
        <v>13439</v>
      </c>
      <c r="AB566" t="s">
        <v>17651</v>
      </c>
    </row>
    <row r="567" spans="1:28" x14ac:dyDescent="0.25">
      <c r="A567" t="s">
        <v>571</v>
      </c>
      <c r="B567">
        <v>0.99876560204751996</v>
      </c>
      <c r="C567">
        <v>0.91112429444318199</v>
      </c>
      <c r="D567">
        <v>1.07491994987905</v>
      </c>
      <c r="E567">
        <v>0.96747197819534603</v>
      </c>
      <c r="F567">
        <v>1.14688022654199</v>
      </c>
      <c r="G567">
        <v>0.791593263599355</v>
      </c>
      <c r="H567">
        <v>0.57145946862264396</v>
      </c>
      <c r="I567">
        <v>0.46301102627011598</v>
      </c>
      <c r="J567">
        <v>0.59491010974476799</v>
      </c>
      <c r="K567">
        <v>0.53426134842686301</v>
      </c>
      <c r="L567">
        <v>7794.7090399131503</v>
      </c>
      <c r="M567">
        <v>136.564190402897</v>
      </c>
      <c r="O567">
        <v>57.065021329122096</v>
      </c>
      <c r="P567">
        <v>-0.27467863162275502</v>
      </c>
      <c r="Q567">
        <v>0.54088870697762803</v>
      </c>
      <c r="R567">
        <v>0.91678380010120797</v>
      </c>
      <c r="S567" t="s">
        <v>4863</v>
      </c>
      <c r="T567" t="s">
        <v>8590</v>
      </c>
      <c r="U567" t="s">
        <v>8590</v>
      </c>
      <c r="V567" t="s">
        <v>8590</v>
      </c>
      <c r="W567">
        <v>6</v>
      </c>
      <c r="X567" t="s">
        <v>9157</v>
      </c>
      <c r="Y567">
        <v>0.80238825306576056</v>
      </c>
      <c r="Z567" t="str">
        <f>HYPERLINK("Melting_Curves/meltCurve_sp_P07711_CATL1_HUMAN_.pdf", "Melting_Curves/meltCurve_sp_P07711_CATL1_HUMAN_.pdf")</f>
        <v>Melting_Curves/meltCurve_sp_P07711_CATL1_HUMAN_.pdf</v>
      </c>
      <c r="AA567" t="s">
        <v>13440</v>
      </c>
      <c r="AB567" t="s">
        <v>17652</v>
      </c>
    </row>
    <row r="568" spans="1:28" x14ac:dyDescent="0.25">
      <c r="A568" t="s">
        <v>572</v>
      </c>
      <c r="B568">
        <v>0.99876560204751996</v>
      </c>
      <c r="C568">
        <v>0.92773787601527502</v>
      </c>
      <c r="D568">
        <v>1.0554880385812599</v>
      </c>
      <c r="E568">
        <v>0.89332247132628495</v>
      </c>
      <c r="F568">
        <v>0.73858526500652599</v>
      </c>
      <c r="G568">
        <v>0.27331835158842699</v>
      </c>
      <c r="H568">
        <v>0.11621256584492499</v>
      </c>
      <c r="I568">
        <v>9.3269455265193701E-2</v>
      </c>
      <c r="J568">
        <v>9.8878557149495103E-2</v>
      </c>
      <c r="K568">
        <v>9.3032131815916505E-2</v>
      </c>
      <c r="L568">
        <v>1595.8909540807399</v>
      </c>
      <c r="M568">
        <v>29.300854731264799</v>
      </c>
      <c r="N568">
        <v>54.818977508436497</v>
      </c>
      <c r="O568">
        <v>54.213873789892801</v>
      </c>
      <c r="P568">
        <v>-0.123492360892781</v>
      </c>
      <c r="Q568">
        <v>8.6040146243034299E-2</v>
      </c>
      <c r="R568">
        <v>0.99304731080688602</v>
      </c>
      <c r="S568" t="s">
        <v>4864</v>
      </c>
      <c r="T568" t="s">
        <v>8590</v>
      </c>
      <c r="U568" t="s">
        <v>8590</v>
      </c>
      <c r="V568" t="s">
        <v>8590</v>
      </c>
      <c r="W568">
        <v>16</v>
      </c>
      <c r="X568" t="s">
        <v>9158</v>
      </c>
      <c r="Y568">
        <v>0.53305277495408609</v>
      </c>
      <c r="Z568" t="str">
        <f>HYPERLINK("Melting_Curves/meltCurve_sp_P07737_PROF1_HUMAN_.pdf", "Melting_Curves/meltCurve_sp_P07737_PROF1_HUMAN_.pdf")</f>
        <v>Melting_Curves/meltCurve_sp_P07737_PROF1_HUMAN_.pdf</v>
      </c>
      <c r="AA568" t="s">
        <v>13441</v>
      </c>
      <c r="AB568" t="s">
        <v>17653</v>
      </c>
    </row>
    <row r="569" spans="1:28" x14ac:dyDescent="0.25">
      <c r="A569" t="s">
        <v>573</v>
      </c>
      <c r="B569">
        <v>0.99876560204751996</v>
      </c>
      <c r="C569">
        <v>0.98465395459290705</v>
      </c>
      <c r="D569">
        <v>0.92499608705507996</v>
      </c>
      <c r="E569">
        <v>0.668280006636776</v>
      </c>
      <c r="F569">
        <v>0.20788940105815301</v>
      </c>
      <c r="G569">
        <v>0.12566797848754899</v>
      </c>
      <c r="H569">
        <v>9.4609182738416495E-2</v>
      </c>
      <c r="I569">
        <v>5.0609722298220701E-2</v>
      </c>
      <c r="J569">
        <v>4.7084035502778399E-2</v>
      </c>
      <c r="K569">
        <v>3.7614817118068002E-2</v>
      </c>
      <c r="L569">
        <v>1762.0120727051201</v>
      </c>
      <c r="M569">
        <v>34.729058845805397</v>
      </c>
      <c r="N569">
        <v>50.932675901078703</v>
      </c>
      <c r="O569">
        <v>50.568617760262399</v>
      </c>
      <c r="P569">
        <v>-0.16091827465007799</v>
      </c>
      <c r="Q569">
        <v>6.2757753268323696E-2</v>
      </c>
      <c r="R569">
        <v>0.99536957093239498</v>
      </c>
      <c r="S569" t="s">
        <v>4865</v>
      </c>
      <c r="T569" t="s">
        <v>8590</v>
      </c>
      <c r="U569" t="s">
        <v>8590</v>
      </c>
      <c r="V569" t="s">
        <v>8590</v>
      </c>
      <c r="W569">
        <v>2</v>
      </c>
      <c r="X569" t="s">
        <v>9159</v>
      </c>
      <c r="Y569">
        <v>0.40253434815018951</v>
      </c>
      <c r="Z569" t="str">
        <f>HYPERLINK("Melting_Curves/meltCurve_sp_P07738_PMGE_HUMAN_.pdf", "Melting_Curves/meltCurve_sp_P07738_PMGE_HUMAN_.pdf")</f>
        <v>Melting_Curves/meltCurve_sp_P07738_PMGE_HUMAN_.pdf</v>
      </c>
      <c r="AA569" t="s">
        <v>13442</v>
      </c>
      <c r="AB569" t="s">
        <v>17654</v>
      </c>
    </row>
    <row r="570" spans="1:28" x14ac:dyDescent="0.25">
      <c r="A570" t="s">
        <v>574</v>
      </c>
      <c r="B570">
        <v>0.99876560204751996</v>
      </c>
      <c r="C570">
        <v>0.79441095643632997</v>
      </c>
      <c r="D570">
        <v>0.57227355878726505</v>
      </c>
      <c r="E570">
        <v>0.32571990088362202</v>
      </c>
      <c r="F570">
        <v>0.14252836401345101</v>
      </c>
      <c r="G570">
        <v>7.7150771571147497E-2</v>
      </c>
      <c r="H570">
        <v>5.0115549663890299E-2</v>
      </c>
      <c r="I570">
        <v>4.6103054040093398E-2</v>
      </c>
      <c r="J570">
        <v>4.7484014572990202E-2</v>
      </c>
      <c r="K570">
        <v>4.0849793851460897E-2</v>
      </c>
      <c r="L570">
        <v>754.94748890230403</v>
      </c>
      <c r="M570">
        <v>16.118103037532499</v>
      </c>
      <c r="N570">
        <v>47.038203661817697</v>
      </c>
      <c r="O570">
        <v>46.135296173537903</v>
      </c>
      <c r="P570">
        <v>-8.4459241917328204E-2</v>
      </c>
      <c r="Q570">
        <v>3.30735663628242E-2</v>
      </c>
      <c r="R570">
        <v>0.99478964784020396</v>
      </c>
      <c r="S570" t="s">
        <v>4866</v>
      </c>
      <c r="T570" t="s">
        <v>8590</v>
      </c>
      <c r="U570" t="s">
        <v>8590</v>
      </c>
      <c r="V570" t="s">
        <v>8590</v>
      </c>
      <c r="W570">
        <v>11</v>
      </c>
      <c r="X570" t="s">
        <v>9160</v>
      </c>
      <c r="Y570">
        <v>0.27631301194599922</v>
      </c>
      <c r="Z570" t="str">
        <f>HYPERLINK("Melting_Curves/meltCurve_sp_P07741_APT_HUMAN_.pdf", "Melting_Curves/meltCurve_sp_P07741_APT_HUMAN_.pdf")</f>
        <v>Melting_Curves/meltCurve_sp_P07741_APT_HUMAN_.pdf</v>
      </c>
      <c r="AA570" t="s">
        <v>13443</v>
      </c>
      <c r="AB570" t="s">
        <v>17655</v>
      </c>
    </row>
    <row r="571" spans="1:28" x14ac:dyDescent="0.25">
      <c r="A571" t="s">
        <v>575</v>
      </c>
      <c r="B571">
        <v>0.99876560204751996</v>
      </c>
      <c r="C571">
        <v>0.91686284152038799</v>
      </c>
      <c r="D571">
        <v>0.63457133465617599</v>
      </c>
      <c r="E571">
        <v>0.40482324024286997</v>
      </c>
      <c r="F571">
        <v>0.26842774634739602</v>
      </c>
      <c r="G571">
        <v>0.17934433752798201</v>
      </c>
      <c r="H571">
        <v>0.10259828739373</v>
      </c>
      <c r="I571">
        <v>7.3190972305615595E-2</v>
      </c>
      <c r="J571">
        <v>8.0556693000920804E-2</v>
      </c>
      <c r="K571">
        <v>6.5073692763604696E-2</v>
      </c>
      <c r="L571">
        <v>727.51191953596299</v>
      </c>
      <c r="M571">
        <v>15.130202670968</v>
      </c>
      <c r="N571">
        <v>48.559434601974203</v>
      </c>
      <c r="O571">
        <v>47.266932249143501</v>
      </c>
      <c r="P571">
        <v>-7.4516946658840705E-2</v>
      </c>
      <c r="Q571">
        <v>6.8923697674681497E-2</v>
      </c>
      <c r="R571">
        <v>0.99284138999167304</v>
      </c>
      <c r="S571" t="s">
        <v>4867</v>
      </c>
      <c r="T571" t="s">
        <v>8590</v>
      </c>
      <c r="U571" t="s">
        <v>8590</v>
      </c>
      <c r="V571" t="s">
        <v>8590</v>
      </c>
      <c r="W571">
        <v>53</v>
      </c>
      <c r="X571" t="s">
        <v>9161</v>
      </c>
      <c r="Y571">
        <v>0.34326263108553939</v>
      </c>
      <c r="Z571" t="str">
        <f>HYPERLINK("Melting_Curves/meltCurve_sp_P07814_SYEP_HUMAN_.pdf", "Melting_Curves/meltCurve_sp_P07814_SYEP_HUMAN_.pdf")</f>
        <v>Melting_Curves/meltCurve_sp_P07814_SYEP_HUMAN_.pdf</v>
      </c>
      <c r="AA571" t="s">
        <v>13444</v>
      </c>
      <c r="AB571" t="s">
        <v>17656</v>
      </c>
    </row>
    <row r="572" spans="1:28" x14ac:dyDescent="0.25">
      <c r="A572" t="s">
        <v>576</v>
      </c>
      <c r="B572">
        <v>0.99876560204751996</v>
      </c>
      <c r="C572">
        <v>0.89595574162384795</v>
      </c>
      <c r="D572">
        <v>0.87810469118117496</v>
      </c>
      <c r="E572">
        <v>0.44744137073927698</v>
      </c>
      <c r="F572">
        <v>0.31921943535897601</v>
      </c>
      <c r="G572">
        <v>0.22368974276234199</v>
      </c>
      <c r="H572">
        <v>0.26102886131098502</v>
      </c>
      <c r="I572">
        <v>0.235101057770225</v>
      </c>
      <c r="J572">
        <v>0.300790395713737</v>
      </c>
      <c r="K572">
        <v>0.29404102251338798</v>
      </c>
      <c r="L572">
        <v>1404.0809520508799</v>
      </c>
      <c r="M572">
        <v>29.116783474299801</v>
      </c>
      <c r="N572">
        <v>49.481449451626503</v>
      </c>
      <c r="O572">
        <v>47.996646716364403</v>
      </c>
      <c r="P572">
        <v>-0.111979015212451</v>
      </c>
      <c r="Q572">
        <v>0.26165230401374701</v>
      </c>
      <c r="R572">
        <v>0.98471135132910403</v>
      </c>
      <c r="S572" t="s">
        <v>4868</v>
      </c>
      <c r="T572" t="s">
        <v>8590</v>
      </c>
      <c r="U572" t="s">
        <v>8590</v>
      </c>
      <c r="V572" t="s">
        <v>8590</v>
      </c>
      <c r="W572">
        <v>18</v>
      </c>
      <c r="X572" t="s">
        <v>9162</v>
      </c>
      <c r="Y572">
        <v>0.46875759003774797</v>
      </c>
      <c r="Z572" t="str">
        <f>HYPERLINK("Melting_Curves/meltCurve_sp_P07858_CATB_HUMAN_.pdf", "Melting_Curves/meltCurve_sp_P07858_CATB_HUMAN_.pdf")</f>
        <v>Melting_Curves/meltCurve_sp_P07858_CATB_HUMAN_.pdf</v>
      </c>
      <c r="AA572" t="s">
        <v>13445</v>
      </c>
      <c r="AB572" t="s">
        <v>17657</v>
      </c>
    </row>
    <row r="573" spans="1:28" x14ac:dyDescent="0.25">
      <c r="A573" t="s">
        <v>577</v>
      </c>
      <c r="B573">
        <v>0.99876560204751996</v>
      </c>
      <c r="C573">
        <v>1.06688415068167</v>
      </c>
      <c r="D573">
        <v>0.95199757143588104</v>
      </c>
      <c r="E573">
        <v>1.02400366345032</v>
      </c>
      <c r="F573">
        <v>0.51698749639653496</v>
      </c>
      <c r="G573">
        <v>0.18192064980675501</v>
      </c>
      <c r="H573">
        <v>8.1830156933801398E-2</v>
      </c>
      <c r="I573">
        <v>6.0995994196346201E-2</v>
      </c>
      <c r="J573">
        <v>5.2758839330563599E-2</v>
      </c>
      <c r="K573">
        <v>4.1843402184337797E-2</v>
      </c>
      <c r="L573">
        <v>3018.44643891736</v>
      </c>
      <c r="M573">
        <v>56.994532662503502</v>
      </c>
      <c r="N573">
        <v>53.121275220219601</v>
      </c>
      <c r="O573">
        <v>52.895198516242601</v>
      </c>
      <c r="P573">
        <v>-0.24800836931973499</v>
      </c>
      <c r="Q573">
        <v>7.9319017078541595E-2</v>
      </c>
      <c r="R573">
        <v>0.98969867406078404</v>
      </c>
      <c r="S573" t="s">
        <v>4869</v>
      </c>
      <c r="T573" t="s">
        <v>8590</v>
      </c>
      <c r="U573" t="s">
        <v>8590</v>
      </c>
      <c r="V573" t="s">
        <v>8590</v>
      </c>
      <c r="W573">
        <v>54</v>
      </c>
      <c r="X573" t="s">
        <v>9163</v>
      </c>
      <c r="Y573">
        <v>0.47871490991419668</v>
      </c>
      <c r="Z573" t="str">
        <f>HYPERLINK("Melting_Curves/meltCurve_sp_P07900_HS90A_HUMAN_.pdf", "Melting_Curves/meltCurve_sp_P07900_HS90A_HUMAN_.pdf")</f>
        <v>Melting_Curves/meltCurve_sp_P07900_HS90A_HUMAN_.pdf</v>
      </c>
      <c r="AA573" t="s">
        <v>13446</v>
      </c>
      <c r="AB573" t="s">
        <v>17658</v>
      </c>
    </row>
    <row r="574" spans="1:28" x14ac:dyDescent="0.25">
      <c r="A574" t="s">
        <v>578</v>
      </c>
      <c r="B574">
        <v>0.99876560204751996</v>
      </c>
      <c r="C574">
        <v>0.98306917121828397</v>
      </c>
      <c r="D574">
        <v>0.955544438233487</v>
      </c>
      <c r="E574">
        <v>0.93241562028325498</v>
      </c>
      <c r="F574">
        <v>0.78836332852144497</v>
      </c>
      <c r="G574">
        <v>0.45920009069263901</v>
      </c>
      <c r="H574">
        <v>0.21074214970951499</v>
      </c>
      <c r="I574">
        <v>0.11835567020950501</v>
      </c>
      <c r="J574">
        <v>8.7530505979778198E-2</v>
      </c>
      <c r="K574">
        <v>6.9271454057224999E-2</v>
      </c>
      <c r="L574">
        <v>1138.5463612621199</v>
      </c>
      <c r="M574">
        <v>20.2508600682681</v>
      </c>
      <c r="N574">
        <v>56.512780087942303</v>
      </c>
      <c r="O574">
        <v>55.682479344481202</v>
      </c>
      <c r="P574">
        <v>-8.6427131077356695E-2</v>
      </c>
      <c r="Q574">
        <v>4.94568068310322E-2</v>
      </c>
      <c r="R574">
        <v>0.99903525876148702</v>
      </c>
      <c r="S574" t="s">
        <v>4870</v>
      </c>
      <c r="T574" t="s">
        <v>8590</v>
      </c>
      <c r="U574" t="s">
        <v>8590</v>
      </c>
      <c r="V574" t="s">
        <v>8590</v>
      </c>
      <c r="W574">
        <v>14</v>
      </c>
      <c r="X574" t="s">
        <v>9164</v>
      </c>
      <c r="Y574">
        <v>0.57537924189548639</v>
      </c>
      <c r="Z574" t="str">
        <f>HYPERLINK("Melting_Curves/meltCurve_sp_P07902_GALT_HUMAN_.pdf", "Melting_Curves/meltCurve_sp_P07902_GALT_HUMAN_.pdf")</f>
        <v>Melting_Curves/meltCurve_sp_P07902_GALT_HUMAN_.pdf</v>
      </c>
      <c r="AA574" t="s">
        <v>13447</v>
      </c>
      <c r="AB574" t="s">
        <v>17659</v>
      </c>
    </row>
    <row r="575" spans="1:28" x14ac:dyDescent="0.25">
      <c r="A575" t="s">
        <v>579</v>
      </c>
      <c r="B575">
        <v>0.99876560204751996</v>
      </c>
      <c r="C575">
        <v>0.84924736212267904</v>
      </c>
      <c r="D575">
        <v>0.77901246622458298</v>
      </c>
      <c r="E575">
        <v>0.47986060456216101</v>
      </c>
      <c r="F575">
        <v>0.26723226481990198</v>
      </c>
      <c r="G575">
        <v>0.14599656164404701</v>
      </c>
      <c r="H575">
        <v>9.6286922232968003E-2</v>
      </c>
      <c r="I575">
        <v>8.2547625054251297E-2</v>
      </c>
      <c r="J575">
        <v>6.6864542347850803E-2</v>
      </c>
      <c r="K575">
        <v>6.1783083636060603E-2</v>
      </c>
      <c r="L575">
        <v>749.25554299374198</v>
      </c>
      <c r="M575">
        <v>15.2358113199318</v>
      </c>
      <c r="N575">
        <v>49.511266630209697</v>
      </c>
      <c r="O575">
        <v>48.353415123520698</v>
      </c>
      <c r="P575">
        <v>-7.4933240121878394E-2</v>
      </c>
      <c r="Q575">
        <v>4.8837310100701498E-2</v>
      </c>
      <c r="R575">
        <v>0.99548359570084899</v>
      </c>
      <c r="S575" t="s">
        <v>4871</v>
      </c>
      <c r="T575" t="s">
        <v>8590</v>
      </c>
      <c r="U575" t="s">
        <v>8590</v>
      </c>
      <c r="V575" t="s">
        <v>8590</v>
      </c>
      <c r="W575">
        <v>7</v>
      </c>
      <c r="X575" t="s">
        <v>9165</v>
      </c>
      <c r="Y575">
        <v>0.36245972660371739</v>
      </c>
      <c r="Z575" t="str">
        <f>HYPERLINK("Melting_Curves/meltCurve_sp_P07947_YES_HUMAN_.pdf", "Melting_Curves/meltCurve_sp_P07947_YES_HUMAN_.pdf")</f>
        <v>Melting_Curves/meltCurve_sp_P07947_YES_HUMAN_.pdf</v>
      </c>
      <c r="AA575" t="s">
        <v>13448</v>
      </c>
      <c r="AB575" t="s">
        <v>17660</v>
      </c>
    </row>
    <row r="576" spans="1:28" x14ac:dyDescent="0.25">
      <c r="A576" t="s">
        <v>580</v>
      </c>
      <c r="B576">
        <v>0.99876560204751996</v>
      </c>
      <c r="C576">
        <v>1.0743504335934799</v>
      </c>
      <c r="D576">
        <v>0.94668359943486002</v>
      </c>
      <c r="E576">
        <v>0.73513154243630097</v>
      </c>
      <c r="F576">
        <v>0.13161497042053899</v>
      </c>
      <c r="G576">
        <v>7.5893649732359306E-2</v>
      </c>
      <c r="H576">
        <v>4.0602766297723601E-2</v>
      </c>
      <c r="I576">
        <v>3.3012113149680299E-2</v>
      </c>
      <c r="J576">
        <v>3.0449009781264399E-2</v>
      </c>
      <c r="K576">
        <v>2.3678891063206201E-2</v>
      </c>
      <c r="L576">
        <v>2772.4289220661299</v>
      </c>
      <c r="M576">
        <v>54.495613537239002</v>
      </c>
      <c r="N576">
        <v>50.951034636418903</v>
      </c>
      <c r="O576">
        <v>50.805981047534701</v>
      </c>
      <c r="P576">
        <v>-0.257597648124895</v>
      </c>
      <c r="Q576">
        <v>3.9372721543325599E-2</v>
      </c>
      <c r="R576">
        <v>0.99505446267782605</v>
      </c>
      <c r="S576" t="s">
        <v>4872</v>
      </c>
      <c r="T576" t="s">
        <v>8590</v>
      </c>
      <c r="U576" t="s">
        <v>8590</v>
      </c>
      <c r="V576" t="s">
        <v>8590</v>
      </c>
      <c r="W576">
        <v>31</v>
      </c>
      <c r="X576" t="s">
        <v>9166</v>
      </c>
      <c r="Y576">
        <v>0.38939240124358049</v>
      </c>
      <c r="Z576" t="str">
        <f>HYPERLINK("Melting_Curves/meltCurve_sp_P07954_2_FUMH_HUMAN_.pdf", "Melting_Curves/meltCurve_sp_P07954_2_FUMH_HUMAN_.pdf")</f>
        <v>Melting_Curves/meltCurve_sp_P07954_2_FUMH_HUMAN_.pdf</v>
      </c>
      <c r="AA576" t="s">
        <v>13449</v>
      </c>
      <c r="AB576" t="s">
        <v>17661</v>
      </c>
    </row>
    <row r="577" spans="1:28" x14ac:dyDescent="0.25">
      <c r="A577" t="s">
        <v>581</v>
      </c>
      <c r="B577">
        <v>0.99876560204751996</v>
      </c>
      <c r="C577">
        <v>0.93032483881067396</v>
      </c>
      <c r="D577">
        <v>0.81907555259433595</v>
      </c>
      <c r="E577">
        <v>0.66185366768820897</v>
      </c>
      <c r="F577">
        <v>0.495142341567892</v>
      </c>
      <c r="G577">
        <v>0.26491402075146397</v>
      </c>
      <c r="H577">
        <v>0.115735168646713</v>
      </c>
      <c r="I577">
        <v>8.7887399804601904E-2</v>
      </c>
      <c r="J577">
        <v>5.5232962842379003E-2</v>
      </c>
      <c r="K577">
        <v>4.6655304310390701E-2</v>
      </c>
      <c r="L577">
        <v>663.58649769888598</v>
      </c>
      <c r="M577">
        <v>12.650260847325599</v>
      </c>
      <c r="N577">
        <v>52.456367537727402</v>
      </c>
      <c r="O577">
        <v>51.1973077825659</v>
      </c>
      <c r="P577">
        <v>-6.1784234718186802E-2</v>
      </c>
      <c r="Q577">
        <v>0</v>
      </c>
      <c r="R577">
        <v>0.997212799719011</v>
      </c>
      <c r="S577" t="s">
        <v>4873</v>
      </c>
      <c r="T577" t="s">
        <v>8590</v>
      </c>
      <c r="U577" t="s">
        <v>8590</v>
      </c>
      <c r="V577" t="s">
        <v>8590</v>
      </c>
      <c r="W577">
        <v>8</v>
      </c>
      <c r="X577" t="s">
        <v>9167</v>
      </c>
      <c r="Y577">
        <v>0.44298370238863299</v>
      </c>
      <c r="Z577" t="str">
        <f>HYPERLINK("Melting_Curves/meltCurve_sp_P07996_TSP1_HUMAN_.pdf", "Melting_Curves/meltCurve_sp_P07996_TSP1_HUMAN_.pdf")</f>
        <v>Melting_Curves/meltCurve_sp_P07996_TSP1_HUMAN_.pdf</v>
      </c>
      <c r="AA577" t="s">
        <v>13450</v>
      </c>
      <c r="AB577" t="s">
        <v>17662</v>
      </c>
    </row>
    <row r="578" spans="1:28" x14ac:dyDescent="0.25">
      <c r="A578" t="s">
        <v>582</v>
      </c>
      <c r="B578">
        <v>0.99876560204751996</v>
      </c>
      <c r="C578">
        <v>0.92814935405474497</v>
      </c>
      <c r="D578">
        <v>0.78580177370598803</v>
      </c>
      <c r="E578">
        <v>0.37700146184459099</v>
      </c>
      <c r="F578">
        <v>0.16126122786326799</v>
      </c>
      <c r="G578">
        <v>8.2375254389685099E-2</v>
      </c>
      <c r="H578">
        <v>5.0382703767864197E-2</v>
      </c>
      <c r="I578">
        <v>4.0355547622576197E-2</v>
      </c>
      <c r="J578">
        <v>3.5398434321180297E-2</v>
      </c>
      <c r="K578">
        <v>3.2492044079040501E-2</v>
      </c>
      <c r="L578">
        <v>1046.2522455476701</v>
      </c>
      <c r="M578">
        <v>21.534815196914199</v>
      </c>
      <c r="N578">
        <v>48.747209470599302</v>
      </c>
      <c r="O578">
        <v>48.171105920225898</v>
      </c>
      <c r="P578">
        <v>-0.107882635627694</v>
      </c>
      <c r="Q578">
        <v>3.4735519173618203E-2</v>
      </c>
      <c r="R578">
        <v>0.99948878775753502</v>
      </c>
      <c r="S578" t="s">
        <v>4874</v>
      </c>
      <c r="T578" t="s">
        <v>8590</v>
      </c>
      <c r="U578" t="s">
        <v>8590</v>
      </c>
      <c r="V578" t="s">
        <v>8590</v>
      </c>
      <c r="W578">
        <v>38</v>
      </c>
      <c r="X578" t="s">
        <v>9168</v>
      </c>
      <c r="Y578">
        <v>0.32258830148875872</v>
      </c>
      <c r="Z578" t="str">
        <f>HYPERLINK("Melting_Curves/meltCurve_sp_P08107_HSP71_HUMAN_.pdf", "Melting_Curves/meltCurve_sp_P08107_HSP71_HUMAN_.pdf")</f>
        <v>Melting_Curves/meltCurve_sp_P08107_HSP71_HUMAN_.pdf</v>
      </c>
      <c r="AA578" t="s">
        <v>13451</v>
      </c>
      <c r="AB578" t="s">
        <v>17663</v>
      </c>
    </row>
    <row r="579" spans="1:28" x14ac:dyDescent="0.25">
      <c r="A579" t="s">
        <v>583</v>
      </c>
      <c r="B579">
        <v>0.99876560204751996</v>
      </c>
      <c r="C579">
        <v>0.94247725511498004</v>
      </c>
      <c r="D579">
        <v>0.91159854246377103</v>
      </c>
      <c r="E579">
        <v>0.86954511973868698</v>
      </c>
      <c r="F579">
        <v>0.89130973408497505</v>
      </c>
      <c r="G579">
        <v>0.73363923455626801</v>
      </c>
      <c r="H579">
        <v>0.40529748433323498</v>
      </c>
      <c r="I579">
        <v>0.21519611138815201</v>
      </c>
      <c r="J579">
        <v>0.21022014036276901</v>
      </c>
      <c r="K579">
        <v>0.156761700492967</v>
      </c>
      <c r="L579">
        <v>1018.44734540616</v>
      </c>
      <c r="M579">
        <v>17.2503920475298</v>
      </c>
      <c r="N579">
        <v>59.655597156402997</v>
      </c>
      <c r="O579">
        <v>58.2628221966499</v>
      </c>
      <c r="P579">
        <v>-6.7980482625045996E-2</v>
      </c>
      <c r="Q579">
        <v>8.1643288301941105E-2</v>
      </c>
      <c r="R579">
        <v>0.97614040537084601</v>
      </c>
      <c r="S579" t="s">
        <v>4875</v>
      </c>
      <c r="T579" t="s">
        <v>8590</v>
      </c>
      <c r="U579" t="s">
        <v>8590</v>
      </c>
      <c r="V579" t="s">
        <v>8590</v>
      </c>
      <c r="W579">
        <v>3</v>
      </c>
      <c r="X579" t="s">
        <v>9169</v>
      </c>
      <c r="Y579">
        <v>0.67420091895724776</v>
      </c>
      <c r="Z579" t="str">
        <f>HYPERLINK("Melting_Curves/meltCurve_sp_P08123_CO1A2_HUMAN_.pdf", "Melting_Curves/meltCurve_sp_P08123_CO1A2_HUMAN_.pdf")</f>
        <v>Melting_Curves/meltCurve_sp_P08123_CO1A2_HUMAN_.pdf</v>
      </c>
      <c r="AA579" t="s">
        <v>13452</v>
      </c>
      <c r="AB579" t="s">
        <v>17664</v>
      </c>
    </row>
    <row r="580" spans="1:28" x14ac:dyDescent="0.25">
      <c r="A580" t="s">
        <v>584</v>
      </c>
      <c r="B580">
        <v>0.99876560204751996</v>
      </c>
      <c r="C580">
        <v>1.0265988181178201</v>
      </c>
      <c r="D580">
        <v>0.68434113036187705</v>
      </c>
      <c r="E580">
        <v>0.61050240638134301</v>
      </c>
      <c r="F580">
        <v>0.30423106926454402</v>
      </c>
      <c r="G580">
        <v>0.15047409337550899</v>
      </c>
      <c r="H580">
        <v>8.0162708853526901E-2</v>
      </c>
      <c r="I580">
        <v>6.2525414698659396E-2</v>
      </c>
      <c r="J580">
        <v>5.7338609313628303E-2</v>
      </c>
      <c r="K580">
        <v>5.1511106074949298E-2</v>
      </c>
      <c r="L580">
        <v>760.265531294987</v>
      </c>
      <c r="M580">
        <v>15.1424935972939</v>
      </c>
      <c r="N580">
        <v>50.3977065689635</v>
      </c>
      <c r="O580">
        <v>49.356193844482597</v>
      </c>
      <c r="P580">
        <v>-7.4576203917556594E-2</v>
      </c>
      <c r="Q580">
        <v>2.7784941445644501E-2</v>
      </c>
      <c r="R580">
        <v>0.97732802328209201</v>
      </c>
      <c r="S580" t="s">
        <v>4876</v>
      </c>
      <c r="T580" t="s">
        <v>8590</v>
      </c>
      <c r="U580" t="s">
        <v>8590</v>
      </c>
      <c r="V580" t="s">
        <v>8590</v>
      </c>
      <c r="W580">
        <v>16</v>
      </c>
      <c r="X580" t="s">
        <v>9170</v>
      </c>
      <c r="Y580">
        <v>0.38123059097983031</v>
      </c>
      <c r="Z580" t="str">
        <f>HYPERLINK("Melting_Curves/meltCurve_sp_P08133_ANXA6_HUMAN_.pdf", "Melting_Curves/meltCurve_sp_P08133_ANXA6_HUMAN_.pdf")</f>
        <v>Melting_Curves/meltCurve_sp_P08133_ANXA6_HUMAN_.pdf</v>
      </c>
      <c r="AA580" t="s">
        <v>13453</v>
      </c>
      <c r="AB580" t="s">
        <v>17665</v>
      </c>
    </row>
    <row r="581" spans="1:28" x14ac:dyDescent="0.25">
      <c r="A581" t="s">
        <v>585</v>
      </c>
      <c r="B581">
        <v>0.99876560204751996</v>
      </c>
      <c r="C581">
        <v>0.86318015901259704</v>
      </c>
      <c r="D581">
        <v>0.88454498037111695</v>
      </c>
      <c r="E581">
        <v>0.88440362241210302</v>
      </c>
      <c r="F581">
        <v>0.98504018860339404</v>
      </c>
      <c r="G581">
        <v>0.758171387611148</v>
      </c>
      <c r="H581">
        <v>0.40121662444053202</v>
      </c>
      <c r="I581">
        <v>0.30597587298420797</v>
      </c>
      <c r="J581">
        <v>0.23773245037937399</v>
      </c>
      <c r="K581">
        <v>0.206605989590772</v>
      </c>
      <c r="L581">
        <v>1542.98365952888</v>
      </c>
      <c r="M581">
        <v>26.286358724863</v>
      </c>
      <c r="N581">
        <v>59.902848888437703</v>
      </c>
      <c r="O581">
        <v>58.3624607513309</v>
      </c>
      <c r="P581">
        <v>-8.9496873230595297E-2</v>
      </c>
      <c r="Q581">
        <v>0.205184634941974</v>
      </c>
      <c r="R581">
        <v>0.95225841631983699</v>
      </c>
      <c r="S581" t="s">
        <v>4877</v>
      </c>
      <c r="T581" t="s">
        <v>8590</v>
      </c>
      <c r="U581" t="s">
        <v>8590</v>
      </c>
      <c r="V581" t="s">
        <v>8590</v>
      </c>
      <c r="W581">
        <v>5</v>
      </c>
      <c r="X581" t="s">
        <v>9171</v>
      </c>
      <c r="Y581">
        <v>0.70682699454908315</v>
      </c>
      <c r="Z581" t="str">
        <f>HYPERLINK("Melting_Curves/meltCurve_sp_P08185_CBG_HUMAN_.pdf", "Melting_Curves/meltCurve_sp_P08185_CBG_HUMAN_.pdf")</f>
        <v>Melting_Curves/meltCurve_sp_P08185_CBG_HUMAN_.pdf</v>
      </c>
      <c r="AA581" t="s">
        <v>13454</v>
      </c>
      <c r="AB581" t="s">
        <v>17666</v>
      </c>
    </row>
    <row r="582" spans="1:28" x14ac:dyDescent="0.25">
      <c r="A582" t="s">
        <v>586</v>
      </c>
      <c r="B582">
        <v>0.99876560204751996</v>
      </c>
      <c r="C582">
        <v>1.0849027235487501</v>
      </c>
      <c r="D582">
        <v>1.02374706632623</v>
      </c>
      <c r="E582">
        <v>1.0569295879774501</v>
      </c>
      <c r="F582">
        <v>0.92554333588496895</v>
      </c>
      <c r="G582">
        <v>0.63041538240255601</v>
      </c>
      <c r="H582">
        <v>0.50984886248144301</v>
      </c>
      <c r="I582">
        <v>0.40444020299842998</v>
      </c>
      <c r="J582">
        <v>0.335301701089328</v>
      </c>
      <c r="K582">
        <v>0.214788950998728</v>
      </c>
      <c r="L582">
        <v>1058.1964182903801</v>
      </c>
      <c r="M582">
        <v>18.081852607788399</v>
      </c>
      <c r="N582">
        <v>60.641246732321598</v>
      </c>
      <c r="O582">
        <v>57.820856904679502</v>
      </c>
      <c r="P582">
        <v>-5.9876046138723098E-2</v>
      </c>
      <c r="Q582">
        <v>0.23416774870462301</v>
      </c>
      <c r="R582">
        <v>0.97105115266157305</v>
      </c>
      <c r="S582" t="s">
        <v>4878</v>
      </c>
      <c r="T582" t="s">
        <v>8590</v>
      </c>
      <c r="U582" t="s">
        <v>8590</v>
      </c>
      <c r="V582" t="s">
        <v>8590</v>
      </c>
      <c r="W582">
        <v>15</v>
      </c>
      <c r="X582" t="s">
        <v>9172</v>
      </c>
      <c r="Y582">
        <v>0.71579158840995694</v>
      </c>
      <c r="Z582" t="str">
        <f>HYPERLINK("Melting_Curves/meltCurve_sp_P08236_2_BGLR_HUMAN_.pdf", "Melting_Curves/meltCurve_sp_P08236_2_BGLR_HUMAN_.pdf")</f>
        <v>Melting_Curves/meltCurve_sp_P08236_2_BGLR_HUMAN_.pdf</v>
      </c>
      <c r="AA582" t="s">
        <v>13455</v>
      </c>
      <c r="AB582" t="s">
        <v>17667</v>
      </c>
    </row>
    <row r="583" spans="1:28" x14ac:dyDescent="0.25">
      <c r="A583" t="s">
        <v>587</v>
      </c>
      <c r="B583">
        <v>0.99876560204751996</v>
      </c>
      <c r="C583">
        <v>1.0535671556992099</v>
      </c>
      <c r="D583">
        <v>1.0007459360591699</v>
      </c>
      <c r="E583">
        <v>1.00891192005843</v>
      </c>
      <c r="F583">
        <v>0.53698219035640704</v>
      </c>
      <c r="G583">
        <v>0.175077561699537</v>
      </c>
      <c r="H583">
        <v>8.3953858325739997E-2</v>
      </c>
      <c r="I583">
        <v>6.1466733310983401E-2</v>
      </c>
      <c r="J583">
        <v>5.7662038470160597E-2</v>
      </c>
      <c r="K583">
        <v>4.9138165313285798E-2</v>
      </c>
      <c r="L583">
        <v>2504.9058217025199</v>
      </c>
      <c r="M583">
        <v>47.178966312134598</v>
      </c>
      <c r="N583">
        <v>53.280206332640098</v>
      </c>
      <c r="O583">
        <v>52.998570872435998</v>
      </c>
      <c r="P583">
        <v>-0.20560968691222101</v>
      </c>
      <c r="Q583">
        <v>7.6113046290109301E-2</v>
      </c>
      <c r="R583">
        <v>0.99387331913475496</v>
      </c>
      <c r="S583" t="s">
        <v>4879</v>
      </c>
      <c r="T583" t="s">
        <v>8590</v>
      </c>
      <c r="U583" t="s">
        <v>8590</v>
      </c>
      <c r="V583" t="s">
        <v>8590</v>
      </c>
      <c r="W583">
        <v>57</v>
      </c>
      <c r="X583" t="s">
        <v>9173</v>
      </c>
      <c r="Y583">
        <v>0.48178082535606193</v>
      </c>
      <c r="Z583" t="str">
        <f>HYPERLINK("Melting_Curves/meltCurve_sp_P08238_HS90B_HUMAN_.pdf", "Melting_Curves/meltCurve_sp_P08238_HS90B_HUMAN_.pdf")</f>
        <v>Melting_Curves/meltCurve_sp_P08238_HS90B_HUMAN_.pdf</v>
      </c>
      <c r="AA583" t="s">
        <v>13456</v>
      </c>
      <c r="AB583" t="s">
        <v>17668</v>
      </c>
    </row>
    <row r="584" spans="1:28" x14ac:dyDescent="0.25">
      <c r="A584" t="s">
        <v>588</v>
      </c>
      <c r="B584">
        <v>0.99876560204751996</v>
      </c>
      <c r="C584">
        <v>0.83827021437826199</v>
      </c>
      <c r="D584">
        <v>0.75828598508676703</v>
      </c>
      <c r="E584">
        <v>0.54935025222830802</v>
      </c>
      <c r="F584">
        <v>0.34358434930716902</v>
      </c>
      <c r="G584">
        <v>0.24581089594162001</v>
      </c>
      <c r="H584">
        <v>0.21674465862661299</v>
      </c>
      <c r="I584">
        <v>0.22200847330416701</v>
      </c>
      <c r="J584">
        <v>0.25881029085976598</v>
      </c>
      <c r="K584">
        <v>0.25214236834602399</v>
      </c>
      <c r="L584">
        <v>745.11425180541505</v>
      </c>
      <c r="M584">
        <v>15.4520396894209</v>
      </c>
      <c r="N584">
        <v>50.039587337641898</v>
      </c>
      <c r="O584">
        <v>47.435091910208101</v>
      </c>
      <c r="P584">
        <v>-6.3947752790060305E-2</v>
      </c>
      <c r="Q584">
        <v>0.21483613494668</v>
      </c>
      <c r="R584">
        <v>0.98482302586290504</v>
      </c>
      <c r="S584" t="s">
        <v>4880</v>
      </c>
      <c r="T584" t="s">
        <v>8590</v>
      </c>
      <c r="U584" t="s">
        <v>8590</v>
      </c>
      <c r="V584" t="s">
        <v>8590</v>
      </c>
      <c r="W584">
        <v>18</v>
      </c>
      <c r="X584" t="s">
        <v>9174</v>
      </c>
      <c r="Y584">
        <v>0.4488646884359514</v>
      </c>
      <c r="Z584" t="str">
        <f>HYPERLINK("Melting_Curves/meltCurve_sp_P08240_2_SRPR_HUMAN_.pdf", "Melting_Curves/meltCurve_sp_P08240_2_SRPR_HUMAN_.pdf")</f>
        <v>Melting_Curves/meltCurve_sp_P08240_2_SRPR_HUMAN_.pdf</v>
      </c>
      <c r="AA584" t="s">
        <v>13457</v>
      </c>
      <c r="AB584" t="s">
        <v>17669</v>
      </c>
    </row>
    <row r="585" spans="1:28" x14ac:dyDescent="0.25">
      <c r="A585" t="s">
        <v>589</v>
      </c>
      <c r="B585">
        <v>0.99876560204751996</v>
      </c>
      <c r="C585">
        <v>1.0840272318172</v>
      </c>
      <c r="D585">
        <v>1.05312554125584</v>
      </c>
      <c r="E585">
        <v>1.1000729033918399</v>
      </c>
      <c r="F585">
        <v>0.68563143838477003</v>
      </c>
      <c r="G585">
        <v>0.21400405371749801</v>
      </c>
      <c r="H585">
        <v>0.111155869269846</v>
      </c>
      <c r="I585">
        <v>8.2461370738913395E-2</v>
      </c>
      <c r="J585">
        <v>7.74468125709422E-2</v>
      </c>
      <c r="K585">
        <v>6.39325050386403E-2</v>
      </c>
      <c r="L585">
        <v>2302.1394319558199</v>
      </c>
      <c r="M585">
        <v>42.622198129215498</v>
      </c>
      <c r="N585">
        <v>54.2605460751953</v>
      </c>
      <c r="O585">
        <v>53.8941934812757</v>
      </c>
      <c r="P585">
        <v>-0.18022454618254499</v>
      </c>
      <c r="Q585">
        <v>8.84523713714334E-2</v>
      </c>
      <c r="R585">
        <v>0.98523131627041005</v>
      </c>
      <c r="S585" t="s">
        <v>4881</v>
      </c>
      <c r="T585" t="s">
        <v>8590</v>
      </c>
      <c r="U585" t="s">
        <v>8590</v>
      </c>
      <c r="V585" t="s">
        <v>8590</v>
      </c>
      <c r="W585">
        <v>1</v>
      </c>
      <c r="X585" t="s">
        <v>9175</v>
      </c>
      <c r="Y585">
        <v>0.51721775652158175</v>
      </c>
      <c r="Z585" t="str">
        <f>HYPERLINK("Melting_Curves/meltCurve_sp_P08294_SODE_HUMAN_.pdf", "Melting_Curves/meltCurve_sp_P08294_SODE_HUMAN_.pdf")</f>
        <v>Melting_Curves/meltCurve_sp_P08294_SODE_HUMAN_.pdf</v>
      </c>
      <c r="AA585" t="s">
        <v>13458</v>
      </c>
      <c r="AB585" t="s">
        <v>17670</v>
      </c>
    </row>
    <row r="586" spans="1:28" x14ac:dyDescent="0.25">
      <c r="A586" t="s">
        <v>590</v>
      </c>
      <c r="B586">
        <v>0.99876560204751996</v>
      </c>
      <c r="C586">
        <v>0.97183736585296598</v>
      </c>
      <c r="D586">
        <v>0.98683690504539701</v>
      </c>
      <c r="E586">
        <v>0.97939320907054594</v>
      </c>
      <c r="F586">
        <v>0.96090723120728305</v>
      </c>
      <c r="G586">
        <v>0.83415812853639004</v>
      </c>
      <c r="H586">
        <v>0.67430130361680396</v>
      </c>
      <c r="I586">
        <v>0.567799496714394</v>
      </c>
      <c r="J586">
        <v>0.399394830570452</v>
      </c>
      <c r="K586">
        <v>0.13963162526512601</v>
      </c>
      <c r="L586">
        <v>973.60024320115895</v>
      </c>
      <c r="M586">
        <v>15.143995038379501</v>
      </c>
      <c r="N586">
        <v>64.289525081338098</v>
      </c>
      <c r="O586">
        <v>63.199761061321901</v>
      </c>
      <c r="P586">
        <v>-5.9911089422345097E-2</v>
      </c>
      <c r="Q586">
        <v>0</v>
      </c>
      <c r="R586">
        <v>0.98127298836167298</v>
      </c>
      <c r="S586" t="s">
        <v>4882</v>
      </c>
      <c r="T586" t="s">
        <v>8590</v>
      </c>
      <c r="U586" t="s">
        <v>8590</v>
      </c>
      <c r="V586" t="s">
        <v>8590</v>
      </c>
      <c r="W586">
        <v>32</v>
      </c>
      <c r="X586" t="s">
        <v>9176</v>
      </c>
      <c r="Y586">
        <v>0.7910337574863251</v>
      </c>
      <c r="Z586" t="str">
        <f>HYPERLINK("Melting_Curves/meltCurve_sp_P08319_ADH4_HUMAN_.pdf", "Melting_Curves/meltCurve_sp_P08319_ADH4_HUMAN_.pdf")</f>
        <v>Melting_Curves/meltCurve_sp_P08319_ADH4_HUMAN_.pdf</v>
      </c>
      <c r="AA586" t="s">
        <v>13459</v>
      </c>
      <c r="AB586" t="s">
        <v>17671</v>
      </c>
    </row>
    <row r="587" spans="1:28" x14ac:dyDescent="0.25">
      <c r="A587" t="s">
        <v>591</v>
      </c>
      <c r="B587">
        <v>0.99876560204751996</v>
      </c>
      <c r="C587">
        <v>0.92453518755564601</v>
      </c>
      <c r="D587">
        <v>0.96581616731953102</v>
      </c>
      <c r="E587">
        <v>0.87913678867747602</v>
      </c>
      <c r="F587">
        <v>0.89157226988774296</v>
      </c>
      <c r="G587">
        <v>0.71377439690740496</v>
      </c>
      <c r="H587">
        <v>0.598261344991176</v>
      </c>
      <c r="I587">
        <v>0.543857497216097</v>
      </c>
      <c r="J587">
        <v>0.63907718337508901</v>
      </c>
      <c r="K587">
        <v>0.53809875365771398</v>
      </c>
      <c r="L587">
        <v>785.03809739895098</v>
      </c>
      <c r="M587">
        <v>14.1965034695385</v>
      </c>
      <c r="O587">
        <v>54.235459649292899</v>
      </c>
      <c r="P587">
        <v>-3.0762325009515801E-2</v>
      </c>
      <c r="Q587">
        <v>0.52996883821532603</v>
      </c>
      <c r="R587">
        <v>0.940411532302735</v>
      </c>
      <c r="S587" t="s">
        <v>4883</v>
      </c>
      <c r="T587" t="s">
        <v>8590</v>
      </c>
      <c r="U587" t="s">
        <v>8590</v>
      </c>
      <c r="V587" t="s">
        <v>8590</v>
      </c>
      <c r="W587">
        <v>12</v>
      </c>
      <c r="X587" t="s">
        <v>9177</v>
      </c>
      <c r="Y587">
        <v>0.778996534216718</v>
      </c>
      <c r="Z587" t="str">
        <f>HYPERLINK("Melting_Curves/meltCurve_sp_P08397_2_HEM3_HUMAN_.pdf", "Melting_Curves/meltCurve_sp_P08397_2_HEM3_HUMAN_.pdf")</f>
        <v>Melting_Curves/meltCurve_sp_P08397_2_HEM3_HUMAN_.pdf</v>
      </c>
      <c r="AA587" t="s">
        <v>13460</v>
      </c>
      <c r="AB587" t="s">
        <v>17672</v>
      </c>
    </row>
    <row r="588" spans="1:28" x14ac:dyDescent="0.25">
      <c r="A588" t="s">
        <v>592</v>
      </c>
      <c r="B588">
        <v>0.99876560204751996</v>
      </c>
      <c r="C588">
        <v>0.95537163465959996</v>
      </c>
      <c r="D588">
        <v>0.82443655696204599</v>
      </c>
      <c r="E588">
        <v>0.84477900021605701</v>
      </c>
      <c r="F588">
        <v>0.69380959518930196</v>
      </c>
      <c r="G588">
        <v>0.723685753686237</v>
      </c>
      <c r="H588">
        <v>0.58009254492978901</v>
      </c>
      <c r="I588">
        <v>0.550031631728231</v>
      </c>
      <c r="J588">
        <v>0.58253690369125399</v>
      </c>
      <c r="K588">
        <v>0.60516652799728099</v>
      </c>
      <c r="L588">
        <v>505.78823106811899</v>
      </c>
      <c r="M588">
        <v>9.8973088983867292</v>
      </c>
      <c r="O588">
        <v>49.148580567583799</v>
      </c>
      <c r="P588">
        <v>-2.3166434307006999E-2</v>
      </c>
      <c r="Q588">
        <v>0.54006834743843901</v>
      </c>
      <c r="R588">
        <v>0.92918524738574404</v>
      </c>
      <c r="S588" t="s">
        <v>4884</v>
      </c>
      <c r="T588" t="s">
        <v>8590</v>
      </c>
      <c r="U588" t="s">
        <v>8590</v>
      </c>
      <c r="V588" t="s">
        <v>8590</v>
      </c>
      <c r="W588">
        <v>4</v>
      </c>
      <c r="X588" t="s">
        <v>9178</v>
      </c>
      <c r="Y588">
        <v>0.72949551343261121</v>
      </c>
      <c r="Z588" t="str">
        <f>HYPERLINK("Melting_Curves/meltCurve_sp_P08519_APOA_HUMAN_.pdf", "Melting_Curves/meltCurve_sp_P08519_APOA_HUMAN_.pdf")</f>
        <v>Melting_Curves/meltCurve_sp_P08519_APOA_HUMAN_.pdf</v>
      </c>
      <c r="AA588" t="s">
        <v>13461</v>
      </c>
      <c r="AB588" t="s">
        <v>17673</v>
      </c>
    </row>
    <row r="589" spans="1:28" x14ac:dyDescent="0.25">
      <c r="A589" t="s">
        <v>593</v>
      </c>
      <c r="B589">
        <v>0.99876560204751996</v>
      </c>
      <c r="C589">
        <v>0.71219835597061398</v>
      </c>
      <c r="D589">
        <v>0.45321473482026098</v>
      </c>
      <c r="E589">
        <v>0.298497577697516</v>
      </c>
      <c r="F589">
        <v>0.15453029388664999</v>
      </c>
      <c r="G589">
        <v>0.10406955000302</v>
      </c>
      <c r="H589">
        <v>6.1462399767776198E-2</v>
      </c>
      <c r="I589">
        <v>5.6722406657325503E-2</v>
      </c>
      <c r="J589">
        <v>4.1629830783878399E-2</v>
      </c>
      <c r="K589">
        <v>4.0332963340166499E-2</v>
      </c>
      <c r="L589">
        <v>709.66274906389594</v>
      </c>
      <c r="M589">
        <v>15.5367850579488</v>
      </c>
      <c r="N589">
        <v>45.981860721238696</v>
      </c>
      <c r="O589">
        <v>44.939693426614298</v>
      </c>
      <c r="P589">
        <v>-8.2199260940941404E-2</v>
      </c>
      <c r="Q589">
        <v>4.9048413912125603E-2</v>
      </c>
      <c r="R589">
        <v>0.98460735228595597</v>
      </c>
      <c r="S589" t="s">
        <v>4885</v>
      </c>
      <c r="T589" t="s">
        <v>8590</v>
      </c>
      <c r="U589" t="s">
        <v>8590</v>
      </c>
      <c r="V589" t="s">
        <v>8590</v>
      </c>
      <c r="W589">
        <v>13</v>
      </c>
      <c r="X589" t="s">
        <v>9179</v>
      </c>
      <c r="Y589">
        <v>0.25548535445608089</v>
      </c>
      <c r="Z589" t="str">
        <f>HYPERLINK("Melting_Curves/meltCurve_sp_P08559_3_ODPA_HUMAN_.pdf", "Melting_Curves/meltCurve_sp_P08559_3_ODPA_HUMAN_.pdf")</f>
        <v>Melting_Curves/meltCurve_sp_P08559_3_ODPA_HUMAN_.pdf</v>
      </c>
      <c r="AA589" t="s">
        <v>13462</v>
      </c>
      <c r="AB589" t="s">
        <v>17674</v>
      </c>
    </row>
    <row r="590" spans="1:28" x14ac:dyDescent="0.25">
      <c r="A590" t="s">
        <v>594</v>
      </c>
      <c r="B590">
        <v>0.99876560204751996</v>
      </c>
      <c r="C590">
        <v>0.89284260445188401</v>
      </c>
      <c r="D590">
        <v>0.85875134841035505</v>
      </c>
      <c r="E590">
        <v>0.89893213054084098</v>
      </c>
      <c r="F590">
        <v>1.15176964708283</v>
      </c>
      <c r="G590">
        <v>0.60428657572501698</v>
      </c>
      <c r="H590">
        <v>0.23672649856941999</v>
      </c>
      <c r="I590">
        <v>0.19710545253752901</v>
      </c>
      <c r="J590">
        <v>0.21239855630228099</v>
      </c>
      <c r="K590">
        <v>0.13932282284689801</v>
      </c>
      <c r="L590">
        <v>8096.3502337352502</v>
      </c>
      <c r="M590">
        <v>142.01071085974101</v>
      </c>
      <c r="N590">
        <v>57.213202250589902</v>
      </c>
      <c r="O590">
        <v>57.000947861404001</v>
      </c>
      <c r="P590">
        <v>-0.50053830623736095</v>
      </c>
      <c r="Q590">
        <v>0.19636606060199399</v>
      </c>
      <c r="R590">
        <v>0.94860819976555899</v>
      </c>
      <c r="S590" t="s">
        <v>4886</v>
      </c>
      <c r="T590" t="s">
        <v>8590</v>
      </c>
      <c r="U590" t="s">
        <v>8590</v>
      </c>
      <c r="V590" t="s">
        <v>8590</v>
      </c>
      <c r="W590">
        <v>1</v>
      </c>
      <c r="X590" t="s">
        <v>9180</v>
      </c>
      <c r="Y590">
        <v>0.6523361023723111</v>
      </c>
      <c r="Z590" t="str">
        <f>HYPERLINK("Melting_Curves/meltCurve_sp_P08571_CD14_HUMAN_.pdf", "Melting_Curves/meltCurve_sp_P08571_CD14_HUMAN_.pdf")</f>
        <v>Melting_Curves/meltCurve_sp_P08571_CD14_HUMAN_.pdf</v>
      </c>
      <c r="AA590" t="s">
        <v>13463</v>
      </c>
      <c r="AB590" t="s">
        <v>17675</v>
      </c>
    </row>
    <row r="591" spans="1:28" x14ac:dyDescent="0.25">
      <c r="A591" t="s">
        <v>595</v>
      </c>
      <c r="B591">
        <v>0.99876560204751996</v>
      </c>
      <c r="C591">
        <v>0.93981081028620606</v>
      </c>
      <c r="D591">
        <v>0.958295466657067</v>
      </c>
      <c r="E591">
        <v>0.98923939055483401</v>
      </c>
      <c r="F591">
        <v>1.1664045970924499</v>
      </c>
      <c r="G591">
        <v>0.84471951367400699</v>
      </c>
      <c r="H591">
        <v>0.67972731247729401</v>
      </c>
      <c r="I591">
        <v>0.57844926847618405</v>
      </c>
      <c r="J591">
        <v>0.82875871811004997</v>
      </c>
      <c r="K591">
        <v>0.70170249968386</v>
      </c>
      <c r="L591">
        <v>14247.0931293545</v>
      </c>
      <c r="M591">
        <v>250</v>
      </c>
      <c r="O591">
        <v>56.984725854193698</v>
      </c>
      <c r="P591">
        <v>-0.33215101941449399</v>
      </c>
      <c r="Q591">
        <v>0.697159444959082</v>
      </c>
      <c r="R591">
        <v>0.77079491568384595</v>
      </c>
      <c r="S591" t="s">
        <v>4887</v>
      </c>
      <c r="T591" t="s">
        <v>8590</v>
      </c>
      <c r="U591" t="s">
        <v>8590</v>
      </c>
      <c r="V591" t="s">
        <v>8590</v>
      </c>
      <c r="W591">
        <v>6</v>
      </c>
      <c r="X591" t="s">
        <v>9181</v>
      </c>
      <c r="Y591">
        <v>0.86868200524612915</v>
      </c>
      <c r="Z591" t="str">
        <f>HYPERLINK("Melting_Curves/meltCurve_sp_P08579_RU2B_HUMAN_.pdf", "Melting_Curves/meltCurve_sp_P08579_RU2B_HUMAN_.pdf")</f>
        <v>Melting_Curves/meltCurve_sp_P08579_RU2B_HUMAN_.pdf</v>
      </c>
      <c r="AA591" t="s">
        <v>13464</v>
      </c>
      <c r="AB591" t="s">
        <v>17676</v>
      </c>
    </row>
    <row r="592" spans="1:28" x14ac:dyDescent="0.25">
      <c r="A592" t="s">
        <v>596</v>
      </c>
      <c r="B592">
        <v>0.99876560204751996</v>
      </c>
      <c r="C592">
        <v>0.75802846505448696</v>
      </c>
      <c r="D592">
        <v>0.664925532455373</v>
      </c>
      <c r="E592">
        <v>0.49504658848531402</v>
      </c>
      <c r="F592">
        <v>0.19297906292439199</v>
      </c>
      <c r="G592">
        <v>0.14070662991791399</v>
      </c>
      <c r="H592">
        <v>0.13638487132751101</v>
      </c>
      <c r="I592">
        <v>7.1074809474531597E-2</v>
      </c>
      <c r="J592">
        <v>6.3222065290603202E-2</v>
      </c>
      <c r="K592">
        <v>7.9949853393119399E-2</v>
      </c>
      <c r="L592">
        <v>619.23773123525302</v>
      </c>
      <c r="M592">
        <v>12.8659498259664</v>
      </c>
      <c r="N592">
        <v>48.487458852405702</v>
      </c>
      <c r="O592">
        <v>47.0117003159341</v>
      </c>
      <c r="P592">
        <v>-6.5335011665889203E-2</v>
      </c>
      <c r="Q592">
        <v>4.5248783055091599E-2</v>
      </c>
      <c r="R592">
        <v>0.97627893506506302</v>
      </c>
      <c r="S592" t="s">
        <v>4888</v>
      </c>
      <c r="T592" t="s">
        <v>8590</v>
      </c>
      <c r="U592" t="s">
        <v>8590</v>
      </c>
      <c r="V592" t="s">
        <v>8590</v>
      </c>
      <c r="W592">
        <v>1</v>
      </c>
      <c r="X592" t="s">
        <v>9182</v>
      </c>
      <c r="Y592">
        <v>0.33668012922857748</v>
      </c>
      <c r="Z592" t="str">
        <f>HYPERLINK("Melting_Curves/meltCurve_sp_P08581_MET_HUMAN_.pdf", "Melting_Curves/meltCurve_sp_P08581_MET_HUMAN_.pdf")</f>
        <v>Melting_Curves/meltCurve_sp_P08581_MET_HUMAN_.pdf</v>
      </c>
      <c r="AA592" t="s">
        <v>13465</v>
      </c>
      <c r="AB592" t="s">
        <v>17677</v>
      </c>
    </row>
    <row r="593" spans="1:28" x14ac:dyDescent="0.25">
      <c r="A593" t="s">
        <v>597</v>
      </c>
      <c r="B593">
        <v>0.99876560204751996</v>
      </c>
      <c r="C593">
        <v>1.1235544759807099</v>
      </c>
      <c r="D593">
        <v>0.90990199469452304</v>
      </c>
      <c r="E593">
        <v>0.84097999232972898</v>
      </c>
      <c r="F593">
        <v>0.68034322133658698</v>
      </c>
      <c r="G593">
        <v>0.47782670019802598</v>
      </c>
      <c r="H593">
        <v>0.38375436571622501</v>
      </c>
      <c r="I593">
        <v>0.32828260329911302</v>
      </c>
      <c r="J593">
        <v>0.36018372169837098</v>
      </c>
      <c r="K593">
        <v>0.30360918853672503</v>
      </c>
      <c r="L593">
        <v>947.18843560326297</v>
      </c>
      <c r="M593">
        <v>17.749971946337901</v>
      </c>
      <c r="N593">
        <v>56.4653261831075</v>
      </c>
      <c r="O593">
        <v>52.6993170947298</v>
      </c>
      <c r="P593">
        <v>-5.7981122718894003E-2</v>
      </c>
      <c r="Q593">
        <v>0.311456649501483</v>
      </c>
      <c r="R593">
        <v>0.97449922716882398</v>
      </c>
      <c r="S593" t="s">
        <v>4889</v>
      </c>
      <c r="T593" t="s">
        <v>8590</v>
      </c>
      <c r="U593" t="s">
        <v>8590</v>
      </c>
      <c r="V593" t="s">
        <v>8590</v>
      </c>
      <c r="W593">
        <v>33</v>
      </c>
      <c r="X593" t="s">
        <v>9183</v>
      </c>
      <c r="Y593">
        <v>0.62958915583408792</v>
      </c>
      <c r="Z593" t="str">
        <f>HYPERLINK("Melting_Curves/meltCurve_sp_P08603_CFAH_HUMAN_.pdf", "Melting_Curves/meltCurve_sp_P08603_CFAH_HUMAN_.pdf")</f>
        <v>Melting_Curves/meltCurve_sp_P08603_CFAH_HUMAN_.pdf</v>
      </c>
      <c r="AA593" t="s">
        <v>13466</v>
      </c>
      <c r="AB593" t="s">
        <v>17678</v>
      </c>
    </row>
    <row r="594" spans="1:28" x14ac:dyDescent="0.25">
      <c r="A594" t="s">
        <v>598</v>
      </c>
      <c r="B594">
        <v>0.99876560204751996</v>
      </c>
      <c r="C594">
        <v>1.0923757109154699</v>
      </c>
      <c r="D594">
        <v>1.00725901880047</v>
      </c>
      <c r="E594">
        <v>0.86694251973440495</v>
      </c>
      <c r="F594">
        <v>0.428763871625574</v>
      </c>
      <c r="G594">
        <v>0.281472484882274</v>
      </c>
      <c r="H594">
        <v>0.18583062411592799</v>
      </c>
      <c r="I594">
        <v>0.15609835092938701</v>
      </c>
      <c r="J594">
        <v>0.180196133643972</v>
      </c>
      <c r="K594">
        <v>0.14058882113528201</v>
      </c>
      <c r="L594">
        <v>1933.0080618336999</v>
      </c>
      <c r="M594">
        <v>37.164476094734702</v>
      </c>
      <c r="N594">
        <v>52.638940640955603</v>
      </c>
      <c r="O594">
        <v>51.862335245835403</v>
      </c>
      <c r="P594">
        <v>-0.14712295471626599</v>
      </c>
      <c r="Q594">
        <v>0.17877274038129801</v>
      </c>
      <c r="R594">
        <v>0.98861238849911204</v>
      </c>
      <c r="S594" t="s">
        <v>4890</v>
      </c>
      <c r="T594" t="s">
        <v>8590</v>
      </c>
      <c r="U594" t="s">
        <v>8590</v>
      </c>
      <c r="V594" t="s">
        <v>8590</v>
      </c>
      <c r="W594">
        <v>5</v>
      </c>
      <c r="X594" t="s">
        <v>9184</v>
      </c>
      <c r="Y594">
        <v>0.51102003262777107</v>
      </c>
      <c r="Z594" t="str">
        <f>HYPERLINK("Melting_Curves/meltCurve_sp_P08621_2_RU17_HUMAN_.pdf", "Melting_Curves/meltCurve_sp_P08621_2_RU17_HUMAN_.pdf")</f>
        <v>Melting_Curves/meltCurve_sp_P08621_2_RU17_HUMAN_.pdf</v>
      </c>
      <c r="AA594" t="s">
        <v>13467</v>
      </c>
      <c r="AB594" t="s">
        <v>17679</v>
      </c>
    </row>
    <row r="595" spans="1:28" x14ac:dyDescent="0.25">
      <c r="A595" t="s">
        <v>599</v>
      </c>
      <c r="B595">
        <v>0.99876560204751996</v>
      </c>
      <c r="C595">
        <v>1.0215315342248199</v>
      </c>
      <c r="D595">
        <v>1.1192604329324101</v>
      </c>
      <c r="E595">
        <v>0.99166673535354399</v>
      </c>
      <c r="F595">
        <v>0.94138434771815105</v>
      </c>
      <c r="G595">
        <v>0.72011911145547303</v>
      </c>
      <c r="H595">
        <v>0.58365725353595199</v>
      </c>
      <c r="I595">
        <v>0.50137110968360799</v>
      </c>
      <c r="J595">
        <v>0.59077226520080595</v>
      </c>
      <c r="K595">
        <v>0.48561207821517</v>
      </c>
      <c r="L595">
        <v>1710.68947143538</v>
      </c>
      <c r="M595">
        <v>30.3315361966092</v>
      </c>
      <c r="O595">
        <v>56.156244415658001</v>
      </c>
      <c r="P595">
        <v>-6.4255073492550399E-2</v>
      </c>
      <c r="Q595">
        <v>0.52415188151288095</v>
      </c>
      <c r="R595">
        <v>0.95892557840885095</v>
      </c>
      <c r="S595" t="s">
        <v>4891</v>
      </c>
      <c r="T595" t="s">
        <v>8590</v>
      </c>
      <c r="U595" t="s">
        <v>8590</v>
      </c>
      <c r="V595" t="s">
        <v>8590</v>
      </c>
      <c r="W595">
        <v>8</v>
      </c>
      <c r="X595" t="s">
        <v>9185</v>
      </c>
      <c r="Y595">
        <v>0.78738931067688511</v>
      </c>
      <c r="Z595" t="str">
        <f>HYPERLINK("Melting_Curves/meltCurve_sp_P08651_2_NFIC_HUMAN_.pdf", "Melting_Curves/meltCurve_sp_P08651_2_NFIC_HUMAN_.pdf")</f>
        <v>Melting_Curves/meltCurve_sp_P08651_2_NFIC_HUMAN_.pdf</v>
      </c>
      <c r="AA595" t="s">
        <v>13468</v>
      </c>
      <c r="AB595" t="s">
        <v>17680</v>
      </c>
    </row>
    <row r="596" spans="1:28" x14ac:dyDescent="0.25">
      <c r="A596" t="s">
        <v>600</v>
      </c>
      <c r="B596">
        <v>0.99876560204751996</v>
      </c>
      <c r="C596">
        <v>0.97320975307925905</v>
      </c>
      <c r="D596">
        <v>0.97605220367662904</v>
      </c>
      <c r="E596">
        <v>0.95722108107074799</v>
      </c>
      <c r="F596">
        <v>0.90765371789625904</v>
      </c>
      <c r="G596">
        <v>0.72090061576112996</v>
      </c>
      <c r="H596">
        <v>0.613456788604965</v>
      </c>
      <c r="I596">
        <v>0.57570731068789605</v>
      </c>
      <c r="J596">
        <v>0.70019353161557596</v>
      </c>
      <c r="K596">
        <v>0.66691795914532004</v>
      </c>
      <c r="L596">
        <v>1798.4043985808401</v>
      </c>
      <c r="M596">
        <v>32.929065308713703</v>
      </c>
      <c r="O596">
        <v>54.414235994592303</v>
      </c>
      <c r="P596">
        <v>-5.4810752133327999E-2</v>
      </c>
      <c r="Q596">
        <v>0.63770935549988905</v>
      </c>
      <c r="R596">
        <v>0.95225829582117605</v>
      </c>
      <c r="S596" t="s">
        <v>4892</v>
      </c>
      <c r="T596" t="s">
        <v>8590</v>
      </c>
      <c r="U596" t="s">
        <v>8590</v>
      </c>
      <c r="V596" t="s">
        <v>8590</v>
      </c>
      <c r="W596">
        <v>40</v>
      </c>
      <c r="X596" t="s">
        <v>9186</v>
      </c>
      <c r="Y596">
        <v>0.81620089173090682</v>
      </c>
      <c r="Z596" t="str">
        <f>HYPERLINK("Melting_Curves/meltCurve_sp_P08670_VIME_HUMAN_.pdf", "Melting_Curves/meltCurve_sp_P08670_VIME_HUMAN_.pdf")</f>
        <v>Melting_Curves/meltCurve_sp_P08670_VIME_HUMAN_.pdf</v>
      </c>
      <c r="AA596" t="s">
        <v>13469</v>
      </c>
      <c r="AB596" t="s">
        <v>17681</v>
      </c>
    </row>
    <row r="597" spans="1:28" x14ac:dyDescent="0.25">
      <c r="A597" t="s">
        <v>601</v>
      </c>
      <c r="B597">
        <v>0.99876560204751996</v>
      </c>
      <c r="C597">
        <v>1.0242412408222901</v>
      </c>
      <c r="D597">
        <v>0.84611999686189299</v>
      </c>
      <c r="E597">
        <v>0.62707298420514801</v>
      </c>
      <c r="F597">
        <v>0.41574632210128598</v>
      </c>
      <c r="G597">
        <v>0.22280817676393699</v>
      </c>
      <c r="H597">
        <v>0.12760456264647299</v>
      </c>
      <c r="I597">
        <v>0.13757508164360099</v>
      </c>
      <c r="J597">
        <v>0.12722550350782699</v>
      </c>
      <c r="K597">
        <v>0.105281000752339</v>
      </c>
      <c r="L597">
        <v>887.75777671087599</v>
      </c>
      <c r="M597">
        <v>17.422531574570499</v>
      </c>
      <c r="N597">
        <v>51.630351118261402</v>
      </c>
      <c r="O597">
        <v>50.297511175376101</v>
      </c>
      <c r="P597">
        <v>-7.7772933049951198E-2</v>
      </c>
      <c r="Q597">
        <v>0.101952585365453</v>
      </c>
      <c r="R597">
        <v>0.99583930442484603</v>
      </c>
      <c r="S597" t="s">
        <v>4893</v>
      </c>
      <c r="T597" t="s">
        <v>8590</v>
      </c>
      <c r="U597" t="s">
        <v>8590</v>
      </c>
      <c r="V597" t="s">
        <v>8590</v>
      </c>
      <c r="W597">
        <v>3</v>
      </c>
      <c r="X597" t="s">
        <v>9187</v>
      </c>
      <c r="Y597">
        <v>0.44592972478433818</v>
      </c>
      <c r="Z597" t="str">
        <f>HYPERLINK("Melting_Curves/meltCurve_sp_P08684_CP3A4_HUMAN_.pdf", "Melting_Curves/meltCurve_sp_P08684_CP3A4_HUMAN_.pdf")</f>
        <v>Melting_Curves/meltCurve_sp_P08684_CP3A4_HUMAN_.pdf</v>
      </c>
      <c r="AA597" t="s">
        <v>13470</v>
      </c>
      <c r="AB597" t="s">
        <v>17682</v>
      </c>
    </row>
    <row r="598" spans="1:28" x14ac:dyDescent="0.25">
      <c r="A598" t="s">
        <v>602</v>
      </c>
      <c r="B598">
        <v>0.99876560204751996</v>
      </c>
      <c r="C598">
        <v>0.91655420097492202</v>
      </c>
      <c r="D598">
        <v>1.0656812864741101</v>
      </c>
      <c r="E598">
        <v>0.98526731074110896</v>
      </c>
      <c r="F598">
        <v>0.95904395468799097</v>
      </c>
      <c r="G598">
        <v>0.83525214021338201</v>
      </c>
      <c r="H598">
        <v>0.56469228715240705</v>
      </c>
      <c r="I598">
        <v>0.48793152339365797</v>
      </c>
      <c r="J598">
        <v>0.50639112232452799</v>
      </c>
      <c r="K598">
        <v>0.36206589834491798</v>
      </c>
      <c r="L598">
        <v>1423.3974817650201</v>
      </c>
      <c r="M598">
        <v>24.132371024809199</v>
      </c>
      <c r="N598">
        <v>63.3677510578799</v>
      </c>
      <c r="O598">
        <v>58.582364879671999</v>
      </c>
      <c r="P598">
        <v>-6.1187789851058098E-2</v>
      </c>
      <c r="Q598">
        <v>0.40586525628676501</v>
      </c>
      <c r="R598">
        <v>0.96642181774784497</v>
      </c>
      <c r="S598" t="s">
        <v>4894</v>
      </c>
      <c r="T598" t="s">
        <v>8590</v>
      </c>
      <c r="U598" t="s">
        <v>8590</v>
      </c>
      <c r="V598" t="s">
        <v>8590</v>
      </c>
      <c r="W598">
        <v>9</v>
      </c>
      <c r="X598" t="s">
        <v>9188</v>
      </c>
      <c r="Y598">
        <v>0.78688850966042856</v>
      </c>
      <c r="Z598" t="str">
        <f>HYPERLINK("Melting_Curves/meltCurve_sp_P08697_A2AP_HUMAN_.pdf", "Melting_Curves/meltCurve_sp_P08697_A2AP_HUMAN_.pdf")</f>
        <v>Melting_Curves/meltCurve_sp_P08697_A2AP_HUMAN_.pdf</v>
      </c>
      <c r="AA598" t="s">
        <v>13471</v>
      </c>
      <c r="AB598" t="s">
        <v>17683</v>
      </c>
    </row>
    <row r="599" spans="1:28" x14ac:dyDescent="0.25">
      <c r="A599" t="s">
        <v>603</v>
      </c>
      <c r="B599">
        <v>0.99876560204751996</v>
      </c>
      <c r="C599">
        <v>0.98383044346452297</v>
      </c>
      <c r="D599">
        <v>0.91083389376888702</v>
      </c>
      <c r="E599">
        <v>0.89736179088187396</v>
      </c>
      <c r="F599">
        <v>0.80941054090011499</v>
      </c>
      <c r="G599">
        <v>0.62414857153589698</v>
      </c>
      <c r="H599">
        <v>0.50482615972439204</v>
      </c>
      <c r="I599">
        <v>0.43777528742942501</v>
      </c>
      <c r="J599">
        <v>0.50394316147915197</v>
      </c>
      <c r="K599">
        <v>0.46982011287617198</v>
      </c>
      <c r="L599">
        <v>901.74092405913802</v>
      </c>
      <c r="M599">
        <v>16.554640575744202</v>
      </c>
      <c r="N599">
        <v>62.5798040811936</v>
      </c>
      <c r="O599">
        <v>53.6943684486344</v>
      </c>
      <c r="P599">
        <v>-4.3052863419227497E-2</v>
      </c>
      <c r="Q599">
        <v>0.44147679325920802</v>
      </c>
      <c r="R599">
        <v>0.98055980990712799</v>
      </c>
      <c r="S599" t="s">
        <v>4895</v>
      </c>
      <c r="T599" t="s">
        <v>8590</v>
      </c>
      <c r="U599" t="s">
        <v>8590</v>
      </c>
      <c r="V599" t="s">
        <v>8590</v>
      </c>
      <c r="W599">
        <v>23</v>
      </c>
      <c r="X599" t="s">
        <v>9189</v>
      </c>
      <c r="Y599">
        <v>0.72075809292084725</v>
      </c>
      <c r="Z599" t="str">
        <f>HYPERLINK("Melting_Curves/meltCurve_sp_P08727_K1C19_HUMAN_.pdf", "Melting_Curves/meltCurve_sp_P08727_K1C19_HUMAN_.pdf")</f>
        <v>Melting_Curves/meltCurve_sp_P08727_K1C19_HUMAN_.pdf</v>
      </c>
      <c r="AA599" t="s">
        <v>13472</v>
      </c>
      <c r="AB599" t="s">
        <v>17684</v>
      </c>
    </row>
    <row r="600" spans="1:28" x14ac:dyDescent="0.25">
      <c r="A600" t="s">
        <v>604</v>
      </c>
      <c r="B600">
        <v>0.99876560204751996</v>
      </c>
      <c r="C600">
        <v>1.0536178346309599</v>
      </c>
      <c r="D600">
        <v>1.01082218335886</v>
      </c>
      <c r="E600">
        <v>1.05959663490798</v>
      </c>
      <c r="F600">
        <v>1.03565076202214</v>
      </c>
      <c r="G600">
        <v>0.85829869696622296</v>
      </c>
      <c r="H600">
        <v>0.72066734915581199</v>
      </c>
      <c r="I600">
        <v>0.57906947366078498</v>
      </c>
      <c r="J600">
        <v>0.56299304450193899</v>
      </c>
      <c r="K600">
        <v>0.52272880808226896</v>
      </c>
      <c r="L600">
        <v>1539.6769192720999</v>
      </c>
      <c r="M600">
        <v>25.768953177161102</v>
      </c>
      <c r="O600">
        <v>59.392957886668697</v>
      </c>
      <c r="P600">
        <v>-5.1950266558642502E-2</v>
      </c>
      <c r="Q600">
        <v>0.52106037284783002</v>
      </c>
      <c r="R600">
        <v>0.97328785206176305</v>
      </c>
      <c r="S600" t="s">
        <v>4896</v>
      </c>
      <c r="T600" t="s">
        <v>8590</v>
      </c>
      <c r="U600" t="s">
        <v>8590</v>
      </c>
      <c r="V600" t="s">
        <v>8590</v>
      </c>
      <c r="W600">
        <v>22</v>
      </c>
      <c r="X600" t="s">
        <v>9190</v>
      </c>
      <c r="Y600">
        <v>0.83990315186333075</v>
      </c>
      <c r="Z600" t="str">
        <f>HYPERLINK("Melting_Curves/meltCurve_sp_P08729_K2C7_HUMAN_.pdf", "Melting_Curves/meltCurve_sp_P08729_K2C7_HUMAN_.pdf")</f>
        <v>Melting_Curves/meltCurve_sp_P08729_K2C7_HUMAN_.pdf</v>
      </c>
      <c r="AA600" t="s">
        <v>13473</v>
      </c>
      <c r="AB600" t="s">
        <v>17685</v>
      </c>
    </row>
    <row r="601" spans="1:28" x14ac:dyDescent="0.25">
      <c r="A601" t="s">
        <v>605</v>
      </c>
      <c r="B601">
        <v>0.99876560204751996</v>
      </c>
      <c r="C601">
        <v>1.0647402018963601</v>
      </c>
      <c r="D601">
        <v>0.69856392634244102</v>
      </c>
      <c r="E601">
        <v>0.50282490923724699</v>
      </c>
      <c r="F601">
        <v>0.32341816373681698</v>
      </c>
      <c r="G601">
        <v>0.174619674382676</v>
      </c>
      <c r="H601">
        <v>0.12206876377470301</v>
      </c>
      <c r="I601">
        <v>9.6598733029357398E-2</v>
      </c>
      <c r="J601">
        <v>6.2194125739394403E-2</v>
      </c>
      <c r="K601">
        <v>2.9753303086250401E-2</v>
      </c>
      <c r="L601">
        <v>781.26741420425196</v>
      </c>
      <c r="M601">
        <v>15.7415965027794</v>
      </c>
      <c r="N601">
        <v>50.003872186312897</v>
      </c>
      <c r="O601">
        <v>48.850519235464901</v>
      </c>
      <c r="P601">
        <v>-7.6102465752810905E-2</v>
      </c>
      <c r="Q601">
        <v>5.5411146338100799E-2</v>
      </c>
      <c r="R601">
        <v>0.97834530021354305</v>
      </c>
      <c r="S601" t="s">
        <v>4897</v>
      </c>
      <c r="T601" t="s">
        <v>8590</v>
      </c>
      <c r="U601" t="s">
        <v>8590</v>
      </c>
      <c r="V601" t="s">
        <v>8590</v>
      </c>
      <c r="W601">
        <v>2</v>
      </c>
      <c r="X601" t="s">
        <v>9191</v>
      </c>
      <c r="Y601">
        <v>0.37951953097303831</v>
      </c>
      <c r="Z601" t="str">
        <f>HYPERLINK("Melting_Curves/meltCurve_sp_P08754_GNAI3_HUMAN_.pdf", "Melting_Curves/meltCurve_sp_P08754_GNAI3_HUMAN_.pdf")</f>
        <v>Melting_Curves/meltCurve_sp_P08754_GNAI3_HUMAN_.pdf</v>
      </c>
      <c r="AA601" t="s">
        <v>13474</v>
      </c>
      <c r="AB601" t="s">
        <v>17686</v>
      </c>
    </row>
    <row r="602" spans="1:28" x14ac:dyDescent="0.25">
      <c r="A602" t="s">
        <v>606</v>
      </c>
      <c r="B602">
        <v>0.99876560204751996</v>
      </c>
      <c r="C602">
        <v>1.0461924091717201</v>
      </c>
      <c r="D602">
        <v>0.527095916959058</v>
      </c>
      <c r="E602">
        <v>0.98514757498122396</v>
      </c>
      <c r="F602">
        <v>0.49611664447148002</v>
      </c>
      <c r="G602">
        <v>0.384883668461099</v>
      </c>
      <c r="H602">
        <v>0.37341379271810299</v>
      </c>
      <c r="I602">
        <v>0.43055658764541499</v>
      </c>
      <c r="J602">
        <v>0.215041138916406</v>
      </c>
      <c r="K602">
        <v>0.80152034560157903</v>
      </c>
      <c r="L602">
        <v>677.62977361322498</v>
      </c>
      <c r="M602">
        <v>13.9165835601748</v>
      </c>
      <c r="N602">
        <v>56.647617675124501</v>
      </c>
      <c r="O602">
        <v>47.719878989944903</v>
      </c>
      <c r="P602">
        <v>-4.1623173801442398E-2</v>
      </c>
      <c r="Q602">
        <v>0.42917484702506098</v>
      </c>
      <c r="R602">
        <v>0.49778168791402699</v>
      </c>
      <c r="S602" t="s">
        <v>4898</v>
      </c>
      <c r="T602" t="s">
        <v>8590</v>
      </c>
      <c r="U602" t="s">
        <v>8590</v>
      </c>
      <c r="V602" t="s">
        <v>8590</v>
      </c>
      <c r="W602">
        <v>9</v>
      </c>
      <c r="X602" t="s">
        <v>9192</v>
      </c>
      <c r="Y602">
        <v>0.61098331960288887</v>
      </c>
      <c r="Z602" t="str">
        <f>HYPERLINK("Melting_Curves/meltCurve_sp_P08779_K1C16_HUMAN_.pdf", "Melting_Curves/meltCurve_sp_P08779_K1C16_HUMAN_.pdf")</f>
        <v>Melting_Curves/meltCurve_sp_P08779_K1C16_HUMAN_.pdf</v>
      </c>
      <c r="AA602" t="s">
        <v>13475</v>
      </c>
      <c r="AB602" t="s">
        <v>17687</v>
      </c>
    </row>
    <row r="603" spans="1:28" x14ac:dyDescent="0.25">
      <c r="A603" t="s">
        <v>607</v>
      </c>
      <c r="B603">
        <v>0.99876560204751996</v>
      </c>
      <c r="C603">
        <v>1.0212929065828</v>
      </c>
      <c r="D603">
        <v>1.1476913073547299</v>
      </c>
      <c r="E603">
        <v>1.0577808554338901</v>
      </c>
      <c r="F603">
        <v>1.07849336265212</v>
      </c>
      <c r="G603">
        <v>0.87084301120308705</v>
      </c>
      <c r="H603">
        <v>0.45416709054784399</v>
      </c>
      <c r="I603">
        <v>0.20929697280919701</v>
      </c>
      <c r="J603">
        <v>0.18872209551965199</v>
      </c>
      <c r="K603">
        <v>0.107349596322996</v>
      </c>
      <c r="L603">
        <v>2112.3269747393501</v>
      </c>
      <c r="M603">
        <v>35.1717464257854</v>
      </c>
      <c r="N603">
        <v>60.576150154539398</v>
      </c>
      <c r="O603">
        <v>59.8643359092694</v>
      </c>
      <c r="P603">
        <v>-0.12778563027704401</v>
      </c>
      <c r="Q603">
        <v>0.130008982680163</v>
      </c>
      <c r="R603">
        <v>0.97778784661734197</v>
      </c>
      <c r="S603" t="s">
        <v>4899</v>
      </c>
      <c r="T603" t="s">
        <v>8590</v>
      </c>
      <c r="U603" t="s">
        <v>8590</v>
      </c>
      <c r="V603" t="s">
        <v>8590</v>
      </c>
      <c r="W603">
        <v>5</v>
      </c>
      <c r="X603" t="s">
        <v>9193</v>
      </c>
      <c r="Y603">
        <v>0.71586793409438132</v>
      </c>
      <c r="Z603" t="str">
        <f>HYPERLINK("Melting_Curves/meltCurve_sp_P09012_SNRPA_HUMAN_.pdf", "Melting_Curves/meltCurve_sp_P09012_SNRPA_HUMAN_.pdf")</f>
        <v>Melting_Curves/meltCurve_sp_P09012_SNRPA_HUMAN_.pdf</v>
      </c>
      <c r="AA603" t="s">
        <v>13476</v>
      </c>
      <c r="AB603" t="s">
        <v>17688</v>
      </c>
    </row>
    <row r="604" spans="1:28" x14ac:dyDescent="0.25">
      <c r="A604" t="s">
        <v>608</v>
      </c>
      <c r="B604">
        <v>0.99876560204751996</v>
      </c>
      <c r="C604">
        <v>0.96087292921581802</v>
      </c>
      <c r="D604">
        <v>0.96300249728615706</v>
      </c>
      <c r="E604">
        <v>0.96794928671967695</v>
      </c>
      <c r="F604">
        <v>0.92200713658442401</v>
      </c>
      <c r="G604">
        <v>0.73727832207262001</v>
      </c>
      <c r="H604">
        <v>0.45693658346613197</v>
      </c>
      <c r="I604">
        <v>0.186425168186267</v>
      </c>
      <c r="J604">
        <v>6.5737322493213596E-2</v>
      </c>
      <c r="K604">
        <v>3.1524821419645403E-2</v>
      </c>
      <c r="L604">
        <v>1283.6607759905301</v>
      </c>
      <c r="M604">
        <v>21.401821348635099</v>
      </c>
      <c r="N604">
        <v>59.979049421738203</v>
      </c>
      <c r="O604">
        <v>59.462763388385198</v>
      </c>
      <c r="P604">
        <v>-8.9982190437061002E-2</v>
      </c>
      <c r="Q604">
        <v>0</v>
      </c>
      <c r="R604">
        <v>0.99495201210081796</v>
      </c>
      <c r="S604" t="s">
        <v>4900</v>
      </c>
      <c r="T604" t="s">
        <v>8590</v>
      </c>
      <c r="U604" t="s">
        <v>8590</v>
      </c>
      <c r="V604" t="s">
        <v>8590</v>
      </c>
      <c r="W604">
        <v>30</v>
      </c>
      <c r="X604" t="s">
        <v>9194</v>
      </c>
      <c r="Y604">
        <v>0.67420861946092958</v>
      </c>
      <c r="Z604" t="str">
        <f>HYPERLINK("Melting_Curves/meltCurve_sp_P09110_THIK_HUMAN_.pdf", "Melting_Curves/meltCurve_sp_P09110_THIK_HUMAN_.pdf")</f>
        <v>Melting_Curves/meltCurve_sp_P09110_THIK_HUMAN_.pdf</v>
      </c>
      <c r="AA604" t="s">
        <v>13477</v>
      </c>
      <c r="AB604" t="s">
        <v>17689</v>
      </c>
    </row>
    <row r="605" spans="1:28" x14ac:dyDescent="0.25">
      <c r="A605" t="s">
        <v>609</v>
      </c>
      <c r="B605">
        <v>0.99876560204751996</v>
      </c>
      <c r="C605">
        <v>1.06015408221166</v>
      </c>
      <c r="D605">
        <v>0.84741781688081996</v>
      </c>
      <c r="E605">
        <v>0.47091203772582302</v>
      </c>
      <c r="F605">
        <v>0.227217540502094</v>
      </c>
      <c r="G605">
        <v>0.12230914238230101</v>
      </c>
      <c r="H605">
        <v>8.5518423107234801E-2</v>
      </c>
      <c r="I605">
        <v>6.3586040700344404E-2</v>
      </c>
      <c r="J605">
        <v>6.8244617539416894E-2</v>
      </c>
      <c r="K605">
        <v>6.6164601138079093E-2</v>
      </c>
      <c r="L605">
        <v>1197.5881948451199</v>
      </c>
      <c r="M605">
        <v>24.224433688352399</v>
      </c>
      <c r="N605">
        <v>49.751821938102303</v>
      </c>
      <c r="O605">
        <v>49.1039978943978</v>
      </c>
      <c r="P605">
        <v>-0.11457540590849601</v>
      </c>
      <c r="Q605">
        <v>7.10165064144197E-2</v>
      </c>
      <c r="R605">
        <v>0.99494173274016395</v>
      </c>
      <c r="S605" t="s">
        <v>4901</v>
      </c>
      <c r="T605" t="s">
        <v>8590</v>
      </c>
      <c r="U605" t="s">
        <v>8590</v>
      </c>
      <c r="V605" t="s">
        <v>8590</v>
      </c>
      <c r="W605">
        <v>7</v>
      </c>
      <c r="X605" t="s">
        <v>9195</v>
      </c>
      <c r="Y605">
        <v>0.37205662975041232</v>
      </c>
      <c r="Z605" t="str">
        <f>HYPERLINK("Melting_Curves/meltCurve_sp_P09132_SRP19_HUMAN_.pdf", "Melting_Curves/meltCurve_sp_P09132_SRP19_HUMAN_.pdf")</f>
        <v>Melting_Curves/meltCurve_sp_P09132_SRP19_HUMAN_.pdf</v>
      </c>
      <c r="AA605" t="s">
        <v>13478</v>
      </c>
      <c r="AB605" t="s">
        <v>17690</v>
      </c>
    </row>
    <row r="606" spans="1:28" x14ac:dyDescent="0.25">
      <c r="A606" t="s">
        <v>610</v>
      </c>
      <c r="B606">
        <v>0.99876560204751996</v>
      </c>
      <c r="C606">
        <v>0.865845755644441</v>
      </c>
      <c r="D606">
        <v>0.92752062179804395</v>
      </c>
      <c r="E606">
        <v>0.26637517448199299</v>
      </c>
      <c r="F606">
        <v>0.105044673513775</v>
      </c>
      <c r="G606">
        <v>5.0762539471076298E-2</v>
      </c>
      <c r="H606">
        <v>3.2836869486568797E-2</v>
      </c>
      <c r="I606">
        <v>2.13022201830196E-2</v>
      </c>
      <c r="J606">
        <v>1.7476024102118001E-2</v>
      </c>
      <c r="K606">
        <v>1.34365001827398E-2</v>
      </c>
      <c r="L606">
        <v>1850.6028994758401</v>
      </c>
      <c r="M606">
        <v>38.0602061350639</v>
      </c>
      <c r="N606">
        <v>48.704583507282798</v>
      </c>
      <c r="O606">
        <v>48.4893905496291</v>
      </c>
      <c r="P606">
        <v>-0.19017301424724001</v>
      </c>
      <c r="Q606">
        <v>3.0867029909592301E-2</v>
      </c>
      <c r="R606">
        <v>0.98791193245328501</v>
      </c>
      <c r="S606" t="s">
        <v>4902</v>
      </c>
      <c r="T606" t="s">
        <v>8590</v>
      </c>
      <c r="U606" t="s">
        <v>8590</v>
      </c>
      <c r="V606" t="s">
        <v>8590</v>
      </c>
      <c r="W606">
        <v>21</v>
      </c>
      <c r="X606" t="s">
        <v>9196</v>
      </c>
      <c r="Y606">
        <v>0.31303800848442881</v>
      </c>
      <c r="Z606" t="str">
        <f>HYPERLINK("Melting_Curves/meltCurve_sp_P09210_GSTA2_HUMAN_.pdf", "Melting_Curves/meltCurve_sp_P09210_GSTA2_HUMAN_.pdf")</f>
        <v>Melting_Curves/meltCurve_sp_P09210_GSTA2_HUMAN_.pdf</v>
      </c>
      <c r="AA606" t="s">
        <v>13479</v>
      </c>
      <c r="AB606" t="s">
        <v>17691</v>
      </c>
    </row>
    <row r="607" spans="1:28" x14ac:dyDescent="0.25">
      <c r="A607" t="s">
        <v>611</v>
      </c>
      <c r="B607">
        <v>0.99876560204751996</v>
      </c>
      <c r="C607">
        <v>1.00839987618688</v>
      </c>
      <c r="D607">
        <v>0.97041704705722398</v>
      </c>
      <c r="E607">
        <v>0.84237499237500202</v>
      </c>
      <c r="F607">
        <v>0.69116179055738103</v>
      </c>
      <c r="G607">
        <v>0.48507024394366199</v>
      </c>
      <c r="H607">
        <v>0.448838600617186</v>
      </c>
      <c r="I607">
        <v>0.405323384848644</v>
      </c>
      <c r="J607">
        <v>0.49308066556234498</v>
      </c>
      <c r="K607">
        <v>0.42573289684429499</v>
      </c>
      <c r="L607">
        <v>1233.65187830269</v>
      </c>
      <c r="M607">
        <v>23.604357906879901</v>
      </c>
      <c r="N607">
        <v>57.156070844168397</v>
      </c>
      <c r="O607">
        <v>51.892934163275797</v>
      </c>
      <c r="P607">
        <v>-6.4398580970241495E-2</v>
      </c>
      <c r="Q607">
        <v>0.433701865340824</v>
      </c>
      <c r="R607">
        <v>0.99035694625210702</v>
      </c>
      <c r="S607" t="s">
        <v>4903</v>
      </c>
      <c r="T607" t="s">
        <v>8590</v>
      </c>
      <c r="U607" t="s">
        <v>8590</v>
      </c>
      <c r="V607" t="s">
        <v>8590</v>
      </c>
      <c r="W607">
        <v>3</v>
      </c>
      <c r="X607" t="s">
        <v>9197</v>
      </c>
      <c r="Y607">
        <v>0.67097937250126405</v>
      </c>
      <c r="Z607" t="str">
        <f>HYPERLINK("Melting_Curves/meltCurve_sp_P09234_RU1C_HUMAN_.pdf", "Melting_Curves/meltCurve_sp_P09234_RU1C_HUMAN_.pdf")</f>
        <v>Melting_Curves/meltCurve_sp_P09234_RU1C_HUMAN_.pdf</v>
      </c>
      <c r="AA607" t="s">
        <v>13480</v>
      </c>
      <c r="AB607" t="s">
        <v>17692</v>
      </c>
    </row>
    <row r="608" spans="1:28" x14ac:dyDescent="0.25">
      <c r="A608" t="s">
        <v>612</v>
      </c>
      <c r="B608">
        <v>0.99876560204751996</v>
      </c>
      <c r="C608">
        <v>0.93344075828717099</v>
      </c>
      <c r="D608">
        <v>0.80260420059206905</v>
      </c>
      <c r="E608">
        <v>0.538474150035265</v>
      </c>
      <c r="F608">
        <v>0.29586460662944603</v>
      </c>
      <c r="G608">
        <v>0.162868861162318</v>
      </c>
      <c r="H608">
        <v>0.117940070720137</v>
      </c>
      <c r="I608">
        <v>9.9365826799493906E-2</v>
      </c>
      <c r="J608">
        <v>0.106335680823676</v>
      </c>
      <c r="K608">
        <v>9.7082073204650399E-2</v>
      </c>
      <c r="L608">
        <v>869.13807602740405</v>
      </c>
      <c r="M608">
        <v>17.515085683853702</v>
      </c>
      <c r="N608">
        <v>50.164094846222703</v>
      </c>
      <c r="O608">
        <v>48.988937686883702</v>
      </c>
      <c r="P608">
        <v>-8.1683970778398493E-2</v>
      </c>
      <c r="Q608">
        <v>8.6183601399763596E-2</v>
      </c>
      <c r="R608">
        <v>0.99870080444512399</v>
      </c>
      <c r="S608" t="s">
        <v>4904</v>
      </c>
      <c r="T608" t="s">
        <v>8590</v>
      </c>
      <c r="U608" t="s">
        <v>8590</v>
      </c>
      <c r="V608" t="s">
        <v>8590</v>
      </c>
      <c r="W608">
        <v>18</v>
      </c>
      <c r="X608" t="s">
        <v>9198</v>
      </c>
      <c r="Y608">
        <v>0.39579481531644373</v>
      </c>
      <c r="Z608" t="str">
        <f>HYPERLINK("Melting_Curves/meltCurve_sp_P09327_VILI_HUMAN_.pdf", "Melting_Curves/meltCurve_sp_P09327_VILI_HUMAN_.pdf")</f>
        <v>Melting_Curves/meltCurve_sp_P09327_VILI_HUMAN_.pdf</v>
      </c>
      <c r="AA608" t="s">
        <v>13481</v>
      </c>
      <c r="AB608" t="s">
        <v>17693</v>
      </c>
    </row>
    <row r="609" spans="1:28" x14ac:dyDescent="0.25">
      <c r="A609" t="s">
        <v>613</v>
      </c>
      <c r="B609">
        <v>0.99876560204751996</v>
      </c>
      <c r="C609">
        <v>0.92757116658543703</v>
      </c>
      <c r="D609">
        <v>1.00983913163608</v>
      </c>
      <c r="E609">
        <v>0.93640547623275605</v>
      </c>
      <c r="F609">
        <v>0.93194933354773801</v>
      </c>
      <c r="G609">
        <v>0.79194418489281204</v>
      </c>
      <c r="H609">
        <v>0.64851572403016899</v>
      </c>
      <c r="I609">
        <v>0.57561125939707303</v>
      </c>
      <c r="J609">
        <v>0.56705985021574401</v>
      </c>
      <c r="K609">
        <v>0.57457454435708899</v>
      </c>
      <c r="L609">
        <v>1115.80971540936</v>
      </c>
      <c r="M609">
        <v>19.487375989605301</v>
      </c>
      <c r="O609">
        <v>56.665356101840899</v>
      </c>
      <c r="P609">
        <v>-3.9191592823706801E-2</v>
      </c>
      <c r="Q609">
        <v>0.54417147561474999</v>
      </c>
      <c r="R609">
        <v>0.97535372572883705</v>
      </c>
      <c r="S609" t="s">
        <v>4905</v>
      </c>
      <c r="T609" t="s">
        <v>8590</v>
      </c>
      <c r="U609" t="s">
        <v>8590</v>
      </c>
      <c r="V609" t="s">
        <v>8590</v>
      </c>
      <c r="W609">
        <v>8</v>
      </c>
      <c r="X609" t="s">
        <v>9199</v>
      </c>
      <c r="Y609">
        <v>0.81204138011718741</v>
      </c>
      <c r="Z609" t="str">
        <f>HYPERLINK("Melting_Curves/meltCurve_sp_P09382_LEG1_HUMAN_.pdf", "Melting_Curves/meltCurve_sp_P09382_LEG1_HUMAN_.pdf")</f>
        <v>Melting_Curves/meltCurve_sp_P09382_LEG1_HUMAN_.pdf</v>
      </c>
      <c r="AA609" t="s">
        <v>13482</v>
      </c>
      <c r="AB609" t="s">
        <v>17694</v>
      </c>
    </row>
    <row r="610" spans="1:28" x14ac:dyDescent="0.25">
      <c r="A610" t="s">
        <v>614</v>
      </c>
      <c r="B610">
        <v>0.99876560204751996</v>
      </c>
      <c r="C610">
        <v>0.95739784460805699</v>
      </c>
      <c r="D610">
        <v>1.0803441999369601</v>
      </c>
      <c r="E610">
        <v>0.77683874392941499</v>
      </c>
      <c r="F610">
        <v>0.16394438922928101</v>
      </c>
      <c r="G610">
        <v>9.4096487542327203E-2</v>
      </c>
      <c r="H610">
        <v>5.3846629016316101E-2</v>
      </c>
      <c r="I610">
        <v>4.3073923289508299E-2</v>
      </c>
      <c r="J610">
        <v>4.07435248669148E-2</v>
      </c>
      <c r="K610">
        <v>3.2778837694687001E-2</v>
      </c>
      <c r="L610">
        <v>2828.6377207370201</v>
      </c>
      <c r="M610">
        <v>55.3846321910097</v>
      </c>
      <c r="N610">
        <v>51.174568679726598</v>
      </c>
      <c r="O610">
        <v>51.006155385017898</v>
      </c>
      <c r="P610">
        <v>-0.25728019575634797</v>
      </c>
      <c r="Q610">
        <v>5.2237731591962003E-2</v>
      </c>
      <c r="R610">
        <v>0.99443954572681503</v>
      </c>
      <c r="S610" t="s">
        <v>4906</v>
      </c>
      <c r="T610" t="s">
        <v>8590</v>
      </c>
      <c r="U610" t="s">
        <v>8590</v>
      </c>
      <c r="V610" t="s">
        <v>8590</v>
      </c>
      <c r="W610">
        <v>14</v>
      </c>
      <c r="X610" t="s">
        <v>9200</v>
      </c>
      <c r="Y610">
        <v>0.40378280428938701</v>
      </c>
      <c r="Z610" t="str">
        <f>HYPERLINK("Melting_Curves/meltCurve_sp_P09417_DHPR_HUMAN_.pdf", "Melting_Curves/meltCurve_sp_P09417_DHPR_HUMAN_.pdf")</f>
        <v>Melting_Curves/meltCurve_sp_P09417_DHPR_HUMAN_.pdf</v>
      </c>
      <c r="AA610" t="s">
        <v>13483</v>
      </c>
      <c r="AB610" t="s">
        <v>17695</v>
      </c>
    </row>
    <row r="611" spans="1:28" x14ac:dyDescent="0.25">
      <c r="A611" t="s">
        <v>615</v>
      </c>
      <c r="B611">
        <v>0.99876560204751996</v>
      </c>
      <c r="C611">
        <v>0.92402402846449305</v>
      </c>
      <c r="D611">
        <v>1.03046993109365</v>
      </c>
      <c r="E611">
        <v>0.96233739544495001</v>
      </c>
      <c r="F611">
        <v>1.0448192850759801</v>
      </c>
      <c r="G611">
        <v>0.87482717646520503</v>
      </c>
      <c r="H611">
        <v>0.78207061896178998</v>
      </c>
      <c r="I611">
        <v>0.83277516895438897</v>
      </c>
      <c r="J611">
        <v>1.07368051939761</v>
      </c>
      <c r="K611">
        <v>1.07462286966663</v>
      </c>
      <c r="L611">
        <v>3760.4897223016901</v>
      </c>
      <c r="M611">
        <v>68.568640584556505</v>
      </c>
      <c r="O611">
        <v>54.7961127958121</v>
      </c>
      <c r="P611">
        <v>-2.2457519725022499E-2</v>
      </c>
      <c r="Q611">
        <v>0.92821298616468695</v>
      </c>
      <c r="R611">
        <v>9.2902554446788105E-2</v>
      </c>
      <c r="S611" t="s">
        <v>4907</v>
      </c>
      <c r="T611" t="s">
        <v>8590</v>
      </c>
      <c r="U611" t="s">
        <v>8590</v>
      </c>
      <c r="V611" t="s">
        <v>8590</v>
      </c>
      <c r="W611">
        <v>17</v>
      </c>
      <c r="X611" t="s">
        <v>9201</v>
      </c>
      <c r="Y611">
        <v>0.96382219924513157</v>
      </c>
      <c r="Z611" t="str">
        <f>HYPERLINK("Melting_Curves/meltCurve_sp_P09429_HMGB1_HUMAN_.pdf", "Melting_Curves/meltCurve_sp_P09429_HMGB1_HUMAN_.pdf")</f>
        <v>Melting_Curves/meltCurve_sp_P09429_HMGB1_HUMAN_.pdf</v>
      </c>
      <c r="AA611" t="s">
        <v>13484</v>
      </c>
      <c r="AB611" t="s">
        <v>17696</v>
      </c>
    </row>
    <row r="612" spans="1:28" x14ac:dyDescent="0.25">
      <c r="A612" t="s">
        <v>616</v>
      </c>
      <c r="B612">
        <v>0.99876560204751996</v>
      </c>
      <c r="C612">
        <v>1.0433893381350301</v>
      </c>
      <c r="D612">
        <v>0.949471594887906</v>
      </c>
      <c r="E612">
        <v>1.00386996080847</v>
      </c>
      <c r="F612">
        <v>1.0053283747681101</v>
      </c>
      <c r="G612">
        <v>0.88118211729810603</v>
      </c>
      <c r="H612">
        <v>0.77143611907583698</v>
      </c>
      <c r="I612">
        <v>0.73449596837279096</v>
      </c>
      <c r="J612">
        <v>0.77215099950243204</v>
      </c>
      <c r="K612">
        <v>0.230773559985257</v>
      </c>
      <c r="L612">
        <v>1106.4553880322301</v>
      </c>
      <c r="M612">
        <v>16.262555157429201</v>
      </c>
      <c r="N612">
        <v>68.036996264817304</v>
      </c>
      <c r="O612">
        <v>67.033155598829296</v>
      </c>
      <c r="P612">
        <v>-6.0655606848123302E-2</v>
      </c>
      <c r="Q612">
        <v>0</v>
      </c>
      <c r="R612">
        <v>0.83178424960184805</v>
      </c>
      <c r="S612" t="s">
        <v>4908</v>
      </c>
      <c r="T612" t="s">
        <v>8590</v>
      </c>
      <c r="U612" t="s">
        <v>8590</v>
      </c>
      <c r="V612" t="s">
        <v>8590</v>
      </c>
      <c r="W612">
        <v>31</v>
      </c>
      <c r="X612" t="s">
        <v>9202</v>
      </c>
      <c r="Y612">
        <v>0.87870685217271594</v>
      </c>
      <c r="Z612" t="str">
        <f>HYPERLINK("Melting_Curves/meltCurve_sp_P09467_F16P1_HUMAN_.pdf", "Melting_Curves/meltCurve_sp_P09467_F16P1_HUMAN_.pdf")</f>
        <v>Melting_Curves/meltCurve_sp_P09467_F16P1_HUMAN_.pdf</v>
      </c>
      <c r="AA612" t="s">
        <v>13485</v>
      </c>
      <c r="AB612" t="s">
        <v>17697</v>
      </c>
    </row>
    <row r="613" spans="1:28" x14ac:dyDescent="0.25">
      <c r="A613" t="s">
        <v>617</v>
      </c>
      <c r="B613">
        <v>0.99876560204751996</v>
      </c>
      <c r="C613">
        <v>1.0547972817606699</v>
      </c>
      <c r="D613">
        <v>0.98807154568475897</v>
      </c>
      <c r="E613">
        <v>1.0561083804878699</v>
      </c>
      <c r="F613">
        <v>1.11585997903325</v>
      </c>
      <c r="G613">
        <v>0.87030569777718503</v>
      </c>
      <c r="H613">
        <v>0.768395256149626</v>
      </c>
      <c r="I613">
        <v>0.80541843239098898</v>
      </c>
      <c r="J613">
        <v>0.90203544330302698</v>
      </c>
      <c r="K613">
        <v>0.78346075875506704</v>
      </c>
      <c r="L613">
        <v>14201.596199912699</v>
      </c>
      <c r="M613">
        <v>250</v>
      </c>
      <c r="O613">
        <v>56.802740587224498</v>
      </c>
      <c r="P613">
        <v>-0.203745120235372</v>
      </c>
      <c r="Q613">
        <v>0.81482747149824197</v>
      </c>
      <c r="R613">
        <v>0.78392065639816499</v>
      </c>
      <c r="S613" t="s">
        <v>4909</v>
      </c>
      <c r="T613" t="s">
        <v>8590</v>
      </c>
      <c r="U613" t="s">
        <v>8590</v>
      </c>
      <c r="V613" t="s">
        <v>8590</v>
      </c>
      <c r="W613">
        <v>26</v>
      </c>
      <c r="X613" t="s">
        <v>9203</v>
      </c>
      <c r="Y613">
        <v>0.91858195775860796</v>
      </c>
      <c r="Z613" t="str">
        <f>HYPERLINK("Melting_Curves/meltCurve_sp_P09493_3_TPM1_HUMAN_.pdf", "Melting_Curves/meltCurve_sp_P09493_3_TPM1_HUMAN_.pdf")</f>
        <v>Melting_Curves/meltCurve_sp_P09493_3_TPM1_HUMAN_.pdf</v>
      </c>
      <c r="AA613" t="s">
        <v>13486</v>
      </c>
      <c r="AB613" t="s">
        <v>17698</v>
      </c>
    </row>
    <row r="614" spans="1:28" x14ac:dyDescent="0.25">
      <c r="A614" t="s">
        <v>618</v>
      </c>
      <c r="B614">
        <v>0.99876560204751996</v>
      </c>
      <c r="C614">
        <v>1.0469581015504299</v>
      </c>
      <c r="D614">
        <v>0.96594506343472597</v>
      </c>
      <c r="E614">
        <v>0.89070256856724594</v>
      </c>
      <c r="F614">
        <v>0.81479738539100399</v>
      </c>
      <c r="G614">
        <v>0.70275356202682604</v>
      </c>
      <c r="H614">
        <v>0.63642127896169198</v>
      </c>
      <c r="I614">
        <v>0.76230632241924701</v>
      </c>
      <c r="J614">
        <v>1.0238053316737299</v>
      </c>
      <c r="K614">
        <v>0.92531143088629197</v>
      </c>
      <c r="L614">
        <v>2090.89411976566</v>
      </c>
      <c r="M614">
        <v>42.272363268453901</v>
      </c>
      <c r="O614">
        <v>49.352127168641502</v>
      </c>
      <c r="P614">
        <v>-4.0755133626024898E-2</v>
      </c>
      <c r="Q614">
        <v>0.809677137639356</v>
      </c>
      <c r="R614">
        <v>0.41364504761370102</v>
      </c>
      <c r="S614" t="s">
        <v>4910</v>
      </c>
      <c r="T614" t="s">
        <v>8590</v>
      </c>
      <c r="U614" t="s">
        <v>8590</v>
      </c>
      <c r="V614" t="s">
        <v>8590</v>
      </c>
      <c r="W614">
        <v>12</v>
      </c>
      <c r="X614" t="s">
        <v>9204</v>
      </c>
      <c r="Y614">
        <v>0.87029014854991305</v>
      </c>
      <c r="Z614" t="str">
        <f>HYPERLINK("Melting_Curves/meltCurve_sp_P09496_2_CLCA_HUMAN_.pdf", "Melting_Curves/meltCurve_sp_P09496_2_CLCA_HUMAN_.pdf")</f>
        <v>Melting_Curves/meltCurve_sp_P09496_2_CLCA_HUMAN_.pdf</v>
      </c>
      <c r="AA614" t="s">
        <v>13487</v>
      </c>
      <c r="AB614" t="s">
        <v>17699</v>
      </c>
    </row>
    <row r="615" spans="1:28" x14ac:dyDescent="0.25">
      <c r="A615" t="s">
        <v>619</v>
      </c>
      <c r="B615">
        <v>0.99876560204751996</v>
      </c>
      <c r="C615">
        <v>1.0192305094806799</v>
      </c>
      <c r="D615">
        <v>1.02502782312031</v>
      </c>
      <c r="E615">
        <v>0.97884536421835999</v>
      </c>
      <c r="F615">
        <v>0.97900603499929695</v>
      </c>
      <c r="G615">
        <v>0.77842967481787895</v>
      </c>
      <c r="H615">
        <v>0.72634727103070795</v>
      </c>
      <c r="I615">
        <v>0.744583619735665</v>
      </c>
      <c r="J615">
        <v>0.916174255637903</v>
      </c>
      <c r="K615">
        <v>0.85487207934211396</v>
      </c>
      <c r="L615">
        <v>13362.3662355906</v>
      </c>
      <c r="M615">
        <v>250</v>
      </c>
      <c r="O615">
        <v>53.4460446589569</v>
      </c>
      <c r="P615">
        <v>-0.229107956828103</v>
      </c>
      <c r="Q615">
        <v>0.80408137522049705</v>
      </c>
      <c r="R615">
        <v>0.78257909661817804</v>
      </c>
      <c r="S615" t="s">
        <v>4911</v>
      </c>
      <c r="T615" t="s">
        <v>8590</v>
      </c>
      <c r="U615" t="s">
        <v>8590</v>
      </c>
      <c r="V615" t="s">
        <v>8590</v>
      </c>
      <c r="W615">
        <v>16</v>
      </c>
      <c r="X615" t="s">
        <v>9205</v>
      </c>
      <c r="Y615">
        <v>0.89193310882209265</v>
      </c>
      <c r="Z615" t="str">
        <f>HYPERLINK("Melting_Curves/meltCurve_sp_P09497_2_CLCB_HUMAN_.pdf", "Melting_Curves/meltCurve_sp_P09497_2_CLCB_HUMAN_.pdf")</f>
        <v>Melting_Curves/meltCurve_sp_P09497_2_CLCB_HUMAN_.pdf</v>
      </c>
      <c r="AA615" t="s">
        <v>13488</v>
      </c>
      <c r="AB615" t="s">
        <v>17700</v>
      </c>
    </row>
    <row r="616" spans="1:28" x14ac:dyDescent="0.25">
      <c r="A616" t="s">
        <v>620</v>
      </c>
      <c r="B616">
        <v>0.99876560204751996</v>
      </c>
      <c r="C616">
        <v>1.0347602893443</v>
      </c>
      <c r="D616">
        <v>0.82981804831773898</v>
      </c>
      <c r="E616">
        <v>0.64406297439071802</v>
      </c>
      <c r="F616">
        <v>0.26793896555157498</v>
      </c>
      <c r="G616">
        <v>0.16739306300562801</v>
      </c>
      <c r="H616">
        <v>9.7232415488582302E-2</v>
      </c>
      <c r="I616">
        <v>7.9114356069708097E-2</v>
      </c>
      <c r="J616">
        <v>6.4135870557489094E-2</v>
      </c>
      <c r="K616">
        <v>6.3775272930687299E-2</v>
      </c>
      <c r="L616">
        <v>1064.5377168605</v>
      </c>
      <c r="M616">
        <v>21.057749044188899</v>
      </c>
      <c r="N616">
        <v>50.891797848425398</v>
      </c>
      <c r="O616">
        <v>50.103971554900397</v>
      </c>
      <c r="P616">
        <v>-9.8205871229533795E-2</v>
      </c>
      <c r="Q616">
        <v>6.5356226564206296E-2</v>
      </c>
      <c r="R616">
        <v>0.990319937461283</v>
      </c>
      <c r="S616" t="s">
        <v>4912</v>
      </c>
      <c r="T616" t="s">
        <v>8590</v>
      </c>
      <c r="U616" t="s">
        <v>8590</v>
      </c>
      <c r="V616" t="s">
        <v>8590</v>
      </c>
      <c r="W616">
        <v>9</v>
      </c>
      <c r="X616" t="s">
        <v>9206</v>
      </c>
      <c r="Y616">
        <v>0.40590621141805749</v>
      </c>
      <c r="Z616" t="str">
        <f>HYPERLINK("Melting_Curves/meltCurve_sp_P09525_ANXA4_HUMAN_.pdf", "Melting_Curves/meltCurve_sp_P09525_ANXA4_HUMAN_.pdf")</f>
        <v>Melting_Curves/meltCurve_sp_P09525_ANXA4_HUMAN_.pdf</v>
      </c>
      <c r="AA616" t="s">
        <v>13489</v>
      </c>
      <c r="AB616" t="s">
        <v>17701</v>
      </c>
    </row>
    <row r="617" spans="1:28" x14ac:dyDescent="0.25">
      <c r="A617" t="s">
        <v>621</v>
      </c>
      <c r="B617">
        <v>0.99876560204751996</v>
      </c>
      <c r="C617">
        <v>0.90294983960790698</v>
      </c>
      <c r="D617">
        <v>0.943606767447002</v>
      </c>
      <c r="E617">
        <v>0.79047379684173402</v>
      </c>
      <c r="F617">
        <v>0.57708353726491601</v>
      </c>
      <c r="G617">
        <v>0.283246807071795</v>
      </c>
      <c r="H617">
        <v>8.4422632950143003E-2</v>
      </c>
      <c r="I617">
        <v>6.4213924720219695E-2</v>
      </c>
      <c r="J617">
        <v>5.6788695923585202E-2</v>
      </c>
      <c r="K617">
        <v>4.7729434733984201E-2</v>
      </c>
      <c r="L617">
        <v>947.05923325106096</v>
      </c>
      <c r="M617">
        <v>17.636265359798799</v>
      </c>
      <c r="N617">
        <v>53.793682977746002</v>
      </c>
      <c r="O617">
        <v>53.0233925263272</v>
      </c>
      <c r="P617">
        <v>-8.1893903085632394E-2</v>
      </c>
      <c r="Q617">
        <v>1.5197274975470999E-2</v>
      </c>
      <c r="R617">
        <v>0.99371903584741905</v>
      </c>
      <c r="S617" t="s">
        <v>4913</v>
      </c>
      <c r="T617" t="s">
        <v>8590</v>
      </c>
      <c r="U617" t="s">
        <v>8590</v>
      </c>
      <c r="V617" t="s">
        <v>8590</v>
      </c>
      <c r="W617">
        <v>19</v>
      </c>
      <c r="X617" t="s">
        <v>9207</v>
      </c>
      <c r="Y617">
        <v>0.48128658938216667</v>
      </c>
      <c r="Z617" t="str">
        <f>HYPERLINK("Melting_Curves/meltCurve_sp_P09543_2_CN37_HUMAN_.pdf", "Melting_Curves/meltCurve_sp_P09543_2_CN37_HUMAN_.pdf")</f>
        <v>Melting_Curves/meltCurve_sp_P09543_2_CN37_HUMAN_.pdf</v>
      </c>
      <c r="AA617" t="s">
        <v>13490</v>
      </c>
      <c r="AB617" t="s">
        <v>17702</v>
      </c>
    </row>
    <row r="618" spans="1:28" x14ac:dyDescent="0.25">
      <c r="A618" t="s">
        <v>622</v>
      </c>
      <c r="B618">
        <v>0.99876560204751996</v>
      </c>
      <c r="C618">
        <v>0.90907913213568103</v>
      </c>
      <c r="D618">
        <v>0.91258042486145297</v>
      </c>
      <c r="E618">
        <v>0.824203226152599</v>
      </c>
      <c r="F618">
        <v>0.73897688814501705</v>
      </c>
      <c r="G618">
        <v>0.51058395208539198</v>
      </c>
      <c r="H618">
        <v>0.273604963285217</v>
      </c>
      <c r="I618">
        <v>0.19781297686838401</v>
      </c>
      <c r="J618">
        <v>0.19998771509771701</v>
      </c>
      <c r="K618">
        <v>0.149431828483225</v>
      </c>
      <c r="L618">
        <v>699.36132185140298</v>
      </c>
      <c r="M618">
        <v>12.443363576759801</v>
      </c>
      <c r="N618">
        <v>56.789883702446502</v>
      </c>
      <c r="O618">
        <v>54.811190389884104</v>
      </c>
      <c r="P618">
        <v>-5.3345412105564198E-2</v>
      </c>
      <c r="Q618">
        <v>6.0281956388467998E-2</v>
      </c>
      <c r="R618">
        <v>0.98842704343865995</v>
      </c>
      <c r="S618" t="s">
        <v>4914</v>
      </c>
      <c r="T618" t="s">
        <v>8590</v>
      </c>
      <c r="U618" t="s">
        <v>8590</v>
      </c>
      <c r="V618" t="s">
        <v>8590</v>
      </c>
      <c r="W618">
        <v>11</v>
      </c>
      <c r="X618" t="s">
        <v>9208</v>
      </c>
      <c r="Y618">
        <v>0.5861188410809679</v>
      </c>
      <c r="Z618" t="str">
        <f>HYPERLINK("Melting_Curves/meltCurve_sp_P09601_HMOX1_HUMAN_.pdf", "Melting_Curves/meltCurve_sp_P09601_HMOX1_HUMAN_.pdf")</f>
        <v>Melting_Curves/meltCurve_sp_P09601_HMOX1_HUMAN_.pdf</v>
      </c>
      <c r="AA618" t="s">
        <v>13491</v>
      </c>
      <c r="AB618" t="s">
        <v>17703</v>
      </c>
    </row>
    <row r="619" spans="1:28" x14ac:dyDescent="0.25">
      <c r="A619" t="s">
        <v>623</v>
      </c>
      <c r="B619">
        <v>0.99876560204751996</v>
      </c>
      <c r="C619">
        <v>0.980485093648786</v>
      </c>
      <c r="D619">
        <v>0.93596325800852098</v>
      </c>
      <c r="E619">
        <v>0.93997847246867505</v>
      </c>
      <c r="F619">
        <v>0.86463821853822598</v>
      </c>
      <c r="G619">
        <v>0.82569508183420504</v>
      </c>
      <c r="H619">
        <v>0.66021905856455199</v>
      </c>
      <c r="I619">
        <v>0.79044584476731505</v>
      </c>
      <c r="J619">
        <v>0.82475223825044897</v>
      </c>
      <c r="K619">
        <v>0.63465287218460797</v>
      </c>
      <c r="L619">
        <v>586.02673588365803</v>
      </c>
      <c r="M619">
        <v>10.757112193911</v>
      </c>
      <c r="O619">
        <v>52.696658104995102</v>
      </c>
      <c r="P619">
        <v>-1.6032194896289698E-2</v>
      </c>
      <c r="Q619">
        <v>0.68596301871071297</v>
      </c>
      <c r="R619">
        <v>0.78050851519863695</v>
      </c>
      <c r="S619" t="s">
        <v>4915</v>
      </c>
      <c r="T619" t="s">
        <v>8590</v>
      </c>
      <c r="U619" t="s">
        <v>8590</v>
      </c>
      <c r="V619" t="s">
        <v>8590</v>
      </c>
      <c r="W619">
        <v>31</v>
      </c>
      <c r="X619" t="s">
        <v>9209</v>
      </c>
      <c r="Y619">
        <v>0.84598844651627048</v>
      </c>
      <c r="Z619" t="str">
        <f>HYPERLINK("Melting_Curves/meltCurve_sp_P09622_DLDH_HUMAN_.pdf", "Melting_Curves/meltCurve_sp_P09622_DLDH_HUMAN_.pdf")</f>
        <v>Melting_Curves/meltCurve_sp_P09622_DLDH_HUMAN_.pdf</v>
      </c>
      <c r="AA619" t="s">
        <v>13492</v>
      </c>
      <c r="AB619" t="s">
        <v>17704</v>
      </c>
    </row>
    <row r="620" spans="1:28" x14ac:dyDescent="0.25">
      <c r="A620" t="s">
        <v>624</v>
      </c>
      <c r="B620">
        <v>0.99876560204751996</v>
      </c>
      <c r="C620">
        <v>0.87751616543703403</v>
      </c>
      <c r="D620">
        <v>0.93486529659122597</v>
      </c>
      <c r="E620">
        <v>0.83468680390111305</v>
      </c>
      <c r="F620">
        <v>0.81494971833982299</v>
      </c>
      <c r="G620">
        <v>0.579298808027784</v>
      </c>
      <c r="H620">
        <v>0.35658435964554802</v>
      </c>
      <c r="I620">
        <v>0.25573146042273698</v>
      </c>
      <c r="J620">
        <v>0.252470202361536</v>
      </c>
      <c r="K620">
        <v>0.24634717682054999</v>
      </c>
      <c r="L620">
        <v>744.444364244501</v>
      </c>
      <c r="M620">
        <v>13.129471073602099</v>
      </c>
      <c r="N620">
        <v>58.217633278120402</v>
      </c>
      <c r="O620">
        <v>55.4332862572506</v>
      </c>
      <c r="P620">
        <v>-5.0641660338648503E-2</v>
      </c>
      <c r="Q620">
        <v>0.144898718064667</v>
      </c>
      <c r="R620">
        <v>0.973837217574267</v>
      </c>
      <c r="S620" t="s">
        <v>4916</v>
      </c>
      <c r="T620" t="s">
        <v>8590</v>
      </c>
      <c r="U620" t="s">
        <v>8590</v>
      </c>
      <c r="V620" t="s">
        <v>8590</v>
      </c>
      <c r="W620">
        <v>16</v>
      </c>
      <c r="X620" t="s">
        <v>9210</v>
      </c>
      <c r="Y620">
        <v>0.63595124705349693</v>
      </c>
      <c r="Z620" t="str">
        <f>HYPERLINK("Melting_Curves/meltCurve_sp_P09651_3_ROA1_HUMAN_.pdf", "Melting_Curves/meltCurve_sp_P09651_3_ROA1_HUMAN_.pdf")</f>
        <v>Melting_Curves/meltCurve_sp_P09651_3_ROA1_HUMAN_.pdf</v>
      </c>
      <c r="AA620" t="s">
        <v>13493</v>
      </c>
      <c r="AB620" t="s">
        <v>17705</v>
      </c>
    </row>
    <row r="621" spans="1:28" x14ac:dyDescent="0.25">
      <c r="A621" t="s">
        <v>625</v>
      </c>
      <c r="B621">
        <v>0.99876560204751996</v>
      </c>
      <c r="C621">
        <v>1.0745952235068299</v>
      </c>
      <c r="D621">
        <v>1.0239349190626501</v>
      </c>
      <c r="E621">
        <v>1.0142912132128701</v>
      </c>
      <c r="F621">
        <v>0.95191394177561495</v>
      </c>
      <c r="G621">
        <v>0.63688325681862101</v>
      </c>
      <c r="H621">
        <v>0.23078941793434901</v>
      </c>
      <c r="I621">
        <v>0.146249228694455</v>
      </c>
      <c r="J621">
        <v>0.14964679532161401</v>
      </c>
      <c r="K621">
        <v>0.13985619511360001</v>
      </c>
      <c r="L621">
        <v>2093.9521022512699</v>
      </c>
      <c r="M621">
        <v>36.426416195392697</v>
      </c>
      <c r="N621">
        <v>57.992356597383598</v>
      </c>
      <c r="O621">
        <v>57.312015780528803</v>
      </c>
      <c r="P621">
        <v>-0.13719427876646401</v>
      </c>
      <c r="Q621">
        <v>0.13657642051645799</v>
      </c>
      <c r="R621">
        <v>0.99578017749526504</v>
      </c>
      <c r="S621" t="s">
        <v>4917</v>
      </c>
      <c r="T621" t="s">
        <v>8590</v>
      </c>
      <c r="U621" t="s">
        <v>8590</v>
      </c>
      <c r="V621" t="s">
        <v>8590</v>
      </c>
      <c r="W621">
        <v>12</v>
      </c>
      <c r="X621" t="s">
        <v>9211</v>
      </c>
      <c r="Y621">
        <v>0.64383076488451019</v>
      </c>
      <c r="Z621" t="str">
        <f>HYPERLINK("Melting_Curves/meltCurve_sp_P09661_RU2A_HUMAN_.pdf", "Melting_Curves/meltCurve_sp_P09661_RU2A_HUMAN_.pdf")</f>
        <v>Melting_Curves/meltCurve_sp_P09661_RU2A_HUMAN_.pdf</v>
      </c>
      <c r="AA621" t="s">
        <v>13494</v>
      </c>
      <c r="AB621" t="s">
        <v>17706</v>
      </c>
    </row>
    <row r="622" spans="1:28" x14ac:dyDescent="0.25">
      <c r="A622" t="s">
        <v>626</v>
      </c>
      <c r="B622">
        <v>0.99876560204751996</v>
      </c>
      <c r="C622">
        <v>0.93142433816118897</v>
      </c>
      <c r="D622">
        <v>0.97964580165006099</v>
      </c>
      <c r="E622">
        <v>0.89339892199348903</v>
      </c>
      <c r="F622">
        <v>0.82686462244464298</v>
      </c>
      <c r="G622">
        <v>0.70454931439661606</v>
      </c>
      <c r="H622">
        <v>0.52696577398581901</v>
      </c>
      <c r="I622">
        <v>0.43417958981856197</v>
      </c>
      <c r="J622">
        <v>0.42096825916588199</v>
      </c>
      <c r="K622">
        <v>0.25809115807288102</v>
      </c>
      <c r="L622">
        <v>530.77828236355401</v>
      </c>
      <c r="M622">
        <v>8.4891456429634999</v>
      </c>
      <c r="N622">
        <v>62.524341702839898</v>
      </c>
      <c r="O622">
        <v>59.344240230839503</v>
      </c>
      <c r="P622">
        <v>-3.5794672463950003E-2</v>
      </c>
      <c r="Q622">
        <v>0</v>
      </c>
      <c r="R622">
        <v>0.98694594077557796</v>
      </c>
      <c r="S622" t="s">
        <v>4918</v>
      </c>
      <c r="T622" t="s">
        <v>8590</v>
      </c>
      <c r="U622" t="s">
        <v>8590</v>
      </c>
      <c r="V622" t="s">
        <v>8590</v>
      </c>
      <c r="W622">
        <v>6</v>
      </c>
      <c r="X622" t="s">
        <v>9212</v>
      </c>
      <c r="Y622">
        <v>0.71261473021939736</v>
      </c>
      <c r="Z622" t="str">
        <f>HYPERLINK("Melting_Curves/meltCurve_sp_P09668_CATH_HUMAN_.pdf", "Melting_Curves/meltCurve_sp_P09668_CATH_HUMAN_.pdf")</f>
        <v>Melting_Curves/meltCurve_sp_P09668_CATH_HUMAN_.pdf</v>
      </c>
      <c r="AA622" t="s">
        <v>13495</v>
      </c>
      <c r="AB622" t="s">
        <v>17707</v>
      </c>
    </row>
    <row r="623" spans="1:28" x14ac:dyDescent="0.25">
      <c r="A623" t="s">
        <v>627</v>
      </c>
      <c r="B623">
        <v>0.99876560204751996</v>
      </c>
      <c r="C623">
        <v>0.97333721264803297</v>
      </c>
      <c r="D623">
        <v>0.92862892057202395</v>
      </c>
      <c r="E623">
        <v>0.67660801179190799</v>
      </c>
      <c r="F623">
        <v>0.39671448768759698</v>
      </c>
      <c r="G623">
        <v>0.199423824618332</v>
      </c>
      <c r="H623">
        <v>0.122802755716884</v>
      </c>
      <c r="I623">
        <v>9.5139197428614999E-2</v>
      </c>
      <c r="J623">
        <v>8.9315493165808293E-2</v>
      </c>
      <c r="K623">
        <v>7.0861960382600897E-2</v>
      </c>
      <c r="L623">
        <v>1040.9051416929899</v>
      </c>
      <c r="M623">
        <v>20.226700351297399</v>
      </c>
      <c r="N623">
        <v>51.8980406942065</v>
      </c>
      <c r="O623">
        <v>50.966833466511098</v>
      </c>
      <c r="P623">
        <v>-9.1464011689773306E-2</v>
      </c>
      <c r="Q623">
        <v>7.8151953100819294E-2</v>
      </c>
      <c r="R623">
        <v>0.99961826500461004</v>
      </c>
      <c r="S623" t="s">
        <v>4919</v>
      </c>
      <c r="T623" t="s">
        <v>8590</v>
      </c>
      <c r="U623" t="s">
        <v>8590</v>
      </c>
      <c r="V623" t="s">
        <v>8590</v>
      </c>
      <c r="W623">
        <v>9</v>
      </c>
      <c r="X623" t="s">
        <v>9213</v>
      </c>
      <c r="Y623">
        <v>0.4428762917878778</v>
      </c>
      <c r="Z623" t="str">
        <f>HYPERLINK("Melting_Curves/meltCurve_sp_P09871_C1S_HUMAN_.pdf", "Melting_Curves/meltCurve_sp_P09871_C1S_HUMAN_.pdf")</f>
        <v>Melting_Curves/meltCurve_sp_P09871_C1S_HUMAN_.pdf</v>
      </c>
      <c r="AA623" t="s">
        <v>13496</v>
      </c>
      <c r="AB623" t="s">
        <v>17708</v>
      </c>
    </row>
    <row r="624" spans="1:28" x14ac:dyDescent="0.25">
      <c r="A624" t="s">
        <v>628</v>
      </c>
      <c r="B624">
        <v>0.99876560204751996</v>
      </c>
      <c r="C624">
        <v>0.92601500123611402</v>
      </c>
      <c r="D624">
        <v>0.99151438559407501</v>
      </c>
      <c r="E624">
        <v>0.77066525262503605</v>
      </c>
      <c r="F624">
        <v>0.29670627311685899</v>
      </c>
      <c r="G624">
        <v>0.194135534614299</v>
      </c>
      <c r="H624">
        <v>0.156745095284166</v>
      </c>
      <c r="I624">
        <v>0.14259023622369901</v>
      </c>
      <c r="J624">
        <v>0.15205598249086799</v>
      </c>
      <c r="K624">
        <v>0.15850093719531699</v>
      </c>
      <c r="L624">
        <v>2256.9078107503401</v>
      </c>
      <c r="M624">
        <v>44.168368810289898</v>
      </c>
      <c r="N624">
        <v>51.541737063592102</v>
      </c>
      <c r="O624">
        <v>50.993416202586801</v>
      </c>
      <c r="P624">
        <v>-0.18228153324268001</v>
      </c>
      <c r="Q624">
        <v>0.15820797774376599</v>
      </c>
      <c r="R624">
        <v>0.99520401825739502</v>
      </c>
      <c r="S624" t="s">
        <v>4920</v>
      </c>
      <c r="T624" t="s">
        <v>8590</v>
      </c>
      <c r="U624" t="s">
        <v>8590</v>
      </c>
      <c r="V624" t="s">
        <v>8590</v>
      </c>
      <c r="W624">
        <v>9</v>
      </c>
      <c r="X624" t="s">
        <v>9214</v>
      </c>
      <c r="Y624">
        <v>0.47204513109050927</v>
      </c>
      <c r="Z624" t="str">
        <f>HYPERLINK("Melting_Curves/meltCurve_sp_P09874_PARP1_HUMAN_.pdf", "Melting_Curves/meltCurve_sp_P09874_PARP1_HUMAN_.pdf")</f>
        <v>Melting_Curves/meltCurve_sp_P09874_PARP1_HUMAN_.pdf</v>
      </c>
      <c r="AA624" t="s">
        <v>13497</v>
      </c>
      <c r="AB624" t="s">
        <v>17709</v>
      </c>
    </row>
    <row r="625" spans="1:28" x14ac:dyDescent="0.25">
      <c r="A625" t="s">
        <v>629</v>
      </c>
      <c r="B625">
        <v>0.99876560204751996</v>
      </c>
      <c r="C625">
        <v>0.96661488334121404</v>
      </c>
      <c r="D625">
        <v>0.81655439955151499</v>
      </c>
      <c r="E625">
        <v>0.507221915782605</v>
      </c>
      <c r="F625">
        <v>0.280506186055625</v>
      </c>
      <c r="G625">
        <v>0.19778437080435199</v>
      </c>
      <c r="H625">
        <v>0.12694240630709699</v>
      </c>
      <c r="I625">
        <v>6.9949133044044695E-2</v>
      </c>
      <c r="J625">
        <v>6.9754638768211794E-2</v>
      </c>
      <c r="K625">
        <v>3.6671828296016201E-2</v>
      </c>
      <c r="L625">
        <v>856.01898889361996</v>
      </c>
      <c r="M625">
        <v>17.199177278825001</v>
      </c>
      <c r="N625">
        <v>50.152186705809399</v>
      </c>
      <c r="O625">
        <v>49.112719512652497</v>
      </c>
      <c r="P625">
        <v>-8.2189256668937505E-2</v>
      </c>
      <c r="Q625">
        <v>6.1281084390200503E-2</v>
      </c>
      <c r="R625">
        <v>0.99637170757384697</v>
      </c>
      <c r="S625" t="s">
        <v>4921</v>
      </c>
      <c r="T625" t="s">
        <v>8590</v>
      </c>
      <c r="U625" t="s">
        <v>8590</v>
      </c>
      <c r="V625" t="s">
        <v>8590</v>
      </c>
      <c r="W625">
        <v>4</v>
      </c>
      <c r="X625" t="s">
        <v>9215</v>
      </c>
      <c r="Y625">
        <v>0.38453411579468427</v>
      </c>
      <c r="Z625" t="str">
        <f>HYPERLINK("Melting_Curves/meltCurve_sp_P09913_IFIT2_HUMAN_.pdf", "Melting_Curves/meltCurve_sp_P09913_IFIT2_HUMAN_.pdf")</f>
        <v>Melting_Curves/meltCurve_sp_P09913_IFIT2_HUMAN_.pdf</v>
      </c>
      <c r="AA625" t="s">
        <v>13498</v>
      </c>
      <c r="AB625" t="s">
        <v>17710</v>
      </c>
    </row>
    <row r="626" spans="1:28" x14ac:dyDescent="0.25">
      <c r="A626" t="s">
        <v>630</v>
      </c>
      <c r="B626">
        <v>0.99876560204751996</v>
      </c>
      <c r="C626">
        <v>0.95230382819066495</v>
      </c>
      <c r="D626">
        <v>0.99219536187130497</v>
      </c>
      <c r="E626">
        <v>0.98245572334748199</v>
      </c>
      <c r="F626">
        <v>0.941411902374648</v>
      </c>
      <c r="G626">
        <v>0.47073670468018097</v>
      </c>
      <c r="H626">
        <v>0.10071801634012401</v>
      </c>
      <c r="I626">
        <v>6.6668173893848395E-2</v>
      </c>
      <c r="J626">
        <v>5.5090940937683297E-2</v>
      </c>
      <c r="K626">
        <v>4.9091198392478302E-2</v>
      </c>
      <c r="L626">
        <v>2235.7800070450699</v>
      </c>
      <c r="M626">
        <v>39.461575830315802</v>
      </c>
      <c r="N626">
        <v>56.813300237448701</v>
      </c>
      <c r="O626">
        <v>56.512225082696197</v>
      </c>
      <c r="P626">
        <v>-0.165598324112671</v>
      </c>
      <c r="Q626">
        <v>5.1400344862106803E-2</v>
      </c>
      <c r="R626">
        <v>0.99860884616202505</v>
      </c>
      <c r="S626" t="s">
        <v>4922</v>
      </c>
      <c r="T626" t="s">
        <v>8590</v>
      </c>
      <c r="U626" t="s">
        <v>8590</v>
      </c>
      <c r="V626" t="s">
        <v>8590</v>
      </c>
      <c r="W626">
        <v>31</v>
      </c>
      <c r="X626" t="s">
        <v>9216</v>
      </c>
      <c r="Y626">
        <v>0.58187792490615686</v>
      </c>
      <c r="Z626" t="str">
        <f>HYPERLINK("Melting_Curves/meltCurve_sp_P09960_LKHA4_HUMAN_.pdf", "Melting_Curves/meltCurve_sp_P09960_LKHA4_HUMAN_.pdf")</f>
        <v>Melting_Curves/meltCurve_sp_P09960_LKHA4_HUMAN_.pdf</v>
      </c>
      <c r="AA626" t="s">
        <v>13499</v>
      </c>
      <c r="AB626" t="s">
        <v>17711</v>
      </c>
    </row>
    <row r="627" spans="1:28" x14ac:dyDescent="0.25">
      <c r="A627" t="s">
        <v>631</v>
      </c>
      <c r="B627">
        <v>0.99876560204751996</v>
      </c>
      <c r="C627">
        <v>1.0774946988059799</v>
      </c>
      <c r="D627">
        <v>0.95425778681218498</v>
      </c>
      <c r="E627">
        <v>1.0414546430003999</v>
      </c>
      <c r="F627">
        <v>0.45087217135655</v>
      </c>
      <c r="G627">
        <v>0.13537374038550301</v>
      </c>
      <c r="H627">
        <v>6.9525428872797404E-2</v>
      </c>
      <c r="I627">
        <v>5.7106936129105598E-2</v>
      </c>
      <c r="J627">
        <v>5.4473603900370697E-2</v>
      </c>
      <c r="K627">
        <v>4.5101889089670603E-2</v>
      </c>
      <c r="L627">
        <v>13230.285737386899</v>
      </c>
      <c r="M627">
        <v>250</v>
      </c>
      <c r="N627">
        <v>52.954233902271199</v>
      </c>
      <c r="O627">
        <v>52.917777884071398</v>
      </c>
      <c r="P627">
        <v>-1.0956668334437101</v>
      </c>
      <c r="Q627">
        <v>7.2316310206524903E-2</v>
      </c>
      <c r="R627">
        <v>0.99246412711958898</v>
      </c>
      <c r="S627" t="s">
        <v>4923</v>
      </c>
      <c r="T627" t="s">
        <v>8590</v>
      </c>
      <c r="U627" t="s">
        <v>8590</v>
      </c>
      <c r="V627" t="s">
        <v>8590</v>
      </c>
      <c r="W627">
        <v>28</v>
      </c>
      <c r="X627" t="s">
        <v>9217</v>
      </c>
      <c r="Y627">
        <v>0.47196025514773099</v>
      </c>
      <c r="Z627" t="str">
        <f>HYPERLINK("Melting_Curves/meltCurve_sp_P09972_ALDOC_HUMAN_.pdf", "Melting_Curves/meltCurve_sp_P09972_ALDOC_HUMAN_.pdf")</f>
        <v>Melting_Curves/meltCurve_sp_P09972_ALDOC_HUMAN_.pdf</v>
      </c>
      <c r="AA627" t="s">
        <v>13500</v>
      </c>
      <c r="AB627" t="s">
        <v>17712</v>
      </c>
    </row>
    <row r="628" spans="1:28" x14ac:dyDescent="0.25">
      <c r="A628" t="s">
        <v>632</v>
      </c>
      <c r="B628">
        <v>0.99876560204751996</v>
      </c>
      <c r="C628">
        <v>1.0250601663018599</v>
      </c>
      <c r="D628">
        <v>0.86943202229366801</v>
      </c>
      <c r="E628">
        <v>0.81042412845803902</v>
      </c>
      <c r="F628">
        <v>0.57106488910800102</v>
      </c>
      <c r="G628">
        <v>0.52494657011872603</v>
      </c>
      <c r="H628">
        <v>0.227454427850693</v>
      </c>
      <c r="I628">
        <v>8.00757204972707E-2</v>
      </c>
      <c r="J628">
        <v>3.5196487652238997E-2</v>
      </c>
      <c r="K628">
        <v>2.2382532770354301E-2</v>
      </c>
      <c r="L628">
        <v>738.88204448388001</v>
      </c>
      <c r="M628">
        <v>13.367570671294301</v>
      </c>
      <c r="N628">
        <v>55.274208759703299</v>
      </c>
      <c r="O628">
        <v>54.081191301586003</v>
      </c>
      <c r="P628">
        <v>-6.1803800805981697E-2</v>
      </c>
      <c r="Q628">
        <v>0</v>
      </c>
      <c r="R628">
        <v>0.97633809867160803</v>
      </c>
      <c r="S628" t="s">
        <v>4924</v>
      </c>
      <c r="T628" t="s">
        <v>8590</v>
      </c>
      <c r="U628" t="s">
        <v>8590</v>
      </c>
      <c r="V628" t="s">
        <v>8590</v>
      </c>
      <c r="W628">
        <v>58</v>
      </c>
      <c r="X628" t="s">
        <v>9218</v>
      </c>
      <c r="Y628">
        <v>0.53011948473338155</v>
      </c>
      <c r="Z628" t="str">
        <f>HYPERLINK("Melting_Curves/meltCurve_sp_P0C0L4_CO4A_HUMAN_.pdf", "Melting_Curves/meltCurve_sp_P0C0L4_CO4A_HUMAN_.pdf")</f>
        <v>Melting_Curves/meltCurve_sp_P0C0L4_CO4A_HUMAN_.pdf</v>
      </c>
      <c r="AA628" t="s">
        <v>13501</v>
      </c>
      <c r="AB628" t="s">
        <v>17713</v>
      </c>
    </row>
    <row r="629" spans="1:28" x14ac:dyDescent="0.25">
      <c r="A629" t="s">
        <v>633</v>
      </c>
      <c r="B629">
        <v>0.99876560204751996</v>
      </c>
      <c r="C629">
        <v>1.0382665567223599</v>
      </c>
      <c r="D629">
        <v>0.93853669928345396</v>
      </c>
      <c r="E629">
        <v>0.97488555022169099</v>
      </c>
      <c r="F629">
        <v>0.83279415821388103</v>
      </c>
      <c r="G629">
        <v>0.69410893747999103</v>
      </c>
      <c r="H629">
        <v>0.360468336773973</v>
      </c>
      <c r="I629">
        <v>0.153827954214348</v>
      </c>
      <c r="J629">
        <v>0.146246553828043</v>
      </c>
      <c r="K629">
        <v>0.117624534534211</v>
      </c>
      <c r="L629">
        <v>1125.03651312088</v>
      </c>
      <c r="M629">
        <v>19.211967257081501</v>
      </c>
      <c r="N629">
        <v>58.924140520164201</v>
      </c>
      <c r="O629">
        <v>57.9357421346877</v>
      </c>
      <c r="P629">
        <v>-7.8254511108783398E-2</v>
      </c>
      <c r="Q629">
        <v>5.6096247021198503E-2</v>
      </c>
      <c r="R629">
        <v>0.98979179011746599</v>
      </c>
      <c r="S629" t="s">
        <v>4925</v>
      </c>
      <c r="T629" t="s">
        <v>8590</v>
      </c>
      <c r="U629" t="s">
        <v>8590</v>
      </c>
      <c r="V629" t="s">
        <v>8590</v>
      </c>
      <c r="W629">
        <v>59</v>
      </c>
      <c r="X629" t="s">
        <v>9219</v>
      </c>
      <c r="Y629">
        <v>0.6504108621490563</v>
      </c>
      <c r="Z629" t="str">
        <f>HYPERLINK("Melting_Curves/meltCurve_sp_P0C0L5_CO4B_HUMAN_.pdf", "Melting_Curves/meltCurve_sp_P0C0L5_CO4B_HUMAN_.pdf")</f>
        <v>Melting_Curves/meltCurve_sp_P0C0L5_CO4B_HUMAN_.pdf</v>
      </c>
      <c r="AA629" t="s">
        <v>13502</v>
      </c>
      <c r="AB629" t="s">
        <v>17714</v>
      </c>
    </row>
    <row r="630" spans="1:28" x14ac:dyDescent="0.25">
      <c r="A630" t="s">
        <v>634</v>
      </c>
      <c r="B630">
        <v>0.99876560204751996</v>
      </c>
      <c r="C630">
        <v>0.75237233132409098</v>
      </c>
      <c r="D630">
        <v>0.51302476009168496</v>
      </c>
      <c r="E630">
        <v>0.26142083080864298</v>
      </c>
      <c r="F630">
        <v>0.12230845184829101</v>
      </c>
      <c r="G630">
        <v>7.1718537301363405E-2</v>
      </c>
      <c r="H630">
        <v>4.4038135085655898E-2</v>
      </c>
      <c r="I630">
        <v>4.5522398493041197E-2</v>
      </c>
      <c r="J630">
        <v>5.3492751670557198E-2</v>
      </c>
      <c r="K630">
        <v>5.0888812999856599E-2</v>
      </c>
      <c r="L630">
        <v>797.37341650700296</v>
      </c>
      <c r="M630">
        <v>17.339335733283999</v>
      </c>
      <c r="N630">
        <v>46.225681270901099</v>
      </c>
      <c r="O630">
        <v>45.387796686751798</v>
      </c>
      <c r="P630">
        <v>-9.1412247961001794E-2</v>
      </c>
      <c r="Q630">
        <v>4.29245224004434E-2</v>
      </c>
      <c r="R630">
        <v>0.99389271056143003</v>
      </c>
      <c r="S630" t="s">
        <v>4926</v>
      </c>
      <c r="T630" t="s">
        <v>8590</v>
      </c>
      <c r="U630" t="s">
        <v>8590</v>
      </c>
      <c r="V630" t="s">
        <v>8590</v>
      </c>
      <c r="W630">
        <v>7</v>
      </c>
      <c r="X630" t="s">
        <v>9220</v>
      </c>
      <c r="Y630">
        <v>0.25435167949892601</v>
      </c>
      <c r="Z630" t="str">
        <f>HYPERLINK("Melting_Curves/meltCurve_sp_P0C7P0_CISD3_HUMAN_.pdf", "Melting_Curves/meltCurve_sp_P0C7P0_CISD3_HUMAN_.pdf")</f>
        <v>Melting_Curves/meltCurve_sp_P0C7P0_CISD3_HUMAN_.pdf</v>
      </c>
      <c r="AA630" t="s">
        <v>13503</v>
      </c>
      <c r="AB630" t="s">
        <v>17715</v>
      </c>
    </row>
    <row r="631" spans="1:28" x14ac:dyDescent="0.25">
      <c r="A631" t="s">
        <v>635</v>
      </c>
      <c r="B631">
        <v>0.99876560204751996</v>
      </c>
      <c r="C631">
        <v>0.97861820324187798</v>
      </c>
      <c r="D631">
        <v>0</v>
      </c>
      <c r="E631">
        <v>1.1309324249357</v>
      </c>
      <c r="F631">
        <v>1.76855971788628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13896.914472832401</v>
      </c>
      <c r="M631">
        <v>250</v>
      </c>
      <c r="N631">
        <v>55.587655431814902</v>
      </c>
      <c r="O631">
        <v>55.5840978813549</v>
      </c>
      <c r="P631">
        <v>-1.1244222599632201</v>
      </c>
      <c r="Q631">
        <v>0</v>
      </c>
      <c r="R631">
        <v>0.59627490424959995</v>
      </c>
      <c r="S631" t="s">
        <v>4927</v>
      </c>
      <c r="T631" t="s">
        <v>8590</v>
      </c>
      <c r="U631" t="s">
        <v>8590</v>
      </c>
      <c r="V631" t="s">
        <v>8590</v>
      </c>
      <c r="W631">
        <v>2</v>
      </c>
      <c r="X631" t="s">
        <v>9221</v>
      </c>
      <c r="Y631">
        <v>0.51968615185211842</v>
      </c>
      <c r="Z631" t="str">
        <f>HYPERLINK("Melting_Curves/meltCurve_sp_P0C7U0_ELFN1_HUMAN_.pdf", "Melting_Curves/meltCurve_sp_P0C7U0_ELFN1_HUMAN_.pdf")</f>
        <v>Melting_Curves/meltCurve_sp_P0C7U0_ELFN1_HUMAN_.pdf</v>
      </c>
      <c r="AA631" t="s">
        <v>13504</v>
      </c>
      <c r="AB631" t="s">
        <v>17716</v>
      </c>
    </row>
    <row r="632" spans="1:28" x14ac:dyDescent="0.25">
      <c r="A632" t="s">
        <v>636</v>
      </c>
      <c r="B632">
        <v>0.99876560204751996</v>
      </c>
      <c r="C632">
        <v>1.12145053154535</v>
      </c>
      <c r="D632">
        <v>0.99809512020396196</v>
      </c>
      <c r="E632">
        <v>1.1100390603767301</v>
      </c>
      <c r="F632">
        <v>1.06701712275178</v>
      </c>
      <c r="G632">
        <v>0.84627399533622605</v>
      </c>
      <c r="H632">
        <v>0.65194726698789995</v>
      </c>
      <c r="I632">
        <v>0.64341121135523405</v>
      </c>
      <c r="J632">
        <v>0.81999033023559498</v>
      </c>
      <c r="K632">
        <v>0.61830921565919195</v>
      </c>
      <c r="L632">
        <v>14253.289806521399</v>
      </c>
      <c r="M632">
        <v>250</v>
      </c>
      <c r="O632">
        <v>57.009518380205002</v>
      </c>
      <c r="P632">
        <v>-0.34707531100654498</v>
      </c>
      <c r="Q632">
        <v>0.68341450143385396</v>
      </c>
      <c r="R632">
        <v>0.83984030767561901</v>
      </c>
      <c r="S632" t="s">
        <v>4928</v>
      </c>
      <c r="T632" t="s">
        <v>8590</v>
      </c>
      <c r="U632" t="s">
        <v>8590</v>
      </c>
      <c r="V632" t="s">
        <v>8590</v>
      </c>
      <c r="W632">
        <v>2</v>
      </c>
      <c r="X632" t="s">
        <v>9222</v>
      </c>
      <c r="Y632">
        <v>0.86298349462050661</v>
      </c>
      <c r="Z632" t="str">
        <f>HYPERLINK("Melting_Curves/meltCurve_sp_P0CAP1_11_MYZAP_HUMAN_.pdf", "Melting_Curves/meltCurve_sp_P0CAP1_11_MYZAP_HUMAN_.pdf")</f>
        <v>Melting_Curves/meltCurve_sp_P0CAP1_11_MYZAP_HUMAN_.pdf</v>
      </c>
      <c r="AA632" t="s">
        <v>13505</v>
      </c>
      <c r="AB632" t="s">
        <v>17717</v>
      </c>
    </row>
    <row r="633" spans="1:28" x14ac:dyDescent="0.25">
      <c r="A633" t="s">
        <v>637</v>
      </c>
      <c r="B633">
        <v>0.99876560204751996</v>
      </c>
      <c r="C633">
        <v>0.90221488356933699</v>
      </c>
      <c r="D633">
        <v>0.84239809270045796</v>
      </c>
      <c r="E633">
        <v>0.91969746746484304</v>
      </c>
      <c r="F633">
        <v>0.86742334925750197</v>
      </c>
      <c r="G633">
        <v>0.84978690189125905</v>
      </c>
      <c r="H633">
        <v>0.62988342886533</v>
      </c>
      <c r="I633">
        <v>0.56600458157981004</v>
      </c>
      <c r="J633">
        <v>0.56409245694382204</v>
      </c>
      <c r="K633">
        <v>0.53173306113247598</v>
      </c>
      <c r="L633">
        <v>345.16894928050198</v>
      </c>
      <c r="M633">
        <v>4.9004355090563703</v>
      </c>
      <c r="O633">
        <v>61.182631632331997</v>
      </c>
      <c r="P633">
        <v>-2.0155232456127901E-2</v>
      </c>
      <c r="Q633">
        <v>0</v>
      </c>
      <c r="R633">
        <v>0.89642002918572306</v>
      </c>
      <c r="S633" t="s">
        <v>4929</v>
      </c>
      <c r="T633" t="s">
        <v>8590</v>
      </c>
      <c r="U633" t="s">
        <v>8590</v>
      </c>
      <c r="V633" t="s">
        <v>8590</v>
      </c>
      <c r="W633">
        <v>5</v>
      </c>
      <c r="X633" t="s">
        <v>9223</v>
      </c>
      <c r="Y633">
        <v>0.77831407096090255</v>
      </c>
      <c r="Z633" t="str">
        <f>HYPERLINK("Melting_Curves/meltCurve_sp_P0CG05_LAC2_HUMAN_.pdf", "Melting_Curves/meltCurve_sp_P0CG05_LAC2_HUMAN_.pdf")</f>
        <v>Melting_Curves/meltCurve_sp_P0CG05_LAC2_HUMAN_.pdf</v>
      </c>
      <c r="AA633" t="s">
        <v>13506</v>
      </c>
      <c r="AB633" t="s">
        <v>17718</v>
      </c>
    </row>
    <row r="634" spans="1:28" x14ac:dyDescent="0.25">
      <c r="A634" t="s">
        <v>638</v>
      </c>
      <c r="B634">
        <v>0.99876560204751996</v>
      </c>
      <c r="C634">
        <v>0.96758888025184497</v>
      </c>
      <c r="D634">
        <v>1.0462373858530101</v>
      </c>
      <c r="E634">
        <v>0.75038119361981104</v>
      </c>
      <c r="F634">
        <v>0.54766244237316297</v>
      </c>
      <c r="G634">
        <v>0.38155877928071502</v>
      </c>
      <c r="H634">
        <v>0.20809871370043001</v>
      </c>
      <c r="I634">
        <v>8.9493997823084995E-2</v>
      </c>
      <c r="J634">
        <v>0</v>
      </c>
      <c r="K634">
        <v>0.243311607739436</v>
      </c>
      <c r="L634">
        <v>936.66311535662896</v>
      </c>
      <c r="M634">
        <v>17.555575692511098</v>
      </c>
      <c r="N634">
        <v>54.0377681095542</v>
      </c>
      <c r="O634">
        <v>52.676315315182897</v>
      </c>
      <c r="P634">
        <v>-7.5025707976850098E-2</v>
      </c>
      <c r="Q634">
        <v>9.9576605407810506E-2</v>
      </c>
      <c r="R634">
        <v>0.96331375563252597</v>
      </c>
      <c r="S634" t="s">
        <v>4930</v>
      </c>
      <c r="T634" t="s">
        <v>8590</v>
      </c>
      <c r="U634" t="s">
        <v>8590</v>
      </c>
      <c r="V634" t="s">
        <v>8590</v>
      </c>
      <c r="W634">
        <v>2</v>
      </c>
      <c r="X634" t="s">
        <v>9224</v>
      </c>
      <c r="Y634">
        <v>0.51560474595451833</v>
      </c>
      <c r="Z634" t="str">
        <f>HYPERLINK("Melting_Curves/meltCurve_sp_P0DI82_TPC2B_HUMAN_.pdf", "Melting_Curves/meltCurve_sp_P0DI82_TPC2B_HUMAN_.pdf")</f>
        <v>Melting_Curves/meltCurve_sp_P0DI82_TPC2B_HUMAN_.pdf</v>
      </c>
      <c r="AA634" t="s">
        <v>13507</v>
      </c>
      <c r="AB634" t="s">
        <v>17719</v>
      </c>
    </row>
    <row r="635" spans="1:28" x14ac:dyDescent="0.25">
      <c r="A635" t="s">
        <v>639</v>
      </c>
      <c r="B635">
        <v>0.99876560204751996</v>
      </c>
      <c r="C635">
        <v>1.0002281489196401</v>
      </c>
      <c r="D635">
        <v>0.77224010329899795</v>
      </c>
      <c r="E635">
        <v>0.70503649027019699</v>
      </c>
      <c r="F635">
        <v>0.46966120986772603</v>
      </c>
      <c r="G635">
        <v>0.30472112592465</v>
      </c>
      <c r="H635">
        <v>0.22622533997548699</v>
      </c>
      <c r="I635">
        <v>0.175569497762709</v>
      </c>
      <c r="J635">
        <v>0.20067832115777801</v>
      </c>
      <c r="K635">
        <v>0.17767679590344601</v>
      </c>
      <c r="L635">
        <v>717.23312202782199</v>
      </c>
      <c r="M635">
        <v>13.988211132122</v>
      </c>
      <c r="N635">
        <v>52.602383127200703</v>
      </c>
      <c r="O635">
        <v>50.260286519033997</v>
      </c>
      <c r="P635">
        <v>-5.9234339568230897E-2</v>
      </c>
      <c r="Q635">
        <v>0.148785860595675</v>
      </c>
      <c r="R635">
        <v>0.98577410786008801</v>
      </c>
      <c r="S635" t="s">
        <v>4931</v>
      </c>
      <c r="T635" t="s">
        <v>8590</v>
      </c>
      <c r="U635" t="s">
        <v>8590</v>
      </c>
      <c r="V635" t="s">
        <v>8590</v>
      </c>
      <c r="W635">
        <v>3</v>
      </c>
      <c r="X635" t="s">
        <v>9225</v>
      </c>
      <c r="Y635">
        <v>0.49045556963803971</v>
      </c>
      <c r="Z635" t="str">
        <f>HYPERLINK("Melting_Curves/meltCurve_sp_P0DJI8_SAA1_HUMAN_.pdf", "Melting_Curves/meltCurve_sp_P0DJI8_SAA1_HUMAN_.pdf")</f>
        <v>Melting_Curves/meltCurve_sp_P0DJI8_SAA1_HUMAN_.pdf</v>
      </c>
      <c r="AA635" t="s">
        <v>13508</v>
      </c>
      <c r="AB635" t="s">
        <v>17720</v>
      </c>
    </row>
    <row r="636" spans="1:28" x14ac:dyDescent="0.25">
      <c r="A636" t="s">
        <v>640</v>
      </c>
      <c r="B636">
        <v>0.99876560204751996</v>
      </c>
      <c r="C636">
        <v>0.97324494499286796</v>
      </c>
      <c r="D636">
        <v>0.90082621481784297</v>
      </c>
      <c r="E636">
        <v>0.93228316644554698</v>
      </c>
      <c r="F636">
        <v>0.91394107891145404</v>
      </c>
      <c r="G636">
        <v>0.70564349298499096</v>
      </c>
      <c r="H636">
        <v>0.643653801036842</v>
      </c>
      <c r="I636">
        <v>0.68300528125960003</v>
      </c>
      <c r="J636">
        <v>0.777617369603263</v>
      </c>
      <c r="K636">
        <v>0.81974314370187595</v>
      </c>
      <c r="L636">
        <v>3521.3081762399402</v>
      </c>
      <c r="M636">
        <v>65.735071183916901</v>
      </c>
      <c r="O636">
        <v>53.518671286537902</v>
      </c>
      <c r="P636">
        <v>-8.4387292162246802E-2</v>
      </c>
      <c r="Q636">
        <v>0.72518205342918396</v>
      </c>
      <c r="R636">
        <v>0.75625596578684195</v>
      </c>
      <c r="S636" t="s">
        <v>4932</v>
      </c>
      <c r="T636" t="s">
        <v>8590</v>
      </c>
      <c r="U636" t="s">
        <v>8590</v>
      </c>
      <c r="V636" t="s">
        <v>8590</v>
      </c>
      <c r="W636">
        <v>10</v>
      </c>
      <c r="X636" t="s">
        <v>9226</v>
      </c>
      <c r="Y636">
        <v>0.84984951377338525</v>
      </c>
      <c r="Z636" t="str">
        <f>HYPERLINK("Melting_Curves/meltCurve_sp_P10109_ADX_HUMAN_.pdf", "Melting_Curves/meltCurve_sp_P10109_ADX_HUMAN_.pdf")</f>
        <v>Melting_Curves/meltCurve_sp_P10109_ADX_HUMAN_.pdf</v>
      </c>
      <c r="AA636" t="s">
        <v>13509</v>
      </c>
      <c r="AB636" t="s">
        <v>17721</v>
      </c>
    </row>
    <row r="637" spans="1:28" x14ac:dyDescent="0.25">
      <c r="A637" t="s">
        <v>641</v>
      </c>
      <c r="B637">
        <v>0.99876560204751996</v>
      </c>
      <c r="C637">
        <v>0.96424898520007696</v>
      </c>
      <c r="D637">
        <v>0.95276532085742704</v>
      </c>
      <c r="E637">
        <v>0.89029380409688996</v>
      </c>
      <c r="F637">
        <v>0.77977351980473097</v>
      </c>
      <c r="G637">
        <v>0.56232731266064395</v>
      </c>
      <c r="H637">
        <v>0.37717634039310799</v>
      </c>
      <c r="I637">
        <v>0.26993369723201099</v>
      </c>
      <c r="J637">
        <v>0.25126427660008699</v>
      </c>
      <c r="K637">
        <v>0.181082423545149</v>
      </c>
      <c r="L637">
        <v>777.45846720037105</v>
      </c>
      <c r="M637">
        <v>13.6361694241791</v>
      </c>
      <c r="N637">
        <v>58.246108342366199</v>
      </c>
      <c r="O637">
        <v>55.830189806251802</v>
      </c>
      <c r="P637">
        <v>-5.3420867848779197E-2</v>
      </c>
      <c r="Q637">
        <v>0.12525002177946001</v>
      </c>
      <c r="R637">
        <v>0.99800549714771902</v>
      </c>
      <c r="S637" t="s">
        <v>4933</v>
      </c>
      <c r="T637" t="s">
        <v>8590</v>
      </c>
      <c r="U637" t="s">
        <v>8590</v>
      </c>
      <c r="V637" t="s">
        <v>8590</v>
      </c>
      <c r="W637">
        <v>4</v>
      </c>
      <c r="X637" t="s">
        <v>9227</v>
      </c>
      <c r="Y637">
        <v>0.63577253438862413</v>
      </c>
      <c r="Z637" t="str">
        <f>HYPERLINK("Melting_Curves/meltCurve_sp_P10153_RNAS2_HUMAN_.pdf", "Melting_Curves/meltCurve_sp_P10153_RNAS2_HUMAN_.pdf")</f>
        <v>Melting_Curves/meltCurve_sp_P10153_RNAS2_HUMAN_.pdf</v>
      </c>
      <c r="AA637" t="s">
        <v>13510</v>
      </c>
      <c r="AB637" t="s">
        <v>17722</v>
      </c>
    </row>
    <row r="638" spans="1:28" x14ac:dyDescent="0.25">
      <c r="A638" t="s">
        <v>642</v>
      </c>
      <c r="B638">
        <v>0.99876560204751996</v>
      </c>
      <c r="C638">
        <v>0.97339609238562197</v>
      </c>
      <c r="D638">
        <v>0.87152363727851101</v>
      </c>
      <c r="E638">
        <v>0.79187616804109795</v>
      </c>
      <c r="F638">
        <v>0.82468905535789505</v>
      </c>
      <c r="G638">
        <v>0.80839376872801105</v>
      </c>
      <c r="H638">
        <v>0.39993079784489799</v>
      </c>
      <c r="I638">
        <v>0.28649902385300902</v>
      </c>
      <c r="J638">
        <v>0.10495997171808601</v>
      </c>
      <c r="K638">
        <v>9.52571990426168E-2</v>
      </c>
      <c r="L638">
        <v>879.03957464120197</v>
      </c>
      <c r="M638">
        <v>14.6972780128089</v>
      </c>
      <c r="N638">
        <v>59.809685643459503</v>
      </c>
      <c r="O638">
        <v>58.735160129284601</v>
      </c>
      <c r="P638">
        <v>-6.2564255042108399E-2</v>
      </c>
      <c r="Q638">
        <v>0</v>
      </c>
      <c r="R638">
        <v>0.94404127116882397</v>
      </c>
      <c r="S638" t="s">
        <v>4934</v>
      </c>
      <c r="T638" t="s">
        <v>8590</v>
      </c>
      <c r="U638" t="s">
        <v>8590</v>
      </c>
      <c r="V638" t="s">
        <v>8590</v>
      </c>
      <c r="W638">
        <v>20</v>
      </c>
      <c r="X638" t="s">
        <v>9228</v>
      </c>
      <c r="Y638">
        <v>0.66769698626560658</v>
      </c>
      <c r="Z638" t="str">
        <f>HYPERLINK("Melting_Curves/meltCurve_sp_P10155_RO60_HUMAN_.pdf", "Melting_Curves/meltCurve_sp_P10155_RO60_HUMAN_.pdf")</f>
        <v>Melting_Curves/meltCurve_sp_P10155_RO60_HUMAN_.pdf</v>
      </c>
      <c r="AA638" t="s">
        <v>13511</v>
      </c>
      <c r="AB638" t="s">
        <v>17723</v>
      </c>
    </row>
    <row r="639" spans="1:28" x14ac:dyDescent="0.25">
      <c r="A639" t="s">
        <v>643</v>
      </c>
      <c r="B639">
        <v>0.99876560204751996</v>
      </c>
      <c r="C639">
        <v>0.99311740570644602</v>
      </c>
      <c r="D639">
        <v>0.91588310962259301</v>
      </c>
      <c r="E639">
        <v>0.90012665468780995</v>
      </c>
      <c r="F639">
        <v>0.74046580119637395</v>
      </c>
      <c r="G639">
        <v>0.50099680954661596</v>
      </c>
      <c r="H639">
        <v>0.25060508093907002</v>
      </c>
      <c r="I639">
        <v>0.146685039261544</v>
      </c>
      <c r="J639">
        <v>0.13415835880638199</v>
      </c>
      <c r="K639">
        <v>0.111042223819156</v>
      </c>
      <c r="L639">
        <v>910.66200969469605</v>
      </c>
      <c r="M639">
        <v>16.1926971552226</v>
      </c>
      <c r="N639">
        <v>56.672279919479102</v>
      </c>
      <c r="O639">
        <v>55.4023025531584</v>
      </c>
      <c r="P639">
        <v>-6.8820222855494606E-2</v>
      </c>
      <c r="Q639">
        <v>5.8214040205112699E-2</v>
      </c>
      <c r="R639">
        <v>0.99581255869832497</v>
      </c>
      <c r="S639" t="s">
        <v>4935</v>
      </c>
      <c r="T639" t="s">
        <v>8590</v>
      </c>
      <c r="U639" t="s">
        <v>8590</v>
      </c>
      <c r="V639" t="s">
        <v>8590</v>
      </c>
      <c r="W639">
        <v>29</v>
      </c>
      <c r="X639" t="s">
        <v>9229</v>
      </c>
      <c r="Y639">
        <v>0.5832710308211374</v>
      </c>
      <c r="Z639" t="str">
        <f>HYPERLINK("Melting_Curves/meltCurve_sp_P10253_LYAG_HUMAN_.pdf", "Melting_Curves/meltCurve_sp_P10253_LYAG_HUMAN_.pdf")</f>
        <v>Melting_Curves/meltCurve_sp_P10253_LYAG_HUMAN_.pdf</v>
      </c>
      <c r="AA639" t="s">
        <v>13512</v>
      </c>
      <c r="AB639" t="s">
        <v>17724</v>
      </c>
    </row>
    <row r="640" spans="1:28" x14ac:dyDescent="0.25">
      <c r="A640" t="s">
        <v>644</v>
      </c>
      <c r="B640">
        <v>0.99876560204751996</v>
      </c>
      <c r="C640">
        <v>0.93559505490115502</v>
      </c>
      <c r="D640">
        <v>0.96774216523978895</v>
      </c>
      <c r="E640">
        <v>0.62508076629724296</v>
      </c>
      <c r="F640">
        <v>0.44389741521005199</v>
      </c>
      <c r="G640">
        <v>0.374049906551083</v>
      </c>
      <c r="H640">
        <v>0.27954767463731001</v>
      </c>
      <c r="I640">
        <v>0.276618015062016</v>
      </c>
      <c r="J640">
        <v>0.27225390103854302</v>
      </c>
      <c r="K640">
        <v>0.25945940368387699</v>
      </c>
      <c r="L640">
        <v>1111.12664221502</v>
      </c>
      <c r="M640">
        <v>22.140154084240798</v>
      </c>
      <c r="N640">
        <v>52.067689295346298</v>
      </c>
      <c r="O640">
        <v>49.781996401377697</v>
      </c>
      <c r="P640">
        <v>-8.0571191413722806E-2</v>
      </c>
      <c r="Q640">
        <v>0.275360509941387</v>
      </c>
      <c r="R640">
        <v>0.98990721947114801</v>
      </c>
      <c r="S640" t="s">
        <v>4936</v>
      </c>
      <c r="T640" t="s">
        <v>8590</v>
      </c>
      <c r="U640" t="s">
        <v>8590</v>
      </c>
      <c r="V640" t="s">
        <v>8590</v>
      </c>
      <c r="W640">
        <v>4</v>
      </c>
      <c r="X640" t="s">
        <v>9230</v>
      </c>
      <c r="Y640">
        <v>0.52966399733707359</v>
      </c>
      <c r="Z640" t="str">
        <f>HYPERLINK("Melting_Curves/meltCurve_sp_P10398_ARAF_HUMAN_.pdf", "Melting_Curves/meltCurve_sp_P10398_ARAF_HUMAN_.pdf")</f>
        <v>Melting_Curves/meltCurve_sp_P10398_ARAF_HUMAN_.pdf</v>
      </c>
      <c r="AA640" t="s">
        <v>13513</v>
      </c>
      <c r="AB640" t="s">
        <v>17725</v>
      </c>
    </row>
    <row r="641" spans="1:28" x14ac:dyDescent="0.25">
      <c r="A641" t="s">
        <v>645</v>
      </c>
      <c r="B641">
        <v>0.99876560204751996</v>
      </c>
      <c r="C641">
        <v>1.0819434448157601</v>
      </c>
      <c r="D641">
        <v>0.99804198449482096</v>
      </c>
      <c r="E641">
        <v>1.0995165051189499</v>
      </c>
      <c r="F641">
        <v>1.0375882205346201</v>
      </c>
      <c r="G641">
        <v>0.79798229600794401</v>
      </c>
      <c r="H641">
        <v>0.58598723918717299</v>
      </c>
      <c r="I641">
        <v>0.456278599212741</v>
      </c>
      <c r="J641">
        <v>0.53475313433143101</v>
      </c>
      <c r="K641">
        <v>0.50451466818156698</v>
      </c>
      <c r="L641">
        <v>2413.9088541323399</v>
      </c>
      <c r="M641">
        <v>41.850429881797403</v>
      </c>
      <c r="O641">
        <v>57.548221163529902</v>
      </c>
      <c r="P641">
        <v>-9.0031485583486101E-2</v>
      </c>
      <c r="Q641">
        <v>0.50479449445796798</v>
      </c>
      <c r="R641">
        <v>0.96050533922994896</v>
      </c>
      <c r="S641" t="s">
        <v>4937</v>
      </c>
      <c r="T641" t="s">
        <v>8590</v>
      </c>
      <c r="U641" t="s">
        <v>8590</v>
      </c>
      <c r="V641" t="s">
        <v>8590</v>
      </c>
      <c r="W641">
        <v>9</v>
      </c>
      <c r="X641" t="s">
        <v>9231</v>
      </c>
      <c r="Y641">
        <v>0.7984063951647612</v>
      </c>
      <c r="Z641" t="str">
        <f>HYPERLINK("Melting_Curves/meltCurve_sp_P10412_H14_HUMAN_.pdf", "Melting_Curves/meltCurve_sp_P10412_H14_HUMAN_.pdf")</f>
        <v>Melting_Curves/meltCurve_sp_P10412_H14_HUMAN_.pdf</v>
      </c>
      <c r="AA641" t="s">
        <v>13514</v>
      </c>
      <c r="AB641" t="s">
        <v>17726</v>
      </c>
    </row>
    <row r="642" spans="1:28" x14ac:dyDescent="0.25">
      <c r="A642" t="s">
        <v>646</v>
      </c>
      <c r="B642">
        <v>0.99876560204751996</v>
      </c>
      <c r="C642">
        <v>0.94329235395789801</v>
      </c>
      <c r="D642">
        <v>0.83268748045438001</v>
      </c>
      <c r="E642">
        <v>0.727405968292823</v>
      </c>
      <c r="F642">
        <v>0.59785602368954904</v>
      </c>
      <c r="G642">
        <v>0.428010486485909</v>
      </c>
      <c r="H642">
        <v>0.29988937759335699</v>
      </c>
      <c r="I642">
        <v>0.25460131165094002</v>
      </c>
      <c r="J642">
        <v>0.228393516989678</v>
      </c>
      <c r="K642">
        <v>0.25103518365734601</v>
      </c>
      <c r="L642">
        <v>594.083303000299</v>
      </c>
      <c r="M642">
        <v>11.2319193956021</v>
      </c>
      <c r="N642">
        <v>54.893371680514498</v>
      </c>
      <c r="O642">
        <v>51.298936310944697</v>
      </c>
      <c r="P642">
        <v>-4.5556781749395599E-2</v>
      </c>
      <c r="Q642">
        <v>0.16798319749294499</v>
      </c>
      <c r="R642">
        <v>0.994885143334584</v>
      </c>
      <c r="S642" t="s">
        <v>4938</v>
      </c>
      <c r="T642" t="s">
        <v>8590</v>
      </c>
      <c r="U642" t="s">
        <v>8590</v>
      </c>
      <c r="V642" t="s">
        <v>8590</v>
      </c>
      <c r="W642">
        <v>7</v>
      </c>
      <c r="X642" t="s">
        <v>9232</v>
      </c>
      <c r="Y642">
        <v>0.55122246479552639</v>
      </c>
      <c r="Z642" t="str">
        <f>HYPERLINK("Melting_Curves/meltCurve_sp_P10515_ODP2_HUMAN_.pdf", "Melting_Curves/meltCurve_sp_P10515_ODP2_HUMAN_.pdf")</f>
        <v>Melting_Curves/meltCurve_sp_P10515_ODP2_HUMAN_.pdf</v>
      </c>
      <c r="AA642" t="s">
        <v>13515</v>
      </c>
      <c r="AB642" t="s">
        <v>17727</v>
      </c>
    </row>
    <row r="643" spans="1:28" x14ac:dyDescent="0.25">
      <c r="A643" t="s">
        <v>647</v>
      </c>
      <c r="B643">
        <v>0.99876560204751996</v>
      </c>
      <c r="C643">
        <v>1.00641483393683</v>
      </c>
      <c r="D643">
        <v>0.99134146903957698</v>
      </c>
      <c r="E643">
        <v>0.72613311457370899</v>
      </c>
      <c r="F643">
        <v>0.39459729902430402</v>
      </c>
      <c r="G643">
        <v>0.32685862095093798</v>
      </c>
      <c r="H643">
        <v>0.198765149255407</v>
      </c>
      <c r="I643">
        <v>0.22888214471283599</v>
      </c>
      <c r="J643">
        <v>0.21073175942851899</v>
      </c>
      <c r="K643">
        <v>0.127097273861528</v>
      </c>
      <c r="L643">
        <v>1350.3286014973701</v>
      </c>
      <c r="M643">
        <v>26.384208567871099</v>
      </c>
      <c r="N643">
        <v>52.186830247201001</v>
      </c>
      <c r="O643">
        <v>50.888128888071897</v>
      </c>
      <c r="P643">
        <v>-0.10375473607378601</v>
      </c>
      <c r="Q643">
        <v>0.19954740756332801</v>
      </c>
      <c r="R643">
        <v>0.98819079701379797</v>
      </c>
      <c r="S643" t="s">
        <v>4939</v>
      </c>
      <c r="T643" t="s">
        <v>8590</v>
      </c>
      <c r="U643" t="s">
        <v>8590</v>
      </c>
      <c r="V643" t="s">
        <v>8590</v>
      </c>
      <c r="W643">
        <v>4</v>
      </c>
      <c r="X643" t="s">
        <v>9233</v>
      </c>
      <c r="Y643">
        <v>0.50435039205778409</v>
      </c>
      <c r="Z643" t="str">
        <f>HYPERLINK("Melting_Curves/meltCurve_sp_P10586_2_PTPRF_HUMAN_.pdf", "Melting_Curves/meltCurve_sp_P10586_2_PTPRF_HUMAN_.pdf")</f>
        <v>Melting_Curves/meltCurve_sp_P10586_2_PTPRF_HUMAN_.pdf</v>
      </c>
      <c r="AA643" t="s">
        <v>13516</v>
      </c>
      <c r="AB643" t="s">
        <v>17728</v>
      </c>
    </row>
    <row r="644" spans="1:28" x14ac:dyDescent="0.25">
      <c r="A644" t="s">
        <v>648</v>
      </c>
      <c r="B644">
        <v>0.99876560204751996</v>
      </c>
      <c r="C644">
        <v>0.94901242345756898</v>
      </c>
      <c r="D644">
        <v>0.94994931306866803</v>
      </c>
      <c r="E644">
        <v>0.86699354097558901</v>
      </c>
      <c r="F644">
        <v>0.83266545014089</v>
      </c>
      <c r="G644">
        <v>0.63572339833400404</v>
      </c>
      <c r="H644">
        <v>0.53439998441249503</v>
      </c>
      <c r="I644">
        <v>0.60002012722333897</v>
      </c>
      <c r="J644">
        <v>0.69175135582709801</v>
      </c>
      <c r="K644">
        <v>0.73370369422040504</v>
      </c>
      <c r="L644">
        <v>1220.4418408082799</v>
      </c>
      <c r="M644">
        <v>23.5226001028959</v>
      </c>
      <c r="O644">
        <v>51.5131821977795</v>
      </c>
      <c r="P644">
        <v>-4.17017920034677E-2</v>
      </c>
      <c r="Q644">
        <v>0.63470788967262903</v>
      </c>
      <c r="R644">
        <v>0.85093627297809804</v>
      </c>
      <c r="S644" t="s">
        <v>4940</v>
      </c>
      <c r="T644" t="s">
        <v>8590</v>
      </c>
      <c r="U644" t="s">
        <v>8590</v>
      </c>
      <c r="V644" t="s">
        <v>8590</v>
      </c>
      <c r="W644">
        <v>8</v>
      </c>
      <c r="X644" t="s">
        <v>9234</v>
      </c>
      <c r="Y644">
        <v>0.78315316704030669</v>
      </c>
      <c r="Z644" t="str">
        <f>HYPERLINK("Melting_Curves/meltCurve_sp_P10606_COX5B_HUMAN_.pdf", "Melting_Curves/meltCurve_sp_P10606_COX5B_HUMAN_.pdf")</f>
        <v>Melting_Curves/meltCurve_sp_P10606_COX5B_HUMAN_.pdf</v>
      </c>
      <c r="AA644" t="s">
        <v>13517</v>
      </c>
      <c r="AB644" t="s">
        <v>17729</v>
      </c>
    </row>
    <row r="645" spans="1:28" x14ac:dyDescent="0.25">
      <c r="A645" t="s">
        <v>649</v>
      </c>
      <c r="B645">
        <v>0.99876560204751996</v>
      </c>
      <c r="C645">
        <v>0.83891322647893996</v>
      </c>
      <c r="D645">
        <v>0.76627116559863095</v>
      </c>
      <c r="E645">
        <v>0.39296592227087601</v>
      </c>
      <c r="F645">
        <v>0.147234052891622</v>
      </c>
      <c r="G645">
        <v>8.61620388091274E-2</v>
      </c>
      <c r="H645">
        <v>5.6709573732596497E-2</v>
      </c>
      <c r="I645">
        <v>4.6362596225615997E-2</v>
      </c>
      <c r="J645">
        <v>5.0140667401059998E-2</v>
      </c>
      <c r="K645">
        <v>3.8605914061918302E-2</v>
      </c>
      <c r="L645">
        <v>900.04022777904697</v>
      </c>
      <c r="M645">
        <v>18.612909826830901</v>
      </c>
      <c r="N645">
        <v>48.533403730360703</v>
      </c>
      <c r="O645">
        <v>47.807893748630804</v>
      </c>
      <c r="P645">
        <v>-9.41296773111025E-2</v>
      </c>
      <c r="Q645">
        <v>3.29406717460346E-2</v>
      </c>
      <c r="R645">
        <v>0.99221277097099503</v>
      </c>
      <c r="S645" t="s">
        <v>4941</v>
      </c>
      <c r="T645" t="s">
        <v>8590</v>
      </c>
      <c r="U645" t="s">
        <v>8590</v>
      </c>
      <c r="V645" t="s">
        <v>8590</v>
      </c>
      <c r="W645">
        <v>7</v>
      </c>
      <c r="X645" t="s">
        <v>9235</v>
      </c>
      <c r="Y645">
        <v>0.318144846629145</v>
      </c>
      <c r="Z645" t="str">
        <f>HYPERLINK("Melting_Curves/meltCurve_sp_P10619_PPGB_HUMAN_.pdf", "Melting_Curves/meltCurve_sp_P10619_PPGB_HUMAN_.pdf")</f>
        <v>Melting_Curves/meltCurve_sp_P10619_PPGB_HUMAN_.pdf</v>
      </c>
      <c r="AA645" t="s">
        <v>13518</v>
      </c>
      <c r="AB645" t="s">
        <v>17730</v>
      </c>
    </row>
    <row r="646" spans="1:28" x14ac:dyDescent="0.25">
      <c r="A646" t="s">
        <v>650</v>
      </c>
      <c r="B646">
        <v>0.99876560204751996</v>
      </c>
      <c r="C646">
        <v>1.07447095957209</v>
      </c>
      <c r="D646">
        <v>0.72282136388706097</v>
      </c>
      <c r="E646">
        <v>0.55610061599433602</v>
      </c>
      <c r="F646">
        <v>0.30740290877247101</v>
      </c>
      <c r="G646">
        <v>0.14953118434912999</v>
      </c>
      <c r="H646">
        <v>7.1779539627167502E-2</v>
      </c>
      <c r="I646">
        <v>6.7313571682284898E-2</v>
      </c>
      <c r="J646">
        <v>6.0397224972560302E-2</v>
      </c>
      <c r="K646">
        <v>4.5743844155243199E-2</v>
      </c>
      <c r="L646">
        <v>841.61359946020298</v>
      </c>
      <c r="M646">
        <v>16.823096370371001</v>
      </c>
      <c r="N646">
        <v>50.278992876527603</v>
      </c>
      <c r="O646">
        <v>49.336429246111102</v>
      </c>
      <c r="P646">
        <v>-8.1809169045853197E-2</v>
      </c>
      <c r="Q646">
        <v>4.0387742481050502E-2</v>
      </c>
      <c r="R646">
        <v>0.98097660772156803</v>
      </c>
      <c r="S646" t="s">
        <v>4942</v>
      </c>
      <c r="T646" t="s">
        <v>8590</v>
      </c>
      <c r="U646" t="s">
        <v>8590</v>
      </c>
      <c r="V646" t="s">
        <v>8590</v>
      </c>
      <c r="W646">
        <v>11</v>
      </c>
      <c r="X646" t="s">
        <v>9236</v>
      </c>
      <c r="Y646">
        <v>0.37970203334625929</v>
      </c>
      <c r="Z646" t="str">
        <f>HYPERLINK("Melting_Curves/meltCurve_sp_P10632_CP2C8_HUMAN_.pdf", "Melting_Curves/meltCurve_sp_P10632_CP2C8_HUMAN_.pdf")</f>
        <v>Melting_Curves/meltCurve_sp_P10632_CP2C8_HUMAN_.pdf</v>
      </c>
      <c r="AA646" t="s">
        <v>13519</v>
      </c>
      <c r="AB646" t="s">
        <v>17731</v>
      </c>
    </row>
    <row r="647" spans="1:28" x14ac:dyDescent="0.25">
      <c r="A647" t="s">
        <v>651</v>
      </c>
      <c r="B647">
        <v>0.99876560204751996</v>
      </c>
      <c r="C647">
        <v>1.0257417793865999</v>
      </c>
      <c r="D647">
        <v>0.81713671025337498</v>
      </c>
      <c r="E647">
        <v>0.56878655397865596</v>
      </c>
      <c r="F647">
        <v>0.47532264945416602</v>
      </c>
      <c r="G647">
        <v>0.28680703074255998</v>
      </c>
      <c r="H647">
        <v>0.13803519095592501</v>
      </c>
      <c r="I647">
        <v>3.2736727235841097E-2</v>
      </c>
      <c r="J647">
        <v>4.9189817758577802E-2</v>
      </c>
      <c r="K647">
        <v>1.8000549662279201E-2</v>
      </c>
      <c r="L647">
        <v>673.05174415148497</v>
      </c>
      <c r="M647">
        <v>12.9337589349313</v>
      </c>
      <c r="N647">
        <v>52.038358590083398</v>
      </c>
      <c r="O647">
        <v>50.841464432514201</v>
      </c>
      <c r="P647">
        <v>-6.3609938809741903E-2</v>
      </c>
      <c r="Q647">
        <v>0</v>
      </c>
      <c r="R647">
        <v>0.98757066988020004</v>
      </c>
      <c r="S647" t="s">
        <v>4943</v>
      </c>
      <c r="T647" t="s">
        <v>8590</v>
      </c>
      <c r="U647" t="s">
        <v>8590</v>
      </c>
      <c r="V647" t="s">
        <v>8590</v>
      </c>
      <c r="W647">
        <v>4</v>
      </c>
      <c r="X647" t="s">
        <v>9237</v>
      </c>
      <c r="Y647">
        <v>0.42892965368069708</v>
      </c>
      <c r="Z647" t="str">
        <f>HYPERLINK("Melting_Curves/meltCurve_sp_P10635_CP2D6_HUMAN_.pdf", "Melting_Curves/meltCurve_sp_P10635_CP2D6_HUMAN_.pdf")</f>
        <v>Melting_Curves/meltCurve_sp_P10635_CP2D6_HUMAN_.pdf</v>
      </c>
      <c r="AA647" t="s">
        <v>13520</v>
      </c>
      <c r="AB647" t="s">
        <v>17732</v>
      </c>
    </row>
    <row r="648" spans="1:28" x14ac:dyDescent="0.25">
      <c r="A648" t="s">
        <v>652</v>
      </c>
      <c r="B648">
        <v>0.99876560204751996</v>
      </c>
      <c r="C648">
        <v>1.0519735967558099</v>
      </c>
      <c r="D648">
        <v>0.98539569132308202</v>
      </c>
      <c r="E648">
        <v>0.96147022424696904</v>
      </c>
      <c r="F648">
        <v>0.66032419915806495</v>
      </c>
      <c r="G648">
        <v>0.33031231323642302</v>
      </c>
      <c r="H648">
        <v>0.22882862996206499</v>
      </c>
      <c r="I648">
        <v>0.243925081351093</v>
      </c>
      <c r="J648">
        <v>0.28474766668494</v>
      </c>
      <c r="K648">
        <v>0.29764070969804701</v>
      </c>
      <c r="L648">
        <v>2160.4675996743999</v>
      </c>
      <c r="M648">
        <v>40.582549996390902</v>
      </c>
      <c r="N648">
        <v>54.2518438990042</v>
      </c>
      <c r="O648">
        <v>53.107592685849497</v>
      </c>
      <c r="P648">
        <v>-0.140208524744458</v>
      </c>
      <c r="Q648">
        <v>0.26607641686494599</v>
      </c>
      <c r="R648">
        <v>0.99411358412474504</v>
      </c>
      <c r="S648" t="s">
        <v>4944</v>
      </c>
      <c r="T648" t="s">
        <v>8590</v>
      </c>
      <c r="U648" t="s">
        <v>8590</v>
      </c>
      <c r="V648" t="s">
        <v>8590</v>
      </c>
      <c r="W648">
        <v>1</v>
      </c>
      <c r="X648" t="s">
        <v>9238</v>
      </c>
      <c r="Y648">
        <v>0.59251281226636154</v>
      </c>
      <c r="Z648" t="str">
        <f>HYPERLINK("Melting_Curves/meltCurve_sp_P10643_CO7_HUMAN_.pdf", "Melting_Curves/meltCurve_sp_P10643_CO7_HUMAN_.pdf")</f>
        <v>Melting_Curves/meltCurve_sp_P10643_CO7_HUMAN_.pdf</v>
      </c>
      <c r="AA648" t="s">
        <v>13521</v>
      </c>
      <c r="AB648" t="s">
        <v>17733</v>
      </c>
    </row>
    <row r="649" spans="1:28" x14ac:dyDescent="0.25">
      <c r="A649" t="s">
        <v>653</v>
      </c>
      <c r="B649">
        <v>0.99876560204751996</v>
      </c>
      <c r="C649">
        <v>1.0002698609697001</v>
      </c>
      <c r="D649">
        <v>0.81479741690460505</v>
      </c>
      <c r="E649">
        <v>0.51643985731767605</v>
      </c>
      <c r="F649">
        <v>0.29888496424523098</v>
      </c>
      <c r="G649">
        <v>0.17587904007500599</v>
      </c>
      <c r="H649">
        <v>0.117960706922206</v>
      </c>
      <c r="I649">
        <v>0.115375201400484</v>
      </c>
      <c r="J649">
        <v>0.13207112979732899</v>
      </c>
      <c r="K649">
        <v>0.12526440616671</v>
      </c>
      <c r="L649">
        <v>994.44589124052004</v>
      </c>
      <c r="M649">
        <v>20.111405585844999</v>
      </c>
      <c r="N649">
        <v>50.100006468148798</v>
      </c>
      <c r="O649">
        <v>48.965766056691301</v>
      </c>
      <c r="P649">
        <v>-9.0843032578860894E-2</v>
      </c>
      <c r="Q649">
        <v>0.115316525213641</v>
      </c>
      <c r="R649">
        <v>0.997746933526238</v>
      </c>
      <c r="S649" t="s">
        <v>4945</v>
      </c>
      <c r="T649" t="s">
        <v>8590</v>
      </c>
      <c r="U649" t="s">
        <v>8590</v>
      </c>
      <c r="V649" t="s">
        <v>8590</v>
      </c>
      <c r="W649">
        <v>13</v>
      </c>
      <c r="X649" t="s">
        <v>9239</v>
      </c>
      <c r="Y649">
        <v>0.40611277904722831</v>
      </c>
      <c r="Z649" t="str">
        <f>HYPERLINK("Melting_Curves/meltCurve_sp_P10644_KAP0_HUMAN_.pdf", "Melting_Curves/meltCurve_sp_P10644_KAP0_HUMAN_.pdf")</f>
        <v>Melting_Curves/meltCurve_sp_P10644_KAP0_HUMAN_.pdf</v>
      </c>
      <c r="AA649" t="s">
        <v>13522</v>
      </c>
      <c r="AB649" t="s">
        <v>17734</v>
      </c>
    </row>
    <row r="650" spans="1:28" x14ac:dyDescent="0.25">
      <c r="A650" t="s">
        <v>654</v>
      </c>
      <c r="B650">
        <v>0.99876560204751996</v>
      </c>
      <c r="C650">
        <v>0.90893093677374104</v>
      </c>
      <c r="D650">
        <v>0.95305449082758598</v>
      </c>
      <c r="E650">
        <v>0.76755067112988296</v>
      </c>
      <c r="F650">
        <v>0.428568966078828</v>
      </c>
      <c r="G650">
        <v>0.22214251592551901</v>
      </c>
      <c r="H650">
        <v>0.147816071685405</v>
      </c>
      <c r="I650">
        <v>9.69636445439402E-2</v>
      </c>
      <c r="J650">
        <v>0.10184455680778701</v>
      </c>
      <c r="K650">
        <v>0.100283921514478</v>
      </c>
      <c r="L650">
        <v>1181.36501312778</v>
      </c>
      <c r="M650">
        <v>22.716733836736999</v>
      </c>
      <c r="N650">
        <v>52.517846685066601</v>
      </c>
      <c r="O650">
        <v>51.6062142666201</v>
      </c>
      <c r="P650">
        <v>-9.9088001832463607E-2</v>
      </c>
      <c r="Q650">
        <v>9.9614233993000706E-2</v>
      </c>
      <c r="R650">
        <v>0.993308907407352</v>
      </c>
      <c r="S650" t="s">
        <v>4946</v>
      </c>
      <c r="T650" t="s">
        <v>8590</v>
      </c>
      <c r="U650" t="s">
        <v>8590</v>
      </c>
      <c r="V650" t="s">
        <v>8590</v>
      </c>
      <c r="W650">
        <v>3</v>
      </c>
      <c r="X650" t="s">
        <v>9240</v>
      </c>
      <c r="Y650">
        <v>0.46975578823337499</v>
      </c>
      <c r="Z650" t="str">
        <f>HYPERLINK("Melting_Curves/meltCurve_sp_P10746_HEM4_HUMAN_.pdf", "Melting_Curves/meltCurve_sp_P10746_HEM4_HUMAN_.pdf")</f>
        <v>Melting_Curves/meltCurve_sp_P10746_HEM4_HUMAN_.pdf</v>
      </c>
      <c r="AA650" t="s">
        <v>13523</v>
      </c>
      <c r="AB650" t="s">
        <v>17735</v>
      </c>
    </row>
    <row r="651" spans="1:28" x14ac:dyDescent="0.25">
      <c r="A651" t="s">
        <v>655</v>
      </c>
      <c r="B651">
        <v>0.99876560204751996</v>
      </c>
      <c r="C651">
        <v>0.94460496390687698</v>
      </c>
      <c r="D651">
        <v>1.0393150780818701</v>
      </c>
      <c r="E651">
        <v>0.97238294050355401</v>
      </c>
      <c r="F651">
        <v>0.86074651096536303</v>
      </c>
      <c r="G651">
        <v>0.43399769270139399</v>
      </c>
      <c r="H651">
        <v>9.8039413813747006E-2</v>
      </c>
      <c r="I651">
        <v>6.1214524033057202E-2</v>
      </c>
      <c r="J651">
        <v>4.7122199504974899E-2</v>
      </c>
      <c r="K651">
        <v>4.0671735651924598E-2</v>
      </c>
      <c r="L651">
        <v>1699.97823373035</v>
      </c>
      <c r="M651">
        <v>30.2167729870424</v>
      </c>
      <c r="N651">
        <v>56.389887102311498</v>
      </c>
      <c r="O651">
        <v>56.014741101038098</v>
      </c>
      <c r="P651">
        <v>-0.130308588227278</v>
      </c>
      <c r="Q651">
        <v>3.3761067380525298E-2</v>
      </c>
      <c r="R651">
        <v>0.99707031286866199</v>
      </c>
      <c r="S651" t="s">
        <v>4947</v>
      </c>
      <c r="T651" t="s">
        <v>8590</v>
      </c>
      <c r="U651" t="s">
        <v>8590</v>
      </c>
      <c r="V651" t="s">
        <v>8590</v>
      </c>
      <c r="W651">
        <v>15</v>
      </c>
      <c r="X651" t="s">
        <v>9241</v>
      </c>
      <c r="Y651">
        <v>0.56380601299950506</v>
      </c>
      <c r="Z651" t="str">
        <f>HYPERLINK("Melting_Curves/meltCurve_sp_P10768_ESTD_HUMAN_.pdf", "Melting_Curves/meltCurve_sp_P10768_ESTD_HUMAN_.pdf")</f>
        <v>Melting_Curves/meltCurve_sp_P10768_ESTD_HUMAN_.pdf</v>
      </c>
      <c r="AA651" t="s">
        <v>13524</v>
      </c>
      <c r="AB651" t="s">
        <v>17736</v>
      </c>
    </row>
    <row r="652" spans="1:28" x14ac:dyDescent="0.25">
      <c r="A652" t="s">
        <v>656</v>
      </c>
      <c r="B652">
        <v>0.99876560204751996</v>
      </c>
      <c r="C652">
        <v>1.1267917549252</v>
      </c>
      <c r="D652">
        <v>1.0346591672637</v>
      </c>
      <c r="E652">
        <v>1.0794317716033399</v>
      </c>
      <c r="F652">
        <v>1.0128362522427601</v>
      </c>
      <c r="G652">
        <v>0.782514895146178</v>
      </c>
      <c r="H652">
        <v>0.60075835067030803</v>
      </c>
      <c r="I652">
        <v>0.371051710395777</v>
      </c>
      <c r="J652">
        <v>0.16458563315372399</v>
      </c>
      <c r="K652">
        <v>8.4020800475103394E-2</v>
      </c>
      <c r="L652">
        <v>1222.7528020413899</v>
      </c>
      <c r="M652">
        <v>19.727070343625901</v>
      </c>
      <c r="N652">
        <v>61.983501440167998</v>
      </c>
      <c r="O652">
        <v>61.357095475922002</v>
      </c>
      <c r="P652">
        <v>-8.0380876110920693E-2</v>
      </c>
      <c r="Q652">
        <v>0</v>
      </c>
      <c r="R652">
        <v>0.976397762615554</v>
      </c>
      <c r="S652" t="s">
        <v>4948</v>
      </c>
      <c r="T652" t="s">
        <v>8590</v>
      </c>
      <c r="U652" t="s">
        <v>8590</v>
      </c>
      <c r="V652" t="s">
        <v>8590</v>
      </c>
      <c r="W652">
        <v>64</v>
      </c>
      <c r="X652" t="s">
        <v>9242</v>
      </c>
      <c r="Y652">
        <v>0.73574153050281266</v>
      </c>
      <c r="Z652" t="str">
        <f>HYPERLINK("Melting_Curves/meltCurve_sp_P10809_CH60_HUMAN_.pdf", "Melting_Curves/meltCurve_sp_P10809_CH60_HUMAN_.pdf")</f>
        <v>Melting_Curves/meltCurve_sp_P10809_CH60_HUMAN_.pdf</v>
      </c>
      <c r="AA652" t="s">
        <v>13525</v>
      </c>
      <c r="AB652" t="s">
        <v>17737</v>
      </c>
    </row>
    <row r="653" spans="1:28" x14ac:dyDescent="0.25">
      <c r="A653" t="s">
        <v>657</v>
      </c>
      <c r="B653">
        <v>0.99876560204751996</v>
      </c>
      <c r="C653">
        <v>0.98877064312698104</v>
      </c>
      <c r="D653">
        <v>0.94445512334892001</v>
      </c>
      <c r="E653">
        <v>0.88884214488395996</v>
      </c>
      <c r="F653">
        <v>0.72398583503314595</v>
      </c>
      <c r="G653">
        <v>0.53188378052304097</v>
      </c>
      <c r="H653">
        <v>0.37110014483881298</v>
      </c>
      <c r="I653">
        <v>0.338186293133932</v>
      </c>
      <c r="J653">
        <v>0.36376363398184203</v>
      </c>
      <c r="K653">
        <v>0.32249285335168798</v>
      </c>
      <c r="L653">
        <v>978.44243578633996</v>
      </c>
      <c r="M653">
        <v>18.033920230384101</v>
      </c>
      <c r="N653">
        <v>57.383048272133301</v>
      </c>
      <c r="O653">
        <v>53.6017269372459</v>
      </c>
      <c r="P653">
        <v>-5.7797131755172398E-2</v>
      </c>
      <c r="Q653">
        <v>0.312878304814178</v>
      </c>
      <c r="R653">
        <v>0.996071972285828</v>
      </c>
      <c r="S653" t="s">
        <v>4949</v>
      </c>
      <c r="T653" t="s">
        <v>8590</v>
      </c>
      <c r="U653" t="s">
        <v>8590</v>
      </c>
      <c r="V653" t="s">
        <v>8590</v>
      </c>
      <c r="W653">
        <v>7</v>
      </c>
      <c r="X653" t="s">
        <v>9243</v>
      </c>
      <c r="Y653">
        <v>0.65027354838816698</v>
      </c>
      <c r="Z653" t="str">
        <f>HYPERLINK("Melting_Curves/meltCurve_sp_P10909_4_CLUS_HUMAN_.pdf", "Melting_Curves/meltCurve_sp_P10909_4_CLUS_HUMAN_.pdf")</f>
        <v>Melting_Curves/meltCurve_sp_P10909_4_CLUS_HUMAN_.pdf</v>
      </c>
      <c r="AA653" t="s">
        <v>13526</v>
      </c>
      <c r="AB653" t="s">
        <v>17738</v>
      </c>
    </row>
    <row r="654" spans="1:28" x14ac:dyDescent="0.25">
      <c r="A654" t="s">
        <v>658</v>
      </c>
      <c r="B654">
        <v>0.99876560204751996</v>
      </c>
      <c r="C654">
        <v>1.03949303441028</v>
      </c>
      <c r="D654">
        <v>1.0039841830392</v>
      </c>
      <c r="E654">
        <v>0.88768280781144404</v>
      </c>
      <c r="F654">
        <v>0.73181854813371705</v>
      </c>
      <c r="G654">
        <v>0.49586463588546598</v>
      </c>
      <c r="H654">
        <v>0.31646198949979298</v>
      </c>
      <c r="I654">
        <v>0.20291115151623501</v>
      </c>
      <c r="J654">
        <v>0.159979522611219</v>
      </c>
      <c r="K654">
        <v>0.12720224490469101</v>
      </c>
      <c r="L654">
        <v>882.78094559293095</v>
      </c>
      <c r="M654">
        <v>15.7028604414662</v>
      </c>
      <c r="N654">
        <v>56.961350924614997</v>
      </c>
      <c r="O654">
        <v>55.329801376385298</v>
      </c>
      <c r="P654">
        <v>-6.4382069264004305E-2</v>
      </c>
      <c r="Q654">
        <v>9.2663158092510703E-2</v>
      </c>
      <c r="R654">
        <v>0.99705175457718698</v>
      </c>
      <c r="S654" t="s">
        <v>4950</v>
      </c>
      <c r="T654" t="s">
        <v>8590</v>
      </c>
      <c r="U654" t="s">
        <v>8590</v>
      </c>
      <c r="V654" t="s">
        <v>8590</v>
      </c>
      <c r="W654">
        <v>43</v>
      </c>
      <c r="X654" t="s">
        <v>9244</v>
      </c>
      <c r="Y654">
        <v>0.59832029455004421</v>
      </c>
      <c r="Z654" t="str">
        <f>HYPERLINK("Melting_Curves/meltCurve_sp_P11021_GRP78_HUMAN_.pdf", "Melting_Curves/meltCurve_sp_P11021_GRP78_HUMAN_.pdf")</f>
        <v>Melting_Curves/meltCurve_sp_P11021_GRP78_HUMAN_.pdf</v>
      </c>
      <c r="AA654" t="s">
        <v>13527</v>
      </c>
      <c r="AB654" t="s">
        <v>17739</v>
      </c>
    </row>
    <row r="655" spans="1:28" x14ac:dyDescent="0.25">
      <c r="A655" t="s">
        <v>659</v>
      </c>
      <c r="B655">
        <v>0.99876560204751996</v>
      </c>
      <c r="C655">
        <v>1.0816776261300101</v>
      </c>
      <c r="D655">
        <v>0.79852050937608798</v>
      </c>
      <c r="E655">
        <v>0.78494584890371299</v>
      </c>
      <c r="F655">
        <v>0.66845298791065899</v>
      </c>
      <c r="G655">
        <v>0.39796340073340097</v>
      </c>
      <c r="H655">
        <v>6.5554427335299897E-2</v>
      </c>
      <c r="I655">
        <v>0.289574412306151</v>
      </c>
      <c r="J655">
        <v>0.25618289691544799</v>
      </c>
      <c r="K655">
        <v>0.15493172615232001</v>
      </c>
      <c r="L655">
        <v>861.66182910534701</v>
      </c>
      <c r="M655">
        <v>16.138153765799998</v>
      </c>
      <c r="N655">
        <v>54.636870816846901</v>
      </c>
      <c r="O655">
        <v>52.593188577404703</v>
      </c>
      <c r="P655">
        <v>-6.4922529298530096E-2</v>
      </c>
      <c r="Q655">
        <v>0.15375104776530199</v>
      </c>
      <c r="R655">
        <v>0.93064235700201003</v>
      </c>
      <c r="S655" t="s">
        <v>4951</v>
      </c>
      <c r="T655" t="s">
        <v>8590</v>
      </c>
      <c r="U655" t="s">
        <v>8590</v>
      </c>
      <c r="V655" t="s">
        <v>8590</v>
      </c>
      <c r="W655">
        <v>2</v>
      </c>
      <c r="X655" t="s">
        <v>9245</v>
      </c>
      <c r="Y655">
        <v>0.54771837451027372</v>
      </c>
      <c r="Z655" t="str">
        <f>HYPERLINK("Melting_Curves/meltCurve_sp_P11047_LAMC1_HUMAN_.pdf", "Melting_Curves/meltCurve_sp_P11047_LAMC1_HUMAN_.pdf")</f>
        <v>Melting_Curves/meltCurve_sp_P11047_LAMC1_HUMAN_.pdf</v>
      </c>
      <c r="AA655" t="s">
        <v>13528</v>
      </c>
      <c r="AB655" t="s">
        <v>17740</v>
      </c>
    </row>
    <row r="656" spans="1:28" x14ac:dyDescent="0.25">
      <c r="A656" t="s">
        <v>660</v>
      </c>
      <c r="B656">
        <v>0.99876560204751996</v>
      </c>
      <c r="C656">
        <v>0.97270143520025598</v>
      </c>
      <c r="D656">
        <v>0.89812220910212504</v>
      </c>
      <c r="E656">
        <v>0.62382779335327998</v>
      </c>
      <c r="F656">
        <v>0.33304440664749901</v>
      </c>
      <c r="G656">
        <v>0.130531926582487</v>
      </c>
      <c r="H656">
        <v>6.9022278538792795E-2</v>
      </c>
      <c r="I656">
        <v>5.2073745395471202E-2</v>
      </c>
      <c r="J656">
        <v>4.7766524366568197E-2</v>
      </c>
      <c r="K656">
        <v>4.1245090451515601E-2</v>
      </c>
      <c r="L656">
        <v>1054.9749739275601</v>
      </c>
      <c r="M656">
        <v>20.697043514327301</v>
      </c>
      <c r="N656">
        <v>51.1658862846106</v>
      </c>
      <c r="O656">
        <v>50.503564461334904</v>
      </c>
      <c r="P656">
        <v>-9.8596934508448197E-2</v>
      </c>
      <c r="Q656">
        <v>3.7668334103235002E-2</v>
      </c>
      <c r="R656">
        <v>0.99981127477780396</v>
      </c>
      <c r="S656" t="s">
        <v>4952</v>
      </c>
      <c r="T656" t="s">
        <v>8590</v>
      </c>
      <c r="U656" t="s">
        <v>8590</v>
      </c>
      <c r="V656" t="s">
        <v>8590</v>
      </c>
      <c r="W656">
        <v>51</v>
      </c>
      <c r="X656" t="s">
        <v>9246</v>
      </c>
      <c r="Y656">
        <v>0.40215800737344709</v>
      </c>
      <c r="Z656" t="str">
        <f>HYPERLINK("Melting_Curves/meltCurve_sp_P11142_HSP7C_HUMAN_.pdf", "Melting_Curves/meltCurve_sp_P11142_HSP7C_HUMAN_.pdf")</f>
        <v>Melting_Curves/meltCurve_sp_P11142_HSP7C_HUMAN_.pdf</v>
      </c>
      <c r="AA656" t="s">
        <v>13529</v>
      </c>
      <c r="AB656" t="s">
        <v>17741</v>
      </c>
    </row>
    <row r="657" spans="1:28" x14ac:dyDescent="0.25">
      <c r="A657" t="s">
        <v>661</v>
      </c>
      <c r="B657">
        <v>0.99876560204751996</v>
      </c>
      <c r="C657">
        <v>1.0240777404491901</v>
      </c>
      <c r="D657">
        <v>0.576507696991996</v>
      </c>
      <c r="E657">
        <v>0.491487347989919</v>
      </c>
      <c r="F657">
        <v>0.28754294587414397</v>
      </c>
      <c r="G657">
        <v>0.110023386689828</v>
      </c>
      <c r="H657">
        <v>7.65648793247454E-2</v>
      </c>
      <c r="I657">
        <v>7.9480150938122995E-2</v>
      </c>
      <c r="J657">
        <v>6.3068467734316402E-2</v>
      </c>
      <c r="K657">
        <v>6.9805110590536498E-2</v>
      </c>
      <c r="L657">
        <v>743.84255465673402</v>
      </c>
      <c r="M657">
        <v>15.2836723609133</v>
      </c>
      <c r="N657">
        <v>49.0103320352029</v>
      </c>
      <c r="O657">
        <v>47.858735187475602</v>
      </c>
      <c r="P657">
        <v>-7.5814925225385896E-2</v>
      </c>
      <c r="Q657">
        <v>5.04730526923787E-2</v>
      </c>
      <c r="R657">
        <v>0.96508103069926299</v>
      </c>
      <c r="S657" t="s">
        <v>4953</v>
      </c>
      <c r="T657" t="s">
        <v>8590</v>
      </c>
      <c r="U657" t="s">
        <v>8590</v>
      </c>
      <c r="V657" t="s">
        <v>8590</v>
      </c>
      <c r="W657">
        <v>1</v>
      </c>
      <c r="X657" t="s">
        <v>9247</v>
      </c>
      <c r="Y657">
        <v>0.34775410248612448</v>
      </c>
      <c r="Z657" t="str">
        <f>HYPERLINK("Melting_Curves/meltCurve_sp_P11168_GTR2_HUMAN_.pdf", "Melting_Curves/meltCurve_sp_P11168_GTR2_HUMAN_.pdf")</f>
        <v>Melting_Curves/meltCurve_sp_P11168_GTR2_HUMAN_.pdf</v>
      </c>
      <c r="AA657" t="s">
        <v>13530</v>
      </c>
      <c r="AB657" t="s">
        <v>17742</v>
      </c>
    </row>
    <row r="658" spans="1:28" x14ac:dyDescent="0.25">
      <c r="A658" t="s">
        <v>662</v>
      </c>
      <c r="B658">
        <v>0.99876560204751996</v>
      </c>
      <c r="C658">
        <v>0.98196851121288697</v>
      </c>
      <c r="D658">
        <v>0.99643720269153602</v>
      </c>
      <c r="E658">
        <v>0.81969188651083003</v>
      </c>
      <c r="F658">
        <v>0.55146838005054799</v>
      </c>
      <c r="G658">
        <v>0.37366222300683299</v>
      </c>
      <c r="H658">
        <v>0.316608697070556</v>
      </c>
      <c r="I658">
        <v>0.31244288916179003</v>
      </c>
      <c r="J658">
        <v>0.353044782995805</v>
      </c>
      <c r="K658">
        <v>0.32079260003990301</v>
      </c>
      <c r="L658">
        <v>1519.5440546002401</v>
      </c>
      <c r="M658">
        <v>29.356035797119699</v>
      </c>
      <c r="N658">
        <v>53.6761286257289</v>
      </c>
      <c r="O658">
        <v>51.524171491625303</v>
      </c>
      <c r="P658">
        <v>-9.6228378934633596E-2</v>
      </c>
      <c r="Q658">
        <v>0.32442498257336999</v>
      </c>
      <c r="R658">
        <v>0.997992328597474</v>
      </c>
      <c r="S658" t="s">
        <v>4954</v>
      </c>
      <c r="T658" t="s">
        <v>8590</v>
      </c>
      <c r="U658" t="s">
        <v>8590</v>
      </c>
      <c r="V658" t="s">
        <v>8590</v>
      </c>
      <c r="W658">
        <v>13</v>
      </c>
      <c r="X658" t="s">
        <v>9248</v>
      </c>
      <c r="Y658">
        <v>0.59379811505591062</v>
      </c>
      <c r="Z658" t="str">
        <f>HYPERLINK("Melting_Curves/meltCurve_sp_P11171_4_41_HUMAN_.pdf", "Melting_Curves/meltCurve_sp_P11171_4_41_HUMAN_.pdf")</f>
        <v>Melting_Curves/meltCurve_sp_P11171_4_41_HUMAN_.pdf</v>
      </c>
      <c r="AA658" t="s">
        <v>13531</v>
      </c>
      <c r="AB658" t="s">
        <v>17743</v>
      </c>
    </row>
    <row r="659" spans="1:28" x14ac:dyDescent="0.25">
      <c r="A659" t="s">
        <v>663</v>
      </c>
      <c r="B659">
        <v>0.99876560204751996</v>
      </c>
      <c r="C659">
        <v>0.88227029479986496</v>
      </c>
      <c r="D659">
        <v>0.76344504957656101</v>
      </c>
      <c r="E659">
        <v>0.51519287495588095</v>
      </c>
      <c r="F659">
        <v>0.230292741030897</v>
      </c>
      <c r="G659">
        <v>0.10964619879257501</v>
      </c>
      <c r="H659">
        <v>6.0571143503302199E-2</v>
      </c>
      <c r="I659">
        <v>4.8835213507111903E-2</v>
      </c>
      <c r="J659">
        <v>4.7248618562625203E-2</v>
      </c>
      <c r="K659">
        <v>3.9920513317208903E-2</v>
      </c>
      <c r="L659">
        <v>797.454659657913</v>
      </c>
      <c r="M659">
        <v>16.139008542468002</v>
      </c>
      <c r="N659">
        <v>49.550033689516098</v>
      </c>
      <c r="O659">
        <v>48.671679953063801</v>
      </c>
      <c r="P659">
        <v>-8.1076425785367598E-2</v>
      </c>
      <c r="Q659">
        <v>2.2039897020891999E-2</v>
      </c>
      <c r="R659">
        <v>0.99512023585350495</v>
      </c>
      <c r="S659" t="s">
        <v>4955</v>
      </c>
      <c r="T659" t="s">
        <v>8590</v>
      </c>
      <c r="U659" t="s">
        <v>8590</v>
      </c>
      <c r="V659" t="s">
        <v>8590</v>
      </c>
      <c r="W659">
        <v>20</v>
      </c>
      <c r="X659" t="s">
        <v>9249</v>
      </c>
      <c r="Y659">
        <v>0.34959547411315739</v>
      </c>
      <c r="Z659" t="str">
        <f>HYPERLINK("Melting_Curves/meltCurve_sp_P11172_UMPS_HUMAN_.pdf", "Melting_Curves/meltCurve_sp_P11172_UMPS_HUMAN_.pdf")</f>
        <v>Melting_Curves/meltCurve_sp_P11172_UMPS_HUMAN_.pdf</v>
      </c>
      <c r="AA659" t="s">
        <v>13532</v>
      </c>
      <c r="AB659" t="s">
        <v>17744</v>
      </c>
    </row>
    <row r="660" spans="1:28" x14ac:dyDescent="0.25">
      <c r="A660" t="s">
        <v>664</v>
      </c>
      <c r="B660">
        <v>0.99876560204751996</v>
      </c>
      <c r="C660">
        <v>0.61548290818683005</v>
      </c>
      <c r="D660">
        <v>0.37391867733174</v>
      </c>
      <c r="E660">
        <v>0.23652666778763901</v>
      </c>
      <c r="F660">
        <v>0.119549133448817</v>
      </c>
      <c r="G660">
        <v>7.2970700770847899E-2</v>
      </c>
      <c r="H660">
        <v>4.6576796554726498E-2</v>
      </c>
      <c r="I660">
        <v>3.6590365276826901E-2</v>
      </c>
      <c r="J660">
        <v>3.4517621368583197E-2</v>
      </c>
      <c r="K660">
        <v>2.9362602293124301E-2</v>
      </c>
      <c r="L660">
        <v>782.95757639787098</v>
      </c>
      <c r="M660">
        <v>17.5637650507967</v>
      </c>
      <c r="N660">
        <v>44.828376741350297</v>
      </c>
      <c r="O660">
        <v>44.012157653410704</v>
      </c>
      <c r="P660">
        <v>-9.5110893205582206E-2</v>
      </c>
      <c r="Q660">
        <v>4.6717110020750303E-2</v>
      </c>
      <c r="R660">
        <v>0.975698548016672</v>
      </c>
      <c r="S660" t="s">
        <v>4956</v>
      </c>
      <c r="T660" t="s">
        <v>8590</v>
      </c>
      <c r="U660" t="s">
        <v>8590</v>
      </c>
      <c r="V660" t="s">
        <v>8590</v>
      </c>
      <c r="W660">
        <v>7</v>
      </c>
      <c r="X660" t="s">
        <v>9250</v>
      </c>
      <c r="Y660">
        <v>0.2150481662367878</v>
      </c>
      <c r="Z660" t="str">
        <f>HYPERLINK("Melting_Curves/meltCurve_sp_P11177_2_ODPB_HUMAN_.pdf", "Melting_Curves/meltCurve_sp_P11177_2_ODPB_HUMAN_.pdf")</f>
        <v>Melting_Curves/meltCurve_sp_P11177_2_ODPB_HUMAN_.pdf</v>
      </c>
      <c r="AA660" t="s">
        <v>13533</v>
      </c>
      <c r="AB660" t="s">
        <v>17745</v>
      </c>
    </row>
    <row r="661" spans="1:28" x14ac:dyDescent="0.25">
      <c r="A661" t="s">
        <v>665</v>
      </c>
      <c r="B661">
        <v>0.99876560204751996</v>
      </c>
      <c r="C661">
        <v>0.96613244377141705</v>
      </c>
      <c r="D661">
        <v>0.97295613666806302</v>
      </c>
      <c r="E661">
        <v>0.85062831920946202</v>
      </c>
      <c r="F661">
        <v>0.80309281214595596</v>
      </c>
      <c r="G661">
        <v>0.56666311744766196</v>
      </c>
      <c r="H661">
        <v>0.48001420554678897</v>
      </c>
      <c r="I661">
        <v>0.48908461678310999</v>
      </c>
      <c r="J661">
        <v>0.60037255826860703</v>
      </c>
      <c r="K661">
        <v>0.559322685777214</v>
      </c>
      <c r="L661">
        <v>1228.62264258611</v>
      </c>
      <c r="M661">
        <v>23.312189611609799</v>
      </c>
      <c r="O661">
        <v>52.319796084301601</v>
      </c>
      <c r="P661">
        <v>-5.3015954518779697E-2</v>
      </c>
      <c r="Q661">
        <v>0.52407134323311999</v>
      </c>
      <c r="R661">
        <v>0.95167966696054995</v>
      </c>
      <c r="S661" t="s">
        <v>4957</v>
      </c>
      <c r="T661" t="s">
        <v>8590</v>
      </c>
      <c r="U661" t="s">
        <v>8590</v>
      </c>
      <c r="V661" t="s">
        <v>8590</v>
      </c>
      <c r="W661">
        <v>13</v>
      </c>
      <c r="X661" t="s">
        <v>9251</v>
      </c>
      <c r="Y661">
        <v>0.73057901388505209</v>
      </c>
      <c r="Z661" t="str">
        <f>HYPERLINK("Melting_Curves/meltCurve_sp_P11182_ODB2_HUMAN_.pdf", "Melting_Curves/meltCurve_sp_P11182_ODB2_HUMAN_.pdf")</f>
        <v>Melting_Curves/meltCurve_sp_P11182_ODB2_HUMAN_.pdf</v>
      </c>
      <c r="AA661" t="s">
        <v>13534</v>
      </c>
      <c r="AB661" t="s">
        <v>17746</v>
      </c>
    </row>
    <row r="662" spans="1:28" x14ac:dyDescent="0.25">
      <c r="A662" t="s">
        <v>666</v>
      </c>
      <c r="B662">
        <v>0.99876560204751996</v>
      </c>
      <c r="C662">
        <v>1.01827971091015</v>
      </c>
      <c r="D662">
        <v>0.91031507813853996</v>
      </c>
      <c r="E662">
        <v>1.01514688417054</v>
      </c>
      <c r="F662">
        <v>0.75294144734632695</v>
      </c>
      <c r="G662">
        <v>0.33658710262560099</v>
      </c>
      <c r="H662">
        <v>0.11599960951593601</v>
      </c>
      <c r="I662">
        <v>7.8404573541331096E-2</v>
      </c>
      <c r="J662">
        <v>7.2853718985587901E-2</v>
      </c>
      <c r="K662">
        <v>6.4046630494157306E-2</v>
      </c>
      <c r="L662">
        <v>1597.1337109327601</v>
      </c>
      <c r="M662">
        <v>28.967406539564799</v>
      </c>
      <c r="N662">
        <v>55.399140798018202</v>
      </c>
      <c r="O662">
        <v>54.874784423300298</v>
      </c>
      <c r="P662">
        <v>-0.123475533563592</v>
      </c>
      <c r="Q662">
        <v>6.4377054973345602E-2</v>
      </c>
      <c r="R662">
        <v>0.992872230518409</v>
      </c>
      <c r="S662" t="s">
        <v>4958</v>
      </c>
      <c r="T662" t="s">
        <v>8590</v>
      </c>
      <c r="U662" t="s">
        <v>8590</v>
      </c>
      <c r="V662" t="s">
        <v>8590</v>
      </c>
      <c r="W662">
        <v>41</v>
      </c>
      <c r="X662" t="s">
        <v>9252</v>
      </c>
      <c r="Y662">
        <v>0.54304905954067928</v>
      </c>
      <c r="Z662" t="str">
        <f>HYPERLINK("Melting_Curves/meltCurve_sp_P11216_PYGB_HUMAN_.pdf", "Melting_Curves/meltCurve_sp_P11216_PYGB_HUMAN_.pdf")</f>
        <v>Melting_Curves/meltCurve_sp_P11216_PYGB_HUMAN_.pdf</v>
      </c>
      <c r="AA662" t="s">
        <v>13535</v>
      </c>
      <c r="AB662" t="s">
        <v>17747</v>
      </c>
    </row>
    <row r="663" spans="1:28" x14ac:dyDescent="0.25">
      <c r="A663" t="s">
        <v>667</v>
      </c>
      <c r="B663">
        <v>0.99876560204751996</v>
      </c>
      <c r="C663">
        <v>0.90154960722153399</v>
      </c>
      <c r="D663">
        <v>0.97602383659761804</v>
      </c>
      <c r="E663">
        <v>0.73957645062192801</v>
      </c>
      <c r="F663">
        <v>0.77281604150185801</v>
      </c>
      <c r="G663">
        <v>0.57144200552431801</v>
      </c>
      <c r="H663">
        <v>0.47737214192086203</v>
      </c>
      <c r="I663">
        <v>0.46638740869526202</v>
      </c>
      <c r="J663">
        <v>0.60885693566015997</v>
      </c>
      <c r="K663">
        <v>0.64336335464593397</v>
      </c>
      <c r="L663">
        <v>895.08953043761198</v>
      </c>
      <c r="M663">
        <v>17.6950772141927</v>
      </c>
      <c r="O663">
        <v>49.951325616260199</v>
      </c>
      <c r="P663">
        <v>-4.0415698804688899E-2</v>
      </c>
      <c r="Q663">
        <v>0.54366716934550796</v>
      </c>
      <c r="R663">
        <v>0.85957780655051197</v>
      </c>
      <c r="S663" t="s">
        <v>4959</v>
      </c>
      <c r="T663" t="s">
        <v>8590</v>
      </c>
      <c r="U663" t="s">
        <v>8590</v>
      </c>
      <c r="V663" t="s">
        <v>8590</v>
      </c>
      <c r="W663">
        <v>6</v>
      </c>
      <c r="X663" t="s">
        <v>9253</v>
      </c>
      <c r="Y663">
        <v>0.71263566020856284</v>
      </c>
      <c r="Z663" t="str">
        <f>HYPERLINK("Melting_Curves/meltCurve_sp_P11226_MBL2_HUMAN_.pdf", "Melting_Curves/meltCurve_sp_P11226_MBL2_HUMAN_.pdf")</f>
        <v>Melting_Curves/meltCurve_sp_P11226_MBL2_HUMAN_.pdf</v>
      </c>
      <c r="AA663" t="s">
        <v>13536</v>
      </c>
      <c r="AB663" t="s">
        <v>17748</v>
      </c>
    </row>
    <row r="664" spans="1:28" x14ac:dyDescent="0.25">
      <c r="A664" t="s">
        <v>668</v>
      </c>
      <c r="B664">
        <v>0.99876560204751996</v>
      </c>
      <c r="C664">
        <v>0.82320607569775195</v>
      </c>
      <c r="D664">
        <v>0.76034764781175501</v>
      </c>
      <c r="E664">
        <v>0.61415506677763698</v>
      </c>
      <c r="F664">
        <v>0.35018993555509398</v>
      </c>
      <c r="G664">
        <v>0.125544983860335</v>
      </c>
      <c r="H664">
        <v>6.6241435138029894E-2</v>
      </c>
      <c r="I664">
        <v>4.4813992828136397E-2</v>
      </c>
      <c r="J664">
        <v>2.9519444138083901E-2</v>
      </c>
      <c r="K664">
        <v>2.1125813124353798E-2</v>
      </c>
      <c r="L664">
        <v>679.00833080804102</v>
      </c>
      <c r="M664">
        <v>13.4484938353987</v>
      </c>
      <c r="N664">
        <v>50.489543965737099</v>
      </c>
      <c r="O664">
        <v>49.4123902028198</v>
      </c>
      <c r="P664">
        <v>-6.8052646444003995E-2</v>
      </c>
      <c r="Q664">
        <v>0</v>
      </c>
      <c r="R664">
        <v>0.98472951949432097</v>
      </c>
      <c r="S664" t="s">
        <v>4960</v>
      </c>
      <c r="T664" t="s">
        <v>8590</v>
      </c>
      <c r="U664" t="s">
        <v>8590</v>
      </c>
      <c r="V664" t="s">
        <v>8590</v>
      </c>
      <c r="W664">
        <v>9</v>
      </c>
      <c r="X664" t="s">
        <v>9254</v>
      </c>
      <c r="Y664">
        <v>0.37781174446642779</v>
      </c>
      <c r="Z664" t="str">
        <f>HYPERLINK("Melting_Curves/meltCurve_sp_P11245_ARY2_HUMAN_.pdf", "Melting_Curves/meltCurve_sp_P11245_ARY2_HUMAN_.pdf")</f>
        <v>Melting_Curves/meltCurve_sp_P11245_ARY2_HUMAN_.pdf</v>
      </c>
      <c r="AA664" t="s">
        <v>13537</v>
      </c>
      <c r="AB664" t="s">
        <v>17749</v>
      </c>
    </row>
    <row r="665" spans="1:28" x14ac:dyDescent="0.25">
      <c r="A665" t="s">
        <v>669</v>
      </c>
      <c r="B665">
        <v>0.99876560204751996</v>
      </c>
      <c r="C665">
        <v>1.0598673301177901</v>
      </c>
      <c r="D665">
        <v>0.84771943959607998</v>
      </c>
      <c r="E665">
        <v>0.82086244351848503</v>
      </c>
      <c r="F665">
        <v>0.64076280793806495</v>
      </c>
      <c r="G665">
        <v>0.52141359976392698</v>
      </c>
      <c r="H665">
        <v>0.41802021741745599</v>
      </c>
      <c r="I665">
        <v>0.33983990263942199</v>
      </c>
      <c r="J665">
        <v>0.44239179934203798</v>
      </c>
      <c r="K665">
        <v>0.24387822040204199</v>
      </c>
      <c r="L665">
        <v>654.48526662733002</v>
      </c>
      <c r="M665">
        <v>12.2068986034833</v>
      </c>
      <c r="N665">
        <v>57.498428895807997</v>
      </c>
      <c r="O665">
        <v>52.237987994126001</v>
      </c>
      <c r="P665">
        <v>-4.2029863040936102E-2</v>
      </c>
      <c r="Q665">
        <v>0.28071484244723</v>
      </c>
      <c r="R665">
        <v>0.95575805560848004</v>
      </c>
      <c r="S665" t="s">
        <v>4961</v>
      </c>
      <c r="T665" t="s">
        <v>8590</v>
      </c>
      <c r="U665" t="s">
        <v>8590</v>
      </c>
      <c r="V665" t="s">
        <v>8590</v>
      </c>
      <c r="W665">
        <v>3</v>
      </c>
      <c r="X665" t="s">
        <v>9255</v>
      </c>
      <c r="Y665">
        <v>0.62629981836810933</v>
      </c>
      <c r="Z665" t="str">
        <f>HYPERLINK("Melting_Curves/meltCurve_sp_P11274_2_BCR_HUMAN_.pdf", "Melting_Curves/meltCurve_sp_P11274_2_BCR_HUMAN_.pdf")</f>
        <v>Melting_Curves/meltCurve_sp_P11274_2_BCR_HUMAN_.pdf</v>
      </c>
      <c r="AA665" t="s">
        <v>13538</v>
      </c>
      <c r="AB665" t="s">
        <v>17750</v>
      </c>
    </row>
    <row r="666" spans="1:28" x14ac:dyDescent="0.25">
      <c r="A666" t="s">
        <v>670</v>
      </c>
      <c r="B666">
        <v>0.99876560204751996</v>
      </c>
      <c r="C666">
        <v>0.98010752861662398</v>
      </c>
      <c r="D666">
        <v>0.79441042947552098</v>
      </c>
      <c r="E666">
        <v>0.83216934979083002</v>
      </c>
      <c r="F666">
        <v>0.671549834399499</v>
      </c>
      <c r="G666">
        <v>0.62907862018161298</v>
      </c>
      <c r="H666">
        <v>0.45616049986673302</v>
      </c>
      <c r="I666">
        <v>0.47084139011545301</v>
      </c>
      <c r="J666">
        <v>0.49057093996669299</v>
      </c>
      <c r="K666">
        <v>0.52894555471691296</v>
      </c>
      <c r="L666">
        <v>581.74506440917696</v>
      </c>
      <c r="M666">
        <v>11.3020420821048</v>
      </c>
      <c r="N666">
        <v>64.512287637982894</v>
      </c>
      <c r="O666">
        <v>49.940092823692702</v>
      </c>
      <c r="P666">
        <v>-3.1179126044853699E-2</v>
      </c>
      <c r="Q666">
        <v>0.449085277852114</v>
      </c>
      <c r="R666">
        <v>0.93505227937736901</v>
      </c>
      <c r="S666" t="s">
        <v>4962</v>
      </c>
      <c r="T666" t="s">
        <v>8590</v>
      </c>
      <c r="U666" t="s">
        <v>8590</v>
      </c>
      <c r="V666" t="s">
        <v>8590</v>
      </c>
      <c r="W666">
        <v>2</v>
      </c>
      <c r="X666" t="s">
        <v>9256</v>
      </c>
      <c r="Y666">
        <v>0.67866303240692905</v>
      </c>
      <c r="Z666" t="str">
        <f>HYPERLINK("Melting_Curves/meltCurve_sp_P11279_LAMP1_HUMAN_.pdf", "Melting_Curves/meltCurve_sp_P11279_LAMP1_HUMAN_.pdf")</f>
        <v>Melting_Curves/meltCurve_sp_P11279_LAMP1_HUMAN_.pdf</v>
      </c>
      <c r="AA666" t="s">
        <v>13539</v>
      </c>
      <c r="AB666" t="s">
        <v>17751</v>
      </c>
    </row>
    <row r="667" spans="1:28" x14ac:dyDescent="0.25">
      <c r="A667" t="s">
        <v>671</v>
      </c>
      <c r="B667">
        <v>0.99876560204751996</v>
      </c>
      <c r="C667">
        <v>1.07739913748613</v>
      </c>
      <c r="D667">
        <v>0.87014724662710996</v>
      </c>
      <c r="E667">
        <v>0.77785794328565105</v>
      </c>
      <c r="F667">
        <v>0.47124213414508398</v>
      </c>
      <c r="G667">
        <v>0.22833536415087599</v>
      </c>
      <c r="H667">
        <v>0.111170062501579</v>
      </c>
      <c r="I667">
        <v>7.4531399418591202E-2</v>
      </c>
      <c r="J667">
        <v>5.91915592435047E-2</v>
      </c>
      <c r="K667">
        <v>4.7720608916967701E-2</v>
      </c>
      <c r="L667">
        <v>999.28325997401396</v>
      </c>
      <c r="M667">
        <v>18.982893153982801</v>
      </c>
      <c r="N667">
        <v>52.887573074688099</v>
      </c>
      <c r="O667">
        <v>52.067512181596001</v>
      </c>
      <c r="P667">
        <v>-8.7292930691228496E-2</v>
      </c>
      <c r="Q667">
        <v>4.23076072493438E-2</v>
      </c>
      <c r="R667">
        <v>0.99065553312055199</v>
      </c>
      <c r="S667" t="s">
        <v>4963</v>
      </c>
      <c r="T667" t="s">
        <v>8590</v>
      </c>
      <c r="U667" t="s">
        <v>8590</v>
      </c>
      <c r="V667" t="s">
        <v>8590</v>
      </c>
      <c r="W667">
        <v>33</v>
      </c>
      <c r="X667" t="s">
        <v>9257</v>
      </c>
      <c r="Y667">
        <v>0.46030003249366702</v>
      </c>
      <c r="Z667" t="str">
        <f>HYPERLINK("Melting_Curves/meltCurve_sp_P11310_ACADM_HUMAN_.pdf", "Melting_Curves/meltCurve_sp_P11310_ACADM_HUMAN_.pdf")</f>
        <v>Melting_Curves/meltCurve_sp_P11310_ACADM_HUMAN_.pdf</v>
      </c>
      <c r="AA667" t="s">
        <v>13540</v>
      </c>
      <c r="AB667" t="s">
        <v>17752</v>
      </c>
    </row>
    <row r="668" spans="1:28" x14ac:dyDescent="0.25">
      <c r="A668" t="s">
        <v>672</v>
      </c>
      <c r="B668">
        <v>0.99876560204751996</v>
      </c>
      <c r="C668">
        <v>0.92738626923976897</v>
      </c>
      <c r="D668">
        <v>0.84545041669238097</v>
      </c>
      <c r="E668">
        <v>0.65502398073629298</v>
      </c>
      <c r="F668">
        <v>0.27887564603821102</v>
      </c>
      <c r="G668">
        <v>0.168332107809886</v>
      </c>
      <c r="H668">
        <v>0.13549520031800799</v>
      </c>
      <c r="I668">
        <v>0.126968116735756</v>
      </c>
      <c r="J668">
        <v>0.13388331646481799</v>
      </c>
      <c r="K668">
        <v>0.12657770283511099</v>
      </c>
      <c r="L668">
        <v>1089.13722506924</v>
      </c>
      <c r="M668">
        <v>21.6602689836952</v>
      </c>
      <c r="N668">
        <v>50.9007893832352</v>
      </c>
      <c r="O668">
        <v>49.860014829198498</v>
      </c>
      <c r="P668">
        <v>-9.60493724972694E-2</v>
      </c>
      <c r="Q668">
        <v>0.115632500768729</v>
      </c>
      <c r="R668">
        <v>0.98895757482787106</v>
      </c>
      <c r="S668" t="s">
        <v>4964</v>
      </c>
      <c r="T668" t="s">
        <v>8590</v>
      </c>
      <c r="U668" t="s">
        <v>8590</v>
      </c>
      <c r="V668" t="s">
        <v>8590</v>
      </c>
      <c r="W668">
        <v>4</v>
      </c>
      <c r="X668" t="s">
        <v>9258</v>
      </c>
      <c r="Y668">
        <v>0.42928828039343792</v>
      </c>
      <c r="Z668" t="str">
        <f>HYPERLINK("Melting_Curves/meltCurve_sp_P11413_G6PD_HUMAN_.pdf", "Melting_Curves/meltCurve_sp_P11413_G6PD_HUMAN_.pdf")</f>
        <v>Melting_Curves/meltCurve_sp_P11413_G6PD_HUMAN_.pdf</v>
      </c>
      <c r="AA668" t="s">
        <v>13541</v>
      </c>
      <c r="AB668" t="s">
        <v>17753</v>
      </c>
    </row>
    <row r="669" spans="1:28" x14ac:dyDescent="0.25">
      <c r="A669" t="s">
        <v>673</v>
      </c>
      <c r="B669">
        <v>0.99876560204751996</v>
      </c>
      <c r="C669">
        <v>0.98560840709239295</v>
      </c>
      <c r="D669">
        <v>0.84066254418387698</v>
      </c>
      <c r="E669">
        <v>0.78690774942142605</v>
      </c>
      <c r="F669">
        <v>0.65663561146372595</v>
      </c>
      <c r="G669">
        <v>0.53185588851931698</v>
      </c>
      <c r="H669">
        <v>0.390491372979205</v>
      </c>
      <c r="I669">
        <v>0.354305561683394</v>
      </c>
      <c r="J669">
        <v>0.36518492009396403</v>
      </c>
      <c r="K669">
        <v>0.38582531363806599</v>
      </c>
      <c r="L669">
        <v>638.47927970027399</v>
      </c>
      <c r="M669">
        <v>12.1149215266041</v>
      </c>
      <c r="N669">
        <v>57.415859928388997</v>
      </c>
      <c r="O669">
        <v>51.327598512821403</v>
      </c>
      <c r="P669">
        <v>-4.04252868450517E-2</v>
      </c>
      <c r="Q669">
        <v>0.315075730288707</v>
      </c>
      <c r="R669">
        <v>0.98491980201882001</v>
      </c>
      <c r="S669" t="s">
        <v>4965</v>
      </c>
      <c r="T669" t="s">
        <v>8590</v>
      </c>
      <c r="U669" t="s">
        <v>8590</v>
      </c>
      <c r="V669" t="s">
        <v>8590</v>
      </c>
      <c r="W669">
        <v>5</v>
      </c>
      <c r="X669" t="s">
        <v>9259</v>
      </c>
      <c r="Y669">
        <v>0.62479683381444873</v>
      </c>
      <c r="Z669" t="str">
        <f>HYPERLINK("Melting_Curves/meltCurve_sp_P11441_UBL4A_HUMAN_.pdf", "Melting_Curves/meltCurve_sp_P11441_UBL4A_HUMAN_.pdf")</f>
        <v>Melting_Curves/meltCurve_sp_P11441_UBL4A_HUMAN_.pdf</v>
      </c>
      <c r="AA669" t="s">
        <v>13542</v>
      </c>
      <c r="AB669" t="s">
        <v>17754</v>
      </c>
    </row>
    <row r="670" spans="1:28" x14ac:dyDescent="0.25">
      <c r="A670" t="s">
        <v>674</v>
      </c>
      <c r="B670">
        <v>0.99876560204751996</v>
      </c>
      <c r="C670">
        <v>0.86363877574561199</v>
      </c>
      <c r="D670">
        <v>0.52126079550494198</v>
      </c>
      <c r="E670">
        <v>0.24601561830448901</v>
      </c>
      <c r="F670">
        <v>0.11224403828697301</v>
      </c>
      <c r="G670">
        <v>7.0077601810343101E-2</v>
      </c>
      <c r="H670">
        <v>4.5514261026650397E-2</v>
      </c>
      <c r="I670">
        <v>3.8515560905590801E-2</v>
      </c>
      <c r="J670">
        <v>3.7083141970647E-2</v>
      </c>
      <c r="K670">
        <v>3.6383587498453697E-2</v>
      </c>
      <c r="L670">
        <v>947.41161261140905</v>
      </c>
      <c r="M670">
        <v>20.448784943716301</v>
      </c>
      <c r="N670">
        <v>46.529546248931403</v>
      </c>
      <c r="O670">
        <v>45.894688778212299</v>
      </c>
      <c r="P670">
        <v>-0.106737964603597</v>
      </c>
      <c r="Q670">
        <v>4.17895452694413E-2</v>
      </c>
      <c r="R670">
        <v>0.99678950947946998</v>
      </c>
      <c r="S670" t="s">
        <v>4966</v>
      </c>
      <c r="T670" t="s">
        <v>8590</v>
      </c>
      <c r="U670" t="s">
        <v>8590</v>
      </c>
      <c r="V670" t="s">
        <v>8590</v>
      </c>
      <c r="W670">
        <v>69</v>
      </c>
      <c r="X670" t="s">
        <v>9260</v>
      </c>
      <c r="Y670">
        <v>0.25778866324250249</v>
      </c>
      <c r="Z670" t="str">
        <f>HYPERLINK("Melting_Curves/meltCurve_sp_P11498_PYC_HUMAN_.pdf", "Melting_Curves/meltCurve_sp_P11498_PYC_HUMAN_.pdf")</f>
        <v>Melting_Curves/meltCurve_sp_P11498_PYC_HUMAN_.pdf</v>
      </c>
      <c r="AA670" t="s">
        <v>13543</v>
      </c>
      <c r="AB670" t="s">
        <v>17755</v>
      </c>
    </row>
    <row r="671" spans="1:28" x14ac:dyDescent="0.25">
      <c r="A671" t="s">
        <v>675</v>
      </c>
      <c r="B671">
        <v>0.99876560204751996</v>
      </c>
      <c r="C671">
        <v>1.09690695599857</v>
      </c>
      <c r="D671">
        <v>0.71750048228489904</v>
      </c>
      <c r="E671">
        <v>0.50012773906715102</v>
      </c>
      <c r="F671">
        <v>0.2462658873246</v>
      </c>
      <c r="G671">
        <v>0.13223742946116199</v>
      </c>
      <c r="H671">
        <v>7.0560141762420994E-2</v>
      </c>
      <c r="I671">
        <v>6.0043977729162402E-2</v>
      </c>
      <c r="J671">
        <v>4.7515800964366799E-2</v>
      </c>
      <c r="K671">
        <v>5.6865274561408503E-2</v>
      </c>
      <c r="L671">
        <v>936.54494499264194</v>
      </c>
      <c r="M671">
        <v>18.970044860230502</v>
      </c>
      <c r="N671">
        <v>49.646942506948498</v>
      </c>
      <c r="O671">
        <v>48.830860366201598</v>
      </c>
      <c r="P671">
        <v>-9.2243338453378204E-2</v>
      </c>
      <c r="Q671">
        <v>5.02623288137138E-2</v>
      </c>
      <c r="R671">
        <v>0.97883955232611697</v>
      </c>
      <c r="S671" t="s">
        <v>4967</v>
      </c>
      <c r="T671" t="s">
        <v>8590</v>
      </c>
      <c r="U671" t="s">
        <v>8590</v>
      </c>
      <c r="V671" t="s">
        <v>8590</v>
      </c>
      <c r="W671">
        <v>11</v>
      </c>
      <c r="X671" t="s">
        <v>9261</v>
      </c>
      <c r="Y671">
        <v>0.36162491122728341</v>
      </c>
      <c r="Z671" t="str">
        <f>HYPERLINK("Melting_Curves/meltCurve_sp_P11509_CP2A6_HUMAN_.pdf", "Melting_Curves/meltCurve_sp_P11509_CP2A6_HUMAN_.pdf")</f>
        <v>Melting_Curves/meltCurve_sp_P11509_CP2A6_HUMAN_.pdf</v>
      </c>
      <c r="AA671" t="s">
        <v>13544</v>
      </c>
      <c r="AB671" t="s">
        <v>17756</v>
      </c>
    </row>
    <row r="672" spans="1:28" x14ac:dyDescent="0.25">
      <c r="A672" t="s">
        <v>676</v>
      </c>
      <c r="B672">
        <v>0.99876560204751996</v>
      </c>
      <c r="C672">
        <v>1.0297280589951501</v>
      </c>
      <c r="D672">
        <v>0.98545633704801605</v>
      </c>
      <c r="E672">
        <v>0.83795747298690804</v>
      </c>
      <c r="F672">
        <v>0.53549573031415498</v>
      </c>
      <c r="G672">
        <v>0.284072358003083</v>
      </c>
      <c r="H672">
        <v>0.24197216561000001</v>
      </c>
      <c r="I672">
        <v>0.20106941021371699</v>
      </c>
      <c r="J672">
        <v>0.242419394276677</v>
      </c>
      <c r="K672">
        <v>0.233307422426769</v>
      </c>
      <c r="L672">
        <v>1555.3418247882701</v>
      </c>
      <c r="M672">
        <v>29.7609925087203</v>
      </c>
      <c r="N672">
        <v>53.3364354038358</v>
      </c>
      <c r="O672">
        <v>52.026834563108203</v>
      </c>
      <c r="P672">
        <v>-0.110745746223567</v>
      </c>
      <c r="Q672">
        <v>0.22560223801179999</v>
      </c>
      <c r="R672">
        <v>0.99825103244486202</v>
      </c>
      <c r="S672" t="s">
        <v>4968</v>
      </c>
      <c r="T672" t="s">
        <v>8590</v>
      </c>
      <c r="U672" t="s">
        <v>8590</v>
      </c>
      <c r="V672" t="s">
        <v>8590</v>
      </c>
      <c r="W672">
        <v>12</v>
      </c>
      <c r="X672" t="s">
        <v>9262</v>
      </c>
      <c r="Y672">
        <v>0.54714785715412961</v>
      </c>
      <c r="Z672" t="str">
        <f>HYPERLINK("Melting_Curves/meltCurve_sp_P11532_3_DMD_HUMAN_.pdf", "Melting_Curves/meltCurve_sp_P11532_3_DMD_HUMAN_.pdf")</f>
        <v>Melting_Curves/meltCurve_sp_P11532_3_DMD_HUMAN_.pdf</v>
      </c>
      <c r="AA672" t="s">
        <v>13545</v>
      </c>
      <c r="AB672" t="s">
        <v>17757</v>
      </c>
    </row>
    <row r="673" spans="1:28" x14ac:dyDescent="0.25">
      <c r="A673" t="s">
        <v>677</v>
      </c>
      <c r="B673">
        <v>0.99876560204751996</v>
      </c>
      <c r="C673">
        <v>0.79769506420858105</v>
      </c>
      <c r="D673">
        <v>0.38111650480397002</v>
      </c>
      <c r="E673">
        <v>0.20117205654963999</v>
      </c>
      <c r="F673">
        <v>8.9319805831367699E-2</v>
      </c>
      <c r="G673">
        <v>5.5049028628114803E-2</v>
      </c>
      <c r="H673">
        <v>3.8257755222876999E-2</v>
      </c>
      <c r="I673">
        <v>3.2268818049212798E-2</v>
      </c>
      <c r="J673">
        <v>3.09859791501013E-2</v>
      </c>
      <c r="K673">
        <v>2.6225119879983601E-2</v>
      </c>
      <c r="L673">
        <v>1039.24704357108</v>
      </c>
      <c r="M673">
        <v>23.000548274923801</v>
      </c>
      <c r="N673">
        <v>45.365136447374098</v>
      </c>
      <c r="O673">
        <v>44.846171776839597</v>
      </c>
      <c r="P673">
        <v>-0.122583330936181</v>
      </c>
      <c r="Q673">
        <v>4.39720510142158E-2</v>
      </c>
      <c r="R673">
        <v>0.99189558540449296</v>
      </c>
      <c r="S673" t="s">
        <v>4969</v>
      </c>
      <c r="T673" t="s">
        <v>8590</v>
      </c>
      <c r="U673" t="s">
        <v>8590</v>
      </c>
      <c r="V673" t="s">
        <v>8590</v>
      </c>
      <c r="W673">
        <v>62</v>
      </c>
      <c r="X673" t="s">
        <v>9263</v>
      </c>
      <c r="Y673">
        <v>0.22057242708350661</v>
      </c>
      <c r="Z673" t="str">
        <f>HYPERLINK("Melting_Curves/meltCurve_sp_P11586_C1TC_HUMAN_.pdf", "Melting_Curves/meltCurve_sp_P11586_C1TC_HUMAN_.pdf")</f>
        <v>Melting_Curves/meltCurve_sp_P11586_C1TC_HUMAN_.pdf</v>
      </c>
      <c r="AA673" t="s">
        <v>13546</v>
      </c>
      <c r="AB673" t="s">
        <v>17758</v>
      </c>
    </row>
    <row r="674" spans="1:28" x14ac:dyDescent="0.25">
      <c r="A674" t="s">
        <v>678</v>
      </c>
      <c r="B674">
        <v>0.99876560204751996</v>
      </c>
      <c r="C674">
        <v>1.05880914579296</v>
      </c>
      <c r="D674">
        <v>0.68667548829680103</v>
      </c>
      <c r="E674">
        <v>0.53061667839785798</v>
      </c>
      <c r="F674">
        <v>0.25319755835117902</v>
      </c>
      <c r="G674">
        <v>0.12149193946657801</v>
      </c>
      <c r="H674">
        <v>7.0349769310036905E-2</v>
      </c>
      <c r="I674">
        <v>4.6852773182581499E-2</v>
      </c>
      <c r="J674">
        <v>3.7587008740856097E-2</v>
      </c>
      <c r="K674">
        <v>2.3866141046748699E-2</v>
      </c>
      <c r="L674">
        <v>833.54263387476306</v>
      </c>
      <c r="M674">
        <v>16.8079514681624</v>
      </c>
      <c r="N674">
        <v>49.7380283662811</v>
      </c>
      <c r="O674">
        <v>48.906143870342397</v>
      </c>
      <c r="P674">
        <v>-8.3858619758069006E-2</v>
      </c>
      <c r="Q674">
        <v>2.40488705993765E-2</v>
      </c>
      <c r="R674">
        <v>0.97972541758718101</v>
      </c>
      <c r="S674" t="s">
        <v>4970</v>
      </c>
      <c r="T674" t="s">
        <v>8590</v>
      </c>
      <c r="U674" t="s">
        <v>8590</v>
      </c>
      <c r="V674" t="s">
        <v>8590</v>
      </c>
      <c r="W674">
        <v>7</v>
      </c>
      <c r="X674" t="s">
        <v>9264</v>
      </c>
      <c r="Y674">
        <v>0.35518769298589747</v>
      </c>
      <c r="Z674" t="str">
        <f>HYPERLINK("Melting_Curves/meltCurve_sp_P11712_CP2C9_HUMAN_.pdf", "Melting_Curves/meltCurve_sp_P11712_CP2C9_HUMAN_.pdf")</f>
        <v>Melting_Curves/meltCurve_sp_P11712_CP2C9_HUMAN_.pdf</v>
      </c>
      <c r="AA674" t="s">
        <v>13547</v>
      </c>
      <c r="AB674" t="s">
        <v>17759</v>
      </c>
    </row>
    <row r="675" spans="1:28" x14ac:dyDescent="0.25">
      <c r="A675" t="s">
        <v>679</v>
      </c>
      <c r="B675">
        <v>0.99876560204751996</v>
      </c>
      <c r="C675">
        <v>0.79490257018168498</v>
      </c>
      <c r="D675">
        <v>0.80800835762979395</v>
      </c>
      <c r="E675">
        <v>0.74054965937316397</v>
      </c>
      <c r="F675">
        <v>0.72433968887388001</v>
      </c>
      <c r="G675">
        <v>0.62305136698005203</v>
      </c>
      <c r="H675">
        <v>0.23223996226226101</v>
      </c>
      <c r="I675">
        <v>0.22564219677550201</v>
      </c>
      <c r="J675">
        <v>0.23039357601472399</v>
      </c>
      <c r="K675">
        <v>0.22422954801134701</v>
      </c>
      <c r="L675">
        <v>444.99759269854599</v>
      </c>
      <c r="M675">
        <v>7.8416120171796697</v>
      </c>
      <c r="N675">
        <v>56.7482287724226</v>
      </c>
      <c r="O675">
        <v>53.4128371535555</v>
      </c>
      <c r="P675">
        <v>-3.6747567970567302E-2</v>
      </c>
      <c r="Q675">
        <v>0</v>
      </c>
      <c r="R675">
        <v>0.91313279324435104</v>
      </c>
      <c r="S675" t="s">
        <v>4971</v>
      </c>
      <c r="T675" t="s">
        <v>8590</v>
      </c>
      <c r="U675" t="s">
        <v>8590</v>
      </c>
      <c r="V675" t="s">
        <v>8590</v>
      </c>
      <c r="W675">
        <v>3</v>
      </c>
      <c r="X675" t="s">
        <v>9265</v>
      </c>
      <c r="Y675">
        <v>0.57186270430815145</v>
      </c>
      <c r="Z675" t="str">
        <f>HYPERLINK("Melting_Curves/meltCurve_sp_P11717_MPRI_HUMAN_.pdf", "Melting_Curves/meltCurve_sp_P11717_MPRI_HUMAN_.pdf")</f>
        <v>Melting_Curves/meltCurve_sp_P11717_MPRI_HUMAN_.pdf</v>
      </c>
      <c r="AA675" t="s">
        <v>13548</v>
      </c>
      <c r="AB675" t="s">
        <v>17760</v>
      </c>
    </row>
    <row r="676" spans="1:28" x14ac:dyDescent="0.25">
      <c r="A676" t="s">
        <v>680</v>
      </c>
      <c r="B676">
        <v>0.99876560204751996</v>
      </c>
      <c r="C676">
        <v>0.94658736310214797</v>
      </c>
      <c r="D676">
        <v>0.92908806421266099</v>
      </c>
      <c r="E676">
        <v>0.90692942889623196</v>
      </c>
      <c r="F676">
        <v>0.75955655213705497</v>
      </c>
      <c r="G676">
        <v>0.44187808153364699</v>
      </c>
      <c r="H676">
        <v>0.15829595067160299</v>
      </c>
      <c r="I676">
        <v>7.3973045204731594E-2</v>
      </c>
      <c r="J676">
        <v>5.5901682430645999E-2</v>
      </c>
      <c r="K676">
        <v>3.7846731571209803E-2</v>
      </c>
      <c r="L676">
        <v>1073.63517570926</v>
      </c>
      <c r="M676">
        <v>19.142001786784999</v>
      </c>
      <c r="N676">
        <v>56.108930085798498</v>
      </c>
      <c r="O676">
        <v>55.486550900933999</v>
      </c>
      <c r="P676">
        <v>-8.5941553189045297E-2</v>
      </c>
      <c r="Q676">
        <v>3.57008560733028E-3</v>
      </c>
      <c r="R676">
        <v>0.99556833820607904</v>
      </c>
      <c r="S676" t="s">
        <v>4972</v>
      </c>
      <c r="T676" t="s">
        <v>8590</v>
      </c>
      <c r="U676" t="s">
        <v>8590</v>
      </c>
      <c r="V676" t="s">
        <v>8590</v>
      </c>
      <c r="W676">
        <v>20</v>
      </c>
      <c r="X676" t="s">
        <v>9266</v>
      </c>
      <c r="Y676">
        <v>0.55146435339426236</v>
      </c>
      <c r="Z676" t="str">
        <f>HYPERLINK("Melting_Curves/meltCurve_sp_P11766_ADHX_HUMAN_.pdf", "Melting_Curves/meltCurve_sp_P11766_ADHX_HUMAN_.pdf")</f>
        <v>Melting_Curves/meltCurve_sp_P11766_ADHX_HUMAN_.pdf</v>
      </c>
      <c r="AA676" t="s">
        <v>13549</v>
      </c>
      <c r="AB676" t="s">
        <v>17761</v>
      </c>
    </row>
    <row r="677" spans="1:28" x14ac:dyDescent="0.25">
      <c r="A677" t="s">
        <v>681</v>
      </c>
      <c r="B677">
        <v>0.99876560204751996</v>
      </c>
      <c r="C677">
        <v>0.95832269873648501</v>
      </c>
      <c r="D677">
        <v>0.93611131440245499</v>
      </c>
      <c r="E677">
        <v>0.68198710580019295</v>
      </c>
      <c r="F677">
        <v>0.54488936089267803</v>
      </c>
      <c r="G677">
        <v>0.26407552844372201</v>
      </c>
      <c r="H677">
        <v>0.191101808478501</v>
      </c>
      <c r="I677">
        <v>0.15312075594412999</v>
      </c>
      <c r="J677">
        <v>0.199792847692527</v>
      </c>
      <c r="K677">
        <v>0.12111509002205301</v>
      </c>
      <c r="L677">
        <v>891.70735450360496</v>
      </c>
      <c r="M677">
        <v>17.1232613220022</v>
      </c>
      <c r="N677">
        <v>53.024902294376297</v>
      </c>
      <c r="O677">
        <v>51.381110093705502</v>
      </c>
      <c r="P677">
        <v>-7.2322862396035498E-2</v>
      </c>
      <c r="Q677">
        <v>0.13198663265420499</v>
      </c>
      <c r="R677">
        <v>0.99364190768593896</v>
      </c>
      <c r="S677" t="s">
        <v>4973</v>
      </c>
      <c r="T677" t="s">
        <v>8590</v>
      </c>
      <c r="U677" t="s">
        <v>8590</v>
      </c>
      <c r="V677" t="s">
        <v>8590</v>
      </c>
      <c r="W677">
        <v>6</v>
      </c>
      <c r="X677" t="s">
        <v>9267</v>
      </c>
      <c r="Y677">
        <v>0.49707307110381271</v>
      </c>
      <c r="Z677" t="str">
        <f>HYPERLINK("Melting_Curves/meltCurve_sp_P11802_CDK4_HUMAN_.pdf", "Melting_Curves/meltCurve_sp_P11802_CDK4_HUMAN_.pdf")</f>
        <v>Melting_Curves/meltCurve_sp_P11802_CDK4_HUMAN_.pdf</v>
      </c>
      <c r="AA677" t="s">
        <v>13550</v>
      </c>
      <c r="AB677" t="s">
        <v>17762</v>
      </c>
    </row>
    <row r="678" spans="1:28" x14ac:dyDescent="0.25">
      <c r="A678" t="s">
        <v>682</v>
      </c>
      <c r="B678">
        <v>0.99876560204751996</v>
      </c>
      <c r="C678">
        <v>1.1841254590589301</v>
      </c>
      <c r="D678">
        <v>1.18727782553474</v>
      </c>
      <c r="E678">
        <v>0.96676101724044505</v>
      </c>
      <c r="F678">
        <v>0.45041764462976103</v>
      </c>
      <c r="G678">
        <v>0.15134477504405799</v>
      </c>
      <c r="H678">
        <v>0.100125154516935</v>
      </c>
      <c r="I678">
        <v>5.9395962018483003E-2</v>
      </c>
      <c r="J678">
        <v>7.1429786251662505E-2</v>
      </c>
      <c r="K678">
        <v>7.1740102126404498E-2</v>
      </c>
      <c r="L678">
        <v>2914.7712962946998</v>
      </c>
      <c r="M678">
        <v>55.382915681741501</v>
      </c>
      <c r="N678">
        <v>52.812694688800903</v>
      </c>
      <c r="O678">
        <v>52.5609454197822</v>
      </c>
      <c r="P678">
        <v>-0.24039403397900899</v>
      </c>
      <c r="Q678">
        <v>8.7420342936417095E-2</v>
      </c>
      <c r="R678">
        <v>0.96733889467494005</v>
      </c>
      <c r="S678" t="s">
        <v>4974</v>
      </c>
      <c r="T678" t="s">
        <v>8590</v>
      </c>
      <c r="U678" t="s">
        <v>8590</v>
      </c>
      <c r="V678" t="s">
        <v>8590</v>
      </c>
      <c r="W678">
        <v>6</v>
      </c>
      <c r="X678" t="s">
        <v>9268</v>
      </c>
      <c r="Y678">
        <v>0.47332394189732552</v>
      </c>
      <c r="Z678" t="str">
        <f>HYPERLINK("Melting_Curves/meltCurve_sp_P11908_PRPS2_HUMAN_.pdf", "Melting_Curves/meltCurve_sp_P11908_PRPS2_HUMAN_.pdf")</f>
        <v>Melting_Curves/meltCurve_sp_P11908_PRPS2_HUMAN_.pdf</v>
      </c>
      <c r="AA678" t="s">
        <v>13551</v>
      </c>
      <c r="AB678" t="s">
        <v>17763</v>
      </c>
    </row>
    <row r="679" spans="1:28" x14ac:dyDescent="0.25">
      <c r="A679" t="s">
        <v>683</v>
      </c>
      <c r="B679">
        <v>0.99876560204751996</v>
      </c>
      <c r="C679">
        <v>0.98656634849649205</v>
      </c>
      <c r="D679">
        <v>0.91351397745895102</v>
      </c>
      <c r="E679">
        <v>0.837247651786446</v>
      </c>
      <c r="F679">
        <v>0.44724539812188302</v>
      </c>
      <c r="G679">
        <v>0.21171016083104099</v>
      </c>
      <c r="H679">
        <v>7.73669747162085E-2</v>
      </c>
      <c r="I679">
        <v>5.9778871277939599E-2</v>
      </c>
      <c r="J679">
        <v>6.2387868030389898E-2</v>
      </c>
      <c r="K679">
        <v>5.56043757975428E-2</v>
      </c>
      <c r="L679">
        <v>1279.3204796780999</v>
      </c>
      <c r="M679">
        <v>24.319982135991602</v>
      </c>
      <c r="N679">
        <v>52.855598130727898</v>
      </c>
      <c r="O679">
        <v>52.251856743488901</v>
      </c>
      <c r="P679">
        <v>-0.109993460777915</v>
      </c>
      <c r="Q679">
        <v>5.47231451157364E-2</v>
      </c>
      <c r="R679">
        <v>0.99496910068761202</v>
      </c>
      <c r="S679" t="s">
        <v>4975</v>
      </c>
      <c r="T679" t="s">
        <v>8590</v>
      </c>
      <c r="U679" t="s">
        <v>8590</v>
      </c>
      <c r="V679" t="s">
        <v>8590</v>
      </c>
      <c r="W679">
        <v>25</v>
      </c>
      <c r="X679" t="s">
        <v>9269</v>
      </c>
      <c r="Y679">
        <v>0.46099625594439841</v>
      </c>
      <c r="Z679" t="str">
        <f>HYPERLINK("Melting_Curves/meltCurve_sp_P11940_PABP1_HUMAN_.pdf", "Melting_Curves/meltCurve_sp_P11940_PABP1_HUMAN_.pdf")</f>
        <v>Melting_Curves/meltCurve_sp_P11940_PABP1_HUMAN_.pdf</v>
      </c>
      <c r="AA679" t="s">
        <v>13552</v>
      </c>
      <c r="AB679" t="s">
        <v>17764</v>
      </c>
    </row>
    <row r="680" spans="1:28" x14ac:dyDescent="0.25">
      <c r="A680" t="s">
        <v>684</v>
      </c>
      <c r="B680">
        <v>0.99876560204751996</v>
      </c>
      <c r="C680">
        <v>0.95126744416081499</v>
      </c>
      <c r="D680">
        <v>1.01427693678912</v>
      </c>
      <c r="E680">
        <v>0.86259764202800804</v>
      </c>
      <c r="F680">
        <v>0.58397661817847601</v>
      </c>
      <c r="G680">
        <v>0.25805305777333998</v>
      </c>
      <c r="H680">
        <v>0.110653496701825</v>
      </c>
      <c r="I680">
        <v>6.7914984052185295E-2</v>
      </c>
      <c r="J680">
        <v>6.1753169814285198E-2</v>
      </c>
      <c r="K680">
        <v>5.4107848769188498E-2</v>
      </c>
      <c r="L680">
        <v>1248.262789695</v>
      </c>
      <c r="M680">
        <v>23.249399303278899</v>
      </c>
      <c r="N680">
        <v>53.9455983328127</v>
      </c>
      <c r="O680">
        <v>53.2976309928411</v>
      </c>
      <c r="P680">
        <v>-0.103371149215567</v>
      </c>
      <c r="Q680">
        <v>5.2132340159022898E-2</v>
      </c>
      <c r="R680">
        <v>0.997793689011092</v>
      </c>
      <c r="S680" t="s">
        <v>4976</v>
      </c>
      <c r="T680" t="s">
        <v>8590</v>
      </c>
      <c r="U680" t="s">
        <v>8590</v>
      </c>
      <c r="V680" t="s">
        <v>8590</v>
      </c>
      <c r="W680">
        <v>10</v>
      </c>
      <c r="X680" t="s">
        <v>9270</v>
      </c>
      <c r="Y680">
        <v>0.49467361119449421</v>
      </c>
      <c r="Z680" t="str">
        <f>HYPERLINK("Melting_Curves/meltCurve_sp_P12004_PCNA_HUMAN_.pdf", "Melting_Curves/meltCurve_sp_P12004_PCNA_HUMAN_.pdf")</f>
        <v>Melting_Curves/meltCurve_sp_P12004_PCNA_HUMAN_.pdf</v>
      </c>
      <c r="AA680" t="s">
        <v>13553</v>
      </c>
      <c r="AB680" t="s">
        <v>17765</v>
      </c>
    </row>
    <row r="681" spans="1:28" x14ac:dyDescent="0.25">
      <c r="A681" t="s">
        <v>685</v>
      </c>
      <c r="B681">
        <v>0.99876560204751996</v>
      </c>
      <c r="C681">
        <v>1.08356092324708</v>
      </c>
      <c r="D681">
        <v>0.98528249929085698</v>
      </c>
      <c r="E681">
        <v>1.0117637550295899</v>
      </c>
      <c r="F681">
        <v>0.94832645336560595</v>
      </c>
      <c r="G681">
        <v>0.71211811322610996</v>
      </c>
      <c r="H681">
        <v>0.56643362122265695</v>
      </c>
      <c r="I681">
        <v>0.50475044017739701</v>
      </c>
      <c r="J681">
        <v>0.64288243110878796</v>
      </c>
      <c r="K681">
        <v>0.54848732250109899</v>
      </c>
      <c r="L681">
        <v>2253.5897713571999</v>
      </c>
      <c r="M681">
        <v>40.253739525716</v>
      </c>
      <c r="O681">
        <v>55.846978381425401</v>
      </c>
      <c r="P681">
        <v>-7.8938258038491596E-2</v>
      </c>
      <c r="Q681">
        <v>0.56193350743613402</v>
      </c>
      <c r="R681">
        <v>0.96085456599711305</v>
      </c>
      <c r="S681" t="s">
        <v>4977</v>
      </c>
      <c r="T681" t="s">
        <v>8590</v>
      </c>
      <c r="U681" t="s">
        <v>8590</v>
      </c>
      <c r="V681" t="s">
        <v>8590</v>
      </c>
      <c r="W681">
        <v>79</v>
      </c>
      <c r="X681" t="s">
        <v>9271</v>
      </c>
      <c r="Y681">
        <v>0.79700769790236381</v>
      </c>
      <c r="Z681" t="str">
        <f>HYPERLINK("Melting_Curves/meltCurve_sp_P12270_TPR_HUMAN_.pdf", "Melting_Curves/meltCurve_sp_P12270_TPR_HUMAN_.pdf")</f>
        <v>Melting_Curves/meltCurve_sp_P12270_TPR_HUMAN_.pdf</v>
      </c>
      <c r="AA681" t="s">
        <v>13554</v>
      </c>
      <c r="AB681" t="s">
        <v>17766</v>
      </c>
    </row>
    <row r="682" spans="1:28" x14ac:dyDescent="0.25">
      <c r="A682" t="s">
        <v>686</v>
      </c>
      <c r="B682">
        <v>0.99876560204751996</v>
      </c>
      <c r="C682">
        <v>0.85803649669916904</v>
      </c>
      <c r="D682">
        <v>0.68449681567629805</v>
      </c>
      <c r="E682">
        <v>0.37442005068595902</v>
      </c>
      <c r="F682">
        <v>0.21771630968632899</v>
      </c>
      <c r="G682">
        <v>0.13254161216403301</v>
      </c>
      <c r="H682">
        <v>8.5776679486559204E-2</v>
      </c>
      <c r="I682">
        <v>6.8973157508029806E-2</v>
      </c>
      <c r="J682">
        <v>7.6762699426276407E-2</v>
      </c>
      <c r="K682">
        <v>5.88496438353888E-2</v>
      </c>
      <c r="L682">
        <v>782.10348264239497</v>
      </c>
      <c r="M682">
        <v>16.334146408734899</v>
      </c>
      <c r="N682">
        <v>48.2586755460201</v>
      </c>
      <c r="O682">
        <v>47.181078329307098</v>
      </c>
      <c r="P682">
        <v>-8.1369595418658902E-2</v>
      </c>
      <c r="Q682">
        <v>5.99255609090414E-2</v>
      </c>
      <c r="R682">
        <v>0.99842930421453002</v>
      </c>
      <c r="S682" t="s">
        <v>4978</v>
      </c>
      <c r="T682" t="s">
        <v>8590</v>
      </c>
      <c r="U682" t="s">
        <v>8590</v>
      </c>
      <c r="V682" t="s">
        <v>8590</v>
      </c>
      <c r="W682">
        <v>14</v>
      </c>
      <c r="X682" t="s">
        <v>9272</v>
      </c>
      <c r="Y682">
        <v>0.32737966083129227</v>
      </c>
      <c r="Z682" t="str">
        <f>HYPERLINK("Melting_Curves/meltCurve_sp_P12694_ODBA_HUMAN_.pdf", "Melting_Curves/meltCurve_sp_P12694_ODBA_HUMAN_.pdf")</f>
        <v>Melting_Curves/meltCurve_sp_P12694_ODBA_HUMAN_.pdf</v>
      </c>
      <c r="AA682" t="s">
        <v>13555</v>
      </c>
      <c r="AB682" t="s">
        <v>17767</v>
      </c>
    </row>
    <row r="683" spans="1:28" x14ac:dyDescent="0.25">
      <c r="A683" t="s">
        <v>687</v>
      </c>
      <c r="B683">
        <v>0.99876560204751996</v>
      </c>
      <c r="C683">
        <v>1.27065290262857</v>
      </c>
      <c r="D683">
        <v>0.87715543069786805</v>
      </c>
      <c r="E683">
        <v>1.14934175492278</v>
      </c>
      <c r="F683">
        <v>0.92553717105250699</v>
      </c>
      <c r="G683">
        <v>0.62907253917345896</v>
      </c>
      <c r="H683">
        <v>0.51948753680209503</v>
      </c>
      <c r="I683">
        <v>0.42993067561214798</v>
      </c>
      <c r="J683">
        <v>0.45506074555526899</v>
      </c>
      <c r="K683">
        <v>0.37557922575261199</v>
      </c>
      <c r="L683">
        <v>1957.1290898980701</v>
      </c>
      <c r="M683">
        <v>34.837136139364802</v>
      </c>
      <c r="N683">
        <v>59.557530291617702</v>
      </c>
      <c r="O683">
        <v>55.995239665460097</v>
      </c>
      <c r="P683">
        <v>-8.8548989423397895E-2</v>
      </c>
      <c r="Q683">
        <v>0.43068752360523299</v>
      </c>
      <c r="R683">
        <v>0.87168500790719505</v>
      </c>
      <c r="S683" t="s">
        <v>4979</v>
      </c>
      <c r="T683" t="s">
        <v>8590</v>
      </c>
      <c r="U683" t="s">
        <v>8590</v>
      </c>
      <c r="V683" t="s">
        <v>8590</v>
      </c>
      <c r="W683">
        <v>1</v>
      </c>
      <c r="X683" t="s">
        <v>9273</v>
      </c>
      <c r="Y683">
        <v>0.74059612322575818</v>
      </c>
      <c r="Z683" t="str">
        <f>HYPERLINK("Melting_Curves/meltCurve_sp_P12724_ECP_HUMAN_.pdf", "Melting_Curves/meltCurve_sp_P12724_ECP_HUMAN_.pdf")</f>
        <v>Melting_Curves/meltCurve_sp_P12724_ECP_HUMAN_.pdf</v>
      </c>
      <c r="AA683" t="s">
        <v>13556</v>
      </c>
      <c r="AB683" t="s">
        <v>17768</v>
      </c>
    </row>
    <row r="684" spans="1:28" x14ac:dyDescent="0.25">
      <c r="A684" t="s">
        <v>688</v>
      </c>
      <c r="B684">
        <v>0.99876560204751996</v>
      </c>
      <c r="C684">
        <v>1.0055774519944001</v>
      </c>
      <c r="D684">
        <v>0.89424081169562197</v>
      </c>
      <c r="E684">
        <v>1.0048726200284901</v>
      </c>
      <c r="F684">
        <v>0.91549777463249504</v>
      </c>
      <c r="G684">
        <v>0.85682327371046996</v>
      </c>
      <c r="H684">
        <v>0.44501375492183698</v>
      </c>
      <c r="I684">
        <v>8.7259719954647805E-2</v>
      </c>
      <c r="J684">
        <v>5.9934170237575302E-2</v>
      </c>
      <c r="K684">
        <v>5.2311962694055802E-2</v>
      </c>
      <c r="L684">
        <v>1993.7178130976899</v>
      </c>
      <c r="M684">
        <v>33.087504040715203</v>
      </c>
      <c r="N684">
        <v>60.325203046136203</v>
      </c>
      <c r="O684">
        <v>60.037091284435803</v>
      </c>
      <c r="P684">
        <v>-0.13521107684322001</v>
      </c>
      <c r="Q684">
        <v>1.8645388065590001E-2</v>
      </c>
      <c r="R684">
        <v>0.98649104517488695</v>
      </c>
      <c r="S684" t="s">
        <v>4980</v>
      </c>
      <c r="T684" t="s">
        <v>8590</v>
      </c>
      <c r="U684" t="s">
        <v>8590</v>
      </c>
      <c r="V684" t="s">
        <v>8590</v>
      </c>
      <c r="W684">
        <v>62</v>
      </c>
      <c r="X684" t="s">
        <v>9274</v>
      </c>
      <c r="Y684">
        <v>0.68639072534299372</v>
      </c>
      <c r="Z684" t="str">
        <f>HYPERLINK("Melting_Curves/meltCurve_sp_P12814_ACTN1_HUMAN_.pdf", "Melting_Curves/meltCurve_sp_P12814_ACTN1_HUMAN_.pdf")</f>
        <v>Melting_Curves/meltCurve_sp_P12814_ACTN1_HUMAN_.pdf</v>
      </c>
      <c r="AA684" t="s">
        <v>13557</v>
      </c>
      <c r="AB684" t="s">
        <v>17769</v>
      </c>
    </row>
    <row r="685" spans="1:28" x14ac:dyDescent="0.25">
      <c r="A685" t="s">
        <v>689</v>
      </c>
      <c r="B685">
        <v>0.99876560204751996</v>
      </c>
      <c r="C685">
        <v>0.99750777305595795</v>
      </c>
      <c r="D685">
        <v>0.96868604533295999</v>
      </c>
      <c r="E685">
        <v>0.92997608349857996</v>
      </c>
      <c r="F685">
        <v>0.694806653443102</v>
      </c>
      <c r="G685">
        <v>0.32935919505187</v>
      </c>
      <c r="H685">
        <v>0.12979927894023</v>
      </c>
      <c r="I685">
        <v>6.4938344428290107E-2</v>
      </c>
      <c r="J685">
        <v>5.0096749924765302E-2</v>
      </c>
      <c r="K685">
        <v>3.5664759132705601E-2</v>
      </c>
      <c r="L685">
        <v>1252.20992297623</v>
      </c>
      <c r="M685">
        <v>22.793190960796199</v>
      </c>
      <c r="N685">
        <v>55.0990500242997</v>
      </c>
      <c r="O685">
        <v>54.520261503855799</v>
      </c>
      <c r="P685">
        <v>-0.10114873907227299</v>
      </c>
      <c r="Q685">
        <v>3.2246300248311703E-2</v>
      </c>
      <c r="R685">
        <v>0.99934565573126</v>
      </c>
      <c r="S685" t="s">
        <v>4981</v>
      </c>
      <c r="T685" t="s">
        <v>8590</v>
      </c>
      <c r="U685" t="s">
        <v>8590</v>
      </c>
      <c r="V685" t="s">
        <v>8590</v>
      </c>
      <c r="W685">
        <v>18</v>
      </c>
      <c r="X685" t="s">
        <v>9275</v>
      </c>
      <c r="Y685">
        <v>0.52460875482607583</v>
      </c>
      <c r="Z685" t="str">
        <f>HYPERLINK("Melting_Curves/meltCurve_sp_P12955_PEPD_HUMAN_.pdf", "Melting_Curves/meltCurve_sp_P12955_PEPD_HUMAN_.pdf")</f>
        <v>Melting_Curves/meltCurve_sp_P12955_PEPD_HUMAN_.pdf</v>
      </c>
      <c r="AA685" t="s">
        <v>13558</v>
      </c>
      <c r="AB685" t="s">
        <v>17770</v>
      </c>
    </row>
    <row r="686" spans="1:28" x14ac:dyDescent="0.25">
      <c r="A686" t="s">
        <v>690</v>
      </c>
      <c r="B686">
        <v>0.99876560204751996</v>
      </c>
      <c r="C686">
        <v>1.04532732565834</v>
      </c>
      <c r="D686">
        <v>0.94005600956531699</v>
      </c>
      <c r="E686">
        <v>0.87324400155431803</v>
      </c>
      <c r="F686">
        <v>0.58813398830349695</v>
      </c>
      <c r="G686">
        <v>0.27240661033042901</v>
      </c>
      <c r="H686">
        <v>0.108758869676884</v>
      </c>
      <c r="I686">
        <v>8.8119930558181195E-2</v>
      </c>
      <c r="J686">
        <v>8.6529873924971898E-2</v>
      </c>
      <c r="K686">
        <v>7.36630966776705E-2</v>
      </c>
      <c r="L686">
        <v>1240.6419238362901</v>
      </c>
      <c r="M686">
        <v>23.122358514049001</v>
      </c>
      <c r="N686">
        <v>54.001827082906203</v>
      </c>
      <c r="O686">
        <v>53.259014026404401</v>
      </c>
      <c r="P686">
        <v>-0.101060119443484</v>
      </c>
      <c r="Q686">
        <v>6.8907498367198394E-2</v>
      </c>
      <c r="R686">
        <v>0.99696705662216001</v>
      </c>
      <c r="S686" t="s">
        <v>4982</v>
      </c>
      <c r="T686" t="s">
        <v>8590</v>
      </c>
      <c r="U686" t="s">
        <v>8590</v>
      </c>
      <c r="V686" t="s">
        <v>8590</v>
      </c>
      <c r="W686">
        <v>22</v>
      </c>
      <c r="X686" t="s">
        <v>9276</v>
      </c>
      <c r="Y686">
        <v>0.50263949298147004</v>
      </c>
      <c r="Z686" t="str">
        <f>HYPERLINK("Melting_Curves/meltCurve_sp_P12956_XRCC6_HUMAN_.pdf", "Melting_Curves/meltCurve_sp_P12956_XRCC6_HUMAN_.pdf")</f>
        <v>Melting_Curves/meltCurve_sp_P12956_XRCC6_HUMAN_.pdf</v>
      </c>
      <c r="AA686" t="s">
        <v>13559</v>
      </c>
      <c r="AB686" t="s">
        <v>17771</v>
      </c>
    </row>
    <row r="687" spans="1:28" x14ac:dyDescent="0.25">
      <c r="A687" t="s">
        <v>691</v>
      </c>
      <c r="B687">
        <v>0.99876560204751996</v>
      </c>
      <c r="C687">
        <v>0.94989540023524699</v>
      </c>
      <c r="D687">
        <v>1.0057613616163501</v>
      </c>
      <c r="E687">
        <v>0.90814060452850398</v>
      </c>
      <c r="F687">
        <v>0.94895877755950397</v>
      </c>
      <c r="G687">
        <v>0.74095514719894995</v>
      </c>
      <c r="H687">
        <v>0.56082356184446103</v>
      </c>
      <c r="I687">
        <v>0.52761238325150805</v>
      </c>
      <c r="J687">
        <v>0.62132067830354598</v>
      </c>
      <c r="K687">
        <v>0.59755587944293098</v>
      </c>
      <c r="L687">
        <v>1920.3917723859199</v>
      </c>
      <c r="M687">
        <v>34.268547265062402</v>
      </c>
      <c r="O687">
        <v>55.849682384783897</v>
      </c>
      <c r="P687">
        <v>-6.5739935494258397E-2</v>
      </c>
      <c r="Q687">
        <v>0.57143904035913695</v>
      </c>
      <c r="R687">
        <v>0.95126435790914399</v>
      </c>
      <c r="S687" t="s">
        <v>4983</v>
      </c>
      <c r="T687" t="s">
        <v>8590</v>
      </c>
      <c r="U687" t="s">
        <v>8590</v>
      </c>
      <c r="V687" t="s">
        <v>8590</v>
      </c>
      <c r="W687">
        <v>14</v>
      </c>
      <c r="X687" t="s">
        <v>9277</v>
      </c>
      <c r="Y687">
        <v>0.8027963706376281</v>
      </c>
      <c r="Z687" t="str">
        <f>HYPERLINK("Melting_Curves/meltCurve_sp_P13010_XRCC5_HUMAN_.pdf", "Melting_Curves/meltCurve_sp_P13010_XRCC5_HUMAN_.pdf")</f>
        <v>Melting_Curves/meltCurve_sp_P13010_XRCC5_HUMAN_.pdf</v>
      </c>
      <c r="AA687" t="s">
        <v>13560</v>
      </c>
      <c r="AB687" t="s">
        <v>17772</v>
      </c>
    </row>
    <row r="688" spans="1:28" x14ac:dyDescent="0.25">
      <c r="A688" t="s">
        <v>692</v>
      </c>
      <c r="B688">
        <v>0.99876560204751996</v>
      </c>
      <c r="C688">
        <v>1.0612718533666401</v>
      </c>
      <c r="D688">
        <v>0.93222708675070098</v>
      </c>
      <c r="E688">
        <v>0.81477794226974698</v>
      </c>
      <c r="F688">
        <v>0.65738099652756499</v>
      </c>
      <c r="G688">
        <v>0.47717508618945298</v>
      </c>
      <c r="H688">
        <v>0.40442873434829602</v>
      </c>
      <c r="I688">
        <v>0.38225116707616302</v>
      </c>
      <c r="J688">
        <v>0.48878356877532497</v>
      </c>
      <c r="K688">
        <v>0.47091950216915102</v>
      </c>
      <c r="L688">
        <v>1206.45442028348</v>
      </c>
      <c r="M688">
        <v>23.3450574574637</v>
      </c>
      <c r="N688">
        <v>56.4567234944343</v>
      </c>
      <c r="O688">
        <v>51.304495210401299</v>
      </c>
      <c r="P688">
        <v>-6.47683345965335E-2</v>
      </c>
      <c r="Q688">
        <v>0.43065497526630497</v>
      </c>
      <c r="R688">
        <v>0.97428184614478797</v>
      </c>
      <c r="S688" t="s">
        <v>4984</v>
      </c>
      <c r="T688" t="s">
        <v>8590</v>
      </c>
      <c r="U688" t="s">
        <v>8590</v>
      </c>
      <c r="V688" t="s">
        <v>8590</v>
      </c>
      <c r="W688">
        <v>5</v>
      </c>
      <c r="X688" t="s">
        <v>9278</v>
      </c>
      <c r="Y688">
        <v>0.65821596126185444</v>
      </c>
      <c r="Z688" t="str">
        <f>HYPERLINK("Melting_Curves/meltCurve_sp_P13073_COX41_HUMAN_.pdf", "Melting_Curves/meltCurve_sp_P13073_COX41_HUMAN_.pdf")</f>
        <v>Melting_Curves/meltCurve_sp_P13073_COX41_HUMAN_.pdf</v>
      </c>
      <c r="AA688" t="s">
        <v>13561</v>
      </c>
      <c r="AB688" t="s">
        <v>17773</v>
      </c>
    </row>
    <row r="689" spans="1:28" x14ac:dyDescent="0.25">
      <c r="A689" t="s">
        <v>693</v>
      </c>
      <c r="B689">
        <v>0.99876560204751996</v>
      </c>
      <c r="C689">
        <v>0.93513886989561901</v>
      </c>
      <c r="D689">
        <v>0.85690628674679903</v>
      </c>
      <c r="E689">
        <v>0.66359025743602096</v>
      </c>
      <c r="F689">
        <v>0.41090312961557302</v>
      </c>
      <c r="G689">
        <v>0.29826932944191897</v>
      </c>
      <c r="H689">
        <v>0.21021053178267299</v>
      </c>
      <c r="I689">
        <v>0.17773273572290599</v>
      </c>
      <c r="J689">
        <v>0.20615952070444599</v>
      </c>
      <c r="K689">
        <v>0.192265996119766</v>
      </c>
      <c r="L689">
        <v>841.651300572894</v>
      </c>
      <c r="M689">
        <v>16.6258211354453</v>
      </c>
      <c r="N689">
        <v>51.9634147427345</v>
      </c>
      <c r="O689">
        <v>49.907774390370797</v>
      </c>
      <c r="P689">
        <v>-6.8765766167144596E-2</v>
      </c>
      <c r="Q689">
        <v>0.17436503843708001</v>
      </c>
      <c r="R689">
        <v>0.99603382608829805</v>
      </c>
      <c r="S689" t="s">
        <v>4985</v>
      </c>
      <c r="T689" t="s">
        <v>8590</v>
      </c>
      <c r="U689" t="s">
        <v>8590</v>
      </c>
      <c r="V689" t="s">
        <v>8590</v>
      </c>
      <c r="W689">
        <v>4</v>
      </c>
      <c r="X689" t="s">
        <v>9279</v>
      </c>
      <c r="Y689">
        <v>0.48286167127329038</v>
      </c>
      <c r="Z689" t="str">
        <f>HYPERLINK("Melting_Curves/meltCurve_sp_P13196_HEM1_HUMAN_.pdf", "Melting_Curves/meltCurve_sp_P13196_HEM1_HUMAN_.pdf")</f>
        <v>Melting_Curves/meltCurve_sp_P13196_HEM1_HUMAN_.pdf</v>
      </c>
      <c r="AA689" t="s">
        <v>13562</v>
      </c>
      <c r="AB689" t="s">
        <v>17774</v>
      </c>
    </row>
    <row r="690" spans="1:28" x14ac:dyDescent="0.25">
      <c r="A690" t="s">
        <v>694</v>
      </c>
      <c r="B690">
        <v>0.99876560204751996</v>
      </c>
      <c r="C690">
        <v>0.83176691099642897</v>
      </c>
      <c r="D690">
        <v>0.88126241863281496</v>
      </c>
      <c r="E690">
        <v>0.796487293563097</v>
      </c>
      <c r="F690">
        <v>0.74105700368460103</v>
      </c>
      <c r="G690">
        <v>0.58289515154339</v>
      </c>
      <c r="H690">
        <v>0.34665892179244101</v>
      </c>
      <c r="I690">
        <v>0.264781838542759</v>
      </c>
      <c r="J690">
        <v>0.236090832588887</v>
      </c>
      <c r="K690">
        <v>0.22898588843409701</v>
      </c>
      <c r="L690">
        <v>485.93360659950702</v>
      </c>
      <c r="M690">
        <v>8.3843834998451001</v>
      </c>
      <c r="N690">
        <v>57.9569879091462</v>
      </c>
      <c r="O690">
        <v>54.941316461657102</v>
      </c>
      <c r="P690">
        <v>-3.8187723962422801E-2</v>
      </c>
      <c r="Q690">
        <v>0</v>
      </c>
      <c r="R690">
        <v>0.96708352545805498</v>
      </c>
      <c r="S690" t="s">
        <v>4986</v>
      </c>
      <c r="T690" t="s">
        <v>8590</v>
      </c>
      <c r="U690" t="s">
        <v>8590</v>
      </c>
      <c r="V690" t="s">
        <v>8590</v>
      </c>
      <c r="W690">
        <v>2</v>
      </c>
      <c r="X690" t="s">
        <v>9280</v>
      </c>
      <c r="Y690">
        <v>0.60409214909709619</v>
      </c>
      <c r="Z690" t="str">
        <f>HYPERLINK("Melting_Curves/meltCurve_sp_P13284_GILT_HUMAN_.pdf", "Melting_Curves/meltCurve_sp_P13284_GILT_HUMAN_.pdf")</f>
        <v>Melting_Curves/meltCurve_sp_P13284_GILT_HUMAN_.pdf</v>
      </c>
      <c r="AA690" t="s">
        <v>13563</v>
      </c>
      <c r="AB690" t="s">
        <v>17775</v>
      </c>
    </row>
    <row r="691" spans="1:28" x14ac:dyDescent="0.25">
      <c r="A691" t="s">
        <v>695</v>
      </c>
      <c r="B691">
        <v>0.99876560204751996</v>
      </c>
      <c r="C691">
        <v>0.817524701448335</v>
      </c>
      <c r="D691">
        <v>0.92298530903130205</v>
      </c>
      <c r="E691">
        <v>0.65164062425260205</v>
      </c>
      <c r="F691">
        <v>0.62652762735728595</v>
      </c>
      <c r="G691">
        <v>0.55910324135467304</v>
      </c>
      <c r="H691">
        <v>0.36712249825014598</v>
      </c>
      <c r="I691">
        <v>0.34678085494463701</v>
      </c>
      <c r="J691">
        <v>0.50298823280721805</v>
      </c>
      <c r="K691">
        <v>0.62507154028355305</v>
      </c>
      <c r="L691">
        <v>704.37004735568598</v>
      </c>
      <c r="M691">
        <v>14.4276427523015</v>
      </c>
      <c r="N691">
        <v>59.159561877308398</v>
      </c>
      <c r="O691">
        <v>47.9117078952696</v>
      </c>
      <c r="P691">
        <v>-4.0670478668016499E-2</v>
      </c>
      <c r="Q691">
        <v>0.45982519897853102</v>
      </c>
      <c r="R691">
        <v>0.80669944219843903</v>
      </c>
      <c r="S691" t="s">
        <v>4987</v>
      </c>
      <c r="T691" t="s">
        <v>8590</v>
      </c>
      <c r="U691" t="s">
        <v>8590</v>
      </c>
      <c r="V691" t="s">
        <v>8590</v>
      </c>
      <c r="W691">
        <v>2</v>
      </c>
      <c r="X691" t="s">
        <v>9281</v>
      </c>
      <c r="Y691">
        <v>0.63309579620948497</v>
      </c>
      <c r="Z691" t="str">
        <f>HYPERLINK("Melting_Curves/meltCurve_sp_P13473_LAMP2_HUMAN_.pdf", "Melting_Curves/meltCurve_sp_P13473_LAMP2_HUMAN_.pdf")</f>
        <v>Melting_Curves/meltCurve_sp_P13473_LAMP2_HUMAN_.pdf</v>
      </c>
      <c r="AA691" t="s">
        <v>13564</v>
      </c>
      <c r="AB691" t="s">
        <v>17776</v>
      </c>
    </row>
    <row r="692" spans="1:28" x14ac:dyDescent="0.25">
      <c r="A692" t="s">
        <v>696</v>
      </c>
      <c r="B692">
        <v>0.99876560204751996</v>
      </c>
      <c r="C692">
        <v>0.95810544494137195</v>
      </c>
      <c r="D692">
        <v>0.970320143849564</v>
      </c>
      <c r="E692">
        <v>0.93414762044100097</v>
      </c>
      <c r="F692">
        <v>0.86059536622084298</v>
      </c>
      <c r="G692">
        <v>0.60456352982306005</v>
      </c>
      <c r="H692">
        <v>0.473939337253377</v>
      </c>
      <c r="I692">
        <v>0.42336812284756797</v>
      </c>
      <c r="J692">
        <v>0.38876949184149201</v>
      </c>
      <c r="K692">
        <v>0.29253725724860302</v>
      </c>
      <c r="L692">
        <v>912.39483559102302</v>
      </c>
      <c r="M692">
        <v>16.070710524513899</v>
      </c>
      <c r="N692">
        <v>60.235191155004301</v>
      </c>
      <c r="O692">
        <v>55.916498416166597</v>
      </c>
      <c r="P692">
        <v>-5.01966031995318E-2</v>
      </c>
      <c r="Q692">
        <v>0.301436570238932</v>
      </c>
      <c r="R692">
        <v>0.99007641913316302</v>
      </c>
      <c r="S692" t="s">
        <v>4988</v>
      </c>
      <c r="T692" t="s">
        <v>8590</v>
      </c>
      <c r="U692" t="s">
        <v>8590</v>
      </c>
      <c r="V692" t="s">
        <v>8590</v>
      </c>
      <c r="W692">
        <v>25</v>
      </c>
      <c r="X692" t="s">
        <v>9282</v>
      </c>
      <c r="Y692">
        <v>0.70285252023436562</v>
      </c>
      <c r="Z692" t="str">
        <f>HYPERLINK("Melting_Curves/meltCurve_sp_P13489_RINI_HUMAN_.pdf", "Melting_Curves/meltCurve_sp_P13489_RINI_HUMAN_.pdf")</f>
        <v>Melting_Curves/meltCurve_sp_P13489_RINI_HUMAN_.pdf</v>
      </c>
      <c r="AA692" t="s">
        <v>13565</v>
      </c>
      <c r="AB692" t="s">
        <v>17777</v>
      </c>
    </row>
    <row r="693" spans="1:28" x14ac:dyDescent="0.25">
      <c r="A693" t="s">
        <v>697</v>
      </c>
      <c r="B693">
        <v>0.99876560204751996</v>
      </c>
      <c r="C693">
        <v>1.0393185176438799</v>
      </c>
      <c r="D693">
        <v>1.0141463795910699</v>
      </c>
      <c r="E693">
        <v>1.01222556558006</v>
      </c>
      <c r="F693">
        <v>0.88187696797862403</v>
      </c>
      <c r="G693">
        <v>0.42176063254255403</v>
      </c>
      <c r="H693">
        <v>0.100344498589688</v>
      </c>
      <c r="I693">
        <v>6.7136824663929895E-2</v>
      </c>
      <c r="J693">
        <v>5.7147784748221499E-2</v>
      </c>
      <c r="K693">
        <v>4.9905272361154898E-2</v>
      </c>
      <c r="L693">
        <v>1913.48670235598</v>
      </c>
      <c r="M693">
        <v>34.033902734786999</v>
      </c>
      <c r="N693">
        <v>56.393612711667501</v>
      </c>
      <c r="O693">
        <v>56.029912943116699</v>
      </c>
      <c r="P693">
        <v>-0.14442581271778299</v>
      </c>
      <c r="Q693">
        <v>4.89326043666432E-2</v>
      </c>
      <c r="R693">
        <v>0.998579348600798</v>
      </c>
      <c r="S693" t="s">
        <v>4989</v>
      </c>
      <c r="T693" t="s">
        <v>8590</v>
      </c>
      <c r="U693" t="s">
        <v>8590</v>
      </c>
      <c r="V693" t="s">
        <v>8590</v>
      </c>
      <c r="W693">
        <v>56</v>
      </c>
      <c r="X693" t="s">
        <v>9283</v>
      </c>
      <c r="Y693">
        <v>0.56825309278293346</v>
      </c>
      <c r="Z693" t="str">
        <f>HYPERLINK("Melting_Curves/meltCurve_sp_P13639_EF2_HUMAN_.pdf", "Melting_Curves/meltCurve_sp_P13639_EF2_HUMAN_.pdf")</f>
        <v>Melting_Curves/meltCurve_sp_P13639_EF2_HUMAN_.pdf</v>
      </c>
      <c r="AA693" t="s">
        <v>13566</v>
      </c>
      <c r="AB693" t="s">
        <v>17778</v>
      </c>
    </row>
    <row r="694" spans="1:28" x14ac:dyDescent="0.25">
      <c r="A694" t="s">
        <v>698</v>
      </c>
      <c r="B694">
        <v>0.99876560204751996</v>
      </c>
      <c r="C694">
        <v>1.10432293464762</v>
      </c>
      <c r="D694">
        <v>1.12403095232868</v>
      </c>
      <c r="E694">
        <v>1.0820486913099701</v>
      </c>
      <c r="F694">
        <v>1.26009382641458</v>
      </c>
      <c r="G694">
        <v>1.10444456108137</v>
      </c>
      <c r="H694">
        <v>1.5913239355869899</v>
      </c>
      <c r="I694">
        <v>2.5198168636732201</v>
      </c>
      <c r="J694">
        <v>4.2386212306690103</v>
      </c>
      <c r="K694">
        <v>3.4875691375429301</v>
      </c>
      <c r="L694">
        <v>14325.9030728659</v>
      </c>
      <c r="M694">
        <v>250</v>
      </c>
      <c r="O694">
        <v>57.299945246639297</v>
      </c>
      <c r="P694">
        <v>0.54537573998615396</v>
      </c>
      <c r="Q694">
        <v>1.5</v>
      </c>
      <c r="R694">
        <v>-3.2410515427413203E-2</v>
      </c>
      <c r="S694" t="s">
        <v>4990</v>
      </c>
      <c r="T694" t="s">
        <v>8590</v>
      </c>
      <c r="U694" t="s">
        <v>8590</v>
      </c>
      <c r="V694" t="s">
        <v>8590</v>
      </c>
      <c r="W694">
        <v>6</v>
      </c>
      <c r="X694" t="s">
        <v>9284</v>
      </c>
      <c r="Y694">
        <v>1.2115561783350759</v>
      </c>
      <c r="Z694" t="str">
        <f>HYPERLINK("Melting_Curves/meltCurve_sp_P13640_2_MT1G_HUMAN_.pdf", "Melting_Curves/meltCurve_sp_P13640_2_MT1G_HUMAN_.pdf")</f>
        <v>Melting_Curves/meltCurve_sp_P13640_2_MT1G_HUMAN_.pdf</v>
      </c>
      <c r="AA694" t="s">
        <v>13567</v>
      </c>
      <c r="AB694" t="s">
        <v>17779</v>
      </c>
    </row>
    <row r="695" spans="1:28" x14ac:dyDescent="0.25">
      <c r="A695" t="s">
        <v>699</v>
      </c>
      <c r="B695">
        <v>0.99876560204751996</v>
      </c>
      <c r="C695">
        <v>1.0650112246282599</v>
      </c>
      <c r="D695">
        <v>1.15774465000803</v>
      </c>
      <c r="E695">
        <v>1.1334647491488199</v>
      </c>
      <c r="F695">
        <v>1.17508409315575</v>
      </c>
      <c r="G695">
        <v>1.02881410848916</v>
      </c>
      <c r="H695">
        <v>0.786038263936645</v>
      </c>
      <c r="I695">
        <v>0.99727756672411505</v>
      </c>
      <c r="J695">
        <v>1.0801536418898601</v>
      </c>
      <c r="K695">
        <v>1.29908679107517</v>
      </c>
      <c r="L695">
        <v>10667.949873760201</v>
      </c>
      <c r="M695">
        <v>250</v>
      </c>
      <c r="O695">
        <v>42.669064488466901</v>
      </c>
      <c r="P695">
        <v>0.120415065770167</v>
      </c>
      <c r="Q695">
        <v>1.08220797949824</v>
      </c>
      <c r="R695">
        <v>3.7161036425592799E-2</v>
      </c>
      <c r="S695" t="s">
        <v>4991</v>
      </c>
      <c r="T695" t="s">
        <v>8590</v>
      </c>
      <c r="U695" t="s">
        <v>8590</v>
      </c>
      <c r="V695" t="s">
        <v>8590</v>
      </c>
      <c r="W695">
        <v>6</v>
      </c>
      <c r="X695" t="s">
        <v>9285</v>
      </c>
      <c r="Y695">
        <v>1.0748803817855761</v>
      </c>
      <c r="Z695" t="str">
        <f>HYPERLINK("Melting_Curves/meltCurve_sp_P13640_MT1G_HUMAN_.pdf", "Melting_Curves/meltCurve_sp_P13640_MT1G_HUMAN_.pdf")</f>
        <v>Melting_Curves/meltCurve_sp_P13640_MT1G_HUMAN_.pdf</v>
      </c>
      <c r="AA695" t="s">
        <v>13567</v>
      </c>
      <c r="AB695" t="s">
        <v>17780</v>
      </c>
    </row>
    <row r="696" spans="1:28" x14ac:dyDescent="0.25">
      <c r="A696" t="s">
        <v>700</v>
      </c>
      <c r="B696">
        <v>0.99876560204751996</v>
      </c>
      <c r="C696">
        <v>0.64232700934480302</v>
      </c>
      <c r="D696">
        <v>0.53301069030884096</v>
      </c>
      <c r="E696">
        <v>1.08106228688076</v>
      </c>
      <c r="F696">
        <v>0.60969601370920101</v>
      </c>
      <c r="G696">
        <v>0.32766195775328599</v>
      </c>
      <c r="H696">
        <v>0.31854731602157399</v>
      </c>
      <c r="I696">
        <v>0.54986886378561906</v>
      </c>
      <c r="J696">
        <v>0.17647220776595199</v>
      </c>
      <c r="K696">
        <v>1.2054604995948399</v>
      </c>
      <c r="L696">
        <v>539.38505061375201</v>
      </c>
      <c r="M696">
        <v>12.598437839492499</v>
      </c>
      <c r="O696">
        <v>41.777911059820802</v>
      </c>
      <c r="P696">
        <v>-3.3005959651023598E-2</v>
      </c>
      <c r="Q696">
        <v>0.56228068989435498</v>
      </c>
      <c r="R696">
        <v>0.11090516445109901</v>
      </c>
      <c r="S696" t="s">
        <v>4992</v>
      </c>
      <c r="T696" t="s">
        <v>8590</v>
      </c>
      <c r="U696" t="s">
        <v>8590</v>
      </c>
      <c r="V696" t="s">
        <v>8590</v>
      </c>
      <c r="W696">
        <v>12</v>
      </c>
      <c r="X696" t="s">
        <v>9286</v>
      </c>
      <c r="Y696">
        <v>0.62926016737776291</v>
      </c>
      <c r="Z696" t="str">
        <f>HYPERLINK("Melting_Curves/meltCurve_sp_P13647_K2C5_HUMAN_.pdf", "Melting_Curves/meltCurve_sp_P13647_K2C5_HUMAN_.pdf")</f>
        <v>Melting_Curves/meltCurve_sp_P13647_K2C5_HUMAN_.pdf</v>
      </c>
      <c r="AA696" t="s">
        <v>13568</v>
      </c>
      <c r="AB696" t="s">
        <v>17781</v>
      </c>
    </row>
    <row r="697" spans="1:28" x14ac:dyDescent="0.25">
      <c r="A697" t="s">
        <v>701</v>
      </c>
      <c r="B697">
        <v>0.99876560204751996</v>
      </c>
      <c r="C697">
        <v>0.976113924610991</v>
      </c>
      <c r="D697">
        <v>1.01116731657375</v>
      </c>
      <c r="E697">
        <v>0.95175643086252404</v>
      </c>
      <c r="F697">
        <v>0.81586063906398798</v>
      </c>
      <c r="G697">
        <v>0.46234294332425702</v>
      </c>
      <c r="H697">
        <v>0.248547166550147</v>
      </c>
      <c r="I697">
        <v>0.176124189546708</v>
      </c>
      <c r="J697">
        <v>0.153055734177377</v>
      </c>
      <c r="K697">
        <v>0.11654816841769899</v>
      </c>
      <c r="L697">
        <v>1295.28856951794</v>
      </c>
      <c r="M697">
        <v>23.144700706373399</v>
      </c>
      <c r="N697">
        <v>56.673311774193898</v>
      </c>
      <c r="O697">
        <v>55.552029731514303</v>
      </c>
      <c r="P697">
        <v>-9.10747285379572E-2</v>
      </c>
      <c r="Q697">
        <v>0.12562384830143999</v>
      </c>
      <c r="R697">
        <v>0.99895479960125499</v>
      </c>
      <c r="S697" t="s">
        <v>4993</v>
      </c>
      <c r="T697" t="s">
        <v>8590</v>
      </c>
      <c r="U697" t="s">
        <v>8590</v>
      </c>
      <c r="V697" t="s">
        <v>8590</v>
      </c>
      <c r="W697">
        <v>56</v>
      </c>
      <c r="X697" t="s">
        <v>9287</v>
      </c>
      <c r="Y697">
        <v>0.60003009072786184</v>
      </c>
      <c r="Z697" t="str">
        <f>HYPERLINK("Melting_Curves/meltCurve_sp_P13667_PDIA4_HUMAN_.pdf", "Melting_Curves/meltCurve_sp_P13667_PDIA4_HUMAN_.pdf")</f>
        <v>Melting_Curves/meltCurve_sp_P13667_PDIA4_HUMAN_.pdf</v>
      </c>
      <c r="AA697" t="s">
        <v>13569</v>
      </c>
      <c r="AB697" t="s">
        <v>17782</v>
      </c>
    </row>
    <row r="698" spans="1:28" x14ac:dyDescent="0.25">
      <c r="A698" t="s">
        <v>702</v>
      </c>
      <c r="B698">
        <v>0.99876560204751996</v>
      </c>
      <c r="C698">
        <v>0.99666884942006195</v>
      </c>
      <c r="D698">
        <v>0.93912580496264697</v>
      </c>
      <c r="E698">
        <v>0.92344516935890897</v>
      </c>
      <c r="F698">
        <v>0.80308678088058105</v>
      </c>
      <c r="G698">
        <v>0.18281303024343401</v>
      </c>
      <c r="H698">
        <v>0.109823263312794</v>
      </c>
      <c r="I698">
        <v>8.8825824594386996E-2</v>
      </c>
      <c r="J698">
        <v>9.3304299173866401E-2</v>
      </c>
      <c r="K698">
        <v>7.9196163541870604E-2</v>
      </c>
      <c r="L698">
        <v>2451.2647814117799</v>
      </c>
      <c r="M698">
        <v>45.0379892825976</v>
      </c>
      <c r="N698">
        <v>54.663287873179698</v>
      </c>
      <c r="O698">
        <v>54.3196355337925</v>
      </c>
      <c r="P698">
        <v>-0.18891923378800801</v>
      </c>
      <c r="Q698">
        <v>8.8590836644362805E-2</v>
      </c>
      <c r="R698">
        <v>0.99542351949983798</v>
      </c>
      <c r="S698" t="s">
        <v>4994</v>
      </c>
      <c r="T698" t="s">
        <v>8590</v>
      </c>
      <c r="U698" t="s">
        <v>8590</v>
      </c>
      <c r="V698" t="s">
        <v>8590</v>
      </c>
      <c r="W698">
        <v>10</v>
      </c>
      <c r="X698" t="s">
        <v>9288</v>
      </c>
      <c r="Y698">
        <v>0.52957292666351419</v>
      </c>
      <c r="Z698" t="str">
        <f>HYPERLINK("Melting_Curves/meltCurve_sp_P13671_CO6_HUMAN_.pdf", "Melting_Curves/meltCurve_sp_P13671_CO6_HUMAN_.pdf")</f>
        <v>Melting_Curves/meltCurve_sp_P13671_CO6_HUMAN_.pdf</v>
      </c>
      <c r="AA698" t="s">
        <v>13570</v>
      </c>
      <c r="AB698" t="s">
        <v>17783</v>
      </c>
    </row>
    <row r="699" spans="1:28" x14ac:dyDescent="0.25">
      <c r="A699" t="s">
        <v>703</v>
      </c>
      <c r="B699">
        <v>0.99876560204751996</v>
      </c>
      <c r="C699">
        <v>1.0074341663858799</v>
      </c>
      <c r="D699">
        <v>0.73633294691550399</v>
      </c>
      <c r="E699">
        <v>0.37417534048148599</v>
      </c>
      <c r="F699">
        <v>0.22452423169694</v>
      </c>
      <c r="G699">
        <v>0.140031486270805</v>
      </c>
      <c r="H699">
        <v>0.10530852676298599</v>
      </c>
      <c r="I699">
        <v>9.0043092731157306E-2</v>
      </c>
      <c r="J699">
        <v>0.112504715975521</v>
      </c>
      <c r="K699">
        <v>9.92393272130873E-2</v>
      </c>
      <c r="L699">
        <v>1078.4126595636501</v>
      </c>
      <c r="M699">
        <v>22.405897919528599</v>
      </c>
      <c r="N699">
        <v>48.636455792035299</v>
      </c>
      <c r="O699">
        <v>47.7522713803694</v>
      </c>
      <c r="P699">
        <v>-0.105115908307261</v>
      </c>
      <c r="Q699">
        <v>0.10391107860483099</v>
      </c>
      <c r="R699">
        <v>0.995619407803912</v>
      </c>
      <c r="S699" t="s">
        <v>4995</v>
      </c>
      <c r="T699" t="s">
        <v>8590</v>
      </c>
      <c r="U699" t="s">
        <v>8590</v>
      </c>
      <c r="V699" t="s">
        <v>8590</v>
      </c>
      <c r="W699">
        <v>16</v>
      </c>
      <c r="X699" t="s">
        <v>9289</v>
      </c>
      <c r="Y699">
        <v>0.3567609659194787</v>
      </c>
      <c r="Z699" t="str">
        <f>HYPERLINK("Melting_Curves/meltCurve_sp_P13674_2_P4HA1_HUMAN_.pdf", "Melting_Curves/meltCurve_sp_P13674_2_P4HA1_HUMAN_.pdf")</f>
        <v>Melting_Curves/meltCurve_sp_P13674_2_P4HA1_HUMAN_.pdf</v>
      </c>
      <c r="AA699" t="s">
        <v>13571</v>
      </c>
      <c r="AB699" t="s">
        <v>17784</v>
      </c>
    </row>
    <row r="700" spans="1:28" x14ac:dyDescent="0.25">
      <c r="A700" t="s">
        <v>704</v>
      </c>
      <c r="B700">
        <v>0.99876560204751996</v>
      </c>
      <c r="C700">
        <v>0.929804005116739</v>
      </c>
      <c r="D700">
        <v>1.0834573407921699</v>
      </c>
      <c r="E700">
        <v>0.85130595758179395</v>
      </c>
      <c r="F700">
        <v>0.70355298631162</v>
      </c>
      <c r="G700">
        <v>0.46630115733361299</v>
      </c>
      <c r="H700">
        <v>0.39374030211489702</v>
      </c>
      <c r="I700">
        <v>0.39739200633895</v>
      </c>
      <c r="J700">
        <v>0.46521233671263301</v>
      </c>
      <c r="K700">
        <v>0.455988252609068</v>
      </c>
      <c r="L700">
        <v>1517.4741211887799</v>
      </c>
      <c r="M700">
        <v>28.8800101567147</v>
      </c>
      <c r="N700">
        <v>56.210171318163397</v>
      </c>
      <c r="O700">
        <v>52.294102804204698</v>
      </c>
      <c r="P700">
        <v>-7.9529373981386098E-2</v>
      </c>
      <c r="Q700">
        <v>0.42397725977015299</v>
      </c>
      <c r="R700">
        <v>0.96800916908410595</v>
      </c>
      <c r="S700" t="s">
        <v>4996</v>
      </c>
      <c r="T700" t="s">
        <v>8590</v>
      </c>
      <c r="U700" t="s">
        <v>8590</v>
      </c>
      <c r="V700" t="s">
        <v>8590</v>
      </c>
      <c r="W700">
        <v>9</v>
      </c>
      <c r="X700" t="s">
        <v>9290</v>
      </c>
      <c r="Y700">
        <v>0.66883259698572373</v>
      </c>
      <c r="Z700" t="str">
        <f>HYPERLINK("Melting_Curves/meltCurve_sp_P13693_TCTP_HUMAN_.pdf", "Melting_Curves/meltCurve_sp_P13693_TCTP_HUMAN_.pdf")</f>
        <v>Melting_Curves/meltCurve_sp_P13693_TCTP_HUMAN_.pdf</v>
      </c>
      <c r="AA700" t="s">
        <v>13572</v>
      </c>
      <c r="AB700" t="s">
        <v>17785</v>
      </c>
    </row>
    <row r="701" spans="1:28" x14ac:dyDescent="0.25">
      <c r="A701" t="s">
        <v>705</v>
      </c>
      <c r="B701">
        <v>0.99876560204751996</v>
      </c>
      <c r="C701">
        <v>0.93101323196839003</v>
      </c>
      <c r="D701">
        <v>0.92791498074328604</v>
      </c>
      <c r="E701">
        <v>0.90370135447980804</v>
      </c>
      <c r="F701">
        <v>0.86574871447734703</v>
      </c>
      <c r="G701">
        <v>0.65580863272554002</v>
      </c>
      <c r="H701">
        <v>0.59355875433640104</v>
      </c>
      <c r="I701">
        <v>0.52701785340854901</v>
      </c>
      <c r="J701">
        <v>0.54059679416858397</v>
      </c>
      <c r="K701">
        <v>0.18717103509095601</v>
      </c>
      <c r="L701">
        <v>502.87296689728601</v>
      </c>
      <c r="M701">
        <v>7.8834516129853096</v>
      </c>
      <c r="N701">
        <v>63.7884241019499</v>
      </c>
      <c r="O701">
        <v>60.075196826532299</v>
      </c>
      <c r="P701">
        <v>-3.2845790889245899E-2</v>
      </c>
      <c r="Q701">
        <v>0</v>
      </c>
      <c r="R701">
        <v>0.91874226227252997</v>
      </c>
      <c r="S701" t="s">
        <v>4997</v>
      </c>
      <c r="T701" t="s">
        <v>8590</v>
      </c>
      <c r="U701" t="s">
        <v>8590</v>
      </c>
      <c r="V701" t="s">
        <v>8590</v>
      </c>
      <c r="W701">
        <v>20</v>
      </c>
      <c r="X701" t="s">
        <v>9291</v>
      </c>
      <c r="Y701">
        <v>0.73266367051948622</v>
      </c>
      <c r="Z701" t="str">
        <f>HYPERLINK("Melting_Curves/meltCurve_sp_P13796_PLSL_HUMAN_.pdf", "Melting_Curves/meltCurve_sp_P13796_PLSL_HUMAN_.pdf")</f>
        <v>Melting_Curves/meltCurve_sp_P13796_PLSL_HUMAN_.pdf</v>
      </c>
      <c r="AA701" t="s">
        <v>13573</v>
      </c>
      <c r="AB701" t="s">
        <v>17786</v>
      </c>
    </row>
    <row r="702" spans="1:28" x14ac:dyDescent="0.25">
      <c r="A702" t="s">
        <v>706</v>
      </c>
      <c r="B702">
        <v>0.99876560204751996</v>
      </c>
      <c r="C702">
        <v>0.95571263967850995</v>
      </c>
      <c r="D702">
        <v>1.0283348473218801</v>
      </c>
      <c r="E702">
        <v>0.96836561813870403</v>
      </c>
      <c r="F702">
        <v>1.0309451552187401</v>
      </c>
      <c r="G702">
        <v>0.54792984037019998</v>
      </c>
      <c r="H702">
        <v>0.15807190204674901</v>
      </c>
      <c r="I702">
        <v>0.125975424129317</v>
      </c>
      <c r="J702">
        <v>0.12609780456008299</v>
      </c>
      <c r="K702">
        <v>9.9083034201353504E-2</v>
      </c>
      <c r="L702">
        <v>3846.2700238173902</v>
      </c>
      <c r="M702">
        <v>67.534679578187195</v>
      </c>
      <c r="N702">
        <v>57.194948720281502</v>
      </c>
      <c r="O702">
        <v>56.902642428261103</v>
      </c>
      <c r="P702">
        <v>-0.25978447293250501</v>
      </c>
      <c r="Q702">
        <v>0.124454620947254</v>
      </c>
      <c r="R702">
        <v>0.99625710689920999</v>
      </c>
      <c r="S702" t="s">
        <v>4998</v>
      </c>
      <c r="T702" t="s">
        <v>8590</v>
      </c>
      <c r="U702" t="s">
        <v>8590</v>
      </c>
      <c r="V702" t="s">
        <v>8590</v>
      </c>
      <c r="W702">
        <v>35</v>
      </c>
      <c r="X702" t="s">
        <v>9292</v>
      </c>
      <c r="Y702">
        <v>0.62041369358352649</v>
      </c>
      <c r="Z702" t="str">
        <f>HYPERLINK("Melting_Curves/meltCurve_sp_P13797_PLST_HUMAN_.pdf", "Melting_Curves/meltCurve_sp_P13797_PLST_HUMAN_.pdf")</f>
        <v>Melting_Curves/meltCurve_sp_P13797_PLST_HUMAN_.pdf</v>
      </c>
      <c r="AA702" t="s">
        <v>13574</v>
      </c>
      <c r="AB702" t="s">
        <v>17787</v>
      </c>
    </row>
    <row r="703" spans="1:28" x14ac:dyDescent="0.25">
      <c r="A703" t="s">
        <v>707</v>
      </c>
      <c r="B703">
        <v>0.99876560204751996</v>
      </c>
      <c r="C703">
        <v>0.99278800378583698</v>
      </c>
      <c r="D703">
        <v>0.90775410640685805</v>
      </c>
      <c r="E703">
        <v>0.97538228289222995</v>
      </c>
      <c r="F703">
        <v>0.92219413478346501</v>
      </c>
      <c r="G703">
        <v>0.78867017474907697</v>
      </c>
      <c r="H703">
        <v>0.63637363394113899</v>
      </c>
      <c r="I703">
        <v>0.50900634793136501</v>
      </c>
      <c r="J703">
        <v>0.400609267213411</v>
      </c>
      <c r="K703">
        <v>0.138828121114349</v>
      </c>
      <c r="L703">
        <v>827.13075900874503</v>
      </c>
      <c r="M703">
        <v>13.011191981144799</v>
      </c>
      <c r="N703">
        <v>63.5707165352026</v>
      </c>
      <c r="O703">
        <v>62.125278602561103</v>
      </c>
      <c r="P703">
        <v>-5.23679217609678E-2</v>
      </c>
      <c r="Q703">
        <v>0</v>
      </c>
      <c r="R703">
        <v>0.97251819329626599</v>
      </c>
      <c r="S703" t="s">
        <v>4999</v>
      </c>
      <c r="T703" t="s">
        <v>8590</v>
      </c>
      <c r="U703" t="s">
        <v>8590</v>
      </c>
      <c r="V703" t="s">
        <v>8590</v>
      </c>
      <c r="W703">
        <v>25</v>
      </c>
      <c r="X703" t="s">
        <v>9293</v>
      </c>
      <c r="Y703">
        <v>0.76539392163354714</v>
      </c>
      <c r="Z703" t="str">
        <f>HYPERLINK("Melting_Curves/meltCurve_sp_P13798_ACPH_HUMAN_.pdf", "Melting_Curves/meltCurve_sp_P13798_ACPH_HUMAN_.pdf")</f>
        <v>Melting_Curves/meltCurve_sp_P13798_ACPH_HUMAN_.pdf</v>
      </c>
      <c r="AA703" t="s">
        <v>13575</v>
      </c>
      <c r="AB703" t="s">
        <v>17788</v>
      </c>
    </row>
    <row r="704" spans="1:28" x14ac:dyDescent="0.25">
      <c r="A704" t="s">
        <v>708</v>
      </c>
      <c r="B704">
        <v>0.99876560204751996</v>
      </c>
      <c r="C704">
        <v>0.98459110911793701</v>
      </c>
      <c r="D704">
        <v>1.0538672254258701</v>
      </c>
      <c r="E704">
        <v>0.81928316978757798</v>
      </c>
      <c r="F704">
        <v>0.60118471407102803</v>
      </c>
      <c r="G704">
        <v>0.23648392344940999</v>
      </c>
      <c r="H704">
        <v>6.7403595827360496E-2</v>
      </c>
      <c r="I704">
        <v>4.5171559427443803E-2</v>
      </c>
      <c r="J704">
        <v>3.8403618238790099E-2</v>
      </c>
      <c r="K704">
        <v>3.5601688344636999E-2</v>
      </c>
      <c r="L704">
        <v>1237.4258461857801</v>
      </c>
      <c r="M704">
        <v>23.024304293175099</v>
      </c>
      <c r="N704">
        <v>53.858792772106199</v>
      </c>
      <c r="O704">
        <v>53.343845884164999</v>
      </c>
      <c r="P704">
        <v>-0.105330843555534</v>
      </c>
      <c r="Q704">
        <v>2.3875639381416701E-2</v>
      </c>
      <c r="R704">
        <v>0.99600828023941301</v>
      </c>
      <c r="S704" t="s">
        <v>5000</v>
      </c>
      <c r="T704" t="s">
        <v>8590</v>
      </c>
      <c r="U704" t="s">
        <v>8590</v>
      </c>
      <c r="V704" t="s">
        <v>8590</v>
      </c>
      <c r="W704">
        <v>25</v>
      </c>
      <c r="X704" t="s">
        <v>9294</v>
      </c>
      <c r="Y704">
        <v>0.48155279057193251</v>
      </c>
      <c r="Z704" t="str">
        <f>HYPERLINK("Melting_Curves/meltCurve_sp_P13804_ETFA_HUMAN_.pdf", "Melting_Curves/meltCurve_sp_P13804_ETFA_HUMAN_.pdf")</f>
        <v>Melting_Curves/meltCurve_sp_P13804_ETFA_HUMAN_.pdf</v>
      </c>
      <c r="AA704" t="s">
        <v>13576</v>
      </c>
      <c r="AB704" t="s">
        <v>17789</v>
      </c>
    </row>
    <row r="705" spans="1:28" x14ac:dyDescent="0.25">
      <c r="A705" t="s">
        <v>709</v>
      </c>
      <c r="B705">
        <v>0.99876560204751996</v>
      </c>
      <c r="C705">
        <v>0.95987942067281196</v>
      </c>
      <c r="D705">
        <v>0.90680139570280305</v>
      </c>
      <c r="E705">
        <v>0.72299291546767097</v>
      </c>
      <c r="F705">
        <v>0.39309460909224903</v>
      </c>
      <c r="G705">
        <v>0.13961625798922001</v>
      </c>
      <c r="H705">
        <v>7.0945413161304705E-2</v>
      </c>
      <c r="I705">
        <v>5.2002605119438702E-2</v>
      </c>
      <c r="J705">
        <v>5.01381766091221E-2</v>
      </c>
      <c r="K705">
        <v>4.4322361282410898E-2</v>
      </c>
      <c r="L705">
        <v>1140.4909162077399</v>
      </c>
      <c r="M705">
        <v>22.022245608755298</v>
      </c>
      <c r="N705">
        <v>51.973066539898802</v>
      </c>
      <c r="O705">
        <v>51.366773210955103</v>
      </c>
      <c r="P705">
        <v>-0.103144520619198</v>
      </c>
      <c r="Q705">
        <v>3.7685168157148098E-2</v>
      </c>
      <c r="R705">
        <v>0.99805826070840398</v>
      </c>
      <c r="S705" t="s">
        <v>5001</v>
      </c>
      <c r="T705" t="s">
        <v>8590</v>
      </c>
      <c r="U705" t="s">
        <v>8590</v>
      </c>
      <c r="V705" t="s">
        <v>8590</v>
      </c>
      <c r="W705">
        <v>18</v>
      </c>
      <c r="X705" t="s">
        <v>9295</v>
      </c>
      <c r="Y705">
        <v>0.42697672518500679</v>
      </c>
      <c r="Z705" t="str">
        <f>HYPERLINK("Melting_Curves/meltCurve_sp_P13861_KAP2_HUMAN_.pdf", "Melting_Curves/meltCurve_sp_P13861_KAP2_HUMAN_.pdf")</f>
        <v>Melting_Curves/meltCurve_sp_P13861_KAP2_HUMAN_.pdf</v>
      </c>
      <c r="AA705" t="s">
        <v>13577</v>
      </c>
      <c r="AB705" t="s">
        <v>17790</v>
      </c>
    </row>
    <row r="706" spans="1:28" x14ac:dyDescent="0.25">
      <c r="A706" t="s">
        <v>710</v>
      </c>
      <c r="B706">
        <v>0.99876560204751996</v>
      </c>
      <c r="C706">
        <v>0.95950086480015095</v>
      </c>
      <c r="D706">
        <v>0.93667784770628904</v>
      </c>
      <c r="E706">
        <v>0.95866976160046302</v>
      </c>
      <c r="F706">
        <v>0.86776228105909603</v>
      </c>
      <c r="G706">
        <v>0.52231158168815295</v>
      </c>
      <c r="H706">
        <v>0.14038099045917099</v>
      </c>
      <c r="I706">
        <v>6.1690309602827703E-2</v>
      </c>
      <c r="J706">
        <v>3.7800016635626099E-2</v>
      </c>
      <c r="K706">
        <v>3.9497399775797797E-2</v>
      </c>
      <c r="L706">
        <v>1507.6562931727899</v>
      </c>
      <c r="M706">
        <v>26.472277479448799</v>
      </c>
      <c r="N706">
        <v>57.028947814478798</v>
      </c>
      <c r="O706">
        <v>56.6302504972438</v>
      </c>
      <c r="P706">
        <v>-0.114822688422868</v>
      </c>
      <c r="Q706">
        <v>1.7482657348070699E-2</v>
      </c>
      <c r="R706">
        <v>0.995941555769152</v>
      </c>
      <c r="S706" t="s">
        <v>5002</v>
      </c>
      <c r="T706" t="s">
        <v>8590</v>
      </c>
      <c r="U706" t="s">
        <v>8590</v>
      </c>
      <c r="V706" t="s">
        <v>8590</v>
      </c>
      <c r="W706">
        <v>24</v>
      </c>
      <c r="X706" t="s">
        <v>9296</v>
      </c>
      <c r="Y706">
        <v>0.58077073766938858</v>
      </c>
      <c r="Z706" t="str">
        <f>HYPERLINK("Melting_Curves/meltCurve_sp_P13929_ENOB_HUMAN_.pdf", "Melting_Curves/meltCurve_sp_P13929_ENOB_HUMAN_.pdf")</f>
        <v>Melting_Curves/meltCurve_sp_P13929_ENOB_HUMAN_.pdf</v>
      </c>
      <c r="AA706" t="s">
        <v>13578</v>
      </c>
      <c r="AB706" t="s">
        <v>17791</v>
      </c>
    </row>
    <row r="707" spans="1:28" x14ac:dyDescent="0.25">
      <c r="A707" t="s">
        <v>711</v>
      </c>
      <c r="B707">
        <v>0.99876560204751996</v>
      </c>
      <c r="C707">
        <v>0.96792797919447204</v>
      </c>
      <c r="D707">
        <v>0.93764943782885701</v>
      </c>
      <c r="E707">
        <v>0.80999173016703496</v>
      </c>
      <c r="F707">
        <v>0.57738361107867198</v>
      </c>
      <c r="G707">
        <v>0.33176122698240001</v>
      </c>
      <c r="H707">
        <v>0.22985400582446999</v>
      </c>
      <c r="I707">
        <v>0.21123984923860301</v>
      </c>
      <c r="J707">
        <v>0.22100060388798701</v>
      </c>
      <c r="K707">
        <v>0.18616697267940799</v>
      </c>
      <c r="L707">
        <v>1061.4212497378601</v>
      </c>
      <c r="M707">
        <v>20.119165209691701</v>
      </c>
      <c r="N707">
        <v>54.032782849821999</v>
      </c>
      <c r="O707">
        <v>52.2438147376822</v>
      </c>
      <c r="P707">
        <v>-7.8072008606596202E-2</v>
      </c>
      <c r="Q707">
        <v>0.18910157195239399</v>
      </c>
      <c r="R707">
        <v>0.99833592076388</v>
      </c>
      <c r="S707" t="s">
        <v>5003</v>
      </c>
      <c r="T707" t="s">
        <v>8590</v>
      </c>
      <c r="U707" t="s">
        <v>8590</v>
      </c>
      <c r="V707" t="s">
        <v>8590</v>
      </c>
      <c r="W707">
        <v>7</v>
      </c>
      <c r="X707" t="s">
        <v>9297</v>
      </c>
      <c r="Y707">
        <v>0.54497525877536213</v>
      </c>
      <c r="Z707" t="str">
        <f>HYPERLINK("Melting_Curves/meltCurve_sp_P13984_T2FB_HUMAN_.pdf", "Melting_Curves/meltCurve_sp_P13984_T2FB_HUMAN_.pdf")</f>
        <v>Melting_Curves/meltCurve_sp_P13984_T2FB_HUMAN_.pdf</v>
      </c>
      <c r="AA707" t="s">
        <v>13579</v>
      </c>
      <c r="AB707" t="s">
        <v>17792</v>
      </c>
    </row>
    <row r="708" spans="1:28" x14ac:dyDescent="0.25">
      <c r="A708" t="s">
        <v>712</v>
      </c>
      <c r="B708">
        <v>0.99876560204751996</v>
      </c>
      <c r="C708">
        <v>0.90853443898108299</v>
      </c>
      <c r="D708">
        <v>1.03326756946695</v>
      </c>
      <c r="E708">
        <v>0.89171985719494595</v>
      </c>
      <c r="F708">
        <v>0.90619129616709904</v>
      </c>
      <c r="G708">
        <v>0.78837229339053605</v>
      </c>
      <c r="H708">
        <v>0.59764347489618297</v>
      </c>
      <c r="I708">
        <v>0.68024199296302501</v>
      </c>
      <c r="J708">
        <v>0.78281842788906597</v>
      </c>
      <c r="K708">
        <v>0.63134028788157903</v>
      </c>
      <c r="L708">
        <v>1101.62536112763</v>
      </c>
      <c r="M708">
        <v>20.308118832087899</v>
      </c>
      <c r="O708">
        <v>53.727791589459898</v>
      </c>
      <c r="P708">
        <v>-3.1413745923971698E-2</v>
      </c>
      <c r="Q708">
        <v>0.66757343729325702</v>
      </c>
      <c r="R708">
        <v>0.81006846524585097</v>
      </c>
      <c r="S708" t="s">
        <v>5004</v>
      </c>
      <c r="T708" t="s">
        <v>8590</v>
      </c>
      <c r="U708" t="s">
        <v>8590</v>
      </c>
      <c r="V708" t="s">
        <v>8590</v>
      </c>
      <c r="W708">
        <v>4</v>
      </c>
      <c r="X708" t="s">
        <v>9298</v>
      </c>
      <c r="Y708">
        <v>0.82981818844379018</v>
      </c>
      <c r="Z708" t="str">
        <f>HYPERLINK("Melting_Curves/meltCurve_sp_P14174_MIF_HUMAN_.pdf", "Melting_Curves/meltCurve_sp_P14174_MIF_HUMAN_.pdf")</f>
        <v>Melting_Curves/meltCurve_sp_P14174_MIF_HUMAN_.pdf</v>
      </c>
      <c r="AA708" t="s">
        <v>13580</v>
      </c>
      <c r="AB708" t="s">
        <v>17793</v>
      </c>
    </row>
    <row r="709" spans="1:28" x14ac:dyDescent="0.25">
      <c r="A709" t="s">
        <v>713</v>
      </c>
      <c r="B709">
        <v>0.99876560204751996</v>
      </c>
      <c r="C709">
        <v>1.0291988805104899</v>
      </c>
      <c r="D709">
        <v>0.95641049938121503</v>
      </c>
      <c r="E709">
        <v>0.82582853553500701</v>
      </c>
      <c r="F709">
        <v>0.231982396151481</v>
      </c>
      <c r="G709">
        <v>0.144933297226881</v>
      </c>
      <c r="H709">
        <v>0.12950602804772901</v>
      </c>
      <c r="I709">
        <v>9.1811474532290396E-2</v>
      </c>
      <c r="J709">
        <v>4.2932045023400499E-2</v>
      </c>
      <c r="K709">
        <v>7.5051259080953198E-2</v>
      </c>
      <c r="L709">
        <v>2734.8037004299299</v>
      </c>
      <c r="M709">
        <v>53.284239768043498</v>
      </c>
      <c r="N709">
        <v>51.528967518145997</v>
      </c>
      <c r="O709">
        <v>51.252674851776902</v>
      </c>
      <c r="P709">
        <v>-0.23517815471054901</v>
      </c>
      <c r="Q709">
        <v>9.5154469772653599E-2</v>
      </c>
      <c r="R709">
        <v>0.99474931226254404</v>
      </c>
      <c r="S709" t="s">
        <v>5005</v>
      </c>
      <c r="T709" t="s">
        <v>8590</v>
      </c>
      <c r="U709" t="s">
        <v>8590</v>
      </c>
      <c r="V709" t="s">
        <v>8590</v>
      </c>
      <c r="W709">
        <v>1</v>
      </c>
      <c r="X709" t="s">
        <v>9299</v>
      </c>
      <c r="Y709">
        <v>0.43853059280034851</v>
      </c>
      <c r="Z709" t="str">
        <f>HYPERLINK("Melting_Curves/meltCurve_sp_P14210_3_HGF_HUMAN_.pdf", "Melting_Curves/meltCurve_sp_P14210_3_HGF_HUMAN_.pdf")</f>
        <v>Melting_Curves/meltCurve_sp_P14210_3_HGF_HUMAN_.pdf</v>
      </c>
      <c r="AA709" t="s">
        <v>13581</v>
      </c>
      <c r="AB709" t="s">
        <v>17794</v>
      </c>
    </row>
    <row r="710" spans="1:28" x14ac:dyDescent="0.25">
      <c r="A710" t="s">
        <v>714</v>
      </c>
      <c r="B710">
        <v>0.99876560204751996</v>
      </c>
      <c r="C710">
        <v>0.95516474462340695</v>
      </c>
      <c r="D710">
        <v>1.02296434052553</v>
      </c>
      <c r="E710">
        <v>0.884803885715021</v>
      </c>
      <c r="F710">
        <v>0.84517392211278497</v>
      </c>
      <c r="G710">
        <v>0.72885450027199505</v>
      </c>
      <c r="H710">
        <v>0.61997520999934097</v>
      </c>
      <c r="I710">
        <v>0.62183160084315203</v>
      </c>
      <c r="J710">
        <v>0.77146440626657897</v>
      </c>
      <c r="K710">
        <v>0.83010344830112703</v>
      </c>
      <c r="L710">
        <v>1384.6304685197499</v>
      </c>
      <c r="M710">
        <v>26.787433976242699</v>
      </c>
      <c r="O710">
        <v>51.4040631389677</v>
      </c>
      <c r="P710">
        <v>-3.7516151927322203E-2</v>
      </c>
      <c r="Q710">
        <v>0.71203469130586905</v>
      </c>
      <c r="R710">
        <v>0.78214298027570095</v>
      </c>
      <c r="S710" t="s">
        <v>5006</v>
      </c>
      <c r="T710" t="s">
        <v>8590</v>
      </c>
      <c r="U710" t="s">
        <v>8590</v>
      </c>
      <c r="V710" t="s">
        <v>8590</v>
      </c>
      <c r="W710">
        <v>7</v>
      </c>
      <c r="X710" t="s">
        <v>9300</v>
      </c>
      <c r="Y710">
        <v>0.8265312541898413</v>
      </c>
      <c r="Z710" t="str">
        <f>HYPERLINK("Melting_Curves/meltCurve_sp_P14317_HCLS1_HUMAN_.pdf", "Melting_Curves/meltCurve_sp_P14317_HCLS1_HUMAN_.pdf")</f>
        <v>Melting_Curves/meltCurve_sp_P14317_HCLS1_HUMAN_.pdf</v>
      </c>
      <c r="AA710" t="s">
        <v>13582</v>
      </c>
      <c r="AB710" t="s">
        <v>17795</v>
      </c>
    </row>
    <row r="711" spans="1:28" x14ac:dyDescent="0.25">
      <c r="A711" t="s">
        <v>715</v>
      </c>
      <c r="B711">
        <v>0.99876560204751996</v>
      </c>
      <c r="C711">
        <v>1.06935529534039</v>
      </c>
      <c r="D711">
        <v>0.98247633564664805</v>
      </c>
      <c r="E711">
        <v>0.30421959169931101</v>
      </c>
      <c r="F711">
        <v>0.13288977382411399</v>
      </c>
      <c r="G711">
        <v>6.4330450881092793E-2</v>
      </c>
      <c r="H711">
        <v>3.4187348059211503E-2</v>
      </c>
      <c r="I711">
        <v>2.86672834154902E-2</v>
      </c>
      <c r="J711">
        <v>3.1445633486155498E-2</v>
      </c>
      <c r="K711">
        <v>2.44410171274673E-2</v>
      </c>
      <c r="L711">
        <v>2324.06692470703</v>
      </c>
      <c r="M711">
        <v>47.405680524379598</v>
      </c>
      <c r="N711">
        <v>49.125899590625103</v>
      </c>
      <c r="O711">
        <v>48.938070050201198</v>
      </c>
      <c r="P711">
        <v>-0.23094579772516399</v>
      </c>
      <c r="Q711">
        <v>4.6356503098544603E-2</v>
      </c>
      <c r="R711">
        <v>0.99429316523001898</v>
      </c>
      <c r="S711" t="s">
        <v>5007</v>
      </c>
      <c r="T711" t="s">
        <v>8590</v>
      </c>
      <c r="U711" t="s">
        <v>8590</v>
      </c>
      <c r="V711" t="s">
        <v>8590</v>
      </c>
      <c r="W711">
        <v>12</v>
      </c>
      <c r="X711" t="s">
        <v>9301</v>
      </c>
      <c r="Y711">
        <v>0.33554261401462943</v>
      </c>
      <c r="Z711" t="str">
        <f>HYPERLINK("Melting_Curves/meltCurve_sp_P14324_2_FPPS_HUMAN_.pdf", "Melting_Curves/meltCurve_sp_P14324_2_FPPS_HUMAN_.pdf")</f>
        <v>Melting_Curves/meltCurve_sp_P14324_2_FPPS_HUMAN_.pdf</v>
      </c>
      <c r="AA711" t="s">
        <v>13583</v>
      </c>
      <c r="AB711" t="s">
        <v>17796</v>
      </c>
    </row>
    <row r="712" spans="1:28" x14ac:dyDescent="0.25">
      <c r="A712" t="s">
        <v>716</v>
      </c>
      <c r="B712">
        <v>0.99876560204751996</v>
      </c>
      <c r="C712">
        <v>1.0015196711611201</v>
      </c>
      <c r="D712">
        <v>0.71586985223013599</v>
      </c>
      <c r="E712">
        <v>0.94542206310496801</v>
      </c>
      <c r="F712">
        <v>0.82702390312531104</v>
      </c>
      <c r="G712">
        <v>0.59415388129091595</v>
      </c>
      <c r="H712">
        <v>0.296284476427496</v>
      </c>
      <c r="I712">
        <v>0.22145645891652899</v>
      </c>
      <c r="J712">
        <v>0.15812223546902099</v>
      </c>
      <c r="K712">
        <v>0.16714101306561799</v>
      </c>
      <c r="L712">
        <v>879.56729624378704</v>
      </c>
      <c r="M712">
        <v>15.326017533841499</v>
      </c>
      <c r="N712">
        <v>58.018559032854903</v>
      </c>
      <c r="O712">
        <v>56.439999370197903</v>
      </c>
      <c r="P712">
        <v>-6.2702882718404296E-2</v>
      </c>
      <c r="Q712">
        <v>7.6440556228221698E-2</v>
      </c>
      <c r="R712">
        <v>0.93208406759445595</v>
      </c>
      <c r="S712" t="s">
        <v>5008</v>
      </c>
      <c r="T712" t="s">
        <v>8590</v>
      </c>
      <c r="U712" t="s">
        <v>8590</v>
      </c>
      <c r="V712" t="s">
        <v>8590</v>
      </c>
      <c r="W712">
        <v>4</v>
      </c>
      <c r="X712" t="s">
        <v>9302</v>
      </c>
      <c r="Y712">
        <v>0.62547964003487599</v>
      </c>
      <c r="Z712" t="str">
        <f>HYPERLINK("Melting_Curves/meltCurve_sp_P14543_NID1_HUMAN_.pdf", "Melting_Curves/meltCurve_sp_P14543_NID1_HUMAN_.pdf")</f>
        <v>Melting_Curves/meltCurve_sp_P14543_NID1_HUMAN_.pdf</v>
      </c>
      <c r="AA712" t="s">
        <v>13584</v>
      </c>
      <c r="AB712" t="s">
        <v>17797</v>
      </c>
    </row>
    <row r="713" spans="1:28" x14ac:dyDescent="0.25">
      <c r="A713" t="s">
        <v>717</v>
      </c>
      <c r="B713">
        <v>0.99876560204751996</v>
      </c>
      <c r="C713">
        <v>0.88021991557292001</v>
      </c>
      <c r="D713">
        <v>0.95947208650414995</v>
      </c>
      <c r="E713">
        <v>0.62837105942276705</v>
      </c>
      <c r="F713">
        <v>0.15834041207019001</v>
      </c>
      <c r="G713">
        <v>8.9561834306137705E-2</v>
      </c>
      <c r="H713">
        <v>5.05236755656117E-2</v>
      </c>
      <c r="I713">
        <v>3.87810483306993E-2</v>
      </c>
      <c r="J713">
        <v>3.3688260694948402E-2</v>
      </c>
      <c r="K713">
        <v>2.76844115518446E-2</v>
      </c>
      <c r="L713">
        <v>2002.0797912677399</v>
      </c>
      <c r="M713">
        <v>39.6234066393285</v>
      </c>
      <c r="N713">
        <v>50.643984153315699</v>
      </c>
      <c r="O713">
        <v>50.3995305831926</v>
      </c>
      <c r="P713">
        <v>-0.18800043482235901</v>
      </c>
      <c r="Q713">
        <v>4.3483484685926201E-2</v>
      </c>
      <c r="R713">
        <v>0.98984174147475101</v>
      </c>
      <c r="S713" t="s">
        <v>5009</v>
      </c>
      <c r="T713" t="s">
        <v>8590</v>
      </c>
      <c r="U713" t="s">
        <v>8590</v>
      </c>
      <c r="V713" t="s">
        <v>8590</v>
      </c>
      <c r="W713">
        <v>24</v>
      </c>
      <c r="X713" t="s">
        <v>9303</v>
      </c>
      <c r="Y713">
        <v>0.38255306511456733</v>
      </c>
      <c r="Z713" t="str">
        <f>HYPERLINK("Melting_Curves/meltCurve_sp_P14550_AK1A1_HUMAN_.pdf", "Melting_Curves/meltCurve_sp_P14550_AK1A1_HUMAN_.pdf")</f>
        <v>Melting_Curves/meltCurve_sp_P14550_AK1A1_HUMAN_.pdf</v>
      </c>
      <c r="AA713" t="s">
        <v>13585</v>
      </c>
      <c r="AB713" t="s">
        <v>17798</v>
      </c>
    </row>
    <row r="714" spans="1:28" x14ac:dyDescent="0.25">
      <c r="A714" t="s">
        <v>718</v>
      </c>
      <c r="B714">
        <v>0.99876560204751996</v>
      </c>
      <c r="C714">
        <v>0.91550044888454496</v>
      </c>
      <c r="D714">
        <v>0.71465076310622699</v>
      </c>
      <c r="E714">
        <v>0.52358564529826201</v>
      </c>
      <c r="F714">
        <v>0.45497117723702901</v>
      </c>
      <c r="G714">
        <v>0.31833173184378</v>
      </c>
      <c r="H714">
        <v>0.105085379078421</v>
      </c>
      <c r="I714">
        <v>5.9889578568359497E-2</v>
      </c>
      <c r="J714">
        <v>4.4425544993928902E-2</v>
      </c>
      <c r="K714">
        <v>4.6601727954922199E-2</v>
      </c>
      <c r="L714">
        <v>555.60862605299599</v>
      </c>
      <c r="M714">
        <v>10.867237750490499</v>
      </c>
      <c r="N714">
        <v>51.126941277253799</v>
      </c>
      <c r="O714">
        <v>49.487061952543399</v>
      </c>
      <c r="P714">
        <v>-5.4918802907740101E-2</v>
      </c>
      <c r="Q714">
        <v>0</v>
      </c>
      <c r="R714">
        <v>0.984069170772924</v>
      </c>
      <c r="S714" t="s">
        <v>5010</v>
      </c>
      <c r="T714" t="s">
        <v>8590</v>
      </c>
      <c r="U714" t="s">
        <v>8590</v>
      </c>
      <c r="V714" t="s">
        <v>8590</v>
      </c>
      <c r="W714">
        <v>19</v>
      </c>
      <c r="X714" t="s">
        <v>9304</v>
      </c>
      <c r="Y714">
        <v>0.40793301332867549</v>
      </c>
      <c r="Z714" t="str">
        <f>HYPERLINK("Melting_Curves/meltCurve_sp_P14618_KPYM_HUMAN_.pdf", "Melting_Curves/meltCurve_sp_P14618_KPYM_HUMAN_.pdf")</f>
        <v>Melting_Curves/meltCurve_sp_P14618_KPYM_HUMAN_.pdf</v>
      </c>
      <c r="AA714" t="s">
        <v>13586</v>
      </c>
      <c r="AB714" t="s">
        <v>17799</v>
      </c>
    </row>
    <row r="715" spans="1:28" x14ac:dyDescent="0.25">
      <c r="A715" t="s">
        <v>719</v>
      </c>
      <c r="B715">
        <v>0.99876560204751996</v>
      </c>
      <c r="C715">
        <v>0.87033983475453403</v>
      </c>
      <c r="D715">
        <v>0.96566961010416497</v>
      </c>
      <c r="E715">
        <v>0.80534694343086399</v>
      </c>
      <c r="F715">
        <v>0.91071969113292905</v>
      </c>
      <c r="G715">
        <v>0.69044305973519304</v>
      </c>
      <c r="H715">
        <v>0.4277197767541</v>
      </c>
      <c r="I715">
        <v>0.31623398608361902</v>
      </c>
      <c r="J715">
        <v>0.33804018060297703</v>
      </c>
      <c r="K715">
        <v>0.35357298321615999</v>
      </c>
      <c r="L715">
        <v>913.401469778869</v>
      </c>
      <c r="M715">
        <v>15.966525184124601</v>
      </c>
      <c r="N715">
        <v>60.0596109868913</v>
      </c>
      <c r="O715">
        <v>56.332452803243797</v>
      </c>
      <c r="P715">
        <v>-5.2031067912954303E-2</v>
      </c>
      <c r="Q715">
        <v>0.26576237635820499</v>
      </c>
      <c r="R715">
        <v>0.93212173388608199</v>
      </c>
      <c r="S715" t="s">
        <v>5011</v>
      </c>
      <c r="T715" t="s">
        <v>8590</v>
      </c>
      <c r="U715" t="s">
        <v>8590</v>
      </c>
      <c r="V715" t="s">
        <v>8590</v>
      </c>
      <c r="W715">
        <v>7</v>
      </c>
      <c r="X715" t="s">
        <v>9305</v>
      </c>
      <c r="Y715">
        <v>0.69778501440777441</v>
      </c>
      <c r="Z715" t="str">
        <f>HYPERLINK("Melting_Curves/meltCurve_sp_P14621_ACYP2_HUMAN_.pdf", "Melting_Curves/meltCurve_sp_P14621_ACYP2_HUMAN_.pdf")</f>
        <v>Melting_Curves/meltCurve_sp_P14621_ACYP2_HUMAN_.pdf</v>
      </c>
      <c r="AA715" t="s">
        <v>13587</v>
      </c>
      <c r="AB715" t="s">
        <v>17800</v>
      </c>
    </row>
    <row r="716" spans="1:28" x14ac:dyDescent="0.25">
      <c r="A716" t="s">
        <v>720</v>
      </c>
      <c r="B716">
        <v>0.99876560204751996</v>
      </c>
      <c r="C716">
        <v>1.07846851922128</v>
      </c>
      <c r="D716">
        <v>0.95909096086604995</v>
      </c>
      <c r="E716">
        <v>1.05741884688267</v>
      </c>
      <c r="F716">
        <v>0.75567739674617096</v>
      </c>
      <c r="G716">
        <v>0.29515170217095399</v>
      </c>
      <c r="H716">
        <v>0.12087024844231301</v>
      </c>
      <c r="I716">
        <v>7.1770296577935294E-2</v>
      </c>
      <c r="J716">
        <v>5.9518465370645798E-2</v>
      </c>
      <c r="K716">
        <v>4.8286536752095099E-2</v>
      </c>
      <c r="L716">
        <v>1792.3256662538399</v>
      </c>
      <c r="M716">
        <v>32.598710860184603</v>
      </c>
      <c r="N716">
        <v>55.2102359069847</v>
      </c>
      <c r="O716">
        <v>54.7758235744896</v>
      </c>
      <c r="P716">
        <v>-0.13938470303799999</v>
      </c>
      <c r="Q716">
        <v>6.3168337279790696E-2</v>
      </c>
      <c r="R716">
        <v>0.990606736734157</v>
      </c>
      <c r="S716" t="s">
        <v>5012</v>
      </c>
      <c r="T716" t="s">
        <v>8590</v>
      </c>
      <c r="U716" t="s">
        <v>8590</v>
      </c>
      <c r="V716" t="s">
        <v>8590</v>
      </c>
      <c r="W716">
        <v>56</v>
      </c>
      <c r="X716" t="s">
        <v>9306</v>
      </c>
      <c r="Y716">
        <v>0.53630764151815957</v>
      </c>
      <c r="Z716" t="str">
        <f>HYPERLINK("Melting_Curves/meltCurve_sp_P14625_ENPL_HUMAN_.pdf", "Melting_Curves/meltCurve_sp_P14625_ENPL_HUMAN_.pdf")</f>
        <v>Melting_Curves/meltCurve_sp_P14625_ENPL_HUMAN_.pdf</v>
      </c>
      <c r="AA716" t="s">
        <v>13588</v>
      </c>
      <c r="AB716" t="s">
        <v>17801</v>
      </c>
    </row>
    <row r="717" spans="1:28" x14ac:dyDescent="0.25">
      <c r="A717" t="s">
        <v>721</v>
      </c>
      <c r="B717">
        <v>0.99876560204751996</v>
      </c>
      <c r="C717">
        <v>0.99345585286420901</v>
      </c>
      <c r="D717">
        <v>0.79274963561153799</v>
      </c>
      <c r="E717">
        <v>0.72544629980867403</v>
      </c>
      <c r="F717">
        <v>0.58697367424376201</v>
      </c>
      <c r="G717">
        <v>0.38903813427635398</v>
      </c>
      <c r="H717">
        <v>0.36341193210679201</v>
      </c>
      <c r="I717">
        <v>0.31634094469146701</v>
      </c>
      <c r="J717">
        <v>0.44342275503968198</v>
      </c>
      <c r="K717">
        <v>0.40325224144892102</v>
      </c>
      <c r="L717">
        <v>777.54566973511601</v>
      </c>
      <c r="M717">
        <v>15.5266462853065</v>
      </c>
      <c r="N717">
        <v>54.525557462102199</v>
      </c>
      <c r="O717">
        <v>49.2695251416758</v>
      </c>
      <c r="P717">
        <v>-5.0498651972735599E-2</v>
      </c>
      <c r="Q717">
        <v>0.35908265669047001</v>
      </c>
      <c r="R717">
        <v>0.95839071669314801</v>
      </c>
      <c r="S717" t="s">
        <v>5013</v>
      </c>
      <c r="T717" t="s">
        <v>8590</v>
      </c>
      <c r="U717" t="s">
        <v>8590</v>
      </c>
      <c r="V717" t="s">
        <v>8590</v>
      </c>
      <c r="W717">
        <v>3</v>
      </c>
      <c r="X717" t="s">
        <v>9307</v>
      </c>
      <c r="Y717">
        <v>0.58872999172684226</v>
      </c>
      <c r="Z717" t="str">
        <f>HYPERLINK("Melting_Curves/meltCurve_sp_P14649_MYL6B_HUMAN_.pdf", "Melting_Curves/meltCurve_sp_P14649_MYL6B_HUMAN_.pdf")</f>
        <v>Melting_Curves/meltCurve_sp_P14649_MYL6B_HUMAN_.pdf</v>
      </c>
      <c r="AA717" t="s">
        <v>13589</v>
      </c>
      <c r="AB717" t="s">
        <v>17802</v>
      </c>
    </row>
    <row r="718" spans="1:28" x14ac:dyDescent="0.25">
      <c r="A718" t="s">
        <v>722</v>
      </c>
      <c r="B718">
        <v>0.99876560204751996</v>
      </c>
      <c r="C718">
        <v>1.0402231886857101</v>
      </c>
      <c r="D718">
        <v>0.90767413782822803</v>
      </c>
      <c r="E718">
        <v>0.90669376195856599</v>
      </c>
      <c r="F718">
        <v>0.62412638907560902</v>
      </c>
      <c r="G718">
        <v>0.285755931221847</v>
      </c>
      <c r="H718">
        <v>0.117263875333355</v>
      </c>
      <c r="I718">
        <v>7.6486042434620996E-2</v>
      </c>
      <c r="J718">
        <v>7.2915463378980402E-2</v>
      </c>
      <c r="K718">
        <v>6.4390705801498693E-2</v>
      </c>
      <c r="L718">
        <v>1249.02815417534</v>
      </c>
      <c r="M718">
        <v>23.094057708748998</v>
      </c>
      <c r="N718">
        <v>54.370639286283698</v>
      </c>
      <c r="O718">
        <v>53.6837666437767</v>
      </c>
      <c r="P718">
        <v>-0.10139255448855899</v>
      </c>
      <c r="Q718">
        <v>5.7240843008436001E-2</v>
      </c>
      <c r="R718">
        <v>0.99453665666620295</v>
      </c>
      <c r="S718" t="s">
        <v>5014</v>
      </c>
      <c r="T718" t="s">
        <v>8590</v>
      </c>
      <c r="U718" t="s">
        <v>8590</v>
      </c>
      <c r="V718" t="s">
        <v>8590</v>
      </c>
      <c r="W718">
        <v>31</v>
      </c>
      <c r="X718" t="s">
        <v>9308</v>
      </c>
      <c r="Y718">
        <v>0.5098988678556432</v>
      </c>
      <c r="Z718" t="str">
        <f>HYPERLINK("Melting_Curves/meltCurve_sp_P14735_IDE_HUMAN_.pdf", "Melting_Curves/meltCurve_sp_P14735_IDE_HUMAN_.pdf")</f>
        <v>Melting_Curves/meltCurve_sp_P14735_IDE_HUMAN_.pdf</v>
      </c>
      <c r="AA718" t="s">
        <v>13590</v>
      </c>
      <c r="AB718" t="s">
        <v>17803</v>
      </c>
    </row>
    <row r="719" spans="1:28" x14ac:dyDescent="0.25">
      <c r="A719" t="s">
        <v>723</v>
      </c>
      <c r="B719">
        <v>0.99876560204751996</v>
      </c>
      <c r="C719">
        <v>0.996361236973203</v>
      </c>
      <c r="D719">
        <v>1.05504264608113</v>
      </c>
      <c r="E719">
        <v>0.93026186519278697</v>
      </c>
      <c r="F719">
        <v>0.88263068129663902</v>
      </c>
      <c r="G719">
        <v>0.63451873296300598</v>
      </c>
      <c r="H719">
        <v>0.54179301156257798</v>
      </c>
      <c r="I719">
        <v>0.57412018592235503</v>
      </c>
      <c r="J719">
        <v>0.67759071407163896</v>
      </c>
      <c r="K719">
        <v>0.62338521739782105</v>
      </c>
      <c r="L719">
        <v>2210.37077515597</v>
      </c>
      <c r="M719">
        <v>41.000819838899602</v>
      </c>
      <c r="O719">
        <v>53.782634180182598</v>
      </c>
      <c r="P719">
        <v>-7.5767574380118496E-2</v>
      </c>
      <c r="Q719">
        <v>0.60244969742787002</v>
      </c>
      <c r="R719">
        <v>0.95167352848305897</v>
      </c>
      <c r="S719" t="s">
        <v>5015</v>
      </c>
      <c r="T719" t="s">
        <v>8590</v>
      </c>
      <c r="U719" t="s">
        <v>8590</v>
      </c>
      <c r="V719" t="s">
        <v>8590</v>
      </c>
      <c r="W719">
        <v>6</v>
      </c>
      <c r="X719" t="s">
        <v>9309</v>
      </c>
      <c r="Y719">
        <v>0.78819315416148483</v>
      </c>
      <c r="Z719" t="str">
        <f>HYPERLINK("Melting_Curves/meltCurve_sp_P14854_CX6B1_HUMAN_.pdf", "Melting_Curves/meltCurve_sp_P14854_CX6B1_HUMAN_.pdf")</f>
        <v>Melting_Curves/meltCurve_sp_P14854_CX6B1_HUMAN_.pdf</v>
      </c>
      <c r="AA719" t="s">
        <v>13591</v>
      </c>
      <c r="AB719" t="s">
        <v>17804</v>
      </c>
    </row>
    <row r="720" spans="1:28" x14ac:dyDescent="0.25">
      <c r="A720" t="s">
        <v>724</v>
      </c>
      <c r="B720">
        <v>0.99876560204751996</v>
      </c>
      <c r="C720">
        <v>0.91278956707830605</v>
      </c>
      <c r="D720">
        <v>0.84009562799517601</v>
      </c>
      <c r="E720">
        <v>0.49456427628195498</v>
      </c>
      <c r="F720">
        <v>0.31449080348810698</v>
      </c>
      <c r="G720">
        <v>0.22064015746659801</v>
      </c>
      <c r="H720">
        <v>0.127877776301798</v>
      </c>
      <c r="I720">
        <v>0.114927816586273</v>
      </c>
      <c r="J720">
        <v>0.110609877590484</v>
      </c>
      <c r="K720">
        <v>7.6254927248549501E-2</v>
      </c>
      <c r="L720">
        <v>833.74479331359805</v>
      </c>
      <c r="M720">
        <v>16.810242981192101</v>
      </c>
      <c r="N720">
        <v>50.214457349673502</v>
      </c>
      <c r="O720">
        <v>48.911473524376198</v>
      </c>
      <c r="P720">
        <v>-7.7909215870775705E-2</v>
      </c>
      <c r="Q720">
        <v>9.3312271262776303E-2</v>
      </c>
      <c r="R720">
        <v>0.99640854247354005</v>
      </c>
      <c r="S720" t="s">
        <v>5016</v>
      </c>
      <c r="T720" t="s">
        <v>8590</v>
      </c>
      <c r="U720" t="s">
        <v>8590</v>
      </c>
      <c r="V720" t="s">
        <v>8590</v>
      </c>
      <c r="W720">
        <v>11</v>
      </c>
      <c r="X720" t="s">
        <v>9310</v>
      </c>
      <c r="Y720">
        <v>0.40110266383227899</v>
      </c>
      <c r="Z720" t="str">
        <f>HYPERLINK("Melting_Curves/meltCurve_sp_P14866_HNRPL_HUMAN_.pdf", "Melting_Curves/meltCurve_sp_P14866_HNRPL_HUMAN_.pdf")</f>
        <v>Melting_Curves/meltCurve_sp_P14866_HNRPL_HUMAN_.pdf</v>
      </c>
      <c r="AA720" t="s">
        <v>13592</v>
      </c>
      <c r="AB720" t="s">
        <v>17805</v>
      </c>
    </row>
    <row r="721" spans="1:28" x14ac:dyDescent="0.25">
      <c r="A721" t="s">
        <v>725</v>
      </c>
      <c r="B721">
        <v>0.99876560204751996</v>
      </c>
      <c r="C721">
        <v>0.90591648769796496</v>
      </c>
      <c r="D721">
        <v>0.69453032531133796</v>
      </c>
      <c r="E721">
        <v>0.36412819300168497</v>
      </c>
      <c r="F721">
        <v>0.16302686765938201</v>
      </c>
      <c r="G721">
        <v>9.1033417795859398E-2</v>
      </c>
      <c r="H721">
        <v>5.3641810917589502E-2</v>
      </c>
      <c r="I721">
        <v>3.8923439290171502E-2</v>
      </c>
      <c r="J721">
        <v>3.2974737074513497E-2</v>
      </c>
      <c r="K721">
        <v>2.9895599192860101E-2</v>
      </c>
      <c r="L721">
        <v>884.089262350951</v>
      </c>
      <c r="M721">
        <v>18.391045873771599</v>
      </c>
      <c r="N721">
        <v>48.234600690184799</v>
      </c>
      <c r="O721">
        <v>47.514171813115297</v>
      </c>
      <c r="P721">
        <v>-9.3856738141368898E-2</v>
      </c>
      <c r="Q721">
        <v>3.0109965082514199E-2</v>
      </c>
      <c r="R721">
        <v>0.99912937561000803</v>
      </c>
      <c r="S721" t="s">
        <v>5017</v>
      </c>
      <c r="T721" t="s">
        <v>8590</v>
      </c>
      <c r="U721" t="s">
        <v>8590</v>
      </c>
      <c r="V721" t="s">
        <v>8590</v>
      </c>
      <c r="W721">
        <v>29</v>
      </c>
      <c r="X721" t="s">
        <v>9311</v>
      </c>
      <c r="Y721">
        <v>0.30748478849229838</v>
      </c>
      <c r="Z721" t="str">
        <f>HYPERLINK("Melting_Curves/meltCurve_sp_P14868_SYDC_HUMAN_.pdf", "Melting_Curves/meltCurve_sp_P14868_SYDC_HUMAN_.pdf")</f>
        <v>Melting_Curves/meltCurve_sp_P14868_SYDC_HUMAN_.pdf</v>
      </c>
      <c r="AA721" t="s">
        <v>13593</v>
      </c>
      <c r="AB721" t="s">
        <v>17806</v>
      </c>
    </row>
    <row r="722" spans="1:28" x14ac:dyDescent="0.25">
      <c r="A722" t="s">
        <v>726</v>
      </c>
      <c r="B722">
        <v>0.99876560204751996</v>
      </c>
      <c r="C722">
        <v>1.0463201449691499</v>
      </c>
      <c r="D722">
        <v>1.0406987290688301</v>
      </c>
      <c r="E722">
        <v>1.0015467037602901</v>
      </c>
      <c r="F722">
        <v>0.94696113491535405</v>
      </c>
      <c r="G722">
        <v>0.76879997274478395</v>
      </c>
      <c r="H722">
        <v>0.61880235099737901</v>
      </c>
      <c r="I722">
        <v>0.59996136782343901</v>
      </c>
      <c r="J722">
        <v>0.664602699091142</v>
      </c>
      <c r="K722">
        <v>0.49501532975360601</v>
      </c>
      <c r="L722">
        <v>1571.9282607863599</v>
      </c>
      <c r="M722">
        <v>27.733147829602402</v>
      </c>
      <c r="O722">
        <v>56.388236559105202</v>
      </c>
      <c r="P722">
        <v>-5.2248979594926699E-2</v>
      </c>
      <c r="Q722">
        <v>0.57506423748872004</v>
      </c>
      <c r="R722">
        <v>0.95548559258051602</v>
      </c>
      <c r="S722" t="s">
        <v>5018</v>
      </c>
      <c r="T722" t="s">
        <v>8590</v>
      </c>
      <c r="U722" t="s">
        <v>8590</v>
      </c>
      <c r="V722" t="s">
        <v>8590</v>
      </c>
      <c r="W722">
        <v>12</v>
      </c>
      <c r="X722" t="s">
        <v>9312</v>
      </c>
      <c r="Y722">
        <v>0.81458573697863035</v>
      </c>
      <c r="Z722" t="str">
        <f>HYPERLINK("Melting_Curves/meltCurve_sp_P14920_OXDA_HUMAN_.pdf", "Melting_Curves/meltCurve_sp_P14920_OXDA_HUMAN_.pdf")</f>
        <v>Melting_Curves/meltCurve_sp_P14920_OXDA_HUMAN_.pdf</v>
      </c>
      <c r="AA722" t="s">
        <v>13594</v>
      </c>
      <c r="AB722" t="s">
        <v>17807</v>
      </c>
    </row>
    <row r="723" spans="1:28" x14ac:dyDescent="0.25">
      <c r="A723" t="s">
        <v>727</v>
      </c>
      <c r="B723">
        <v>0.99876560204751996</v>
      </c>
      <c r="C723">
        <v>0.906074387722136</v>
      </c>
      <c r="D723">
        <v>0.805319899649245</v>
      </c>
      <c r="E723">
        <v>0.77677825491754404</v>
      </c>
      <c r="F723">
        <v>0.60291289729105102</v>
      </c>
      <c r="G723">
        <v>0.45528810951672899</v>
      </c>
      <c r="H723">
        <v>0.182352758302402</v>
      </c>
      <c r="I723">
        <v>0.12633553126760999</v>
      </c>
      <c r="J723">
        <v>8.79182246535163E-2</v>
      </c>
      <c r="K723">
        <v>0.10043282338512199</v>
      </c>
      <c r="L723">
        <v>611.99645162707805</v>
      </c>
      <c r="M723">
        <v>11.1921770341756</v>
      </c>
      <c r="N723">
        <v>54.680733635238198</v>
      </c>
      <c r="O723">
        <v>53.0222291294059</v>
      </c>
      <c r="P723">
        <v>-5.2787809020961099E-2</v>
      </c>
      <c r="Q723">
        <v>0</v>
      </c>
      <c r="R723">
        <v>0.98115997114906095</v>
      </c>
      <c r="S723" t="s">
        <v>5019</v>
      </c>
      <c r="T723" t="s">
        <v>8590</v>
      </c>
      <c r="U723" t="s">
        <v>8590</v>
      </c>
      <c r="V723" t="s">
        <v>8590</v>
      </c>
      <c r="W723">
        <v>18</v>
      </c>
      <c r="X723" t="s">
        <v>9313</v>
      </c>
      <c r="Y723">
        <v>0.51494422626062542</v>
      </c>
      <c r="Z723" t="str">
        <f>HYPERLINK("Melting_Curves/meltCurve_sp_P14923_PLAK_HUMAN_.pdf", "Melting_Curves/meltCurve_sp_P14923_PLAK_HUMAN_.pdf")</f>
        <v>Melting_Curves/meltCurve_sp_P14923_PLAK_HUMAN_.pdf</v>
      </c>
      <c r="AA723" t="s">
        <v>13595</v>
      </c>
      <c r="AB723" t="s">
        <v>17808</v>
      </c>
    </row>
    <row r="724" spans="1:28" x14ac:dyDescent="0.25">
      <c r="A724" t="s">
        <v>728</v>
      </c>
      <c r="B724">
        <v>0.99876560204751996</v>
      </c>
      <c r="C724">
        <v>1.0464204565552999</v>
      </c>
      <c r="D724">
        <v>0.92362435978005197</v>
      </c>
      <c r="E724">
        <v>0.95305388858004902</v>
      </c>
      <c r="F724">
        <v>0.80759986943663498</v>
      </c>
      <c r="G724">
        <v>0.45311674154199</v>
      </c>
      <c r="H724">
        <v>6.7012127167872595E-2</v>
      </c>
      <c r="I724">
        <v>5.6650589330814398E-2</v>
      </c>
      <c r="J724">
        <v>4.1657749741418303E-2</v>
      </c>
      <c r="K724">
        <v>4.1423896651220898E-2</v>
      </c>
      <c r="L724">
        <v>1465.96938254816</v>
      </c>
      <c r="M724">
        <v>26.099369028118701</v>
      </c>
      <c r="N724">
        <v>56.2365452119327</v>
      </c>
      <c r="O724">
        <v>55.8421253983756</v>
      </c>
      <c r="P724">
        <v>-0.11503663020624</v>
      </c>
      <c r="Q724">
        <v>1.54831483668818E-2</v>
      </c>
      <c r="R724">
        <v>0.99252347245294403</v>
      </c>
      <c r="S724" t="s">
        <v>5020</v>
      </c>
      <c r="T724" t="s">
        <v>8590</v>
      </c>
      <c r="U724" t="s">
        <v>8590</v>
      </c>
      <c r="V724" t="s">
        <v>8590</v>
      </c>
      <c r="W724">
        <v>7</v>
      </c>
      <c r="X724" t="s">
        <v>9314</v>
      </c>
      <c r="Y724">
        <v>0.55448936759359457</v>
      </c>
      <c r="Z724" t="str">
        <f>HYPERLINK("Melting_Curves/meltCurve_sp_P15104_GLNA_HUMAN_.pdf", "Melting_Curves/meltCurve_sp_P15104_GLNA_HUMAN_.pdf")</f>
        <v>Melting_Curves/meltCurve_sp_P15104_GLNA_HUMAN_.pdf</v>
      </c>
      <c r="AA724" t="s">
        <v>13596</v>
      </c>
      <c r="AB724" t="s">
        <v>17809</v>
      </c>
    </row>
    <row r="725" spans="1:28" x14ac:dyDescent="0.25">
      <c r="A725" t="s">
        <v>729</v>
      </c>
      <c r="B725">
        <v>0.99876560204751996</v>
      </c>
      <c r="C725">
        <v>0.860145440581077</v>
      </c>
      <c r="D725">
        <v>0.936920079999634</v>
      </c>
      <c r="E725">
        <v>0.82922350266404998</v>
      </c>
      <c r="F725">
        <v>0.58302521688295295</v>
      </c>
      <c r="G725">
        <v>0.15972226858275901</v>
      </c>
      <c r="H725">
        <v>9.4728118757571603E-2</v>
      </c>
      <c r="I725">
        <v>7.02286373835425E-2</v>
      </c>
      <c r="J725">
        <v>6.9261775942463993E-2</v>
      </c>
      <c r="K725">
        <v>6.1049507034148E-2</v>
      </c>
      <c r="L725">
        <v>1357.2970513197999</v>
      </c>
      <c r="M725">
        <v>25.5146866136255</v>
      </c>
      <c r="N725">
        <v>53.438886339334999</v>
      </c>
      <c r="O725">
        <v>52.873119087408099</v>
      </c>
      <c r="P725">
        <v>-0.11405550068317501</v>
      </c>
      <c r="Q725">
        <v>5.4599705575653697E-2</v>
      </c>
      <c r="R725">
        <v>0.98399429768275504</v>
      </c>
      <c r="S725" t="s">
        <v>5021</v>
      </c>
      <c r="T725" t="s">
        <v>8590</v>
      </c>
      <c r="U725" t="s">
        <v>8590</v>
      </c>
      <c r="V725" t="s">
        <v>8590</v>
      </c>
      <c r="W725">
        <v>7</v>
      </c>
      <c r="X725" t="s">
        <v>9315</v>
      </c>
      <c r="Y725">
        <v>0.47886122299695782</v>
      </c>
      <c r="Z725" t="str">
        <f>HYPERLINK("Melting_Curves/meltCurve_sp_P15121_ALDR_HUMAN_.pdf", "Melting_Curves/meltCurve_sp_P15121_ALDR_HUMAN_.pdf")</f>
        <v>Melting_Curves/meltCurve_sp_P15121_ALDR_HUMAN_.pdf</v>
      </c>
      <c r="AA725" t="s">
        <v>13597</v>
      </c>
      <c r="AB725" t="s">
        <v>17810</v>
      </c>
    </row>
    <row r="726" spans="1:28" x14ac:dyDescent="0.25">
      <c r="A726" t="s">
        <v>730</v>
      </c>
      <c r="B726">
        <v>0.99876560204751996</v>
      </c>
      <c r="C726">
        <v>1.01678353565824</v>
      </c>
      <c r="D726">
        <v>0.80083615202456904</v>
      </c>
      <c r="E726">
        <v>0.81454167828421198</v>
      </c>
      <c r="F726">
        <v>0.68802833683416798</v>
      </c>
      <c r="G726">
        <v>0.52151181945469804</v>
      </c>
      <c r="H726">
        <v>0.45379659068538802</v>
      </c>
      <c r="I726">
        <v>0.35806305694518398</v>
      </c>
      <c r="J726">
        <v>0.34076838869397003</v>
      </c>
      <c r="K726">
        <v>0.202301398915363</v>
      </c>
      <c r="L726">
        <v>443.04470096347302</v>
      </c>
      <c r="M726">
        <v>7.6134605051013802</v>
      </c>
      <c r="N726">
        <v>58.747566464914399</v>
      </c>
      <c r="O726">
        <v>54.584810738052198</v>
      </c>
      <c r="P726">
        <v>-3.3705099568596998E-2</v>
      </c>
      <c r="Q726">
        <v>3.4716028854076403E-2</v>
      </c>
      <c r="R726">
        <v>0.97215231096837196</v>
      </c>
      <c r="S726" t="s">
        <v>5022</v>
      </c>
      <c r="T726" t="s">
        <v>8590</v>
      </c>
      <c r="U726" t="s">
        <v>8590</v>
      </c>
      <c r="V726" t="s">
        <v>8590</v>
      </c>
      <c r="W726">
        <v>14</v>
      </c>
      <c r="X726" t="s">
        <v>9316</v>
      </c>
      <c r="Y726">
        <v>0.62006105399657052</v>
      </c>
      <c r="Z726" t="str">
        <f>HYPERLINK("Melting_Curves/meltCurve_sp_P15144_AMPN_HUMAN_.pdf", "Melting_Curves/meltCurve_sp_P15144_AMPN_HUMAN_.pdf")</f>
        <v>Melting_Curves/meltCurve_sp_P15144_AMPN_HUMAN_.pdf</v>
      </c>
      <c r="AA726" t="s">
        <v>13598</v>
      </c>
      <c r="AB726" t="s">
        <v>17811</v>
      </c>
    </row>
    <row r="727" spans="1:28" x14ac:dyDescent="0.25">
      <c r="A727" t="s">
        <v>731</v>
      </c>
      <c r="B727">
        <v>0.99876560204751996</v>
      </c>
      <c r="C727">
        <v>0.95778708957578496</v>
      </c>
      <c r="D727">
        <v>0.97333430708792801</v>
      </c>
      <c r="E727">
        <v>0.80985422875972901</v>
      </c>
      <c r="F727">
        <v>0.57313488725149297</v>
      </c>
      <c r="G727">
        <v>0.26643203878962202</v>
      </c>
      <c r="H727">
        <v>0.125596607398932</v>
      </c>
      <c r="I727">
        <v>8.0096184623006106E-2</v>
      </c>
      <c r="J727">
        <v>7.2412664499674997E-2</v>
      </c>
      <c r="K727">
        <v>5.6580636696375898E-2</v>
      </c>
      <c r="L727">
        <v>1060.9225961099501</v>
      </c>
      <c r="M727">
        <v>19.820555141901799</v>
      </c>
      <c r="N727">
        <v>53.805555384585503</v>
      </c>
      <c r="O727">
        <v>52.990471810057798</v>
      </c>
      <c r="P727">
        <v>-8.8943733002290304E-2</v>
      </c>
      <c r="Q727">
        <v>4.8864228893707298E-2</v>
      </c>
      <c r="R727">
        <v>0.99909122861379895</v>
      </c>
      <c r="S727" t="s">
        <v>5023</v>
      </c>
      <c r="T727" t="s">
        <v>8590</v>
      </c>
      <c r="U727" t="s">
        <v>8590</v>
      </c>
      <c r="V727" t="s">
        <v>8590</v>
      </c>
      <c r="W727">
        <v>22</v>
      </c>
      <c r="X727" t="s">
        <v>9317</v>
      </c>
      <c r="Y727">
        <v>0.49091879814296041</v>
      </c>
      <c r="Z727" t="str">
        <f>HYPERLINK("Melting_Curves/meltCurve_sp_P15170_2_ERF3A_HUMAN_.pdf", "Melting_Curves/meltCurve_sp_P15170_2_ERF3A_HUMAN_.pdf")</f>
        <v>Melting_Curves/meltCurve_sp_P15170_2_ERF3A_HUMAN_.pdf</v>
      </c>
      <c r="AA727" t="s">
        <v>13599</v>
      </c>
      <c r="AB727" t="s">
        <v>17812</v>
      </c>
    </row>
    <row r="728" spans="1:28" x14ac:dyDescent="0.25">
      <c r="A728" t="s">
        <v>732</v>
      </c>
      <c r="B728">
        <v>0.99876560204751996</v>
      </c>
      <c r="C728">
        <v>0.93302063025980297</v>
      </c>
      <c r="D728">
        <v>0.52395203768904597</v>
      </c>
      <c r="E728">
        <v>0.66670020443418998</v>
      </c>
      <c r="F728">
        <v>0.45352078836693799</v>
      </c>
      <c r="G728">
        <v>0.37814965897116898</v>
      </c>
      <c r="H728">
        <v>0.24346058356672501</v>
      </c>
      <c r="I728">
        <v>0.16071413041667701</v>
      </c>
      <c r="J728">
        <v>8.9120079013635695E-2</v>
      </c>
      <c r="K728">
        <v>1.75347055157111E-2</v>
      </c>
      <c r="L728">
        <v>441.92047326929003</v>
      </c>
      <c r="M728">
        <v>8.5247460478297405</v>
      </c>
      <c r="N728">
        <v>51.839719019490303</v>
      </c>
      <c r="O728">
        <v>49.223238811325103</v>
      </c>
      <c r="P728">
        <v>-4.33349376406542E-2</v>
      </c>
      <c r="Q728">
        <v>0</v>
      </c>
      <c r="R728">
        <v>0.92124363319067604</v>
      </c>
      <c r="S728" t="s">
        <v>5024</v>
      </c>
      <c r="T728" t="s">
        <v>8590</v>
      </c>
      <c r="U728" t="s">
        <v>8590</v>
      </c>
      <c r="V728" t="s">
        <v>8590</v>
      </c>
      <c r="W728">
        <v>12</v>
      </c>
      <c r="X728" t="s">
        <v>9318</v>
      </c>
      <c r="Y728">
        <v>0.44006762449087578</v>
      </c>
      <c r="Z728" t="str">
        <f>HYPERLINK("Melting_Curves/meltCurve_sp_P15289_2_ARSA_HUMAN_.pdf", "Melting_Curves/meltCurve_sp_P15289_2_ARSA_HUMAN_.pdf")</f>
        <v>Melting_Curves/meltCurve_sp_P15289_2_ARSA_HUMAN_.pdf</v>
      </c>
      <c r="AA728" t="s">
        <v>13600</v>
      </c>
      <c r="AB728" t="s">
        <v>17813</v>
      </c>
    </row>
    <row r="729" spans="1:28" x14ac:dyDescent="0.25">
      <c r="A729" t="s">
        <v>733</v>
      </c>
      <c r="B729">
        <v>0.99876560204751996</v>
      </c>
      <c r="C729">
        <v>0.887272661393124</v>
      </c>
      <c r="D729">
        <v>0.76663851135790995</v>
      </c>
      <c r="E729">
        <v>0.88021018978610199</v>
      </c>
      <c r="F729">
        <v>0.72905719869093899</v>
      </c>
      <c r="G729">
        <v>0.71174459901502596</v>
      </c>
      <c r="H729">
        <v>0.60455508439439398</v>
      </c>
      <c r="I729">
        <v>0.51283091406588899</v>
      </c>
      <c r="J729">
        <v>0.43827392988852998</v>
      </c>
      <c r="K729">
        <v>0.212407021449145</v>
      </c>
      <c r="L729">
        <v>383.06584678266</v>
      </c>
      <c r="M729">
        <v>6.0860428925705099</v>
      </c>
      <c r="N729">
        <v>62.941693567295999</v>
      </c>
      <c r="O729">
        <v>57.160002489552802</v>
      </c>
      <c r="P729">
        <v>-2.67003805825945E-2</v>
      </c>
      <c r="Q729">
        <v>0</v>
      </c>
      <c r="R729">
        <v>0.89204580292467395</v>
      </c>
      <c r="S729" t="s">
        <v>5025</v>
      </c>
      <c r="T729" t="s">
        <v>8590</v>
      </c>
      <c r="U729" t="s">
        <v>8590</v>
      </c>
      <c r="V729" t="s">
        <v>8590</v>
      </c>
      <c r="W729">
        <v>13</v>
      </c>
      <c r="X729" t="s">
        <v>9319</v>
      </c>
      <c r="Y729">
        <v>0.69089127867805045</v>
      </c>
      <c r="Z729" t="str">
        <f>HYPERLINK("Melting_Curves/meltCurve_sp_P15289_ARSA_HUMAN_.pdf", "Melting_Curves/meltCurve_sp_P15289_ARSA_HUMAN_.pdf")</f>
        <v>Melting_Curves/meltCurve_sp_P15289_ARSA_HUMAN_.pdf</v>
      </c>
      <c r="AA729" t="s">
        <v>13600</v>
      </c>
      <c r="AB729" t="s">
        <v>17814</v>
      </c>
    </row>
    <row r="730" spans="1:28" x14ac:dyDescent="0.25">
      <c r="A730" t="s">
        <v>734</v>
      </c>
      <c r="B730">
        <v>0.99876560204751996</v>
      </c>
      <c r="C730">
        <v>0.94069265750973996</v>
      </c>
      <c r="D730">
        <v>0.90209457415840999</v>
      </c>
      <c r="E730">
        <v>0.87451613359137603</v>
      </c>
      <c r="F730">
        <v>0.81517035287988204</v>
      </c>
      <c r="G730">
        <v>0.212692618132514</v>
      </c>
      <c r="H730">
        <v>0.123174192315159</v>
      </c>
      <c r="I730">
        <v>8.6604652827140097E-2</v>
      </c>
      <c r="J730">
        <v>8.2890003084831798E-2</v>
      </c>
      <c r="K730">
        <v>7.0354789625661995E-2</v>
      </c>
      <c r="L730">
        <v>2095.8317496192099</v>
      </c>
      <c r="M730">
        <v>38.366154741914301</v>
      </c>
      <c r="N730">
        <v>54.882289587803797</v>
      </c>
      <c r="O730">
        <v>54.479327013432901</v>
      </c>
      <c r="P730">
        <v>-0.16167568891173301</v>
      </c>
      <c r="Q730">
        <v>8.1694758580929505E-2</v>
      </c>
      <c r="R730">
        <v>0.98419269508389895</v>
      </c>
      <c r="S730" t="s">
        <v>5026</v>
      </c>
      <c r="T730" t="s">
        <v>8590</v>
      </c>
      <c r="U730" t="s">
        <v>8590</v>
      </c>
      <c r="V730" t="s">
        <v>8590</v>
      </c>
      <c r="W730">
        <v>37</v>
      </c>
      <c r="X730" t="s">
        <v>9320</v>
      </c>
      <c r="Y730">
        <v>0.53318913239131316</v>
      </c>
      <c r="Z730" t="str">
        <f>HYPERLINK("Melting_Curves/meltCurve_sp_P15311_EZRI_HUMAN_.pdf", "Melting_Curves/meltCurve_sp_P15311_EZRI_HUMAN_.pdf")</f>
        <v>Melting_Curves/meltCurve_sp_P15311_EZRI_HUMAN_.pdf</v>
      </c>
      <c r="AA730" t="s">
        <v>13601</v>
      </c>
      <c r="AB730" t="s">
        <v>17815</v>
      </c>
    </row>
    <row r="731" spans="1:28" x14ac:dyDescent="0.25">
      <c r="A731" t="s">
        <v>735</v>
      </c>
      <c r="B731">
        <v>0.99876560204751996</v>
      </c>
      <c r="C731">
        <v>1.2235680366348201</v>
      </c>
      <c r="D731">
        <v>1.2884899507206999</v>
      </c>
      <c r="E731">
        <v>1.09190774350247</v>
      </c>
      <c r="F731">
        <v>1.14695384859042</v>
      </c>
      <c r="G731">
        <v>1.1216910964128399</v>
      </c>
      <c r="H731">
        <v>0.82859519612573296</v>
      </c>
      <c r="I731">
        <v>0.79432402087071796</v>
      </c>
      <c r="J731">
        <v>0.88199730198117698</v>
      </c>
      <c r="K731">
        <v>0.78587277879182005</v>
      </c>
      <c r="L731">
        <v>15000</v>
      </c>
      <c r="M731">
        <v>248.98309238830299</v>
      </c>
      <c r="O731">
        <v>60.2411677977191</v>
      </c>
      <c r="P731">
        <v>-0.18523460434386199</v>
      </c>
      <c r="Q731">
        <v>0.82073081735919096</v>
      </c>
      <c r="R731">
        <v>0.401322233022879</v>
      </c>
      <c r="S731" t="s">
        <v>5027</v>
      </c>
      <c r="T731" t="s">
        <v>8590</v>
      </c>
      <c r="U731" t="s">
        <v>8590</v>
      </c>
      <c r="V731" t="s">
        <v>8590</v>
      </c>
      <c r="W731">
        <v>1</v>
      </c>
      <c r="X731" t="s">
        <v>9321</v>
      </c>
      <c r="Y731">
        <v>0.94172707297608094</v>
      </c>
      <c r="Z731" t="str">
        <f>HYPERLINK("Melting_Curves/meltCurve_sp_P15336_3_ATF2_HUMAN_.pdf", "Melting_Curves/meltCurve_sp_P15336_3_ATF2_HUMAN_.pdf")</f>
        <v>Melting_Curves/meltCurve_sp_P15336_3_ATF2_HUMAN_.pdf</v>
      </c>
      <c r="AA731" t="s">
        <v>13602</v>
      </c>
      <c r="AB731" t="s">
        <v>17816</v>
      </c>
    </row>
    <row r="732" spans="1:28" x14ac:dyDescent="0.25">
      <c r="A732" t="s">
        <v>736</v>
      </c>
      <c r="B732">
        <v>0.99876560204751996</v>
      </c>
      <c r="C732">
        <v>0.89818681318063498</v>
      </c>
      <c r="D732">
        <v>0.971060983771867</v>
      </c>
      <c r="E732">
        <v>0.85649841747035305</v>
      </c>
      <c r="F732">
        <v>0.78866764331023298</v>
      </c>
      <c r="G732">
        <v>0.57507957330080905</v>
      </c>
      <c r="H732">
        <v>0.26547795673519098</v>
      </c>
      <c r="I732">
        <v>0.17904315179196101</v>
      </c>
      <c r="J732">
        <v>0.14270209754636901</v>
      </c>
      <c r="K732">
        <v>0.120027809686499</v>
      </c>
      <c r="L732">
        <v>852.76490931345904</v>
      </c>
      <c r="M732">
        <v>14.921537029904201</v>
      </c>
      <c r="N732">
        <v>57.462973014822801</v>
      </c>
      <c r="O732">
        <v>56.1529445620478</v>
      </c>
      <c r="P732">
        <v>-6.3845935955900004E-2</v>
      </c>
      <c r="Q732">
        <v>3.9035289097893597E-2</v>
      </c>
      <c r="R732">
        <v>0.98670901351403695</v>
      </c>
      <c r="S732" t="s">
        <v>5028</v>
      </c>
      <c r="T732" t="s">
        <v>8590</v>
      </c>
      <c r="U732" t="s">
        <v>8590</v>
      </c>
      <c r="V732" t="s">
        <v>8590</v>
      </c>
      <c r="W732">
        <v>12</v>
      </c>
      <c r="X732" t="s">
        <v>9322</v>
      </c>
      <c r="Y732">
        <v>0.60331365720749375</v>
      </c>
      <c r="Z732" t="str">
        <f>HYPERLINK("Melting_Curves/meltCurve_sp_P15374_UCHL3_HUMAN_.pdf", "Melting_Curves/meltCurve_sp_P15374_UCHL3_HUMAN_.pdf")</f>
        <v>Melting_Curves/meltCurve_sp_P15374_UCHL3_HUMAN_.pdf</v>
      </c>
      <c r="AA732" t="s">
        <v>13603</v>
      </c>
      <c r="AB732" t="s">
        <v>17817</v>
      </c>
    </row>
    <row r="733" spans="1:28" x14ac:dyDescent="0.25">
      <c r="A733" t="s">
        <v>737</v>
      </c>
      <c r="B733">
        <v>0.99876560204751996</v>
      </c>
      <c r="C733">
        <v>0.9321567660326</v>
      </c>
      <c r="D733">
        <v>0.996950984109229</v>
      </c>
      <c r="E733">
        <v>0.57791407686285001</v>
      </c>
      <c r="F733">
        <v>0.159871853700359</v>
      </c>
      <c r="G733">
        <v>9.3916526164802894E-2</v>
      </c>
      <c r="H733">
        <v>5.6692678816444499E-2</v>
      </c>
      <c r="I733">
        <v>4.4275073390283901E-2</v>
      </c>
      <c r="J733">
        <v>4.2570805186379498E-2</v>
      </c>
      <c r="K733">
        <v>2.6720381947772098E-2</v>
      </c>
      <c r="L733">
        <v>1987.7385283308699</v>
      </c>
      <c r="M733">
        <v>39.5222694979077</v>
      </c>
      <c r="N733">
        <v>50.429426596140701</v>
      </c>
      <c r="O733">
        <v>50.165893482062003</v>
      </c>
      <c r="P733">
        <v>-0.18705283713264201</v>
      </c>
      <c r="Q733">
        <v>5.0292168916769499E-2</v>
      </c>
      <c r="R733">
        <v>0.996004712342069</v>
      </c>
      <c r="S733" t="s">
        <v>5029</v>
      </c>
      <c r="T733" t="s">
        <v>8590</v>
      </c>
      <c r="U733" t="s">
        <v>8590</v>
      </c>
      <c r="V733" t="s">
        <v>8590</v>
      </c>
      <c r="W733">
        <v>13</v>
      </c>
      <c r="X733" t="s">
        <v>9323</v>
      </c>
      <c r="Y733">
        <v>0.37955633573981151</v>
      </c>
      <c r="Z733" t="str">
        <f>HYPERLINK("Melting_Curves/meltCurve_sp_P15428_PGDH_HUMAN_.pdf", "Melting_Curves/meltCurve_sp_P15428_PGDH_HUMAN_.pdf")</f>
        <v>Melting_Curves/meltCurve_sp_P15428_PGDH_HUMAN_.pdf</v>
      </c>
      <c r="AA733" t="s">
        <v>13604</v>
      </c>
      <c r="AB733" t="s">
        <v>17818</v>
      </c>
    </row>
    <row r="734" spans="1:28" x14ac:dyDescent="0.25">
      <c r="A734" t="s">
        <v>738</v>
      </c>
      <c r="B734">
        <v>0.99876560204751996</v>
      </c>
      <c r="C734">
        <v>0.998986354723986</v>
      </c>
      <c r="D734">
        <v>0.91947163850241498</v>
      </c>
      <c r="E734">
        <v>0.79169023302189501</v>
      </c>
      <c r="F734">
        <v>0.56783675841341996</v>
      </c>
      <c r="G734">
        <v>0.34529951235040801</v>
      </c>
      <c r="H734">
        <v>0.21505742804502101</v>
      </c>
      <c r="I734">
        <v>0.23419142595359699</v>
      </c>
      <c r="J734">
        <v>0.19755340874615199</v>
      </c>
      <c r="K734">
        <v>0.24548178839777399</v>
      </c>
      <c r="L734">
        <v>1041.40499548001</v>
      </c>
      <c r="M734">
        <v>19.8455618293853</v>
      </c>
      <c r="N734">
        <v>53.900324181771097</v>
      </c>
      <c r="O734">
        <v>51.951356484404897</v>
      </c>
      <c r="P734">
        <v>-7.6010587539550103E-2</v>
      </c>
      <c r="Q734">
        <v>0.204110101742944</v>
      </c>
      <c r="R734">
        <v>0.99595619742151698</v>
      </c>
      <c r="S734" t="s">
        <v>5030</v>
      </c>
      <c r="T734" t="s">
        <v>8590</v>
      </c>
      <c r="U734" t="s">
        <v>8590</v>
      </c>
      <c r="V734" t="s">
        <v>8590</v>
      </c>
      <c r="W734">
        <v>2</v>
      </c>
      <c r="X734" t="s">
        <v>9324</v>
      </c>
      <c r="Y734">
        <v>0.54621778844358571</v>
      </c>
      <c r="Z734" t="str">
        <f>HYPERLINK("Melting_Curves/meltCurve_sp_P15529_16_MCP_HUMAN_.pdf", "Melting_Curves/meltCurve_sp_P15529_16_MCP_HUMAN_.pdf")</f>
        <v>Melting_Curves/meltCurve_sp_P15529_16_MCP_HUMAN_.pdf</v>
      </c>
      <c r="AA734" t="s">
        <v>13605</v>
      </c>
      <c r="AB734" t="s">
        <v>17819</v>
      </c>
    </row>
    <row r="735" spans="1:28" x14ac:dyDescent="0.25">
      <c r="A735" t="s">
        <v>739</v>
      </c>
      <c r="B735">
        <v>0.99876560204751996</v>
      </c>
      <c r="C735">
        <v>0.98274956518273004</v>
      </c>
      <c r="D735">
        <v>0.91196774925144397</v>
      </c>
      <c r="E735">
        <v>0.98863082722765006</v>
      </c>
      <c r="F735">
        <v>0.93455149960637796</v>
      </c>
      <c r="G735">
        <v>0.83067214015806701</v>
      </c>
      <c r="H735">
        <v>0.611376406706719</v>
      </c>
      <c r="I735">
        <v>0.36723528445439402</v>
      </c>
      <c r="J735">
        <v>0.33731445310869801</v>
      </c>
      <c r="K735">
        <v>0.30790775534416898</v>
      </c>
      <c r="L735">
        <v>1320.6356656471801</v>
      </c>
      <c r="M735">
        <v>21.9464243988891</v>
      </c>
      <c r="N735">
        <v>62.255369454184198</v>
      </c>
      <c r="O735">
        <v>59.682507480661897</v>
      </c>
      <c r="P735">
        <v>-6.80461780178893E-2</v>
      </c>
      <c r="Q735">
        <v>0.25982033939574301</v>
      </c>
      <c r="R735">
        <v>0.98328148807103499</v>
      </c>
      <c r="S735" t="s">
        <v>5031</v>
      </c>
      <c r="T735" t="s">
        <v>8590</v>
      </c>
      <c r="U735" t="s">
        <v>8590</v>
      </c>
      <c r="V735" t="s">
        <v>8590</v>
      </c>
      <c r="W735">
        <v>10</v>
      </c>
      <c r="X735" t="s">
        <v>9325</v>
      </c>
      <c r="Y735">
        <v>0.76341090034159542</v>
      </c>
      <c r="Z735" t="str">
        <f>HYPERLINK("Melting_Curves/meltCurve_sp_P15531_NDKA_HUMAN_.pdf", "Melting_Curves/meltCurve_sp_P15531_NDKA_HUMAN_.pdf")</f>
        <v>Melting_Curves/meltCurve_sp_P15531_NDKA_HUMAN_.pdf</v>
      </c>
      <c r="AA735" t="s">
        <v>13606</v>
      </c>
      <c r="AB735" t="s">
        <v>17820</v>
      </c>
    </row>
    <row r="736" spans="1:28" x14ac:dyDescent="0.25">
      <c r="A736" t="s">
        <v>740</v>
      </c>
      <c r="B736">
        <v>0.99876560204751996</v>
      </c>
      <c r="C736">
        <v>0.981338345195926</v>
      </c>
      <c r="D736">
        <v>0.79056994486635002</v>
      </c>
      <c r="E736">
        <v>0.49060427617278402</v>
      </c>
      <c r="F736">
        <v>0.26712650536955801</v>
      </c>
      <c r="G736">
        <v>0.15273441480685301</v>
      </c>
      <c r="H736">
        <v>0.105266188403681</v>
      </c>
      <c r="I736">
        <v>8.9819580001143803E-2</v>
      </c>
      <c r="J736">
        <v>7.5034426794770306E-2</v>
      </c>
      <c r="K736">
        <v>7.00800865863586E-2</v>
      </c>
      <c r="L736">
        <v>924.28225515175995</v>
      </c>
      <c r="M736">
        <v>18.724901449234899</v>
      </c>
      <c r="N736">
        <v>49.788024413866403</v>
      </c>
      <c r="O736">
        <v>48.808503920339803</v>
      </c>
      <c r="P736">
        <v>-8.8800816819608094E-2</v>
      </c>
      <c r="Q736">
        <v>7.4163387528545496E-2</v>
      </c>
      <c r="R736">
        <v>0.998474454034876</v>
      </c>
      <c r="S736" t="s">
        <v>5032</v>
      </c>
      <c r="T736" t="s">
        <v>8590</v>
      </c>
      <c r="U736" t="s">
        <v>8590</v>
      </c>
      <c r="V736" t="s">
        <v>8590</v>
      </c>
      <c r="W736">
        <v>7</v>
      </c>
      <c r="X736" t="s">
        <v>9326</v>
      </c>
      <c r="Y736">
        <v>0.37780280754428991</v>
      </c>
      <c r="Z736" t="str">
        <f>HYPERLINK("Melting_Curves/meltCurve_sp_P15735_2_PHKG2_HUMAN_.pdf", "Melting_Curves/meltCurve_sp_P15735_2_PHKG2_HUMAN_.pdf")</f>
        <v>Melting_Curves/meltCurve_sp_P15735_2_PHKG2_HUMAN_.pdf</v>
      </c>
      <c r="AA736" t="s">
        <v>13607</v>
      </c>
      <c r="AB736" t="s">
        <v>17821</v>
      </c>
    </row>
    <row r="737" spans="1:28" x14ac:dyDescent="0.25">
      <c r="A737" t="s">
        <v>741</v>
      </c>
      <c r="B737">
        <v>0.99876560204751996</v>
      </c>
      <c r="C737">
        <v>0.90950932105854099</v>
      </c>
      <c r="D737">
        <v>0.81751324092577804</v>
      </c>
      <c r="E737">
        <v>0.78328734337901296</v>
      </c>
      <c r="F737">
        <v>0.67925544680670003</v>
      </c>
      <c r="G737">
        <v>0.55286152959871504</v>
      </c>
      <c r="H737">
        <v>0.41151775446434002</v>
      </c>
      <c r="I737">
        <v>0.35902228441088202</v>
      </c>
      <c r="J737">
        <v>0.29896203734541998</v>
      </c>
      <c r="K737">
        <v>0.17000363728167101</v>
      </c>
      <c r="L737">
        <v>422.627676519967</v>
      </c>
      <c r="M737">
        <v>7.2650993065596898</v>
      </c>
      <c r="N737">
        <v>58.1723291531844</v>
      </c>
      <c r="O737">
        <v>54.250459466327897</v>
      </c>
      <c r="P737">
        <v>-3.3533582581546803E-2</v>
      </c>
      <c r="Q737">
        <v>0</v>
      </c>
      <c r="R737">
        <v>0.987011238963309</v>
      </c>
      <c r="S737" t="s">
        <v>5033</v>
      </c>
      <c r="T737" t="s">
        <v>8590</v>
      </c>
      <c r="U737" t="s">
        <v>8590</v>
      </c>
      <c r="V737" t="s">
        <v>8590</v>
      </c>
      <c r="W737">
        <v>10</v>
      </c>
      <c r="X737" t="s">
        <v>9327</v>
      </c>
      <c r="Y737">
        <v>0.60399080649313119</v>
      </c>
      <c r="Z737" t="str">
        <f>HYPERLINK("Melting_Curves/meltCurve_sp_P15848_ARSB_HUMAN_.pdf", "Melting_Curves/meltCurve_sp_P15848_ARSB_HUMAN_.pdf")</f>
        <v>Melting_Curves/meltCurve_sp_P15848_ARSB_HUMAN_.pdf</v>
      </c>
      <c r="AA737" t="s">
        <v>13608</v>
      </c>
      <c r="AB737" t="s">
        <v>17822</v>
      </c>
    </row>
    <row r="738" spans="1:28" x14ac:dyDescent="0.25">
      <c r="A738" t="s">
        <v>742</v>
      </c>
      <c r="B738">
        <v>0.99876560204751996</v>
      </c>
      <c r="C738">
        <v>0.89203164356747899</v>
      </c>
      <c r="D738">
        <v>0.79705134596663496</v>
      </c>
      <c r="E738">
        <v>0.53647236278951504</v>
      </c>
      <c r="F738">
        <v>0.29545751381426899</v>
      </c>
      <c r="G738">
        <v>0.21393220302187799</v>
      </c>
      <c r="H738">
        <v>0.16030638841069</v>
      </c>
      <c r="I738">
        <v>0.13555628036848899</v>
      </c>
      <c r="J738">
        <v>0.160588371948826</v>
      </c>
      <c r="K738">
        <v>0.16022232239631201</v>
      </c>
      <c r="L738">
        <v>838.91423292264506</v>
      </c>
      <c r="M738">
        <v>17.080665188419601</v>
      </c>
      <c r="N738">
        <v>50.056363299877702</v>
      </c>
      <c r="O738">
        <v>48.456464097274903</v>
      </c>
      <c r="P738">
        <v>-7.6021325439197499E-2</v>
      </c>
      <c r="Q738">
        <v>0.137387121640176</v>
      </c>
      <c r="R738">
        <v>0.99522766905897497</v>
      </c>
      <c r="S738" t="s">
        <v>5034</v>
      </c>
      <c r="T738" t="s">
        <v>8590</v>
      </c>
      <c r="U738" t="s">
        <v>8590</v>
      </c>
      <c r="V738" t="s">
        <v>8590</v>
      </c>
      <c r="W738">
        <v>4</v>
      </c>
      <c r="X738" t="s">
        <v>9328</v>
      </c>
      <c r="Y738">
        <v>0.41600487573671141</v>
      </c>
      <c r="Z738" t="str">
        <f>HYPERLINK("Melting_Curves/meltCurve_sp_P15907_SIAT1_HUMAN_.pdf", "Melting_Curves/meltCurve_sp_P15907_SIAT1_HUMAN_.pdf")</f>
        <v>Melting_Curves/meltCurve_sp_P15907_SIAT1_HUMAN_.pdf</v>
      </c>
      <c r="AA738" t="s">
        <v>13609</v>
      </c>
      <c r="AB738" t="s">
        <v>17823</v>
      </c>
    </row>
    <row r="739" spans="1:28" x14ac:dyDescent="0.25">
      <c r="A739" t="s">
        <v>743</v>
      </c>
      <c r="B739">
        <v>0.99876560204751996</v>
      </c>
      <c r="C739">
        <v>1.01524567426163</v>
      </c>
      <c r="D739">
        <v>0.96332025690238798</v>
      </c>
      <c r="E739">
        <v>0.74295134560304299</v>
      </c>
      <c r="F739">
        <v>0.50769016809312695</v>
      </c>
      <c r="G739">
        <v>0.34961525650814201</v>
      </c>
      <c r="H739">
        <v>0.27062013958932102</v>
      </c>
      <c r="I739">
        <v>0.26210571005932098</v>
      </c>
      <c r="J739">
        <v>0.28405750831416898</v>
      </c>
      <c r="K739">
        <v>0.28243949496551402</v>
      </c>
      <c r="L739">
        <v>1218.44958423309</v>
      </c>
      <c r="M739">
        <v>23.7249987163623</v>
      </c>
      <c r="N739">
        <v>53.106500350166897</v>
      </c>
      <c r="O739">
        <v>50.996493962359899</v>
      </c>
      <c r="P739">
        <v>-8.4773179053928796E-2</v>
      </c>
      <c r="Q739">
        <v>0.271137700971819</v>
      </c>
      <c r="R739">
        <v>0.99841799408591303</v>
      </c>
      <c r="S739" t="s">
        <v>5035</v>
      </c>
      <c r="T739" t="s">
        <v>8590</v>
      </c>
      <c r="U739" t="s">
        <v>8590</v>
      </c>
      <c r="V739" t="s">
        <v>8590</v>
      </c>
      <c r="W739">
        <v>79</v>
      </c>
      <c r="X739" t="s">
        <v>9329</v>
      </c>
      <c r="Y739">
        <v>0.55438327681655541</v>
      </c>
      <c r="Z739" t="str">
        <f>HYPERLINK("Melting_Curves/meltCurve_sp_P15924_DESP_HUMAN_.pdf", "Melting_Curves/meltCurve_sp_P15924_DESP_HUMAN_.pdf")</f>
        <v>Melting_Curves/meltCurve_sp_P15924_DESP_HUMAN_.pdf</v>
      </c>
      <c r="AA739" t="s">
        <v>13610</v>
      </c>
      <c r="AB739" t="s">
        <v>17824</v>
      </c>
    </row>
    <row r="740" spans="1:28" x14ac:dyDescent="0.25">
      <c r="A740" t="s">
        <v>744</v>
      </c>
      <c r="B740">
        <v>0.99876560204751996</v>
      </c>
      <c r="C740">
        <v>0.98832247879539603</v>
      </c>
      <c r="D740">
        <v>0.92303562196864297</v>
      </c>
      <c r="E740">
        <v>0.93779111326781095</v>
      </c>
      <c r="F740">
        <v>0.72418857492483701</v>
      </c>
      <c r="G740">
        <v>0.38491637711082999</v>
      </c>
      <c r="H740">
        <v>0.12229128846062</v>
      </c>
      <c r="I740">
        <v>8.4856523279149096E-2</v>
      </c>
      <c r="J740">
        <v>0.110167003565573</v>
      </c>
      <c r="K740">
        <v>9.1679563278307799E-2</v>
      </c>
      <c r="L740">
        <v>1304.1758438706499</v>
      </c>
      <c r="M740">
        <v>23.6792248597704</v>
      </c>
      <c r="N740">
        <v>55.442821960912397</v>
      </c>
      <c r="O740">
        <v>54.688492384844999</v>
      </c>
      <c r="P740">
        <v>-0.100414906189372</v>
      </c>
      <c r="Q740">
        <v>7.2360101562418594E-2</v>
      </c>
      <c r="R740">
        <v>0.99469970757271897</v>
      </c>
      <c r="S740" t="s">
        <v>5036</v>
      </c>
      <c r="T740" t="s">
        <v>8590</v>
      </c>
      <c r="U740" t="s">
        <v>8590</v>
      </c>
      <c r="V740" t="s">
        <v>8590</v>
      </c>
      <c r="W740">
        <v>3</v>
      </c>
      <c r="X740" t="s">
        <v>9330</v>
      </c>
      <c r="Y740">
        <v>0.54797313703441553</v>
      </c>
      <c r="Z740" t="str">
        <f>HYPERLINK("Melting_Curves/meltCurve_sp_P15927_RFA2_HUMAN_.pdf", "Melting_Curves/meltCurve_sp_P15927_RFA2_HUMAN_.pdf")</f>
        <v>Melting_Curves/meltCurve_sp_P15927_RFA2_HUMAN_.pdf</v>
      </c>
      <c r="AA740" t="s">
        <v>13611</v>
      </c>
      <c r="AB740" t="s">
        <v>17825</v>
      </c>
    </row>
    <row r="741" spans="1:28" x14ac:dyDescent="0.25">
      <c r="A741" t="s">
        <v>745</v>
      </c>
      <c r="B741">
        <v>0.99876560204751996</v>
      </c>
      <c r="C741">
        <v>0.91471244682095898</v>
      </c>
      <c r="D741">
        <v>0.75025108478980496</v>
      </c>
      <c r="E741">
        <v>0.48189834579732999</v>
      </c>
      <c r="F741">
        <v>0.190626193257591</v>
      </c>
      <c r="G741">
        <v>9.9723487251595799E-2</v>
      </c>
      <c r="H741">
        <v>6.24036907415947E-2</v>
      </c>
      <c r="I741">
        <v>5.1815576264235302E-2</v>
      </c>
      <c r="J741">
        <v>5.23489518558461E-2</v>
      </c>
      <c r="K741">
        <v>4.3901886380473903E-2</v>
      </c>
      <c r="L741">
        <v>875.88489808030999</v>
      </c>
      <c r="M741">
        <v>17.872091234317399</v>
      </c>
      <c r="N741">
        <v>49.204688148716798</v>
      </c>
      <c r="O741">
        <v>48.407315307953198</v>
      </c>
      <c r="P741">
        <v>-8.9131366987050195E-2</v>
      </c>
      <c r="Q741">
        <v>3.4384929184814998E-2</v>
      </c>
      <c r="R741">
        <v>0.99601999200861902</v>
      </c>
      <c r="S741" t="s">
        <v>5037</v>
      </c>
      <c r="T741" t="s">
        <v>8590</v>
      </c>
      <c r="U741" t="s">
        <v>8590</v>
      </c>
      <c r="V741" t="s">
        <v>8590</v>
      </c>
      <c r="W741">
        <v>16</v>
      </c>
      <c r="X741" t="s">
        <v>9331</v>
      </c>
      <c r="Y741">
        <v>0.34130569802215932</v>
      </c>
      <c r="Z741" t="str">
        <f>HYPERLINK("Melting_Curves/meltCurve_sp_P16118_F261_HUMAN_.pdf", "Melting_Curves/meltCurve_sp_P16118_F261_HUMAN_.pdf")</f>
        <v>Melting_Curves/meltCurve_sp_P16118_F261_HUMAN_.pdf</v>
      </c>
      <c r="AA741" t="s">
        <v>13612</v>
      </c>
      <c r="AB741" t="s">
        <v>17826</v>
      </c>
    </row>
    <row r="742" spans="1:28" x14ac:dyDescent="0.25">
      <c r="A742" t="s">
        <v>746</v>
      </c>
      <c r="B742">
        <v>0.99876560204751996</v>
      </c>
      <c r="C742">
        <v>0.91927884477475097</v>
      </c>
      <c r="D742">
        <v>1.0162443906576</v>
      </c>
      <c r="E742">
        <v>0.84083345558849298</v>
      </c>
      <c r="F742">
        <v>0.71588760964869802</v>
      </c>
      <c r="G742">
        <v>0.34779322768592302</v>
      </c>
      <c r="H742">
        <v>0.15770027057156599</v>
      </c>
      <c r="I742">
        <v>0.114454994834029</v>
      </c>
      <c r="J742">
        <v>8.21467375019619E-2</v>
      </c>
      <c r="K742">
        <v>4.8326565689830202E-2</v>
      </c>
      <c r="L742">
        <v>1064.9641399428299</v>
      </c>
      <c r="M742">
        <v>19.3823148018182</v>
      </c>
      <c r="N742">
        <v>55.208954825873803</v>
      </c>
      <c r="O742">
        <v>54.370295177219603</v>
      </c>
      <c r="P742">
        <v>-8.5183267212453007E-2</v>
      </c>
      <c r="Q742">
        <v>4.4228005246369398E-2</v>
      </c>
      <c r="R742">
        <v>0.99327555827264702</v>
      </c>
      <c r="S742" t="s">
        <v>5038</v>
      </c>
      <c r="T742" t="s">
        <v>8590</v>
      </c>
      <c r="U742" t="s">
        <v>8590</v>
      </c>
      <c r="V742" t="s">
        <v>8590</v>
      </c>
      <c r="W742">
        <v>25</v>
      </c>
      <c r="X742" t="s">
        <v>9332</v>
      </c>
      <c r="Y742">
        <v>0.53371697351009273</v>
      </c>
      <c r="Z742" t="str">
        <f>HYPERLINK("Melting_Curves/meltCurve_sp_P16152_CBR1_HUMAN_.pdf", "Melting_Curves/meltCurve_sp_P16152_CBR1_HUMAN_.pdf")</f>
        <v>Melting_Curves/meltCurve_sp_P16152_CBR1_HUMAN_.pdf</v>
      </c>
      <c r="AA742" t="s">
        <v>13613</v>
      </c>
      <c r="AB742" t="s">
        <v>17827</v>
      </c>
    </row>
    <row r="743" spans="1:28" x14ac:dyDescent="0.25">
      <c r="A743" t="s">
        <v>747</v>
      </c>
      <c r="B743">
        <v>0.99876560204751996</v>
      </c>
      <c r="C743">
        <v>1.0173485946071299</v>
      </c>
      <c r="D743">
        <v>0.88686948277879496</v>
      </c>
      <c r="E743">
        <v>0.59799918541573205</v>
      </c>
      <c r="F743">
        <v>0.375529731519398</v>
      </c>
      <c r="G743">
        <v>0.21505554423402501</v>
      </c>
      <c r="H743">
        <v>7.1410981924268105E-2</v>
      </c>
      <c r="I743">
        <v>4.8149856967743501E-2</v>
      </c>
      <c r="J743">
        <v>3.88166238972898E-2</v>
      </c>
      <c r="K743">
        <v>3.1394989049611001E-2</v>
      </c>
      <c r="L743">
        <v>874.41828640600204</v>
      </c>
      <c r="M743">
        <v>17.040797702067099</v>
      </c>
      <c r="N743">
        <v>51.458528440844397</v>
      </c>
      <c r="O743">
        <v>50.622219557578703</v>
      </c>
      <c r="P743">
        <v>-8.2184964579595496E-2</v>
      </c>
      <c r="Q743">
        <v>2.3489340367244201E-2</v>
      </c>
      <c r="R743">
        <v>0.99671627198073998</v>
      </c>
      <c r="S743" t="s">
        <v>5039</v>
      </c>
      <c r="T743" t="s">
        <v>8590</v>
      </c>
      <c r="U743" t="s">
        <v>8590</v>
      </c>
      <c r="V743" t="s">
        <v>8590</v>
      </c>
      <c r="W743">
        <v>20</v>
      </c>
      <c r="X743" t="s">
        <v>9333</v>
      </c>
      <c r="Y743">
        <v>0.40978228445430109</v>
      </c>
      <c r="Z743" t="str">
        <f>HYPERLINK("Melting_Curves/meltCurve_sp_P16219_ACADS_HUMAN_.pdf", "Melting_Curves/meltCurve_sp_P16219_ACADS_HUMAN_.pdf")</f>
        <v>Melting_Curves/meltCurve_sp_P16219_ACADS_HUMAN_.pdf</v>
      </c>
      <c r="AA743" t="s">
        <v>13614</v>
      </c>
      <c r="AB743" t="s">
        <v>17828</v>
      </c>
    </row>
    <row r="744" spans="1:28" x14ac:dyDescent="0.25">
      <c r="A744" t="s">
        <v>748</v>
      </c>
      <c r="B744">
        <v>0.99876560204751996</v>
      </c>
      <c r="C744">
        <v>0.87095079576451295</v>
      </c>
      <c r="D744">
        <v>0.58323571899258297</v>
      </c>
      <c r="E744">
        <v>0.29364259458522202</v>
      </c>
      <c r="F744">
        <v>0.13892031108671701</v>
      </c>
      <c r="G744">
        <v>9.5622025248123702E-2</v>
      </c>
      <c r="H744">
        <v>6.3863576562864205E-2</v>
      </c>
      <c r="I744">
        <v>4.7824609138490397E-2</v>
      </c>
      <c r="J744">
        <v>3.63064970644114E-2</v>
      </c>
      <c r="K744">
        <v>3.3789466568691098E-2</v>
      </c>
      <c r="L744">
        <v>872.96738799590798</v>
      </c>
      <c r="M744">
        <v>18.603910263352098</v>
      </c>
      <c r="N744">
        <v>47.155642830294703</v>
      </c>
      <c r="O744">
        <v>46.391778114184199</v>
      </c>
      <c r="P744">
        <v>-9.5877766276208296E-2</v>
      </c>
      <c r="Q744">
        <v>4.3696228629695903E-2</v>
      </c>
      <c r="R744">
        <v>0.99738626645292905</v>
      </c>
      <c r="S744" t="s">
        <v>5040</v>
      </c>
      <c r="T744" t="s">
        <v>8590</v>
      </c>
      <c r="U744" t="s">
        <v>8590</v>
      </c>
      <c r="V744" t="s">
        <v>8590</v>
      </c>
      <c r="W744">
        <v>12</v>
      </c>
      <c r="X744" t="s">
        <v>9334</v>
      </c>
      <c r="Y744">
        <v>0.28088308778957938</v>
      </c>
      <c r="Z744" t="str">
        <f>HYPERLINK("Melting_Curves/meltCurve_sp_P16278_3_BGAL_HUMAN_.pdf", "Melting_Curves/meltCurve_sp_P16278_3_BGAL_HUMAN_.pdf")</f>
        <v>Melting_Curves/meltCurve_sp_P16278_3_BGAL_HUMAN_.pdf</v>
      </c>
      <c r="AA744" t="s">
        <v>13615</v>
      </c>
      <c r="AB744" t="s">
        <v>17829</v>
      </c>
    </row>
    <row r="745" spans="1:28" x14ac:dyDescent="0.25">
      <c r="A745" t="s">
        <v>749</v>
      </c>
      <c r="B745">
        <v>0.99876560204751996</v>
      </c>
      <c r="C745">
        <v>1.06270032691071</v>
      </c>
      <c r="D745">
        <v>1.0077025482128801</v>
      </c>
      <c r="E745">
        <v>0.87546459023083401</v>
      </c>
      <c r="F745">
        <v>0.82336105070141297</v>
      </c>
      <c r="G745">
        <v>0.54192402685632701</v>
      </c>
      <c r="H745">
        <v>0.31542582931285101</v>
      </c>
      <c r="I745">
        <v>0.200831728823194</v>
      </c>
      <c r="J745">
        <v>0.110021195234353</v>
      </c>
      <c r="K745">
        <v>0.11126869087528</v>
      </c>
      <c r="L745">
        <v>929.86578116995895</v>
      </c>
      <c r="M745">
        <v>16.2126675768918</v>
      </c>
      <c r="N745">
        <v>57.713514935615301</v>
      </c>
      <c r="O745">
        <v>56.502979629652103</v>
      </c>
      <c r="P745">
        <v>-6.8295856441478994E-2</v>
      </c>
      <c r="Q745">
        <v>4.7995766853651201E-2</v>
      </c>
      <c r="R745">
        <v>0.99401279718082503</v>
      </c>
      <c r="S745" t="s">
        <v>5041</v>
      </c>
      <c r="T745" t="s">
        <v>8590</v>
      </c>
      <c r="U745" t="s">
        <v>8590</v>
      </c>
      <c r="V745" t="s">
        <v>8590</v>
      </c>
      <c r="W745">
        <v>10</v>
      </c>
      <c r="X745" t="s">
        <v>9335</v>
      </c>
      <c r="Y745">
        <v>0.61241919868744621</v>
      </c>
      <c r="Z745" t="str">
        <f>HYPERLINK("Melting_Curves/meltCurve_sp_P16298_3_PP2BB_HUMAN_.pdf", "Melting_Curves/meltCurve_sp_P16298_3_PP2BB_HUMAN_.pdf")</f>
        <v>Melting_Curves/meltCurve_sp_P16298_3_PP2BB_HUMAN_.pdf</v>
      </c>
      <c r="AA745" t="s">
        <v>13616</v>
      </c>
      <c r="AB745" t="s">
        <v>17830</v>
      </c>
    </row>
    <row r="746" spans="1:28" x14ac:dyDescent="0.25">
      <c r="A746" t="s">
        <v>750</v>
      </c>
      <c r="B746">
        <v>0.99876560204751996</v>
      </c>
      <c r="C746">
        <v>0.89358826538445002</v>
      </c>
      <c r="D746">
        <v>0.92250045264277503</v>
      </c>
      <c r="E746">
        <v>0.76927606846390295</v>
      </c>
      <c r="F746">
        <v>0.49210635254727803</v>
      </c>
      <c r="G746">
        <v>0.25767361045702902</v>
      </c>
      <c r="H746">
        <v>0.25032514823640101</v>
      </c>
      <c r="I746">
        <v>0.220481572808266</v>
      </c>
      <c r="J746">
        <v>0.14879587860629401</v>
      </c>
      <c r="K746">
        <v>0.71796601210431299</v>
      </c>
      <c r="L746">
        <v>1664.9983060393099</v>
      </c>
      <c r="M746">
        <v>32.657194618436002</v>
      </c>
      <c r="N746">
        <v>52.610412686407301</v>
      </c>
      <c r="O746">
        <v>50.794085819538303</v>
      </c>
      <c r="P746">
        <v>-0.1096528093148</v>
      </c>
      <c r="Q746">
        <v>0.31779955617648398</v>
      </c>
      <c r="R746">
        <v>0.77051383536370099</v>
      </c>
      <c r="S746" t="s">
        <v>5042</v>
      </c>
      <c r="T746" t="s">
        <v>8590</v>
      </c>
      <c r="U746" t="s">
        <v>8590</v>
      </c>
      <c r="V746" t="s">
        <v>8590</v>
      </c>
      <c r="W746">
        <v>4</v>
      </c>
      <c r="X746" t="s">
        <v>9336</v>
      </c>
      <c r="Y746">
        <v>0.57119512361346947</v>
      </c>
      <c r="Z746" t="str">
        <f>HYPERLINK("Melting_Curves/meltCurve_sp_P16333_NCK1_HUMAN_.pdf", "Melting_Curves/meltCurve_sp_P16333_NCK1_HUMAN_.pdf")</f>
        <v>Melting_Curves/meltCurve_sp_P16333_NCK1_HUMAN_.pdf</v>
      </c>
      <c r="AA746" t="s">
        <v>13617</v>
      </c>
      <c r="AB746" t="s">
        <v>17831</v>
      </c>
    </row>
    <row r="747" spans="1:28" x14ac:dyDescent="0.25">
      <c r="A747" t="s">
        <v>751</v>
      </c>
      <c r="B747">
        <v>0.99876560204751996</v>
      </c>
      <c r="C747">
        <v>0.97033372345387703</v>
      </c>
      <c r="D747">
        <v>1.12885371248276</v>
      </c>
      <c r="E747">
        <v>0.80304337564842998</v>
      </c>
      <c r="F747">
        <v>0.59682071011993498</v>
      </c>
      <c r="G747">
        <v>0.33234713648104902</v>
      </c>
      <c r="H747">
        <v>0.245789190468992</v>
      </c>
      <c r="I747">
        <v>0.18674715058444699</v>
      </c>
      <c r="J747">
        <v>0.22243479646102499</v>
      </c>
      <c r="K747">
        <v>0.16077609291737199</v>
      </c>
      <c r="L747">
        <v>1259.2871020166699</v>
      </c>
      <c r="M747">
        <v>23.761154956766202</v>
      </c>
      <c r="N747">
        <v>54.098088446161</v>
      </c>
      <c r="O747">
        <v>52.626620751394398</v>
      </c>
      <c r="P747">
        <v>-9.1247207899929905E-2</v>
      </c>
      <c r="Q747">
        <v>0.19162966070794199</v>
      </c>
      <c r="R747">
        <v>0.97899272659762904</v>
      </c>
      <c r="S747" t="s">
        <v>5043</v>
      </c>
      <c r="T747" t="s">
        <v>8590</v>
      </c>
      <c r="U747" t="s">
        <v>8590</v>
      </c>
      <c r="V747" t="s">
        <v>8590</v>
      </c>
      <c r="W747">
        <v>3</v>
      </c>
      <c r="X747" t="s">
        <v>9337</v>
      </c>
      <c r="Y747">
        <v>0.55004352534573475</v>
      </c>
      <c r="Z747" t="str">
        <f>HYPERLINK("Melting_Curves/meltCurve_sp_P16383_2_GCFC2_HUMAN_.pdf", "Melting_Curves/meltCurve_sp_P16383_2_GCFC2_HUMAN_.pdf")</f>
        <v>Melting_Curves/meltCurve_sp_P16383_2_GCFC2_HUMAN_.pdf</v>
      </c>
      <c r="AA747" t="s">
        <v>13618</v>
      </c>
      <c r="AB747" t="s">
        <v>17832</v>
      </c>
    </row>
    <row r="748" spans="1:28" x14ac:dyDescent="0.25">
      <c r="A748" t="s">
        <v>752</v>
      </c>
      <c r="B748">
        <v>0.99876560204751996</v>
      </c>
      <c r="C748">
        <v>1.09405844476268</v>
      </c>
      <c r="D748">
        <v>1.0745158284206999</v>
      </c>
      <c r="E748">
        <v>0.92730143340111904</v>
      </c>
      <c r="F748">
        <v>0.78462440708395698</v>
      </c>
      <c r="G748">
        <v>0.65627227555830703</v>
      </c>
      <c r="H748">
        <v>0.544578399801948</v>
      </c>
      <c r="I748">
        <v>0.50378959480002405</v>
      </c>
      <c r="J748">
        <v>0.64875807186780199</v>
      </c>
      <c r="K748">
        <v>0.63334515690177695</v>
      </c>
      <c r="L748">
        <v>1627.8546856841699</v>
      </c>
      <c r="M748">
        <v>30.7700453230416</v>
      </c>
      <c r="O748">
        <v>52.6819385726603</v>
      </c>
      <c r="P748">
        <v>-6.0396091558145702E-2</v>
      </c>
      <c r="Q748">
        <v>0.58638163253612696</v>
      </c>
      <c r="R748">
        <v>0.92816594525193497</v>
      </c>
      <c r="S748" t="s">
        <v>5044</v>
      </c>
      <c r="T748" t="s">
        <v>8590</v>
      </c>
      <c r="U748" t="s">
        <v>8590</v>
      </c>
      <c r="V748" t="s">
        <v>8590</v>
      </c>
      <c r="W748">
        <v>4</v>
      </c>
      <c r="X748" t="s">
        <v>9338</v>
      </c>
      <c r="Y748">
        <v>0.76683952018290624</v>
      </c>
      <c r="Z748" t="str">
        <f>HYPERLINK("Melting_Curves/meltCurve_sp_P16401_H15_HUMAN_.pdf", "Melting_Curves/meltCurve_sp_P16401_H15_HUMAN_.pdf")</f>
        <v>Melting_Curves/meltCurve_sp_P16401_H15_HUMAN_.pdf</v>
      </c>
      <c r="AA748" t="s">
        <v>13619</v>
      </c>
      <c r="AB748" t="s">
        <v>17833</v>
      </c>
    </row>
    <row r="749" spans="1:28" x14ac:dyDescent="0.25">
      <c r="A749" t="s">
        <v>753</v>
      </c>
      <c r="B749">
        <v>0.99876560204751996</v>
      </c>
      <c r="C749">
        <v>0.96494326653759399</v>
      </c>
      <c r="D749">
        <v>0.85291512559486304</v>
      </c>
      <c r="E749">
        <v>0.68583983125048997</v>
      </c>
      <c r="F749">
        <v>0.32446117605577401</v>
      </c>
      <c r="G749">
        <v>0.116471072140454</v>
      </c>
      <c r="H749">
        <v>7.5009382479390999E-2</v>
      </c>
      <c r="I749">
        <v>6.5482105234330804E-2</v>
      </c>
      <c r="J749">
        <v>5.9199983669760599E-2</v>
      </c>
      <c r="K749">
        <v>5.1017153118507297E-2</v>
      </c>
      <c r="L749">
        <v>1090.18129234907</v>
      </c>
      <c r="M749">
        <v>21.330281612358199</v>
      </c>
      <c r="N749">
        <v>51.3323494436735</v>
      </c>
      <c r="O749">
        <v>50.666694656663601</v>
      </c>
      <c r="P749">
        <v>-0.10059761637249599</v>
      </c>
      <c r="Q749">
        <v>4.4209395511636697E-2</v>
      </c>
      <c r="R749">
        <v>0.99422156307407195</v>
      </c>
      <c r="S749" t="s">
        <v>5045</v>
      </c>
      <c r="T749" t="s">
        <v>8590</v>
      </c>
      <c r="U749" t="s">
        <v>8590</v>
      </c>
      <c r="V749" t="s">
        <v>8590</v>
      </c>
      <c r="W749">
        <v>26</v>
      </c>
      <c r="X749" t="s">
        <v>9339</v>
      </c>
      <c r="Y749">
        <v>0.40990719931546971</v>
      </c>
      <c r="Z749" t="str">
        <f>HYPERLINK("Melting_Curves/meltCurve_sp_P16435_NCPR_HUMAN_.pdf", "Melting_Curves/meltCurve_sp_P16435_NCPR_HUMAN_.pdf")</f>
        <v>Melting_Curves/meltCurve_sp_P16435_NCPR_HUMAN_.pdf</v>
      </c>
      <c r="AA749" t="s">
        <v>13620</v>
      </c>
      <c r="AB749" t="s">
        <v>17834</v>
      </c>
    </row>
    <row r="750" spans="1:28" x14ac:dyDescent="0.25">
      <c r="A750" t="s">
        <v>754</v>
      </c>
      <c r="B750">
        <v>0.99876560204751996</v>
      </c>
      <c r="C750">
        <v>0.89536767911588699</v>
      </c>
      <c r="D750">
        <v>0.95496753420661296</v>
      </c>
      <c r="E750">
        <v>0.74997859491102603</v>
      </c>
      <c r="F750">
        <v>0.45294241796436102</v>
      </c>
      <c r="G750">
        <v>0.185541317722415</v>
      </c>
      <c r="H750">
        <v>9.3614672285706801E-2</v>
      </c>
      <c r="I750">
        <v>7.3004341910404197E-2</v>
      </c>
      <c r="J750">
        <v>7.5779288434407593E-2</v>
      </c>
      <c r="K750">
        <v>6.38569702986235E-2</v>
      </c>
      <c r="L750">
        <v>1130.22085946583</v>
      </c>
      <c r="M750">
        <v>21.641978418488598</v>
      </c>
      <c r="N750">
        <v>52.525430219037403</v>
      </c>
      <c r="O750">
        <v>51.783795116247298</v>
      </c>
      <c r="P750">
        <v>-9.83746051777067E-2</v>
      </c>
      <c r="Q750">
        <v>5.8479980245176699E-2</v>
      </c>
      <c r="R750">
        <v>0.99353915124750602</v>
      </c>
      <c r="S750" t="s">
        <v>5046</v>
      </c>
      <c r="T750" t="s">
        <v>8590</v>
      </c>
      <c r="U750" t="s">
        <v>8590</v>
      </c>
      <c r="V750" t="s">
        <v>8590</v>
      </c>
      <c r="W750">
        <v>6</v>
      </c>
      <c r="X750" t="s">
        <v>9340</v>
      </c>
      <c r="Y750">
        <v>0.45339353982917252</v>
      </c>
      <c r="Z750" t="str">
        <f>HYPERLINK("Melting_Curves/meltCurve_sp_P16455_MGMT_HUMAN_.pdf", "Melting_Curves/meltCurve_sp_P16455_MGMT_HUMAN_.pdf")</f>
        <v>Melting_Curves/meltCurve_sp_P16455_MGMT_HUMAN_.pdf</v>
      </c>
      <c r="AA750" t="s">
        <v>13621</v>
      </c>
      <c r="AB750" t="s">
        <v>17835</v>
      </c>
    </row>
    <row r="751" spans="1:28" x14ac:dyDescent="0.25">
      <c r="A751" t="s">
        <v>755</v>
      </c>
      <c r="B751">
        <v>0.99876560204751996</v>
      </c>
      <c r="C751">
        <v>1.14710173592689</v>
      </c>
      <c r="D751">
        <v>0.68248504054721004</v>
      </c>
      <c r="E751">
        <v>0.45648095496802299</v>
      </c>
      <c r="F751">
        <v>0.26907651721796799</v>
      </c>
      <c r="G751">
        <v>0.14357870797387501</v>
      </c>
      <c r="H751">
        <v>0.1029047974541</v>
      </c>
      <c r="I751">
        <v>0.10346958783971801</v>
      </c>
      <c r="J751">
        <v>7.2028589295266995E-2</v>
      </c>
      <c r="K751">
        <v>0.10265220056287599</v>
      </c>
      <c r="L751">
        <v>987.47295159547195</v>
      </c>
      <c r="M751">
        <v>20.249717474927198</v>
      </c>
      <c r="N751">
        <v>49.272322448130403</v>
      </c>
      <c r="O751">
        <v>48.296687942711998</v>
      </c>
      <c r="P751">
        <v>-9.4955136949616506E-2</v>
      </c>
      <c r="Q751">
        <v>9.4135477864952896E-2</v>
      </c>
      <c r="R751">
        <v>0.96261379069374697</v>
      </c>
      <c r="S751" t="s">
        <v>5047</v>
      </c>
      <c r="T751" t="s">
        <v>8590</v>
      </c>
      <c r="U751" t="s">
        <v>8590</v>
      </c>
      <c r="V751" t="s">
        <v>8590</v>
      </c>
      <c r="W751">
        <v>6</v>
      </c>
      <c r="X751" t="s">
        <v>9341</v>
      </c>
      <c r="Y751">
        <v>0.37119197589258718</v>
      </c>
      <c r="Z751" t="str">
        <f>HYPERLINK("Melting_Curves/meltCurve_sp_P16662_UD2B7_HUMAN_.pdf", "Melting_Curves/meltCurve_sp_P16662_UD2B7_HUMAN_.pdf")</f>
        <v>Melting_Curves/meltCurve_sp_P16662_UD2B7_HUMAN_.pdf</v>
      </c>
      <c r="AA751" t="s">
        <v>13622</v>
      </c>
      <c r="AB751" t="s">
        <v>17836</v>
      </c>
    </row>
    <row r="752" spans="1:28" x14ac:dyDescent="0.25">
      <c r="A752" t="s">
        <v>756</v>
      </c>
      <c r="B752">
        <v>0.99876560204751996</v>
      </c>
      <c r="C752">
        <v>1.2474632786006901</v>
      </c>
      <c r="D752">
        <v>1.3273366563998901</v>
      </c>
      <c r="E752">
        <v>0.82597435750908998</v>
      </c>
      <c r="F752">
        <v>0.82303878197047298</v>
      </c>
      <c r="G752">
        <v>0.47414739283329499</v>
      </c>
      <c r="H752">
        <v>0.40723736753489098</v>
      </c>
      <c r="I752">
        <v>0.40205673296328398</v>
      </c>
      <c r="J752">
        <v>0.54332396448662001</v>
      </c>
      <c r="K752">
        <v>0.27576715046640299</v>
      </c>
      <c r="L752">
        <v>1577.7270572238499</v>
      </c>
      <c r="M752">
        <v>29.252329894686699</v>
      </c>
      <c r="N752">
        <v>57.012422490867102</v>
      </c>
      <c r="O752">
        <v>53.684896995663202</v>
      </c>
      <c r="P752">
        <v>-8.21558344123067E-2</v>
      </c>
      <c r="Q752">
        <v>0.39690311667153</v>
      </c>
      <c r="R752">
        <v>0.81821808187219702</v>
      </c>
      <c r="S752" t="s">
        <v>5048</v>
      </c>
      <c r="T752" t="s">
        <v>8590</v>
      </c>
      <c r="U752" t="s">
        <v>8590</v>
      </c>
      <c r="V752" t="s">
        <v>8590</v>
      </c>
      <c r="W752">
        <v>3</v>
      </c>
      <c r="X752" t="s">
        <v>9342</v>
      </c>
      <c r="Y752">
        <v>0.68119914510668278</v>
      </c>
      <c r="Z752" t="str">
        <f>HYPERLINK("Melting_Curves/meltCurve_sp_P16885_PLCG2_HUMAN_.pdf", "Melting_Curves/meltCurve_sp_P16885_PLCG2_HUMAN_.pdf")</f>
        <v>Melting_Curves/meltCurve_sp_P16885_PLCG2_HUMAN_.pdf</v>
      </c>
      <c r="AA752" t="s">
        <v>13623</v>
      </c>
      <c r="AB752" t="s">
        <v>17837</v>
      </c>
    </row>
    <row r="753" spans="1:28" x14ac:dyDescent="0.25">
      <c r="A753" t="s">
        <v>757</v>
      </c>
      <c r="B753">
        <v>0.99876560204751996</v>
      </c>
      <c r="C753">
        <v>0.993362431349612</v>
      </c>
      <c r="D753">
        <v>0.92390259813522402</v>
      </c>
      <c r="E753">
        <v>0.96124685949382804</v>
      </c>
      <c r="F753">
        <v>0.81626181619708404</v>
      </c>
      <c r="G753">
        <v>0.75479761439515602</v>
      </c>
      <c r="H753">
        <v>0.62101338057988598</v>
      </c>
      <c r="I753">
        <v>0.59684548588845499</v>
      </c>
      <c r="J753">
        <v>0.53298306831380104</v>
      </c>
      <c r="K753">
        <v>0.22078200564786801</v>
      </c>
      <c r="L753">
        <v>550.93041597317199</v>
      </c>
      <c r="M753">
        <v>8.4807929539447908</v>
      </c>
      <c r="N753">
        <v>64.962132507205993</v>
      </c>
      <c r="O753">
        <v>61.652092434307399</v>
      </c>
      <c r="P753">
        <v>-3.4420982977466402E-2</v>
      </c>
      <c r="Q753">
        <v>0</v>
      </c>
      <c r="R753">
        <v>0.93362440822702597</v>
      </c>
      <c r="S753" t="s">
        <v>5049</v>
      </c>
      <c r="T753" t="s">
        <v>8590</v>
      </c>
      <c r="U753" t="s">
        <v>8590</v>
      </c>
      <c r="V753" t="s">
        <v>8590</v>
      </c>
      <c r="W753">
        <v>21</v>
      </c>
      <c r="X753" t="s">
        <v>9343</v>
      </c>
      <c r="Y753">
        <v>0.76294707867689615</v>
      </c>
      <c r="Z753" t="str">
        <f>HYPERLINK("Melting_Curves/meltCurve_sp_P16930_FAAA_HUMAN_.pdf", "Melting_Curves/meltCurve_sp_P16930_FAAA_HUMAN_.pdf")</f>
        <v>Melting_Curves/meltCurve_sp_P16930_FAAA_HUMAN_.pdf</v>
      </c>
      <c r="AA753" t="s">
        <v>13624</v>
      </c>
      <c r="AB753" t="s">
        <v>17838</v>
      </c>
    </row>
    <row r="754" spans="1:28" x14ac:dyDescent="0.25">
      <c r="A754" t="s">
        <v>758</v>
      </c>
      <c r="B754">
        <v>0.99876560204751996</v>
      </c>
      <c r="C754">
        <v>0.94619118333583596</v>
      </c>
      <c r="D754">
        <v>1.02833990097953</v>
      </c>
      <c r="E754">
        <v>0.874173108448842</v>
      </c>
      <c r="F754">
        <v>0.88467611948359604</v>
      </c>
      <c r="G754">
        <v>0.72319952594929804</v>
      </c>
      <c r="H754">
        <v>0.56509702368887604</v>
      </c>
      <c r="I754">
        <v>0.65729834641645701</v>
      </c>
      <c r="J754">
        <v>0.85598031091764804</v>
      </c>
      <c r="K754">
        <v>0.81230178477628801</v>
      </c>
      <c r="L754">
        <v>1389.6479647138001</v>
      </c>
      <c r="M754">
        <v>26.7647689481946</v>
      </c>
      <c r="O754">
        <v>51.633542992002603</v>
      </c>
      <c r="P754">
        <v>-3.59531682839377E-2</v>
      </c>
      <c r="Q754">
        <v>0.72256507566509098</v>
      </c>
      <c r="R754">
        <v>0.65922790823742805</v>
      </c>
      <c r="S754" t="s">
        <v>5050</v>
      </c>
      <c r="T754" t="s">
        <v>8590</v>
      </c>
      <c r="U754" t="s">
        <v>8590</v>
      </c>
      <c r="V754" t="s">
        <v>8590</v>
      </c>
      <c r="W754">
        <v>9</v>
      </c>
      <c r="X754" t="s">
        <v>9344</v>
      </c>
      <c r="Y754">
        <v>0.83502333993261746</v>
      </c>
      <c r="Z754" t="str">
        <f>HYPERLINK("Melting_Curves/meltCurve_sp_P16949_STMN1_HUMAN_.pdf", "Melting_Curves/meltCurve_sp_P16949_STMN1_HUMAN_.pdf")</f>
        <v>Melting_Curves/meltCurve_sp_P16949_STMN1_HUMAN_.pdf</v>
      </c>
      <c r="AA754" t="s">
        <v>13625</v>
      </c>
      <c r="AB754" t="s">
        <v>17839</v>
      </c>
    </row>
    <row r="755" spans="1:28" x14ac:dyDescent="0.25">
      <c r="A755" t="s">
        <v>759</v>
      </c>
      <c r="B755">
        <v>0.99876560204751996</v>
      </c>
      <c r="C755">
        <v>1.2040672870129601</v>
      </c>
      <c r="D755">
        <v>0.84702420658172695</v>
      </c>
      <c r="E755">
        <v>0.64621845294423996</v>
      </c>
      <c r="F755">
        <v>0.352547328342741</v>
      </c>
      <c r="G755">
        <v>0.15545376498195501</v>
      </c>
      <c r="H755">
        <v>8.10028187679077E-2</v>
      </c>
      <c r="I755">
        <v>8.9575056949909498E-2</v>
      </c>
      <c r="J755">
        <v>0.103820026314695</v>
      </c>
      <c r="K755">
        <v>0.105653035725554</v>
      </c>
      <c r="L755">
        <v>1177.64820320336</v>
      </c>
      <c r="M755">
        <v>23.145171642832398</v>
      </c>
      <c r="N755">
        <v>51.308755117169802</v>
      </c>
      <c r="O755">
        <v>50.505682891803502</v>
      </c>
      <c r="P755">
        <v>-0.104515552133486</v>
      </c>
      <c r="Q755">
        <v>8.7752177693227504E-2</v>
      </c>
      <c r="R755">
        <v>0.967238678231917</v>
      </c>
      <c r="S755" t="s">
        <v>5051</v>
      </c>
      <c r="T755" t="s">
        <v>8590</v>
      </c>
      <c r="U755" t="s">
        <v>8590</v>
      </c>
      <c r="V755" t="s">
        <v>8590</v>
      </c>
      <c r="W755">
        <v>5</v>
      </c>
      <c r="X755" t="s">
        <v>9345</v>
      </c>
      <c r="Y755">
        <v>0.42819646230914321</v>
      </c>
      <c r="Z755" t="str">
        <f>HYPERLINK("Melting_Curves/meltCurve_sp_P17029_ZKSC1_HUMAN_.pdf", "Melting_Curves/meltCurve_sp_P17029_ZKSC1_HUMAN_.pdf")</f>
        <v>Melting_Curves/meltCurve_sp_P17029_ZKSC1_HUMAN_.pdf</v>
      </c>
      <c r="AA755" t="s">
        <v>13626</v>
      </c>
      <c r="AB755" t="s">
        <v>17840</v>
      </c>
    </row>
    <row r="756" spans="1:28" x14ac:dyDescent="0.25">
      <c r="A756" t="s">
        <v>760</v>
      </c>
      <c r="B756">
        <v>0.99876560204751996</v>
      </c>
      <c r="C756">
        <v>0.9723331588045</v>
      </c>
      <c r="D756">
        <v>0.96858077123790798</v>
      </c>
      <c r="E756">
        <v>0.92588917531061898</v>
      </c>
      <c r="F756">
        <v>0.76056671627986805</v>
      </c>
      <c r="G756">
        <v>0.45452271820419798</v>
      </c>
      <c r="H756">
        <v>0.16552867993572301</v>
      </c>
      <c r="I756">
        <v>7.0041663334950405E-2</v>
      </c>
      <c r="J756">
        <v>6.1118183285026301E-2</v>
      </c>
      <c r="K756">
        <v>5.3275820493275602E-2</v>
      </c>
      <c r="L756">
        <v>1141.5221480985699</v>
      </c>
      <c r="M756">
        <v>20.342780973956401</v>
      </c>
      <c r="N756">
        <v>56.2225072803747</v>
      </c>
      <c r="O756">
        <v>55.580547186828198</v>
      </c>
      <c r="P756">
        <v>-8.9748419918635497E-2</v>
      </c>
      <c r="Q756">
        <v>1.9187300133379302E-2</v>
      </c>
      <c r="R756">
        <v>0.99827874301372999</v>
      </c>
      <c r="S756" t="s">
        <v>5052</v>
      </c>
      <c r="T756" t="s">
        <v>8590</v>
      </c>
      <c r="U756" t="s">
        <v>8590</v>
      </c>
      <c r="V756" t="s">
        <v>8590</v>
      </c>
      <c r="W756">
        <v>7</v>
      </c>
      <c r="X756" t="s">
        <v>9346</v>
      </c>
      <c r="Y756">
        <v>0.55831397940919059</v>
      </c>
      <c r="Z756" t="str">
        <f>HYPERLINK("Melting_Curves/meltCurve_sp_P17050_NAGAB_HUMAN_.pdf", "Melting_Curves/meltCurve_sp_P17050_NAGAB_HUMAN_.pdf")</f>
        <v>Melting_Curves/meltCurve_sp_P17050_NAGAB_HUMAN_.pdf</v>
      </c>
      <c r="AA756" t="s">
        <v>13627</v>
      </c>
      <c r="AB756" t="s">
        <v>17841</v>
      </c>
    </row>
    <row r="757" spans="1:28" x14ac:dyDescent="0.25">
      <c r="A757" t="s">
        <v>761</v>
      </c>
      <c r="B757">
        <v>0.99876560204751996</v>
      </c>
      <c r="C757">
        <v>0.98322155670967804</v>
      </c>
      <c r="D757">
        <v>0.789832661619423</v>
      </c>
      <c r="E757">
        <v>0.58943722467418003</v>
      </c>
      <c r="F757">
        <v>0.27481211521166699</v>
      </c>
      <c r="G757">
        <v>0.11577834896643401</v>
      </c>
      <c r="H757">
        <v>5.0210180175520799E-2</v>
      </c>
      <c r="I757">
        <v>4.7187307749824499E-2</v>
      </c>
      <c r="J757">
        <v>2.7228231471081901E-2</v>
      </c>
      <c r="K757">
        <v>2.6320791789458901E-2</v>
      </c>
      <c r="L757">
        <v>890.91023261878797</v>
      </c>
      <c r="M757">
        <v>17.691034805807501</v>
      </c>
      <c r="N757">
        <v>50.439384625870602</v>
      </c>
      <c r="O757">
        <v>49.7291830301563</v>
      </c>
      <c r="P757">
        <v>-8.7711654261489705E-2</v>
      </c>
      <c r="Q757">
        <v>1.38286949038111E-2</v>
      </c>
      <c r="R757">
        <v>0.99503560744386299</v>
      </c>
      <c r="S757" t="s">
        <v>5053</v>
      </c>
      <c r="T757" t="s">
        <v>8590</v>
      </c>
      <c r="U757" t="s">
        <v>8590</v>
      </c>
      <c r="V757" t="s">
        <v>8590</v>
      </c>
      <c r="W757">
        <v>12</v>
      </c>
      <c r="X757" t="s">
        <v>9347</v>
      </c>
      <c r="Y757">
        <v>0.37165716764589579</v>
      </c>
      <c r="Z757" t="str">
        <f>HYPERLINK("Melting_Curves/meltCurve_sp_P17066_HSP76_HUMAN_.pdf", "Melting_Curves/meltCurve_sp_P17066_HSP76_HUMAN_.pdf")</f>
        <v>Melting_Curves/meltCurve_sp_P17066_HSP76_HUMAN_.pdf</v>
      </c>
      <c r="AA757" t="s">
        <v>13628</v>
      </c>
      <c r="AB757" t="s">
        <v>17842</v>
      </c>
    </row>
    <row r="758" spans="1:28" x14ac:dyDescent="0.25">
      <c r="A758" t="s">
        <v>762</v>
      </c>
      <c r="B758">
        <v>0.99876560204751996</v>
      </c>
      <c r="C758">
        <v>1.0018225710123001</v>
      </c>
      <c r="D758">
        <v>0.98117936571539299</v>
      </c>
      <c r="E758">
        <v>0.95211104628045995</v>
      </c>
      <c r="F758">
        <v>0.92408658674637001</v>
      </c>
      <c r="G758">
        <v>0.81732751452344299</v>
      </c>
      <c r="H758">
        <v>0.70720558765314401</v>
      </c>
      <c r="I758">
        <v>0.69948892498524395</v>
      </c>
      <c r="J758">
        <v>0.73190038173133898</v>
      </c>
      <c r="K758">
        <v>0.35206121247053002</v>
      </c>
      <c r="L758">
        <v>563.06912954344898</v>
      </c>
      <c r="M758">
        <v>8.1099667123450594</v>
      </c>
      <c r="N758">
        <v>69.429295549530295</v>
      </c>
      <c r="O758">
        <v>65.590369434373102</v>
      </c>
      <c r="P758">
        <v>-3.0944644802051401E-2</v>
      </c>
      <c r="Q758">
        <v>0</v>
      </c>
      <c r="R758">
        <v>0.87304958129426502</v>
      </c>
      <c r="S758" t="s">
        <v>5054</v>
      </c>
      <c r="T758" t="s">
        <v>8590</v>
      </c>
      <c r="U758" t="s">
        <v>8590</v>
      </c>
      <c r="V758" t="s">
        <v>8590</v>
      </c>
      <c r="W758">
        <v>38</v>
      </c>
      <c r="X758" t="s">
        <v>9348</v>
      </c>
      <c r="Y758">
        <v>0.83479524282068474</v>
      </c>
      <c r="Z758" t="str">
        <f>HYPERLINK("Melting_Curves/meltCurve_sp_P17174_AATC_HUMAN_.pdf", "Melting_Curves/meltCurve_sp_P17174_AATC_HUMAN_.pdf")</f>
        <v>Melting_Curves/meltCurve_sp_P17174_AATC_HUMAN_.pdf</v>
      </c>
      <c r="AA758" t="s">
        <v>13629</v>
      </c>
      <c r="AB758" t="s">
        <v>17843</v>
      </c>
    </row>
    <row r="759" spans="1:28" x14ac:dyDescent="0.25">
      <c r="A759" t="s">
        <v>763</v>
      </c>
      <c r="B759">
        <v>0.99876560204751996</v>
      </c>
      <c r="C759">
        <v>0.94875623396471398</v>
      </c>
      <c r="D759">
        <v>0.83073835505079296</v>
      </c>
      <c r="E759">
        <v>0.78621850461496101</v>
      </c>
      <c r="F759">
        <v>0.62450861856814699</v>
      </c>
      <c r="G759">
        <v>0.463832205727501</v>
      </c>
      <c r="H759">
        <v>0.350050718775197</v>
      </c>
      <c r="I759">
        <v>0.297424738342002</v>
      </c>
      <c r="J759">
        <v>0.34526476393570199</v>
      </c>
      <c r="K759">
        <v>0.31186628896861102</v>
      </c>
      <c r="L759">
        <v>635.27886865553</v>
      </c>
      <c r="M759">
        <v>12.074757376689201</v>
      </c>
      <c r="N759">
        <v>55.997088250028398</v>
      </c>
      <c r="O759">
        <v>51.231456558121799</v>
      </c>
      <c r="P759">
        <v>-4.36706246204367E-2</v>
      </c>
      <c r="Q759">
        <v>0.259021886367448</v>
      </c>
      <c r="R759">
        <v>0.98624847741952504</v>
      </c>
      <c r="S759" t="s">
        <v>5055</v>
      </c>
      <c r="T759" t="s">
        <v>8590</v>
      </c>
      <c r="U759" t="s">
        <v>8590</v>
      </c>
      <c r="V759" t="s">
        <v>8590</v>
      </c>
      <c r="W759">
        <v>5</v>
      </c>
      <c r="X759" t="s">
        <v>9349</v>
      </c>
      <c r="Y759">
        <v>0.59209770517027449</v>
      </c>
      <c r="Z759" t="str">
        <f>HYPERLINK("Melting_Curves/meltCurve_sp_P17480_2_UBF1_HUMAN_.pdf", "Melting_Curves/meltCurve_sp_P17480_2_UBF1_HUMAN_.pdf")</f>
        <v>Melting_Curves/meltCurve_sp_P17480_2_UBF1_HUMAN_.pdf</v>
      </c>
      <c r="AA759" t="s">
        <v>13630</v>
      </c>
      <c r="AB759" t="s">
        <v>17844</v>
      </c>
    </row>
    <row r="760" spans="1:28" x14ac:dyDescent="0.25">
      <c r="A760" t="s">
        <v>764</v>
      </c>
      <c r="B760">
        <v>0.99876560204751996</v>
      </c>
      <c r="C760">
        <v>0.93514967129639304</v>
      </c>
      <c r="D760">
        <v>0.92942702766886898</v>
      </c>
      <c r="E760">
        <v>0.507360570797877</v>
      </c>
      <c r="F760">
        <v>0.25800607017976701</v>
      </c>
      <c r="G760">
        <v>0.17096487852337999</v>
      </c>
      <c r="H760">
        <v>0.114012032247304</v>
      </c>
      <c r="I760">
        <v>9.5154643035798195E-2</v>
      </c>
      <c r="J760">
        <v>8.1942630662926494E-2</v>
      </c>
      <c r="K760">
        <v>5.7056043419856102E-2</v>
      </c>
      <c r="L760">
        <v>1205.3143952667299</v>
      </c>
      <c r="M760">
        <v>24.197619431802998</v>
      </c>
      <c r="N760">
        <v>50.2231679512307</v>
      </c>
      <c r="O760">
        <v>49.474823716424503</v>
      </c>
      <c r="P760">
        <v>-0.111269845627797</v>
      </c>
      <c r="Q760">
        <v>8.9997874579760703E-2</v>
      </c>
      <c r="R760">
        <v>0.99507243042315296</v>
      </c>
      <c r="S760" t="s">
        <v>5056</v>
      </c>
      <c r="T760" t="s">
        <v>8590</v>
      </c>
      <c r="U760" t="s">
        <v>8590</v>
      </c>
      <c r="V760" t="s">
        <v>8590</v>
      </c>
      <c r="W760">
        <v>23</v>
      </c>
      <c r="X760" t="s">
        <v>9350</v>
      </c>
      <c r="Y760">
        <v>0.39627780914657601</v>
      </c>
      <c r="Z760" t="str">
        <f>HYPERLINK("Melting_Curves/meltCurve_sp_P17516_AK1C4_HUMAN_.pdf", "Melting_Curves/meltCurve_sp_P17516_AK1C4_HUMAN_.pdf")</f>
        <v>Melting_Curves/meltCurve_sp_P17516_AK1C4_HUMAN_.pdf</v>
      </c>
      <c r="AA760" t="s">
        <v>13631</v>
      </c>
      <c r="AB760" t="s">
        <v>17845</v>
      </c>
    </row>
    <row r="761" spans="1:28" x14ac:dyDescent="0.25">
      <c r="A761" t="s">
        <v>765</v>
      </c>
      <c r="B761">
        <v>0.99876560204751996</v>
      </c>
      <c r="C761">
        <v>0.98243275518580597</v>
      </c>
      <c r="D761">
        <v>0.96551251572695695</v>
      </c>
      <c r="E761">
        <v>1.0772817414756799</v>
      </c>
      <c r="F761">
        <v>0.84020335644671096</v>
      </c>
      <c r="G761">
        <v>0.47308306073220302</v>
      </c>
      <c r="H761">
        <v>0.40836833005850398</v>
      </c>
      <c r="I761">
        <v>0.42391218042857098</v>
      </c>
      <c r="J761">
        <v>0.35379982771815699</v>
      </c>
      <c r="K761">
        <v>0.35519962335541699</v>
      </c>
      <c r="L761">
        <v>2360.8737091887701</v>
      </c>
      <c r="M761">
        <v>43.3458840345547</v>
      </c>
      <c r="N761">
        <v>56.378639499793401</v>
      </c>
      <c r="O761">
        <v>54.350391866711803</v>
      </c>
      <c r="P761">
        <v>-0.122599659025928</v>
      </c>
      <c r="Q761">
        <v>0.38510165067233199</v>
      </c>
      <c r="R761">
        <v>0.98405929467266295</v>
      </c>
      <c r="S761" t="s">
        <v>5057</v>
      </c>
      <c r="T761" t="s">
        <v>8590</v>
      </c>
      <c r="U761" t="s">
        <v>8590</v>
      </c>
      <c r="V761" t="s">
        <v>8590</v>
      </c>
      <c r="W761">
        <v>1</v>
      </c>
      <c r="X761" t="s">
        <v>9351</v>
      </c>
      <c r="Y761">
        <v>0.68357047258256964</v>
      </c>
      <c r="Z761" t="str">
        <f>HYPERLINK("Melting_Curves/meltCurve_sp_P17544_5_ATF7_HUMAN_.pdf", "Melting_Curves/meltCurve_sp_P17544_5_ATF7_HUMAN_.pdf")</f>
        <v>Melting_Curves/meltCurve_sp_P17544_5_ATF7_HUMAN_.pdf</v>
      </c>
      <c r="AA761" t="s">
        <v>13632</v>
      </c>
      <c r="AB761" t="s">
        <v>17846</v>
      </c>
    </row>
    <row r="762" spans="1:28" x14ac:dyDescent="0.25">
      <c r="A762" t="s">
        <v>766</v>
      </c>
      <c r="B762">
        <v>0.99876560204751996</v>
      </c>
      <c r="C762">
        <v>1.0794580474462001</v>
      </c>
      <c r="D762">
        <v>1.0086676975057101</v>
      </c>
      <c r="E762">
        <v>0.91612420271976003</v>
      </c>
      <c r="F762">
        <v>0.42064341914310299</v>
      </c>
      <c r="G762">
        <v>0.13769521294769499</v>
      </c>
      <c r="H762">
        <v>8.3264708365016996E-2</v>
      </c>
      <c r="I762">
        <v>5.9424548849191398E-2</v>
      </c>
      <c r="J762">
        <v>6.0324320365117E-2</v>
      </c>
      <c r="K762">
        <v>5.6778988580215503E-2</v>
      </c>
      <c r="L762">
        <v>2309.7787956720599</v>
      </c>
      <c r="M762">
        <v>44.045532411883599</v>
      </c>
      <c r="N762">
        <v>52.628083353318502</v>
      </c>
      <c r="O762">
        <v>52.332951093204301</v>
      </c>
      <c r="P762">
        <v>-0.195141477503877</v>
      </c>
      <c r="Q762">
        <v>7.2567462360504403E-2</v>
      </c>
      <c r="R762">
        <v>0.99536625833932502</v>
      </c>
      <c r="S762" t="s">
        <v>5058</v>
      </c>
      <c r="T762" t="s">
        <v>8590</v>
      </c>
      <c r="U762" t="s">
        <v>8590</v>
      </c>
      <c r="V762" t="s">
        <v>8590</v>
      </c>
      <c r="W762">
        <v>14</v>
      </c>
      <c r="X762" t="s">
        <v>9352</v>
      </c>
      <c r="Y762">
        <v>0.45993263590697481</v>
      </c>
      <c r="Z762" t="str">
        <f>HYPERLINK("Melting_Curves/meltCurve_sp_P17612_KAPCA_HUMAN_.pdf", "Melting_Curves/meltCurve_sp_P17612_KAPCA_HUMAN_.pdf")</f>
        <v>Melting_Curves/meltCurve_sp_P17612_KAPCA_HUMAN_.pdf</v>
      </c>
      <c r="AA762" t="s">
        <v>13633</v>
      </c>
      <c r="AB762" t="s">
        <v>17847</v>
      </c>
    </row>
    <row r="763" spans="1:28" x14ac:dyDescent="0.25">
      <c r="A763" t="s">
        <v>767</v>
      </c>
      <c r="B763">
        <v>0.99876560204751996</v>
      </c>
      <c r="C763">
        <v>0.99454853107876695</v>
      </c>
      <c r="D763">
        <v>0.92750369262985</v>
      </c>
      <c r="E763">
        <v>1.0295440462265499</v>
      </c>
      <c r="F763">
        <v>0.81244322156979198</v>
      </c>
      <c r="G763">
        <v>0.24710832346999601</v>
      </c>
      <c r="H763">
        <v>7.8298170734808104E-2</v>
      </c>
      <c r="I763">
        <v>4.75037542341607E-2</v>
      </c>
      <c r="J763">
        <v>3.5170632743819E-2</v>
      </c>
      <c r="K763">
        <v>3.36810137131833E-2</v>
      </c>
      <c r="L763">
        <v>2101.6309520105001</v>
      </c>
      <c r="M763">
        <v>38.1746773327963</v>
      </c>
      <c r="N763">
        <v>55.178055091646598</v>
      </c>
      <c r="O763">
        <v>54.902590275361703</v>
      </c>
      <c r="P763">
        <v>-0.166626584877616</v>
      </c>
      <c r="Q763">
        <v>4.14370025903536E-2</v>
      </c>
      <c r="R763">
        <v>0.99582173533934204</v>
      </c>
      <c r="S763" t="s">
        <v>5059</v>
      </c>
      <c r="T763" t="s">
        <v>8590</v>
      </c>
      <c r="U763" t="s">
        <v>8590</v>
      </c>
      <c r="V763" t="s">
        <v>8590</v>
      </c>
      <c r="W763">
        <v>11</v>
      </c>
      <c r="X763" t="s">
        <v>9353</v>
      </c>
      <c r="Y763">
        <v>0.5263988391276172</v>
      </c>
      <c r="Z763" t="str">
        <f>HYPERLINK("Melting_Curves/meltCurve_sp_P17655_CAN2_HUMAN_.pdf", "Melting_Curves/meltCurve_sp_P17655_CAN2_HUMAN_.pdf")</f>
        <v>Melting_Curves/meltCurve_sp_P17655_CAN2_HUMAN_.pdf</v>
      </c>
      <c r="AA763" t="s">
        <v>13634</v>
      </c>
      <c r="AB763" t="s">
        <v>17848</v>
      </c>
    </row>
    <row r="764" spans="1:28" x14ac:dyDescent="0.25">
      <c r="A764" t="s">
        <v>768</v>
      </c>
      <c r="B764">
        <v>0.99876560204751996</v>
      </c>
      <c r="C764">
        <v>0.83955305865083496</v>
      </c>
      <c r="D764">
        <v>0.78083135466809805</v>
      </c>
      <c r="E764">
        <v>0.784441629881938</v>
      </c>
      <c r="F764">
        <v>0.81640142525985304</v>
      </c>
      <c r="G764">
        <v>0.57957976084013696</v>
      </c>
      <c r="H764">
        <v>0.52167363526356303</v>
      </c>
      <c r="I764">
        <v>0.50474493936614095</v>
      </c>
      <c r="J764">
        <v>0.472304256291734</v>
      </c>
      <c r="K764">
        <v>0.65236877583368302</v>
      </c>
      <c r="L764">
        <v>402.13454782075002</v>
      </c>
      <c r="M764">
        <v>7.9161736332474604</v>
      </c>
      <c r="O764">
        <v>47.864122715999201</v>
      </c>
      <c r="P764">
        <v>-2.1960432737869E-2</v>
      </c>
      <c r="Q764">
        <v>0.469500344713351</v>
      </c>
      <c r="R764">
        <v>0.79632441675229604</v>
      </c>
      <c r="S764" t="s">
        <v>5060</v>
      </c>
      <c r="T764" t="s">
        <v>8590</v>
      </c>
      <c r="U764" t="s">
        <v>8590</v>
      </c>
      <c r="V764" t="s">
        <v>8590</v>
      </c>
      <c r="W764">
        <v>1</v>
      </c>
      <c r="X764" t="s">
        <v>9354</v>
      </c>
      <c r="Y764">
        <v>0.68976297786177732</v>
      </c>
      <c r="Z764" t="str">
        <f>HYPERLINK("Melting_Curves/meltCurve_sp_P17676_CEBPB_HUMAN_.pdf", "Melting_Curves/meltCurve_sp_P17676_CEBPB_HUMAN_.pdf")</f>
        <v>Melting_Curves/meltCurve_sp_P17676_CEBPB_HUMAN_.pdf</v>
      </c>
      <c r="AA764" t="s">
        <v>13635</v>
      </c>
      <c r="AB764" t="s">
        <v>17849</v>
      </c>
    </row>
    <row r="765" spans="1:28" x14ac:dyDescent="0.25">
      <c r="A765" t="s">
        <v>769</v>
      </c>
      <c r="B765">
        <v>0.99876560204751996</v>
      </c>
      <c r="C765">
        <v>1.03687211417679</v>
      </c>
      <c r="D765">
        <v>0.99802783657127303</v>
      </c>
      <c r="E765">
        <v>0.95383906902708104</v>
      </c>
      <c r="F765">
        <v>0.70331494646057702</v>
      </c>
      <c r="G765">
        <v>0.33733723849765002</v>
      </c>
      <c r="H765">
        <v>0.15097843424038901</v>
      </c>
      <c r="I765">
        <v>0.11405775348521301</v>
      </c>
      <c r="J765">
        <v>0.106859709595628</v>
      </c>
      <c r="K765">
        <v>8.5506616363384594E-2</v>
      </c>
      <c r="L765">
        <v>1414.9323212116501</v>
      </c>
      <c r="M765">
        <v>25.877379287724398</v>
      </c>
      <c r="N765">
        <v>55.116417696860999</v>
      </c>
      <c r="O765">
        <v>54.354948390840399</v>
      </c>
      <c r="P765">
        <v>-0.107958586813464</v>
      </c>
      <c r="Q765">
        <v>9.2950724372130894E-2</v>
      </c>
      <c r="R765">
        <v>0.99826389142666005</v>
      </c>
      <c r="S765" t="s">
        <v>5061</v>
      </c>
      <c r="T765" t="s">
        <v>8590</v>
      </c>
      <c r="U765" t="s">
        <v>8590</v>
      </c>
      <c r="V765" t="s">
        <v>8590</v>
      </c>
      <c r="W765">
        <v>13</v>
      </c>
      <c r="X765" t="s">
        <v>9355</v>
      </c>
      <c r="Y765">
        <v>0.54464559396722756</v>
      </c>
      <c r="Z765" t="str">
        <f>HYPERLINK("Melting_Curves/meltCurve_sp_P17735_ATTY_HUMAN_.pdf", "Melting_Curves/meltCurve_sp_P17735_ATTY_HUMAN_.pdf")</f>
        <v>Melting_Curves/meltCurve_sp_P17735_ATTY_HUMAN_.pdf</v>
      </c>
      <c r="AA765" t="s">
        <v>13636</v>
      </c>
      <c r="AB765" t="s">
        <v>17850</v>
      </c>
    </row>
    <row r="766" spans="1:28" x14ac:dyDescent="0.25">
      <c r="A766" t="s">
        <v>770</v>
      </c>
      <c r="B766">
        <v>0.99876560204751996</v>
      </c>
      <c r="C766">
        <v>0.87803338843281897</v>
      </c>
      <c r="D766">
        <v>0.73723751050683195</v>
      </c>
      <c r="E766">
        <v>0.489068675889126</v>
      </c>
      <c r="F766">
        <v>0.32629488738669299</v>
      </c>
      <c r="G766">
        <v>0.17210700420740199</v>
      </c>
      <c r="H766">
        <v>7.8937152063413493E-2</v>
      </c>
      <c r="I766">
        <v>5.2264714518534199E-2</v>
      </c>
      <c r="J766">
        <v>5.5890071580727098E-2</v>
      </c>
      <c r="K766">
        <v>4.8346321174735599E-2</v>
      </c>
      <c r="L766">
        <v>657.26516837439203</v>
      </c>
      <c r="M766">
        <v>13.229966463563899</v>
      </c>
      <c r="N766">
        <v>49.808911188551001</v>
      </c>
      <c r="O766">
        <v>48.586133865502497</v>
      </c>
      <c r="P766">
        <v>-6.6940408076113206E-2</v>
      </c>
      <c r="Q766">
        <v>1.68263464632432E-2</v>
      </c>
      <c r="R766">
        <v>0.99805950893735096</v>
      </c>
      <c r="S766" t="s">
        <v>5062</v>
      </c>
      <c r="T766" t="s">
        <v>8590</v>
      </c>
      <c r="U766" t="s">
        <v>8590</v>
      </c>
      <c r="V766" t="s">
        <v>8590</v>
      </c>
      <c r="W766">
        <v>7</v>
      </c>
      <c r="X766" t="s">
        <v>9356</v>
      </c>
      <c r="Y766">
        <v>0.36359272003038989</v>
      </c>
      <c r="Z766" t="str">
        <f>HYPERLINK("Melting_Curves/meltCurve_sp_P17812_PYRG1_HUMAN_.pdf", "Melting_Curves/meltCurve_sp_P17812_PYRG1_HUMAN_.pdf")</f>
        <v>Melting_Curves/meltCurve_sp_P17812_PYRG1_HUMAN_.pdf</v>
      </c>
      <c r="AA766" t="s">
        <v>13637</v>
      </c>
      <c r="AB766" t="s">
        <v>17851</v>
      </c>
    </row>
    <row r="767" spans="1:28" x14ac:dyDescent="0.25">
      <c r="A767" t="s">
        <v>771</v>
      </c>
      <c r="B767">
        <v>0.99876560204751996</v>
      </c>
      <c r="C767">
        <v>1.0413255231946099</v>
      </c>
      <c r="D767">
        <v>1.05416352972593</v>
      </c>
      <c r="E767">
        <v>0.97654883397207304</v>
      </c>
      <c r="F767">
        <v>0.74487654540294401</v>
      </c>
      <c r="G767">
        <v>0.36577179179189001</v>
      </c>
      <c r="H767">
        <v>0.108639200495426</v>
      </c>
      <c r="I767">
        <v>7.0784190087586005E-2</v>
      </c>
      <c r="J767">
        <v>5.8845474844021202E-2</v>
      </c>
      <c r="K767">
        <v>5.0027797756327097E-2</v>
      </c>
      <c r="L767">
        <v>1453.1630561859299</v>
      </c>
      <c r="M767">
        <v>26.260422939742998</v>
      </c>
      <c r="N767">
        <v>55.536311476161899</v>
      </c>
      <c r="O767">
        <v>55.018715693782703</v>
      </c>
      <c r="P767">
        <v>-0.113950214433731</v>
      </c>
      <c r="Q767">
        <v>4.5053444322979697E-2</v>
      </c>
      <c r="R767">
        <v>0.99603745278616596</v>
      </c>
      <c r="S767" t="s">
        <v>5063</v>
      </c>
      <c r="T767" t="s">
        <v>8590</v>
      </c>
      <c r="U767" t="s">
        <v>8590</v>
      </c>
      <c r="V767" t="s">
        <v>8590</v>
      </c>
      <c r="W767">
        <v>16</v>
      </c>
      <c r="X767" t="s">
        <v>9357</v>
      </c>
      <c r="Y767">
        <v>0.54133601580801505</v>
      </c>
      <c r="Z767" t="str">
        <f>HYPERLINK("Melting_Curves/meltCurve_sp_P17858_K6PL_HUMAN_.pdf", "Melting_Curves/meltCurve_sp_P17858_K6PL_HUMAN_.pdf")</f>
        <v>Melting_Curves/meltCurve_sp_P17858_K6PL_HUMAN_.pdf</v>
      </c>
      <c r="AA767" t="s">
        <v>13638</v>
      </c>
      <c r="AB767" t="s">
        <v>17852</v>
      </c>
    </row>
    <row r="768" spans="1:28" x14ac:dyDescent="0.25">
      <c r="A768" t="s">
        <v>772</v>
      </c>
      <c r="B768">
        <v>0.99876560204751996</v>
      </c>
      <c r="C768">
        <v>0.82611259821044802</v>
      </c>
      <c r="D768">
        <v>0.79505794199246704</v>
      </c>
      <c r="E768">
        <v>0.72241566764049503</v>
      </c>
      <c r="F768">
        <v>0.67733978030849296</v>
      </c>
      <c r="G768">
        <v>0.57277328879211697</v>
      </c>
      <c r="H768">
        <v>0.49201887284853002</v>
      </c>
      <c r="I768">
        <v>0.36649651925291998</v>
      </c>
      <c r="J768">
        <v>0.39286409463835797</v>
      </c>
      <c r="K768">
        <v>0.35509958882979997</v>
      </c>
      <c r="L768">
        <v>321.49204214593601</v>
      </c>
      <c r="M768">
        <v>5.6193841190691796</v>
      </c>
      <c r="N768">
        <v>59.777465675099201</v>
      </c>
      <c r="O768">
        <v>51.198318222260497</v>
      </c>
      <c r="P768">
        <v>-2.45986489944265E-2</v>
      </c>
      <c r="Q768">
        <v>0.107172052683304</v>
      </c>
      <c r="R768">
        <v>0.96882470771771401</v>
      </c>
      <c r="S768" t="s">
        <v>5064</v>
      </c>
      <c r="T768" t="s">
        <v>8590</v>
      </c>
      <c r="U768" t="s">
        <v>8590</v>
      </c>
      <c r="V768" t="s">
        <v>8590</v>
      </c>
      <c r="W768">
        <v>4</v>
      </c>
      <c r="X768" t="s">
        <v>9358</v>
      </c>
      <c r="Y768">
        <v>0.61794386870082818</v>
      </c>
      <c r="Z768" t="str">
        <f>HYPERLINK("Melting_Curves/meltCurve_sp_P17900_SAP3_HUMAN_.pdf", "Melting_Curves/meltCurve_sp_P17900_SAP3_HUMAN_.pdf")</f>
        <v>Melting_Curves/meltCurve_sp_P17900_SAP3_HUMAN_.pdf</v>
      </c>
      <c r="AA768" t="s">
        <v>13639</v>
      </c>
      <c r="AB768" t="s">
        <v>17853</v>
      </c>
    </row>
    <row r="769" spans="1:28" x14ac:dyDescent="0.25">
      <c r="A769" t="s">
        <v>773</v>
      </c>
      <c r="B769">
        <v>0.99876560204751996</v>
      </c>
      <c r="C769">
        <v>0.99786979204333404</v>
      </c>
      <c r="D769">
        <v>1.1372036131456</v>
      </c>
      <c r="E769">
        <v>0.91823089550469605</v>
      </c>
      <c r="F769">
        <v>0.76255452097880405</v>
      </c>
      <c r="G769">
        <v>0.54614214650556303</v>
      </c>
      <c r="H769">
        <v>0.44301776701196099</v>
      </c>
      <c r="I769">
        <v>0.34847427059976299</v>
      </c>
      <c r="J769">
        <v>0.41097081614527903</v>
      </c>
      <c r="K769">
        <v>0.38587145795034999</v>
      </c>
      <c r="L769">
        <v>1311.72539960833</v>
      </c>
      <c r="M769">
        <v>24.167495445438998</v>
      </c>
      <c r="N769">
        <v>57.7369287792744</v>
      </c>
      <c r="O769">
        <v>53.908906171601899</v>
      </c>
      <c r="P769">
        <v>-6.9203547311496097E-2</v>
      </c>
      <c r="Q769">
        <v>0.38253756944332501</v>
      </c>
      <c r="R769">
        <v>0.96929445636107903</v>
      </c>
      <c r="S769" t="s">
        <v>5065</v>
      </c>
      <c r="T769" t="s">
        <v>8590</v>
      </c>
      <c r="U769" t="s">
        <v>8590</v>
      </c>
      <c r="V769" t="s">
        <v>8590</v>
      </c>
      <c r="W769">
        <v>5</v>
      </c>
      <c r="X769" t="s">
        <v>9359</v>
      </c>
      <c r="Y769">
        <v>0.68245039954952824</v>
      </c>
      <c r="Z769" t="str">
        <f>HYPERLINK("Melting_Curves/meltCurve_sp_P17931_LEG3_HUMAN_.pdf", "Melting_Curves/meltCurve_sp_P17931_LEG3_HUMAN_.pdf")</f>
        <v>Melting_Curves/meltCurve_sp_P17931_LEG3_HUMAN_.pdf</v>
      </c>
      <c r="AA769" t="s">
        <v>13640</v>
      </c>
      <c r="AB769" t="s">
        <v>17854</v>
      </c>
    </row>
    <row r="770" spans="1:28" x14ac:dyDescent="0.25">
      <c r="A770" t="s">
        <v>774</v>
      </c>
      <c r="B770">
        <v>0.99876560204751996</v>
      </c>
      <c r="C770">
        <v>1.08404209099079</v>
      </c>
      <c r="D770">
        <v>1.05423338974001</v>
      </c>
      <c r="E770">
        <v>1.03173262212564</v>
      </c>
      <c r="F770">
        <v>0.78809954476384703</v>
      </c>
      <c r="G770">
        <v>0.24946009875376901</v>
      </c>
      <c r="H770">
        <v>9.5573655376625696E-2</v>
      </c>
      <c r="I770">
        <v>6.6978184083005696E-2</v>
      </c>
      <c r="J770">
        <v>6.0914846664246798E-2</v>
      </c>
      <c r="K770">
        <v>4.6887017115211697E-2</v>
      </c>
      <c r="L770">
        <v>2066.8950399517398</v>
      </c>
      <c r="M770">
        <v>37.675890330080399</v>
      </c>
      <c r="N770">
        <v>55.051501628873702</v>
      </c>
      <c r="O770">
        <v>54.706015792955398</v>
      </c>
      <c r="P770">
        <v>-0.16159443936923901</v>
      </c>
      <c r="Q770">
        <v>6.1451277605498303E-2</v>
      </c>
      <c r="R770">
        <v>0.99329234109589803</v>
      </c>
      <c r="S770" t="s">
        <v>5066</v>
      </c>
      <c r="T770" t="s">
        <v>8590</v>
      </c>
      <c r="U770" t="s">
        <v>8590</v>
      </c>
      <c r="V770" t="s">
        <v>8590</v>
      </c>
      <c r="W770">
        <v>19</v>
      </c>
      <c r="X770" t="s">
        <v>9360</v>
      </c>
      <c r="Y770">
        <v>0.53033652891163174</v>
      </c>
      <c r="Z770" t="str">
        <f>HYPERLINK("Melting_Curves/meltCurve_sp_P17987_TCPA_HUMAN_.pdf", "Melting_Curves/meltCurve_sp_P17987_TCPA_HUMAN_.pdf")</f>
        <v>Melting_Curves/meltCurve_sp_P17987_TCPA_HUMAN_.pdf</v>
      </c>
      <c r="AA770" t="s">
        <v>13641</v>
      </c>
      <c r="AB770" t="s">
        <v>17855</v>
      </c>
    </row>
    <row r="771" spans="1:28" x14ac:dyDescent="0.25">
      <c r="A771" t="s">
        <v>775</v>
      </c>
      <c r="B771">
        <v>0.99876560204751996</v>
      </c>
      <c r="C771">
        <v>0.98525286402801204</v>
      </c>
      <c r="D771">
        <v>0.98667021202483596</v>
      </c>
      <c r="E771">
        <v>0.74801126240153804</v>
      </c>
      <c r="F771">
        <v>0.321702749676401</v>
      </c>
      <c r="G771">
        <v>0.16298590809786501</v>
      </c>
      <c r="H771">
        <v>9.79668547934507E-2</v>
      </c>
      <c r="I771">
        <v>9.9559879375405599E-2</v>
      </c>
      <c r="J771">
        <v>0.105590284038446</v>
      </c>
      <c r="K771">
        <v>0.105841867519545</v>
      </c>
      <c r="L771">
        <v>1773.9669932325201</v>
      </c>
      <c r="M771">
        <v>34.566802837364499</v>
      </c>
      <c r="N771">
        <v>51.678529770312103</v>
      </c>
      <c r="O771">
        <v>51.149112063409497</v>
      </c>
      <c r="P771">
        <v>-0.1509382732591</v>
      </c>
      <c r="Q771">
        <v>0.106619135010893</v>
      </c>
      <c r="R771">
        <v>0.99913679842106395</v>
      </c>
      <c r="S771" t="s">
        <v>5067</v>
      </c>
      <c r="T771" t="s">
        <v>8590</v>
      </c>
      <c r="U771" t="s">
        <v>8590</v>
      </c>
      <c r="V771" t="s">
        <v>8590</v>
      </c>
      <c r="W771">
        <v>3</v>
      </c>
      <c r="X771" t="s">
        <v>9361</v>
      </c>
      <c r="Y771">
        <v>0.44797084241728558</v>
      </c>
      <c r="Z771" t="str">
        <f>HYPERLINK("Melting_Curves/meltCurve_sp_P18031_PTN1_HUMAN_.pdf", "Melting_Curves/meltCurve_sp_P18031_PTN1_HUMAN_.pdf")</f>
        <v>Melting_Curves/meltCurve_sp_P18031_PTN1_HUMAN_.pdf</v>
      </c>
      <c r="AA771" t="s">
        <v>13642</v>
      </c>
      <c r="AB771" t="s">
        <v>17856</v>
      </c>
    </row>
    <row r="772" spans="1:28" x14ac:dyDescent="0.25">
      <c r="A772" t="s">
        <v>776</v>
      </c>
      <c r="B772">
        <v>0.99876560204751996</v>
      </c>
      <c r="C772">
        <v>0.98534548167045699</v>
      </c>
      <c r="D772">
        <v>0.70876112234922595</v>
      </c>
      <c r="E772">
        <v>0.93750753675572596</v>
      </c>
      <c r="F772">
        <v>0.98376824051933598</v>
      </c>
      <c r="G772">
        <v>0.69591746065346705</v>
      </c>
      <c r="H772">
        <v>0.57832591353662</v>
      </c>
      <c r="I772">
        <v>0.488624006637221</v>
      </c>
      <c r="J772">
        <v>0.50510591282938599</v>
      </c>
      <c r="K772">
        <v>0.371640086632613</v>
      </c>
      <c r="L772">
        <v>444.81036919796799</v>
      </c>
      <c r="M772">
        <v>6.8254870136024799</v>
      </c>
      <c r="N772">
        <v>65.1690300826032</v>
      </c>
      <c r="O772">
        <v>60.261978641784602</v>
      </c>
      <c r="P772">
        <v>-2.83734690120282E-2</v>
      </c>
      <c r="Q772">
        <v>0</v>
      </c>
      <c r="R772">
        <v>0.82242723478881996</v>
      </c>
      <c r="S772" t="s">
        <v>5068</v>
      </c>
      <c r="T772" t="s">
        <v>8590</v>
      </c>
      <c r="U772" t="s">
        <v>8590</v>
      </c>
      <c r="V772" t="s">
        <v>8590</v>
      </c>
      <c r="W772">
        <v>1</v>
      </c>
      <c r="X772" t="s">
        <v>9362</v>
      </c>
      <c r="Y772">
        <v>0.7438012082985046</v>
      </c>
      <c r="Z772" t="str">
        <f>HYPERLINK("Melting_Curves/meltCurve_sp_P18054_LOX12_HUMAN_.pdf", "Melting_Curves/meltCurve_sp_P18054_LOX12_HUMAN_.pdf")</f>
        <v>Melting_Curves/meltCurve_sp_P18054_LOX12_HUMAN_.pdf</v>
      </c>
      <c r="AA772" t="s">
        <v>13643</v>
      </c>
      <c r="AB772" t="s">
        <v>17857</v>
      </c>
    </row>
    <row r="773" spans="1:28" x14ac:dyDescent="0.25">
      <c r="A773" t="s">
        <v>777</v>
      </c>
      <c r="B773">
        <v>0.99876560204751996</v>
      </c>
      <c r="C773">
        <v>0.90276649104997997</v>
      </c>
      <c r="D773">
        <v>0.94897361720136497</v>
      </c>
      <c r="E773">
        <v>0.84809463199025403</v>
      </c>
      <c r="F773">
        <v>0.80635311010421096</v>
      </c>
      <c r="G773">
        <v>0.64221135647016803</v>
      </c>
      <c r="H773">
        <v>0.57636569391001202</v>
      </c>
      <c r="I773">
        <v>0.548158347359609</v>
      </c>
      <c r="J773">
        <v>0.64026843737519801</v>
      </c>
      <c r="K773">
        <v>0.61789776730198598</v>
      </c>
      <c r="L773">
        <v>782.58959960052096</v>
      </c>
      <c r="M773">
        <v>15.039030419496299</v>
      </c>
      <c r="O773">
        <v>51.1431649182</v>
      </c>
      <c r="P773">
        <v>-3.1200458312903301E-2</v>
      </c>
      <c r="Q773">
        <v>0.57562939089333498</v>
      </c>
      <c r="R773">
        <v>0.930497532894489</v>
      </c>
      <c r="S773" t="s">
        <v>5069</v>
      </c>
      <c r="T773" t="s">
        <v>8590</v>
      </c>
      <c r="U773" t="s">
        <v>8590</v>
      </c>
      <c r="V773" t="s">
        <v>8590</v>
      </c>
      <c r="W773">
        <v>8</v>
      </c>
      <c r="X773" t="s">
        <v>9363</v>
      </c>
      <c r="Y773">
        <v>0.75534204098315905</v>
      </c>
      <c r="Z773" t="str">
        <f>HYPERLINK("Melting_Curves/meltCurve_sp_P18065_IBP2_HUMAN_.pdf", "Melting_Curves/meltCurve_sp_P18065_IBP2_HUMAN_.pdf")</f>
        <v>Melting_Curves/meltCurve_sp_P18065_IBP2_HUMAN_.pdf</v>
      </c>
      <c r="AA773" t="s">
        <v>13644</v>
      </c>
      <c r="AB773" t="s">
        <v>17858</v>
      </c>
    </row>
    <row r="774" spans="1:28" x14ac:dyDescent="0.25">
      <c r="A774" t="s">
        <v>778</v>
      </c>
      <c r="B774">
        <v>0.99876560204751996</v>
      </c>
      <c r="C774">
        <v>0.82026168871961702</v>
      </c>
      <c r="D774">
        <v>0.54621696157748401</v>
      </c>
      <c r="E774">
        <v>0.32614498653074298</v>
      </c>
      <c r="F774">
        <v>0.154329748641192</v>
      </c>
      <c r="G774">
        <v>8.0409525159376993E-2</v>
      </c>
      <c r="H774">
        <v>5.1065989924408001E-2</v>
      </c>
      <c r="I774">
        <v>3.2333495419893402E-2</v>
      </c>
      <c r="J774">
        <v>3.8431110231001701E-2</v>
      </c>
      <c r="K774">
        <v>2.9143641849051601E-2</v>
      </c>
      <c r="L774">
        <v>751.73099441225304</v>
      </c>
      <c r="M774">
        <v>16.039695278075001</v>
      </c>
      <c r="N774">
        <v>47.034962124630098</v>
      </c>
      <c r="O774">
        <v>46.156577188198597</v>
      </c>
      <c r="P774">
        <v>-8.4463748600632202E-2</v>
      </c>
      <c r="Q774">
        <v>2.78482690865198E-2</v>
      </c>
      <c r="R774">
        <v>0.994464830120806</v>
      </c>
      <c r="S774" t="s">
        <v>5070</v>
      </c>
      <c r="T774" t="s">
        <v>8590</v>
      </c>
      <c r="U774" t="s">
        <v>8590</v>
      </c>
      <c r="V774" t="s">
        <v>8590</v>
      </c>
      <c r="W774">
        <v>7</v>
      </c>
      <c r="X774" t="s">
        <v>9364</v>
      </c>
      <c r="Y774">
        <v>0.27352212751739302</v>
      </c>
      <c r="Z774" t="str">
        <f>HYPERLINK("Melting_Curves/meltCurve_sp_P18085_ARF4_HUMAN_.pdf", "Melting_Curves/meltCurve_sp_P18085_ARF4_HUMAN_.pdf")</f>
        <v>Melting_Curves/meltCurve_sp_P18085_ARF4_HUMAN_.pdf</v>
      </c>
      <c r="AA774" t="s">
        <v>13645</v>
      </c>
      <c r="AB774" t="s">
        <v>17859</v>
      </c>
    </row>
    <row r="775" spans="1:28" x14ac:dyDescent="0.25">
      <c r="A775" t="s">
        <v>779</v>
      </c>
      <c r="B775">
        <v>0.99876560204751996</v>
      </c>
      <c r="C775">
        <v>1.0114669567179</v>
      </c>
      <c r="D775">
        <v>0.95414633022455697</v>
      </c>
      <c r="E775">
        <v>0.96028806976430803</v>
      </c>
      <c r="F775">
        <v>0.95909884749989005</v>
      </c>
      <c r="G775">
        <v>0.80750095043738201</v>
      </c>
      <c r="H775">
        <v>0.73306559037652996</v>
      </c>
      <c r="I775">
        <v>0.70174224764184301</v>
      </c>
      <c r="J775">
        <v>0.57450990069849805</v>
      </c>
      <c r="K775">
        <v>0.117400283803758</v>
      </c>
      <c r="L775">
        <v>1025.73045216469</v>
      </c>
      <c r="M775">
        <v>15.546661979816401</v>
      </c>
      <c r="N775">
        <v>65.977534029553098</v>
      </c>
      <c r="O775">
        <v>64.9148324140657</v>
      </c>
      <c r="P775">
        <v>-5.9878562573701603E-2</v>
      </c>
      <c r="Q775">
        <v>0</v>
      </c>
      <c r="R775">
        <v>0.89310970028191405</v>
      </c>
      <c r="S775" t="s">
        <v>5071</v>
      </c>
      <c r="T775" t="s">
        <v>8590</v>
      </c>
      <c r="U775" t="s">
        <v>8590</v>
      </c>
      <c r="V775" t="s">
        <v>8590</v>
      </c>
      <c r="W775">
        <v>68</v>
      </c>
      <c r="X775" t="s">
        <v>9365</v>
      </c>
      <c r="Y775">
        <v>0.83258045716607709</v>
      </c>
      <c r="Z775" t="str">
        <f>HYPERLINK("Melting_Curves/meltCurve_sp_P18206_2_VINC_HUMAN_.pdf", "Melting_Curves/meltCurve_sp_P18206_2_VINC_HUMAN_.pdf")</f>
        <v>Melting_Curves/meltCurve_sp_P18206_2_VINC_HUMAN_.pdf</v>
      </c>
      <c r="AA775" t="s">
        <v>13646</v>
      </c>
      <c r="AB775" t="s">
        <v>17860</v>
      </c>
    </row>
    <row r="776" spans="1:28" x14ac:dyDescent="0.25">
      <c r="A776" t="s">
        <v>780</v>
      </c>
      <c r="B776">
        <v>0.99876560204751996</v>
      </c>
      <c r="C776">
        <v>0.81807083859298102</v>
      </c>
      <c r="D776">
        <v>0.773372871641541</v>
      </c>
      <c r="E776">
        <v>0.54967067284423099</v>
      </c>
      <c r="F776">
        <v>0.333617604736691</v>
      </c>
      <c r="G776">
        <v>0.21211016023891499</v>
      </c>
      <c r="H776">
        <v>0.11755311254379</v>
      </c>
      <c r="I776">
        <v>7.1198416939985507E-2</v>
      </c>
      <c r="J776">
        <v>5.9902844430229203E-2</v>
      </c>
      <c r="K776">
        <v>4.7898209612200003E-2</v>
      </c>
      <c r="L776">
        <v>589.12089384138801</v>
      </c>
      <c r="M776">
        <v>11.7004605083367</v>
      </c>
      <c r="N776">
        <v>50.390038615436303</v>
      </c>
      <c r="O776">
        <v>48.946935780694503</v>
      </c>
      <c r="P776">
        <v>-5.95018429812448E-2</v>
      </c>
      <c r="Q776">
        <v>4.6002907414154698E-3</v>
      </c>
      <c r="R776">
        <v>0.99267869520005003</v>
      </c>
      <c r="S776" t="s">
        <v>5072</v>
      </c>
      <c r="T776" t="s">
        <v>8590</v>
      </c>
      <c r="U776" t="s">
        <v>8590</v>
      </c>
      <c r="V776" t="s">
        <v>8590</v>
      </c>
      <c r="W776">
        <v>13</v>
      </c>
      <c r="X776" t="s">
        <v>9366</v>
      </c>
      <c r="Y776">
        <v>0.38308171035212402</v>
      </c>
      <c r="Z776" t="str">
        <f>HYPERLINK("Melting_Curves/meltCurve_sp_P18283_GPX2_HUMAN_.pdf", "Melting_Curves/meltCurve_sp_P18283_GPX2_HUMAN_.pdf")</f>
        <v>Melting_Curves/meltCurve_sp_P18283_GPX2_HUMAN_.pdf</v>
      </c>
      <c r="AA776" t="s">
        <v>13647</v>
      </c>
      <c r="AB776" t="s">
        <v>17861</v>
      </c>
    </row>
    <row r="777" spans="1:28" x14ac:dyDescent="0.25">
      <c r="A777" t="s">
        <v>781</v>
      </c>
      <c r="B777">
        <v>0.99876560204751996</v>
      </c>
      <c r="C777">
        <v>1.0174008563988699</v>
      </c>
      <c r="D777">
        <v>1.0819444297862599</v>
      </c>
      <c r="E777">
        <v>0.82632901396844405</v>
      </c>
      <c r="F777">
        <v>0.66630709404736099</v>
      </c>
      <c r="G777">
        <v>0.31759904182710702</v>
      </c>
      <c r="H777">
        <v>0.23492524544052301</v>
      </c>
      <c r="I777">
        <v>0.21830683220519001</v>
      </c>
      <c r="J777">
        <v>0.249592201164586</v>
      </c>
      <c r="K777">
        <v>0.29350146261070298</v>
      </c>
      <c r="L777">
        <v>1482.5308907353599</v>
      </c>
      <c r="M777">
        <v>27.9258295652686</v>
      </c>
      <c r="N777">
        <v>54.362758520733202</v>
      </c>
      <c r="O777">
        <v>52.818165843658697</v>
      </c>
      <c r="P777">
        <v>-0.100428566140267</v>
      </c>
      <c r="Q777">
        <v>0.240214985020445</v>
      </c>
      <c r="R777">
        <v>0.98469631820775605</v>
      </c>
      <c r="S777" t="s">
        <v>5073</v>
      </c>
      <c r="T777" t="s">
        <v>8590</v>
      </c>
      <c r="U777" t="s">
        <v>8590</v>
      </c>
      <c r="V777" t="s">
        <v>8590</v>
      </c>
      <c r="W777">
        <v>3</v>
      </c>
      <c r="X777" t="s">
        <v>9367</v>
      </c>
      <c r="Y777">
        <v>0.577358311035996</v>
      </c>
      <c r="Z777" t="str">
        <f>HYPERLINK("Melting_Curves/meltCurve_sp_P18510_4_IL1RA_HUMAN_.pdf", "Melting_Curves/meltCurve_sp_P18510_4_IL1RA_HUMAN_.pdf")</f>
        <v>Melting_Curves/meltCurve_sp_P18510_4_IL1RA_HUMAN_.pdf</v>
      </c>
      <c r="AA777" t="s">
        <v>13648</v>
      </c>
      <c r="AB777" t="s">
        <v>17862</v>
      </c>
    </row>
    <row r="778" spans="1:28" x14ac:dyDescent="0.25">
      <c r="A778" t="s">
        <v>782</v>
      </c>
      <c r="B778">
        <v>0.99876560204751996</v>
      </c>
      <c r="C778">
        <v>1.0672293547999501</v>
      </c>
      <c r="D778">
        <v>0.87501198332636199</v>
      </c>
      <c r="E778">
        <v>0.96495661286871304</v>
      </c>
      <c r="F778">
        <v>1.38452901230975</v>
      </c>
      <c r="G778">
        <v>0.693726550466498</v>
      </c>
      <c r="H778">
        <v>0.70065379521708804</v>
      </c>
      <c r="I778">
        <v>0.73405576057410904</v>
      </c>
      <c r="J778">
        <v>0.92197144225501904</v>
      </c>
      <c r="K778">
        <v>1.18608017526508</v>
      </c>
      <c r="L778">
        <v>2620.1263744456</v>
      </c>
      <c r="M778">
        <v>47.217571099761599</v>
      </c>
      <c r="O778">
        <v>55.391243842611601</v>
      </c>
      <c r="P778">
        <v>-3.0443906302527399E-2</v>
      </c>
      <c r="Q778">
        <v>0.85714438849257302</v>
      </c>
      <c r="R778">
        <v>0.160131182009143</v>
      </c>
      <c r="S778" t="s">
        <v>5074</v>
      </c>
      <c r="T778" t="s">
        <v>8590</v>
      </c>
      <c r="U778" t="s">
        <v>8590</v>
      </c>
      <c r="V778" t="s">
        <v>8590</v>
      </c>
      <c r="W778">
        <v>3</v>
      </c>
      <c r="X778" t="s">
        <v>9368</v>
      </c>
      <c r="Y778">
        <v>0.9312996911042839</v>
      </c>
      <c r="Z778" t="str">
        <f>HYPERLINK("Melting_Curves/meltCurve_sp_P18583_6_SON_HUMAN_.pdf", "Melting_Curves/meltCurve_sp_P18583_6_SON_HUMAN_.pdf")</f>
        <v>Melting_Curves/meltCurve_sp_P18583_6_SON_HUMAN_.pdf</v>
      </c>
      <c r="AA778" t="s">
        <v>13649</v>
      </c>
      <c r="AB778" t="s">
        <v>17863</v>
      </c>
    </row>
    <row r="779" spans="1:28" x14ac:dyDescent="0.25">
      <c r="A779" t="s">
        <v>783</v>
      </c>
      <c r="B779">
        <v>0.99876560204751996</v>
      </c>
      <c r="C779">
        <v>1.0166369099532699</v>
      </c>
      <c r="D779">
        <v>0.98671688646083799</v>
      </c>
      <c r="E779">
        <v>0.92384701106637301</v>
      </c>
      <c r="F779">
        <v>0.904808088666476</v>
      </c>
      <c r="G779">
        <v>0.66812263096495195</v>
      </c>
      <c r="H779">
        <v>0.50661225950226196</v>
      </c>
      <c r="I779">
        <v>0.42152219717707201</v>
      </c>
      <c r="J779">
        <v>0.60899479731598105</v>
      </c>
      <c r="K779">
        <v>0.51872884024437804</v>
      </c>
      <c r="L779">
        <v>1656.66756683374</v>
      </c>
      <c r="M779">
        <v>29.940212671964701</v>
      </c>
      <c r="O779">
        <v>55.087422983954397</v>
      </c>
      <c r="P779">
        <v>-6.6959752085310395E-2</v>
      </c>
      <c r="Q779">
        <v>0.50720228248426402</v>
      </c>
      <c r="R779">
        <v>0.95178327407205499</v>
      </c>
      <c r="S779" t="s">
        <v>5075</v>
      </c>
      <c r="T779" t="s">
        <v>8590</v>
      </c>
      <c r="U779" t="s">
        <v>8590</v>
      </c>
      <c r="V779" t="s">
        <v>8590</v>
      </c>
      <c r="W779">
        <v>4</v>
      </c>
      <c r="X779" t="s">
        <v>9369</v>
      </c>
      <c r="Y779">
        <v>0.76235220251870317</v>
      </c>
      <c r="Z779" t="str">
        <f>HYPERLINK("Melting_Curves/meltCurve_sp_P18615_NELFE_HUMAN_.pdf", "Melting_Curves/meltCurve_sp_P18615_NELFE_HUMAN_.pdf")</f>
        <v>Melting_Curves/meltCurve_sp_P18615_NELFE_HUMAN_.pdf</v>
      </c>
      <c r="AA779" t="s">
        <v>13650</v>
      </c>
      <c r="AB779" t="s">
        <v>17864</v>
      </c>
    </row>
    <row r="780" spans="1:28" x14ac:dyDescent="0.25">
      <c r="A780" t="s">
        <v>784</v>
      </c>
      <c r="B780">
        <v>0.99876560204751996</v>
      </c>
      <c r="C780">
        <v>0.93110137350391897</v>
      </c>
      <c r="D780">
        <v>0.94519392729534002</v>
      </c>
      <c r="E780">
        <v>0.91979288943741599</v>
      </c>
      <c r="F780">
        <v>0.81783492638882904</v>
      </c>
      <c r="G780">
        <v>0.392300661902168</v>
      </c>
      <c r="H780">
        <v>0.10097153359932801</v>
      </c>
      <c r="I780">
        <v>7.4824643540552294E-2</v>
      </c>
      <c r="J780">
        <v>6.75378524917985E-2</v>
      </c>
      <c r="K780">
        <v>5.6422636063148797E-2</v>
      </c>
      <c r="L780">
        <v>1487.24959682548</v>
      </c>
      <c r="M780">
        <v>26.6936584678324</v>
      </c>
      <c r="N780">
        <v>55.911749053254702</v>
      </c>
      <c r="O780">
        <v>55.4056019540701</v>
      </c>
      <c r="P780">
        <v>-0.115060724903661</v>
      </c>
      <c r="Q780">
        <v>4.4725658312581899E-2</v>
      </c>
      <c r="R780">
        <v>0.99385997850056595</v>
      </c>
      <c r="S780" t="s">
        <v>5076</v>
      </c>
      <c r="T780" t="s">
        <v>8590</v>
      </c>
      <c r="U780" t="s">
        <v>8590</v>
      </c>
      <c r="V780" t="s">
        <v>8590</v>
      </c>
      <c r="W780">
        <v>21</v>
      </c>
      <c r="X780" t="s">
        <v>9370</v>
      </c>
      <c r="Y780">
        <v>0.55300248508868211</v>
      </c>
      <c r="Z780" t="str">
        <f>HYPERLINK("Melting_Curves/meltCurve_sp_P18669_PGAM1_HUMAN_.pdf", "Melting_Curves/meltCurve_sp_P18669_PGAM1_HUMAN_.pdf")</f>
        <v>Melting_Curves/meltCurve_sp_P18669_PGAM1_HUMAN_.pdf</v>
      </c>
      <c r="AA780" t="s">
        <v>13651</v>
      </c>
      <c r="AB780" t="s">
        <v>17865</v>
      </c>
    </row>
    <row r="781" spans="1:28" x14ac:dyDescent="0.25">
      <c r="A781" t="s">
        <v>785</v>
      </c>
      <c r="B781">
        <v>0.99876560204751996</v>
      </c>
      <c r="C781">
        <v>0.926032904446908</v>
      </c>
      <c r="D781">
        <v>1.0278486946540699</v>
      </c>
      <c r="E781">
        <v>1.0189647738679899</v>
      </c>
      <c r="F781">
        <v>1.2543844894896901</v>
      </c>
      <c r="G781">
        <v>0.74735661686314903</v>
      </c>
      <c r="H781">
        <v>0.69685973216131003</v>
      </c>
      <c r="I781">
        <v>0.79131575721993996</v>
      </c>
      <c r="J781">
        <v>0.86297518422904196</v>
      </c>
      <c r="K781">
        <v>0.99102233078250201</v>
      </c>
      <c r="L781">
        <v>3535.2174121304702</v>
      </c>
      <c r="M781">
        <v>63.744389816119401</v>
      </c>
      <c r="O781">
        <v>55.404787414358502</v>
      </c>
      <c r="P781">
        <v>-5.2428154267752498E-2</v>
      </c>
      <c r="Q781">
        <v>0.81772396306176998</v>
      </c>
      <c r="R781">
        <v>0.45132610044395799</v>
      </c>
      <c r="S781" t="s">
        <v>5077</v>
      </c>
      <c r="T781" t="s">
        <v>8590</v>
      </c>
      <c r="U781" t="s">
        <v>8590</v>
      </c>
      <c r="V781" t="s">
        <v>8590</v>
      </c>
      <c r="W781">
        <v>1</v>
      </c>
      <c r="X781" t="s">
        <v>9371</v>
      </c>
      <c r="Y781">
        <v>0.91192619350498916</v>
      </c>
      <c r="Z781" t="str">
        <f>HYPERLINK("Melting_Curves/meltCurve_sp_P18827_SDC1_HUMAN_.pdf", "Melting_Curves/meltCurve_sp_P18827_SDC1_HUMAN_.pdf")</f>
        <v>Melting_Curves/meltCurve_sp_P18827_SDC1_HUMAN_.pdf</v>
      </c>
      <c r="AA781" t="s">
        <v>13652</v>
      </c>
      <c r="AB781" t="s">
        <v>17866</v>
      </c>
    </row>
    <row r="782" spans="1:28" x14ac:dyDescent="0.25">
      <c r="A782" t="s">
        <v>786</v>
      </c>
      <c r="B782">
        <v>0.99876560204751996</v>
      </c>
      <c r="C782">
        <v>0.96394968878037002</v>
      </c>
      <c r="D782">
        <v>0.953010012790519</v>
      </c>
      <c r="E782">
        <v>0.753604489467667</v>
      </c>
      <c r="F782">
        <v>0.74729068892264305</v>
      </c>
      <c r="G782">
        <v>0.70665330929924597</v>
      </c>
      <c r="H782">
        <v>0.64120113432553305</v>
      </c>
      <c r="I782">
        <v>1.0114000899101401</v>
      </c>
      <c r="J782">
        <v>1.24363258671776</v>
      </c>
      <c r="K782">
        <v>1.20957448490644</v>
      </c>
      <c r="L782">
        <v>1712.3447769276499</v>
      </c>
      <c r="M782">
        <v>38.690907016130701</v>
      </c>
      <c r="O782">
        <v>44.139304015428202</v>
      </c>
      <c r="P782">
        <v>-2.08070605833864E-2</v>
      </c>
      <c r="Q782">
        <v>0.905051908468258</v>
      </c>
      <c r="R782">
        <v>2.5464264951609802E-2</v>
      </c>
      <c r="S782" t="s">
        <v>5078</v>
      </c>
      <c r="T782" t="s">
        <v>8590</v>
      </c>
      <c r="U782" t="s">
        <v>8590</v>
      </c>
      <c r="V782" t="s">
        <v>8590</v>
      </c>
      <c r="W782">
        <v>2</v>
      </c>
      <c r="X782" t="s">
        <v>9372</v>
      </c>
      <c r="Y782">
        <v>0.91888153934354644</v>
      </c>
      <c r="Z782" t="str">
        <f>HYPERLINK("Melting_Curves/meltCurve_sp_P18859_ATP5J_HUMAN_.pdf", "Melting_Curves/meltCurve_sp_P18859_ATP5J_HUMAN_.pdf")</f>
        <v>Melting_Curves/meltCurve_sp_P18859_ATP5J_HUMAN_.pdf</v>
      </c>
      <c r="AA782" t="s">
        <v>13653</v>
      </c>
      <c r="AB782" t="s">
        <v>17867</v>
      </c>
    </row>
    <row r="783" spans="1:28" x14ac:dyDescent="0.25">
      <c r="A783" t="s">
        <v>787</v>
      </c>
      <c r="B783">
        <v>0.99876560204751996</v>
      </c>
      <c r="C783">
        <v>0.99021600017270595</v>
      </c>
      <c r="D783">
        <v>0.89539687784953703</v>
      </c>
      <c r="E783">
        <v>0.89127656809425204</v>
      </c>
      <c r="F783">
        <v>0.74402754116377501</v>
      </c>
      <c r="G783">
        <v>0.50725047110839006</v>
      </c>
      <c r="H783">
        <v>0.41707586336763097</v>
      </c>
      <c r="I783">
        <v>0.38839411172382798</v>
      </c>
      <c r="J783">
        <v>0.48088682880498301</v>
      </c>
      <c r="K783">
        <v>0.38414094585758901</v>
      </c>
      <c r="L783">
        <v>1124.0002671868001</v>
      </c>
      <c r="M783">
        <v>21.0612785765328</v>
      </c>
      <c r="N783">
        <v>57.768580775099998</v>
      </c>
      <c r="O783">
        <v>52.893951015632197</v>
      </c>
      <c r="P783">
        <v>-5.9779458642259697E-2</v>
      </c>
      <c r="Q783">
        <v>0.39948795472197701</v>
      </c>
      <c r="R783">
        <v>0.97490458945481595</v>
      </c>
      <c r="S783" t="s">
        <v>5079</v>
      </c>
      <c r="T783" t="s">
        <v>8590</v>
      </c>
      <c r="U783" t="s">
        <v>8590</v>
      </c>
      <c r="V783" t="s">
        <v>8590</v>
      </c>
      <c r="W783">
        <v>5</v>
      </c>
      <c r="X783" t="s">
        <v>9373</v>
      </c>
      <c r="Y783">
        <v>0.67461620377069775</v>
      </c>
      <c r="Z783" t="str">
        <f>HYPERLINK("Melting_Curves/meltCurve_sp_P19105_ML12A_HUMAN_.pdf", "Melting_Curves/meltCurve_sp_P19105_ML12A_HUMAN_.pdf")</f>
        <v>Melting_Curves/meltCurve_sp_P19105_ML12A_HUMAN_.pdf</v>
      </c>
      <c r="AA783" t="s">
        <v>13654</v>
      </c>
      <c r="AB783" t="s">
        <v>17868</v>
      </c>
    </row>
    <row r="784" spans="1:28" x14ac:dyDescent="0.25">
      <c r="A784" t="s">
        <v>788</v>
      </c>
      <c r="B784">
        <v>0.99876560204751996</v>
      </c>
      <c r="C784">
        <v>0.881166378040665</v>
      </c>
      <c r="D784">
        <v>0.78226059104594903</v>
      </c>
      <c r="E784">
        <v>0.60515730026717496</v>
      </c>
      <c r="F784">
        <v>0.10855417374656599</v>
      </c>
      <c r="G784">
        <v>8.8119489468891699E-2</v>
      </c>
      <c r="H784">
        <v>0</v>
      </c>
      <c r="I784">
        <v>0</v>
      </c>
      <c r="J784">
        <v>0</v>
      </c>
      <c r="K784">
        <v>0</v>
      </c>
      <c r="L784">
        <v>1012.50070298605</v>
      </c>
      <c r="M784">
        <v>20.329891183723799</v>
      </c>
      <c r="N784">
        <v>49.803570663690998</v>
      </c>
      <c r="O784">
        <v>49.329195628589403</v>
      </c>
      <c r="P784">
        <v>-0.103034920837959</v>
      </c>
      <c r="Q784">
        <v>0</v>
      </c>
      <c r="R784">
        <v>0.97383143784617998</v>
      </c>
      <c r="S784" t="s">
        <v>5080</v>
      </c>
      <c r="T784" t="s">
        <v>8590</v>
      </c>
      <c r="U784" t="s">
        <v>8590</v>
      </c>
      <c r="V784" t="s">
        <v>8590</v>
      </c>
      <c r="W784">
        <v>2</v>
      </c>
      <c r="X784" t="s">
        <v>9374</v>
      </c>
      <c r="Y784">
        <v>0.34027589428558819</v>
      </c>
      <c r="Z784" t="str">
        <f>HYPERLINK("Melting_Curves/meltCurve_sp_P19174_PLCG1_HUMAN_.pdf", "Melting_Curves/meltCurve_sp_P19174_PLCG1_HUMAN_.pdf")</f>
        <v>Melting_Curves/meltCurve_sp_P19174_PLCG1_HUMAN_.pdf</v>
      </c>
      <c r="AA784" t="s">
        <v>13655</v>
      </c>
      <c r="AB784" t="s">
        <v>17869</v>
      </c>
    </row>
    <row r="785" spans="1:28" x14ac:dyDescent="0.25">
      <c r="A785" t="s">
        <v>789</v>
      </c>
      <c r="B785">
        <v>0.99876560204751996</v>
      </c>
      <c r="C785">
        <v>0.99477572266914605</v>
      </c>
      <c r="D785">
        <v>0.96016319317964205</v>
      </c>
      <c r="E785">
        <v>0.99796293448796802</v>
      </c>
      <c r="F785">
        <v>0.95969546897619895</v>
      </c>
      <c r="G785">
        <v>0.80198953443471199</v>
      </c>
      <c r="H785">
        <v>0.70592016650060896</v>
      </c>
      <c r="I785">
        <v>0.67586885425490795</v>
      </c>
      <c r="J785">
        <v>0.83564701527149199</v>
      </c>
      <c r="K785">
        <v>0.83655849232619595</v>
      </c>
      <c r="L785">
        <v>2721.3054972516102</v>
      </c>
      <c r="M785">
        <v>49.677189241130698</v>
      </c>
      <c r="O785">
        <v>54.691221905609801</v>
      </c>
      <c r="P785">
        <v>-5.3427130791417803E-2</v>
      </c>
      <c r="Q785">
        <v>0.764721561538515</v>
      </c>
      <c r="R785">
        <v>0.82745619188529296</v>
      </c>
      <c r="S785" t="s">
        <v>5081</v>
      </c>
      <c r="T785" t="s">
        <v>8590</v>
      </c>
      <c r="U785" t="s">
        <v>8590</v>
      </c>
      <c r="V785" t="s">
        <v>8590</v>
      </c>
      <c r="W785">
        <v>33</v>
      </c>
      <c r="X785" t="s">
        <v>9375</v>
      </c>
      <c r="Y785">
        <v>0.88120934897387693</v>
      </c>
      <c r="Z785" t="str">
        <f>HYPERLINK("Melting_Curves/meltCurve_sp_P19338_NUCL_HUMAN_.pdf", "Melting_Curves/meltCurve_sp_P19338_NUCL_HUMAN_.pdf")</f>
        <v>Melting_Curves/meltCurve_sp_P19338_NUCL_HUMAN_.pdf</v>
      </c>
      <c r="AA785" t="s">
        <v>13656</v>
      </c>
      <c r="AB785" t="s">
        <v>17870</v>
      </c>
    </row>
    <row r="786" spans="1:28" x14ac:dyDescent="0.25">
      <c r="A786" t="s">
        <v>790</v>
      </c>
      <c r="B786">
        <v>0.99876560204751996</v>
      </c>
      <c r="C786">
        <v>0.96886936082078501</v>
      </c>
      <c r="D786">
        <v>0.74817094635001902</v>
      </c>
      <c r="E786">
        <v>0.46290117183444002</v>
      </c>
      <c r="F786">
        <v>0.22725249043747001</v>
      </c>
      <c r="G786">
        <v>0.122774734036357</v>
      </c>
      <c r="H786">
        <v>8.9029231650842297E-2</v>
      </c>
      <c r="I786">
        <v>7.4808162945378898E-2</v>
      </c>
      <c r="J786">
        <v>4.8680794323411998E-2</v>
      </c>
      <c r="K786">
        <v>6.4178056820127199E-2</v>
      </c>
      <c r="L786">
        <v>904.90731171119103</v>
      </c>
      <c r="M786">
        <v>18.4795038740703</v>
      </c>
      <c r="N786">
        <v>49.2903735283355</v>
      </c>
      <c r="O786">
        <v>48.405542167308802</v>
      </c>
      <c r="P786">
        <v>-9.0014963577056503E-2</v>
      </c>
      <c r="Q786">
        <v>5.6894918794633001E-2</v>
      </c>
      <c r="R786">
        <v>0.99745417334075404</v>
      </c>
      <c r="S786" t="s">
        <v>5082</v>
      </c>
      <c r="T786" t="s">
        <v>8590</v>
      </c>
      <c r="U786" t="s">
        <v>8590</v>
      </c>
      <c r="V786" t="s">
        <v>8590</v>
      </c>
      <c r="W786">
        <v>3</v>
      </c>
      <c r="X786" t="s">
        <v>9376</v>
      </c>
      <c r="Y786">
        <v>0.35433234854111878</v>
      </c>
      <c r="Z786" t="str">
        <f>HYPERLINK("Melting_Curves/meltCurve_sp_P19388_RPAB1_HUMAN_.pdf", "Melting_Curves/meltCurve_sp_P19388_RPAB1_HUMAN_.pdf")</f>
        <v>Melting_Curves/meltCurve_sp_P19388_RPAB1_HUMAN_.pdf</v>
      </c>
      <c r="AA786" t="s">
        <v>13657</v>
      </c>
      <c r="AB786" t="s">
        <v>17871</v>
      </c>
    </row>
    <row r="787" spans="1:28" x14ac:dyDescent="0.25">
      <c r="A787" t="s">
        <v>791</v>
      </c>
      <c r="B787">
        <v>0.99876560204751996</v>
      </c>
      <c r="C787">
        <v>0.95850241911603695</v>
      </c>
      <c r="D787">
        <v>0.96666371099013304</v>
      </c>
      <c r="E787">
        <v>0.87585436086622903</v>
      </c>
      <c r="F787">
        <v>0.78942418483816401</v>
      </c>
      <c r="G787">
        <v>0.67085578028136394</v>
      </c>
      <c r="H787">
        <v>0.492828011141347</v>
      </c>
      <c r="I787">
        <v>0.44244885579737497</v>
      </c>
      <c r="J787">
        <v>0.42018889671668003</v>
      </c>
      <c r="K787">
        <v>0.343056534729208</v>
      </c>
      <c r="L787">
        <v>630.10703898501595</v>
      </c>
      <c r="M787">
        <v>10.959539048368899</v>
      </c>
      <c r="N787">
        <v>61.733949346466801</v>
      </c>
      <c r="O787">
        <v>55.679178879799103</v>
      </c>
      <c r="P787">
        <v>-3.6207208068047003E-2</v>
      </c>
      <c r="Q787">
        <v>0.264459081481286</v>
      </c>
      <c r="R787">
        <v>0.99504598688827295</v>
      </c>
      <c r="S787" t="s">
        <v>5083</v>
      </c>
      <c r="T787" t="s">
        <v>8590</v>
      </c>
      <c r="U787" t="s">
        <v>8590</v>
      </c>
      <c r="V787" t="s">
        <v>8590</v>
      </c>
      <c r="W787">
        <v>10</v>
      </c>
      <c r="X787" t="s">
        <v>9377</v>
      </c>
      <c r="Y787">
        <v>0.70380414809287706</v>
      </c>
      <c r="Z787" t="str">
        <f>HYPERLINK("Melting_Curves/meltCurve_sp_P19404_NDUV2_HUMAN_.pdf", "Melting_Curves/meltCurve_sp_P19404_NDUV2_HUMAN_.pdf")</f>
        <v>Melting_Curves/meltCurve_sp_P19404_NDUV2_HUMAN_.pdf</v>
      </c>
      <c r="AA787" t="s">
        <v>13658</v>
      </c>
      <c r="AB787" t="s">
        <v>17872</v>
      </c>
    </row>
    <row r="788" spans="1:28" x14ac:dyDescent="0.25">
      <c r="A788" t="s">
        <v>792</v>
      </c>
      <c r="B788">
        <v>0.99876560204751996</v>
      </c>
      <c r="C788">
        <v>0.80784648803897197</v>
      </c>
      <c r="D788">
        <v>0.62849616131949204</v>
      </c>
      <c r="E788">
        <v>0.510905485024857</v>
      </c>
      <c r="F788">
        <v>0.393205630393971</v>
      </c>
      <c r="G788">
        <v>0.28468816866056901</v>
      </c>
      <c r="H788">
        <v>0.214366630823557</v>
      </c>
      <c r="I788">
        <v>0.18992184011181401</v>
      </c>
      <c r="J788">
        <v>0.21195845053964901</v>
      </c>
      <c r="K788">
        <v>0.21309274395599201</v>
      </c>
      <c r="L788">
        <v>566.67296873235796</v>
      </c>
      <c r="M788">
        <v>11.8730969073123</v>
      </c>
      <c r="N788">
        <v>49.564195631858603</v>
      </c>
      <c r="O788">
        <v>46.433970278616499</v>
      </c>
      <c r="P788">
        <v>-5.2560765240542602E-2</v>
      </c>
      <c r="Q788">
        <v>0.17797620317646001</v>
      </c>
      <c r="R788">
        <v>0.98440780631095204</v>
      </c>
      <c r="S788" t="s">
        <v>5084</v>
      </c>
      <c r="T788" t="s">
        <v>8590</v>
      </c>
      <c r="U788" t="s">
        <v>8590</v>
      </c>
      <c r="V788" t="s">
        <v>8590</v>
      </c>
      <c r="W788">
        <v>11</v>
      </c>
      <c r="X788" t="s">
        <v>9378</v>
      </c>
      <c r="Y788">
        <v>0.4231033368266181</v>
      </c>
      <c r="Z788" t="str">
        <f>HYPERLINK("Melting_Curves/meltCurve_sp_P19525_E2AK2_HUMAN_.pdf", "Melting_Curves/meltCurve_sp_P19525_E2AK2_HUMAN_.pdf")</f>
        <v>Melting_Curves/meltCurve_sp_P19525_E2AK2_HUMAN_.pdf</v>
      </c>
      <c r="AA788" t="s">
        <v>13659</v>
      </c>
      <c r="AB788" t="s">
        <v>17873</v>
      </c>
    </row>
    <row r="789" spans="1:28" x14ac:dyDescent="0.25">
      <c r="A789" t="s">
        <v>793</v>
      </c>
      <c r="B789">
        <v>0.99876560204751996</v>
      </c>
      <c r="C789">
        <v>0.85140937160619701</v>
      </c>
      <c r="D789">
        <v>0.79445821392132598</v>
      </c>
      <c r="E789">
        <v>0.37445882611523401</v>
      </c>
      <c r="F789">
        <v>0.13125859453087499</v>
      </c>
      <c r="G789">
        <v>6.5457503953336202E-2</v>
      </c>
      <c r="H789">
        <v>3.72252561963805E-2</v>
      </c>
      <c r="I789">
        <v>1.24462121785903E-2</v>
      </c>
      <c r="J789">
        <v>6.6034792700007203E-3</v>
      </c>
      <c r="K789">
        <v>2.0406588750473999E-2</v>
      </c>
      <c r="L789">
        <v>970.99123777061595</v>
      </c>
      <c r="M789">
        <v>19.9900175812773</v>
      </c>
      <c r="N789">
        <v>48.615072154676</v>
      </c>
      <c r="O789">
        <v>48.095538263857698</v>
      </c>
      <c r="P789">
        <v>-0.103037020257627</v>
      </c>
      <c r="Q789">
        <v>8.4131393596404702E-3</v>
      </c>
      <c r="R789">
        <v>0.99295576098232496</v>
      </c>
      <c r="S789" t="s">
        <v>5085</v>
      </c>
      <c r="T789" t="s">
        <v>8590</v>
      </c>
      <c r="U789" t="s">
        <v>8590</v>
      </c>
      <c r="V789" t="s">
        <v>8590</v>
      </c>
      <c r="W789">
        <v>7</v>
      </c>
      <c r="X789" t="s">
        <v>9379</v>
      </c>
      <c r="Y789">
        <v>0.30577325982734521</v>
      </c>
      <c r="Z789" t="str">
        <f>HYPERLINK("Melting_Curves/meltCurve_sp_P19623_SPEE_HUMAN_.pdf", "Melting_Curves/meltCurve_sp_P19623_SPEE_HUMAN_.pdf")</f>
        <v>Melting_Curves/meltCurve_sp_P19623_SPEE_HUMAN_.pdf</v>
      </c>
      <c r="AA789" t="s">
        <v>13660</v>
      </c>
      <c r="AB789" t="s">
        <v>17874</v>
      </c>
    </row>
    <row r="790" spans="1:28" x14ac:dyDescent="0.25">
      <c r="A790" t="s">
        <v>794</v>
      </c>
      <c r="B790">
        <v>0.99876560204751996</v>
      </c>
      <c r="C790">
        <v>0.90642725609590302</v>
      </c>
      <c r="D790">
        <v>0.979816506568288</v>
      </c>
      <c r="E790">
        <v>0.95108698025593896</v>
      </c>
      <c r="F790">
        <v>0.88131404437495098</v>
      </c>
      <c r="G790">
        <v>0.84352956895558395</v>
      </c>
      <c r="H790">
        <v>0.74726783793902896</v>
      </c>
      <c r="I790">
        <v>0.72494481279626799</v>
      </c>
      <c r="J790">
        <v>0.80739838719787904</v>
      </c>
      <c r="K790">
        <v>0.79888567779719599</v>
      </c>
      <c r="L790">
        <v>919.21056117877401</v>
      </c>
      <c r="M790">
        <v>17.329625533819399</v>
      </c>
      <c r="O790">
        <v>52.351548860501303</v>
      </c>
      <c r="P790">
        <v>-1.9467740380131701E-2</v>
      </c>
      <c r="Q790">
        <v>0.76477102491687199</v>
      </c>
      <c r="R790">
        <v>0.81368480093163398</v>
      </c>
      <c r="S790" t="s">
        <v>5086</v>
      </c>
      <c r="T790" t="s">
        <v>8590</v>
      </c>
      <c r="U790" t="s">
        <v>8590</v>
      </c>
      <c r="V790" t="s">
        <v>8590</v>
      </c>
      <c r="W790">
        <v>9</v>
      </c>
      <c r="X790" t="s">
        <v>9380</v>
      </c>
      <c r="Y790">
        <v>0.87112422072999662</v>
      </c>
      <c r="Z790" t="str">
        <f>HYPERLINK("Melting_Curves/meltCurve_sp_P19652_A1AG2_HUMAN_.pdf", "Melting_Curves/meltCurve_sp_P19652_A1AG2_HUMAN_.pdf")</f>
        <v>Melting_Curves/meltCurve_sp_P19652_A1AG2_HUMAN_.pdf</v>
      </c>
      <c r="AA790" t="s">
        <v>13661</v>
      </c>
      <c r="AB790" t="s">
        <v>17875</v>
      </c>
    </row>
    <row r="791" spans="1:28" x14ac:dyDescent="0.25">
      <c r="A791" t="s">
        <v>795</v>
      </c>
      <c r="B791">
        <v>0.99876560204751996</v>
      </c>
      <c r="C791">
        <v>1.00911977380081</v>
      </c>
      <c r="D791">
        <v>0.89543019344114905</v>
      </c>
      <c r="E791">
        <v>0.83459542774895901</v>
      </c>
      <c r="F791">
        <v>0.335256407171241</v>
      </c>
      <c r="G791">
        <v>0.18093157647699201</v>
      </c>
      <c r="H791">
        <v>0.13334759905837101</v>
      </c>
      <c r="I791">
        <v>8.2774734919446605E-2</v>
      </c>
      <c r="J791">
        <v>8.0956903720008203E-2</v>
      </c>
      <c r="K791">
        <v>4.8229406982397E-2</v>
      </c>
      <c r="L791">
        <v>1933.82328560992</v>
      </c>
      <c r="M791">
        <v>37.365143545543802</v>
      </c>
      <c r="N791">
        <v>52.050729070771297</v>
      </c>
      <c r="O791">
        <v>51.607166077066097</v>
      </c>
      <c r="P791">
        <v>-0.163683495797529</v>
      </c>
      <c r="Q791">
        <v>9.5711394324708696E-2</v>
      </c>
      <c r="R791">
        <v>0.98868667063565796</v>
      </c>
      <c r="S791" t="s">
        <v>5087</v>
      </c>
      <c r="T791" t="s">
        <v>8590</v>
      </c>
      <c r="U791" t="s">
        <v>8590</v>
      </c>
      <c r="V791" t="s">
        <v>8590</v>
      </c>
      <c r="W791">
        <v>5</v>
      </c>
      <c r="X791" t="s">
        <v>9381</v>
      </c>
      <c r="Y791">
        <v>0.45374278988249672</v>
      </c>
      <c r="Z791" t="str">
        <f>HYPERLINK("Melting_Curves/meltCurve_sp_P19784_CSK22_HUMAN_.pdf", "Melting_Curves/meltCurve_sp_P19784_CSK22_HUMAN_.pdf")</f>
        <v>Melting_Curves/meltCurve_sp_P19784_CSK22_HUMAN_.pdf</v>
      </c>
      <c r="AA791" t="s">
        <v>13662</v>
      </c>
      <c r="AB791" t="s">
        <v>17876</v>
      </c>
    </row>
    <row r="792" spans="1:28" x14ac:dyDescent="0.25">
      <c r="A792" t="s">
        <v>796</v>
      </c>
      <c r="B792">
        <v>0.99876560204751996</v>
      </c>
      <c r="C792">
        <v>1.0155216696109699</v>
      </c>
      <c r="D792">
        <v>0.87301794385407605</v>
      </c>
      <c r="E792">
        <v>0.81467224192034104</v>
      </c>
      <c r="F792">
        <v>0.61043519240200494</v>
      </c>
      <c r="G792">
        <v>0.34163344266258799</v>
      </c>
      <c r="H792">
        <v>0.19180285531871299</v>
      </c>
      <c r="I792">
        <v>0.124725526399003</v>
      </c>
      <c r="J792">
        <v>9.6697424252043807E-2</v>
      </c>
      <c r="K792">
        <v>8.28862867382648E-2</v>
      </c>
      <c r="L792">
        <v>819.20722317534103</v>
      </c>
      <c r="M792">
        <v>15.1166754759103</v>
      </c>
      <c r="N792">
        <v>54.529872161620901</v>
      </c>
      <c r="O792">
        <v>53.270440807373497</v>
      </c>
      <c r="P792">
        <v>-6.7780722136481203E-2</v>
      </c>
      <c r="Q792">
        <v>4.4669198098733799E-2</v>
      </c>
      <c r="R792">
        <v>0.99530625857764299</v>
      </c>
      <c r="S792" t="s">
        <v>5088</v>
      </c>
      <c r="T792" t="s">
        <v>8590</v>
      </c>
      <c r="U792" t="s">
        <v>8590</v>
      </c>
      <c r="V792" t="s">
        <v>8590</v>
      </c>
      <c r="W792">
        <v>12</v>
      </c>
      <c r="X792" t="s">
        <v>9382</v>
      </c>
      <c r="Y792">
        <v>0.51582562981921276</v>
      </c>
      <c r="Z792" t="str">
        <f>HYPERLINK("Melting_Curves/meltCurve_sp_P19827_ITIH1_HUMAN_.pdf", "Melting_Curves/meltCurve_sp_P19827_ITIH1_HUMAN_.pdf")</f>
        <v>Melting_Curves/meltCurve_sp_P19827_ITIH1_HUMAN_.pdf</v>
      </c>
      <c r="AA792" t="s">
        <v>13663</v>
      </c>
      <c r="AB792" t="s">
        <v>17877</v>
      </c>
    </row>
    <row r="793" spans="1:28" x14ac:dyDescent="0.25">
      <c r="A793" t="s">
        <v>797</v>
      </c>
      <c r="B793">
        <v>0.99876560204751996</v>
      </c>
      <c r="C793">
        <v>1.07732927525351</v>
      </c>
      <c r="D793">
        <v>0.945107052120994</v>
      </c>
      <c r="E793">
        <v>0.76715816301425199</v>
      </c>
      <c r="F793">
        <v>0.44163560767332399</v>
      </c>
      <c r="G793">
        <v>0.18893643518938799</v>
      </c>
      <c r="H793">
        <v>0.106413661618908</v>
      </c>
      <c r="I793">
        <v>9.0379667495979393E-2</v>
      </c>
      <c r="J793">
        <v>8.5379111066522295E-2</v>
      </c>
      <c r="K793">
        <v>7.2693685395927701E-2</v>
      </c>
      <c r="L793">
        <v>1276.49746074379</v>
      </c>
      <c r="M793">
        <v>24.4843974188726</v>
      </c>
      <c r="N793">
        <v>52.506437661750802</v>
      </c>
      <c r="O793">
        <v>51.791101699115302</v>
      </c>
      <c r="P793">
        <v>-0.10879511827416299</v>
      </c>
      <c r="Q793">
        <v>7.9489575851238101E-2</v>
      </c>
      <c r="R793">
        <v>0.99543263865241005</v>
      </c>
      <c r="S793" t="s">
        <v>5089</v>
      </c>
      <c r="T793" t="s">
        <v>8590</v>
      </c>
      <c r="U793" t="s">
        <v>8590</v>
      </c>
      <c r="V793" t="s">
        <v>8590</v>
      </c>
      <c r="W793">
        <v>7</v>
      </c>
      <c r="X793" t="s">
        <v>9383</v>
      </c>
      <c r="Y793">
        <v>0.46059696834296782</v>
      </c>
      <c r="Z793" t="str">
        <f>HYPERLINK("Melting_Curves/meltCurve_sp_P19838_NFKB1_HUMAN_.pdf", "Melting_Curves/meltCurve_sp_P19838_NFKB1_HUMAN_.pdf")</f>
        <v>Melting_Curves/meltCurve_sp_P19838_NFKB1_HUMAN_.pdf</v>
      </c>
      <c r="AA793" t="s">
        <v>13664</v>
      </c>
      <c r="AB793" t="s">
        <v>17878</v>
      </c>
    </row>
    <row r="794" spans="1:28" x14ac:dyDescent="0.25">
      <c r="A794" t="s">
        <v>798</v>
      </c>
      <c r="B794">
        <v>0.99876560204751996</v>
      </c>
      <c r="C794">
        <v>0.975243054525889</v>
      </c>
      <c r="D794">
        <v>0.97424035226774897</v>
      </c>
      <c r="E794">
        <v>0.933170665396446</v>
      </c>
      <c r="F794">
        <v>0.83142282403920997</v>
      </c>
      <c r="G794">
        <v>0.67372663581447201</v>
      </c>
      <c r="H794">
        <v>0.458193314163508</v>
      </c>
      <c r="I794">
        <v>0.31681873573472902</v>
      </c>
      <c r="J794">
        <v>0.184016808658091</v>
      </c>
      <c r="K794">
        <v>8.1622379425805802E-2</v>
      </c>
      <c r="L794">
        <v>815.30389632138804</v>
      </c>
      <c r="M794">
        <v>13.601535462695599</v>
      </c>
      <c r="N794">
        <v>59.9420484974762</v>
      </c>
      <c r="O794">
        <v>58.690873907252197</v>
      </c>
      <c r="P794">
        <v>-5.7945774481073499E-2</v>
      </c>
      <c r="Q794">
        <v>0</v>
      </c>
      <c r="R794">
        <v>0.99672649316917294</v>
      </c>
      <c r="S794" t="s">
        <v>5090</v>
      </c>
      <c r="T794" t="s">
        <v>8590</v>
      </c>
      <c r="U794" t="s">
        <v>8590</v>
      </c>
      <c r="V794" t="s">
        <v>8590</v>
      </c>
      <c r="W794">
        <v>21</v>
      </c>
      <c r="X794" t="s">
        <v>9384</v>
      </c>
      <c r="Y794">
        <v>0.67032949164746058</v>
      </c>
      <c r="Z794" t="str">
        <f>HYPERLINK("Melting_Curves/meltCurve_sp_P19971_TYPH_HUMAN_.pdf", "Melting_Curves/meltCurve_sp_P19971_TYPH_HUMAN_.pdf")</f>
        <v>Melting_Curves/meltCurve_sp_P19971_TYPH_HUMAN_.pdf</v>
      </c>
      <c r="AA794" t="s">
        <v>13665</v>
      </c>
      <c r="AB794" t="s">
        <v>17879</v>
      </c>
    </row>
    <row r="795" spans="1:28" x14ac:dyDescent="0.25">
      <c r="A795" t="s">
        <v>799</v>
      </c>
      <c r="B795">
        <v>0.99876560204751996</v>
      </c>
      <c r="C795">
        <v>1.0279250257903501</v>
      </c>
      <c r="D795">
        <v>1.01073959453611</v>
      </c>
      <c r="E795">
        <v>0.99338624509248497</v>
      </c>
      <c r="F795">
        <v>0.88524637185434696</v>
      </c>
      <c r="G795">
        <v>0.50481617490649999</v>
      </c>
      <c r="H795">
        <v>0.207724258517856</v>
      </c>
      <c r="I795">
        <v>0.130332315060708</v>
      </c>
      <c r="J795">
        <v>0.12024876466579</v>
      </c>
      <c r="K795">
        <v>0.10370623584775999</v>
      </c>
      <c r="L795">
        <v>1630.7983907000601</v>
      </c>
      <c r="M795">
        <v>28.8184927718574</v>
      </c>
      <c r="N795">
        <v>57.052207831265299</v>
      </c>
      <c r="O795">
        <v>56.318225776710797</v>
      </c>
      <c r="P795">
        <v>-0.114573772203713</v>
      </c>
      <c r="Q795">
        <v>0.10438866038889801</v>
      </c>
      <c r="R795">
        <v>0.99925143708553299</v>
      </c>
      <c r="S795" t="s">
        <v>5091</v>
      </c>
      <c r="T795" t="s">
        <v>8590</v>
      </c>
      <c r="U795" t="s">
        <v>8590</v>
      </c>
      <c r="V795" t="s">
        <v>8590</v>
      </c>
      <c r="W795">
        <v>14</v>
      </c>
      <c r="X795" t="s">
        <v>9385</v>
      </c>
      <c r="Y795">
        <v>0.60603457747913148</v>
      </c>
      <c r="Z795" t="str">
        <f>HYPERLINK("Melting_Curves/meltCurve_sp_P20042_IF2B_HUMAN_.pdf", "Melting_Curves/meltCurve_sp_P20042_IF2B_HUMAN_.pdf")</f>
        <v>Melting_Curves/meltCurve_sp_P20042_IF2B_HUMAN_.pdf</v>
      </c>
      <c r="AA795" t="s">
        <v>13666</v>
      </c>
      <c r="AB795" t="s">
        <v>17880</v>
      </c>
    </row>
    <row r="796" spans="1:28" x14ac:dyDescent="0.25">
      <c r="A796" t="s">
        <v>800</v>
      </c>
      <c r="B796">
        <v>0.99876560204751996</v>
      </c>
      <c r="C796">
        <v>0.67257070139695396</v>
      </c>
      <c r="D796">
        <v>0.50036736720005703</v>
      </c>
      <c r="E796">
        <v>0.25700447728557402</v>
      </c>
      <c r="F796">
        <v>0.13143687086863101</v>
      </c>
      <c r="G796">
        <v>7.1716291148213193E-2</v>
      </c>
      <c r="H796">
        <v>5.6220464850951203E-2</v>
      </c>
      <c r="I796">
        <v>7.1766667815670898E-2</v>
      </c>
      <c r="J796">
        <v>5.7355153739946499E-2</v>
      </c>
      <c r="K796">
        <v>5.0491776984779899E-2</v>
      </c>
      <c r="L796">
        <v>738.91989640781503</v>
      </c>
      <c r="M796">
        <v>16.226809285599799</v>
      </c>
      <c r="N796">
        <v>45.837438118521298</v>
      </c>
      <c r="O796">
        <v>44.8622447421793</v>
      </c>
      <c r="P796">
        <v>-8.5870021373980698E-2</v>
      </c>
      <c r="Q796">
        <v>5.0451585737526297E-2</v>
      </c>
      <c r="R796">
        <v>0.98519863804510199</v>
      </c>
      <c r="S796" t="s">
        <v>5092</v>
      </c>
      <c r="T796" t="s">
        <v>8590</v>
      </c>
      <c r="U796" t="s">
        <v>8590</v>
      </c>
      <c r="V796" t="s">
        <v>8590</v>
      </c>
      <c r="W796">
        <v>2</v>
      </c>
      <c r="X796" t="s">
        <v>9386</v>
      </c>
      <c r="Y796">
        <v>0.25011268359943067</v>
      </c>
      <c r="Z796" t="str">
        <f>HYPERLINK("Melting_Curves/meltCurve_sp_P20132_SDHL_HUMAN_.pdf", "Melting_Curves/meltCurve_sp_P20132_SDHL_HUMAN_.pdf")</f>
        <v>Melting_Curves/meltCurve_sp_P20132_SDHL_HUMAN_.pdf</v>
      </c>
      <c r="AA796" t="s">
        <v>13667</v>
      </c>
      <c r="AB796" t="s">
        <v>17881</v>
      </c>
    </row>
    <row r="797" spans="1:28" x14ac:dyDescent="0.25">
      <c r="A797" t="s">
        <v>801</v>
      </c>
      <c r="B797">
        <v>0.99876560204751996</v>
      </c>
      <c r="C797">
        <v>0.98387815833139303</v>
      </c>
      <c r="D797">
        <v>1.05537498463393</v>
      </c>
      <c r="E797">
        <v>0.93867604499499002</v>
      </c>
      <c r="F797">
        <v>1.08729005710159</v>
      </c>
      <c r="G797">
        <v>0.78694340832300103</v>
      </c>
      <c r="H797">
        <v>0.79802808077556897</v>
      </c>
      <c r="I797">
        <v>0.77333330404600398</v>
      </c>
      <c r="J797">
        <v>0.92786217565064799</v>
      </c>
      <c r="K797">
        <v>0.90161448473876105</v>
      </c>
      <c r="L797">
        <v>4727.1137222150001</v>
      </c>
      <c r="M797">
        <v>85.798088341918202</v>
      </c>
      <c r="O797">
        <v>55.065877505972601</v>
      </c>
      <c r="P797">
        <v>-6.3519991544815996E-2</v>
      </c>
      <c r="Q797">
        <v>0.83692951245468405</v>
      </c>
      <c r="R797">
        <v>0.66603911006174998</v>
      </c>
      <c r="S797" t="s">
        <v>5093</v>
      </c>
      <c r="T797" t="s">
        <v>8590</v>
      </c>
      <c r="U797" t="s">
        <v>8590</v>
      </c>
      <c r="V797" t="s">
        <v>8590</v>
      </c>
      <c r="W797">
        <v>4</v>
      </c>
      <c r="X797" t="s">
        <v>9387</v>
      </c>
      <c r="Y797">
        <v>0.91911955233635356</v>
      </c>
      <c r="Z797" t="str">
        <f>HYPERLINK("Melting_Curves/meltCurve_sp_P20290_BTF3_HUMAN_.pdf", "Melting_Curves/meltCurve_sp_P20290_BTF3_HUMAN_.pdf")</f>
        <v>Melting_Curves/meltCurve_sp_P20290_BTF3_HUMAN_.pdf</v>
      </c>
      <c r="AA797" t="s">
        <v>13668</v>
      </c>
      <c r="AB797" t="s">
        <v>17882</v>
      </c>
    </row>
    <row r="798" spans="1:28" x14ac:dyDescent="0.25">
      <c r="A798" t="s">
        <v>802</v>
      </c>
      <c r="B798">
        <v>0.99876560204751996</v>
      </c>
      <c r="C798">
        <v>0.87742997637866404</v>
      </c>
      <c r="D798">
        <v>0.79260603176110001</v>
      </c>
      <c r="E798">
        <v>0.71380461937838902</v>
      </c>
      <c r="F798">
        <v>0.58016813461629002</v>
      </c>
      <c r="G798">
        <v>0.262332174788243</v>
      </c>
      <c r="H798">
        <v>2.2146716911861E-2</v>
      </c>
      <c r="I798">
        <v>3.0549660200182901E-2</v>
      </c>
      <c r="J798">
        <v>0</v>
      </c>
      <c r="K798">
        <v>0</v>
      </c>
      <c r="L798">
        <v>801.98373293540499</v>
      </c>
      <c r="M798">
        <v>15.167488267766799</v>
      </c>
      <c r="N798">
        <v>52.875192408741903</v>
      </c>
      <c r="O798">
        <v>51.981609566509498</v>
      </c>
      <c r="P798">
        <v>-7.29534711984033E-2</v>
      </c>
      <c r="Q798">
        <v>0</v>
      </c>
      <c r="R798">
        <v>0.97141676877791405</v>
      </c>
      <c r="S798" t="s">
        <v>5094</v>
      </c>
      <c r="T798" t="s">
        <v>8590</v>
      </c>
      <c r="U798" t="s">
        <v>8590</v>
      </c>
      <c r="V798" t="s">
        <v>8590</v>
      </c>
      <c r="W798">
        <v>3</v>
      </c>
      <c r="X798" t="s">
        <v>9388</v>
      </c>
      <c r="Y798">
        <v>0.45046607692703761</v>
      </c>
      <c r="Z798" t="str">
        <f>HYPERLINK("Melting_Curves/meltCurve_sp_P20338_RAB4A_HUMAN_.pdf", "Melting_Curves/meltCurve_sp_P20338_RAB4A_HUMAN_.pdf")</f>
        <v>Melting_Curves/meltCurve_sp_P20338_RAB4A_HUMAN_.pdf</v>
      </c>
      <c r="AA798" t="s">
        <v>13669</v>
      </c>
      <c r="AB798" t="s">
        <v>17883</v>
      </c>
    </row>
    <row r="799" spans="1:28" x14ac:dyDescent="0.25">
      <c r="A799" t="s">
        <v>803</v>
      </c>
      <c r="B799">
        <v>0.99876560204751996</v>
      </c>
      <c r="C799">
        <v>1.0740697004578501</v>
      </c>
      <c r="D799">
        <v>0.96301520720074096</v>
      </c>
      <c r="E799">
        <v>0.80302182957732504</v>
      </c>
      <c r="F799">
        <v>0.57334405249486797</v>
      </c>
      <c r="G799">
        <v>0.26485635683672998</v>
      </c>
      <c r="H799">
        <v>0.125289115311911</v>
      </c>
      <c r="I799">
        <v>8.92985068216397E-2</v>
      </c>
      <c r="J799">
        <v>7.6333180430504702E-2</v>
      </c>
      <c r="K799">
        <v>5.81664666553754E-2</v>
      </c>
      <c r="L799">
        <v>1085.96240665804</v>
      </c>
      <c r="M799">
        <v>20.316927779895298</v>
      </c>
      <c r="N799">
        <v>53.766424958499698</v>
      </c>
      <c r="O799">
        <v>52.941344524440701</v>
      </c>
      <c r="P799">
        <v>-9.0555277888609204E-2</v>
      </c>
      <c r="Q799">
        <v>5.6161827650550201E-2</v>
      </c>
      <c r="R799">
        <v>0.99590571626378499</v>
      </c>
      <c r="S799" t="s">
        <v>5095</v>
      </c>
      <c r="T799" t="s">
        <v>8590</v>
      </c>
      <c r="U799" t="s">
        <v>8590</v>
      </c>
      <c r="V799" t="s">
        <v>8590</v>
      </c>
      <c r="W799">
        <v>10</v>
      </c>
      <c r="X799" t="s">
        <v>9389</v>
      </c>
      <c r="Y799">
        <v>0.49193879275544877</v>
      </c>
      <c r="Z799" t="str">
        <f>HYPERLINK("Melting_Curves/meltCurve_sp_P20340_2_RAB6A_HUMAN_.pdf", "Melting_Curves/meltCurve_sp_P20340_2_RAB6A_HUMAN_.pdf")</f>
        <v>Melting_Curves/meltCurve_sp_P20340_2_RAB6A_HUMAN_.pdf</v>
      </c>
      <c r="AA799" t="s">
        <v>13670</v>
      </c>
      <c r="AB799" t="s">
        <v>17884</v>
      </c>
    </row>
    <row r="800" spans="1:28" x14ac:dyDescent="0.25">
      <c r="A800" t="s">
        <v>804</v>
      </c>
      <c r="B800">
        <v>0.99876560204751996</v>
      </c>
      <c r="C800">
        <v>0.89769319271640602</v>
      </c>
      <c r="D800">
        <v>0.78688981335464303</v>
      </c>
      <c r="E800">
        <v>0.72598153957034395</v>
      </c>
      <c r="F800">
        <v>0.77942075646815401</v>
      </c>
      <c r="G800">
        <v>0.56119986167393698</v>
      </c>
      <c r="H800">
        <v>0.53234639162150799</v>
      </c>
      <c r="I800">
        <v>0.52342736151653102</v>
      </c>
      <c r="J800">
        <v>0.60238833285883198</v>
      </c>
      <c r="K800">
        <v>0.51627850425938404</v>
      </c>
      <c r="L800">
        <v>465.317699800181</v>
      </c>
      <c r="M800">
        <v>9.3769552338981494</v>
      </c>
      <c r="O800">
        <v>47.523543317308203</v>
      </c>
      <c r="P800">
        <v>-2.48550435297967E-2</v>
      </c>
      <c r="Q800">
        <v>0.49643952430926802</v>
      </c>
      <c r="R800">
        <v>0.90530637762466504</v>
      </c>
      <c r="S800" t="s">
        <v>5096</v>
      </c>
      <c r="T800" t="s">
        <v>8590</v>
      </c>
      <c r="U800" t="s">
        <v>8590</v>
      </c>
      <c r="V800" t="s">
        <v>8590</v>
      </c>
      <c r="W800">
        <v>1</v>
      </c>
      <c r="X800" t="s">
        <v>9390</v>
      </c>
      <c r="Y800">
        <v>0.68359865454949575</v>
      </c>
      <c r="Z800" t="str">
        <f>HYPERLINK("Melting_Curves/meltCurve_sp_P20585_MSH3_HUMAN_.pdf", "Melting_Curves/meltCurve_sp_P20585_MSH3_HUMAN_.pdf")</f>
        <v>Melting_Curves/meltCurve_sp_P20585_MSH3_HUMAN_.pdf</v>
      </c>
      <c r="AA800" t="s">
        <v>13671</v>
      </c>
      <c r="AB800" t="s">
        <v>17885</v>
      </c>
    </row>
    <row r="801" spans="1:28" x14ac:dyDescent="0.25">
      <c r="A801" t="s">
        <v>805</v>
      </c>
      <c r="B801">
        <v>0.99876560204751996</v>
      </c>
      <c r="C801">
        <v>0.98498729438454302</v>
      </c>
      <c r="D801">
        <v>0.799118231219482</v>
      </c>
      <c r="E801">
        <v>0.53121235378320697</v>
      </c>
      <c r="F801">
        <v>0.32273930272548002</v>
      </c>
      <c r="G801">
        <v>0.19111466079472</v>
      </c>
      <c r="H801">
        <v>0.13542361839299699</v>
      </c>
      <c r="I801">
        <v>0.119259111717379</v>
      </c>
      <c r="J801">
        <v>0.11485089719130299</v>
      </c>
      <c r="K801">
        <v>0.10585380596513901</v>
      </c>
      <c r="L801">
        <v>882.40797626778203</v>
      </c>
      <c r="M801">
        <v>17.7733952062421</v>
      </c>
      <c r="N801">
        <v>50.3108298325783</v>
      </c>
      <c r="O801">
        <v>49.031981428520702</v>
      </c>
      <c r="P801">
        <v>-8.1162475508162593E-2</v>
      </c>
      <c r="Q801">
        <v>0.104425414189962</v>
      </c>
      <c r="R801">
        <v>0.99824067801822303</v>
      </c>
      <c r="S801" t="s">
        <v>5097</v>
      </c>
      <c r="T801" t="s">
        <v>8590</v>
      </c>
      <c r="U801" t="s">
        <v>8590</v>
      </c>
      <c r="V801" t="s">
        <v>8590</v>
      </c>
      <c r="W801">
        <v>10</v>
      </c>
      <c r="X801" t="s">
        <v>9391</v>
      </c>
      <c r="Y801">
        <v>0.4081595091511499</v>
      </c>
      <c r="Z801" t="str">
        <f>HYPERLINK("Melting_Curves/meltCurve_sp_P20591_MX1_HUMAN_.pdf", "Melting_Curves/meltCurve_sp_P20591_MX1_HUMAN_.pdf")</f>
        <v>Melting_Curves/meltCurve_sp_P20591_MX1_HUMAN_.pdf</v>
      </c>
      <c r="AA801" t="s">
        <v>13672</v>
      </c>
      <c r="AB801" t="s">
        <v>17886</v>
      </c>
    </row>
    <row r="802" spans="1:28" x14ac:dyDescent="0.25">
      <c r="A802" t="s">
        <v>806</v>
      </c>
      <c r="B802">
        <v>0.99876560204751996</v>
      </c>
      <c r="C802">
        <v>1.0834173800615099</v>
      </c>
      <c r="D802">
        <v>1.0331726886130099</v>
      </c>
      <c r="E802">
        <v>0.97887363170262098</v>
      </c>
      <c r="F802">
        <v>0.86647141908630099</v>
      </c>
      <c r="G802">
        <v>0.748599352687356</v>
      </c>
      <c r="H802">
        <v>0.58444836228172004</v>
      </c>
      <c r="I802">
        <v>0.55135857588827997</v>
      </c>
      <c r="J802">
        <v>0.64241521366585297</v>
      </c>
      <c r="K802">
        <v>0.47899970051576501</v>
      </c>
      <c r="L802">
        <v>1167.9781666608601</v>
      </c>
      <c r="M802">
        <v>20.845690973525802</v>
      </c>
      <c r="O802">
        <v>55.521735089166199</v>
      </c>
      <c r="P802">
        <v>-4.3593231020815498E-2</v>
      </c>
      <c r="Q802">
        <v>0.53557693522268102</v>
      </c>
      <c r="R802">
        <v>0.94845439550281296</v>
      </c>
      <c r="S802" t="s">
        <v>5098</v>
      </c>
      <c r="T802" t="s">
        <v>8590</v>
      </c>
      <c r="U802" t="s">
        <v>8590</v>
      </c>
      <c r="V802" t="s">
        <v>8590</v>
      </c>
      <c r="W802">
        <v>15</v>
      </c>
      <c r="X802" t="s">
        <v>9392</v>
      </c>
      <c r="Y802">
        <v>0.7893709946806875</v>
      </c>
      <c r="Z802" t="str">
        <f>HYPERLINK("Melting_Curves/meltCurve_sp_P20618_PSB1_HUMAN_.pdf", "Melting_Curves/meltCurve_sp_P20618_PSB1_HUMAN_.pdf")</f>
        <v>Melting_Curves/meltCurve_sp_P20618_PSB1_HUMAN_.pdf</v>
      </c>
      <c r="AA802" t="s">
        <v>13673</v>
      </c>
      <c r="AB802" t="s">
        <v>17887</v>
      </c>
    </row>
    <row r="803" spans="1:28" x14ac:dyDescent="0.25">
      <c r="A803" t="s">
        <v>807</v>
      </c>
      <c r="B803">
        <v>0.99876560204751996</v>
      </c>
      <c r="C803">
        <v>1.00424957820891</v>
      </c>
      <c r="D803">
        <v>0.92497988161977895</v>
      </c>
      <c r="E803">
        <v>0.78484457096853</v>
      </c>
      <c r="F803">
        <v>0.712088389191597</v>
      </c>
      <c r="G803">
        <v>0.52995577194939503</v>
      </c>
      <c r="H803">
        <v>0.43751231052953499</v>
      </c>
      <c r="I803">
        <v>0.44640517345156799</v>
      </c>
      <c r="J803">
        <v>0.51459382460156</v>
      </c>
      <c r="K803">
        <v>0.44771160124272602</v>
      </c>
      <c r="L803">
        <v>883.69160606244202</v>
      </c>
      <c r="M803">
        <v>17.0526616929277</v>
      </c>
      <c r="N803">
        <v>59.4774340093294</v>
      </c>
      <c r="O803">
        <v>51.124425103017799</v>
      </c>
      <c r="P803">
        <v>-4.63395222944121E-2</v>
      </c>
      <c r="Q803">
        <v>0.44432444574799501</v>
      </c>
      <c r="R803">
        <v>0.98180322918059404</v>
      </c>
      <c r="S803" t="s">
        <v>5099</v>
      </c>
      <c r="T803" t="s">
        <v>8590</v>
      </c>
      <c r="U803" t="s">
        <v>8590</v>
      </c>
      <c r="V803" t="s">
        <v>8590</v>
      </c>
      <c r="W803">
        <v>3</v>
      </c>
      <c r="X803" t="s">
        <v>9393</v>
      </c>
      <c r="Y803">
        <v>0.67344676726344621</v>
      </c>
      <c r="Z803" t="str">
        <f>HYPERLINK("Melting_Curves/meltCurve_sp_P20674_COX5A_HUMAN_.pdf", "Melting_Curves/meltCurve_sp_P20674_COX5A_HUMAN_.pdf")</f>
        <v>Melting_Curves/meltCurve_sp_P20674_COX5A_HUMAN_.pdf</v>
      </c>
      <c r="AA803" t="s">
        <v>13674</v>
      </c>
      <c r="AB803" t="s">
        <v>17888</v>
      </c>
    </row>
    <row r="804" spans="1:28" x14ac:dyDescent="0.25">
      <c r="A804" t="s">
        <v>808</v>
      </c>
      <c r="B804">
        <v>0.99876560204751996</v>
      </c>
      <c r="C804">
        <v>0.99446380382404098</v>
      </c>
      <c r="D804">
        <v>1.0064473294470699</v>
      </c>
      <c r="E804">
        <v>0.96069025730465896</v>
      </c>
      <c r="F804">
        <v>0.911750423609058</v>
      </c>
      <c r="G804">
        <v>0.67935069760048705</v>
      </c>
      <c r="H804">
        <v>0.47340828261714002</v>
      </c>
      <c r="I804">
        <v>0.41172869183155703</v>
      </c>
      <c r="J804">
        <v>0.492734315388834</v>
      </c>
      <c r="K804">
        <v>0.462120130787392</v>
      </c>
      <c r="L804">
        <v>1690.10726773384</v>
      </c>
      <c r="M804">
        <v>30.096078100816001</v>
      </c>
      <c r="N804">
        <v>60.652538413631703</v>
      </c>
      <c r="O804">
        <v>55.9108742528527</v>
      </c>
      <c r="P804">
        <v>-7.4516566583694502E-2</v>
      </c>
      <c r="Q804">
        <v>0.44627209372916998</v>
      </c>
      <c r="R804">
        <v>0.99035194698978501</v>
      </c>
      <c r="S804" t="s">
        <v>5100</v>
      </c>
      <c r="T804" t="s">
        <v>8590</v>
      </c>
      <c r="U804" t="s">
        <v>8590</v>
      </c>
      <c r="V804" t="s">
        <v>8590</v>
      </c>
      <c r="W804">
        <v>34</v>
      </c>
      <c r="X804" t="s">
        <v>9394</v>
      </c>
      <c r="Y804">
        <v>0.74816471069791579</v>
      </c>
      <c r="Z804" t="str">
        <f>HYPERLINK("Melting_Curves/meltCurve_sp_P20700_LMNB1_HUMAN_.pdf", "Melting_Curves/meltCurve_sp_P20700_LMNB1_HUMAN_.pdf")</f>
        <v>Melting_Curves/meltCurve_sp_P20700_LMNB1_HUMAN_.pdf</v>
      </c>
      <c r="AA804" t="s">
        <v>13675</v>
      </c>
      <c r="AB804" t="s">
        <v>17889</v>
      </c>
    </row>
    <row r="805" spans="1:28" x14ac:dyDescent="0.25">
      <c r="A805" t="s">
        <v>809</v>
      </c>
      <c r="B805">
        <v>0.99876560204751996</v>
      </c>
      <c r="C805">
        <v>0.99339151280583105</v>
      </c>
      <c r="D805">
        <v>0.93306935211429198</v>
      </c>
      <c r="E805">
        <v>0.95019818799</v>
      </c>
      <c r="F805">
        <v>0.86194490130210799</v>
      </c>
      <c r="G805">
        <v>0.66170846078837997</v>
      </c>
      <c r="H805">
        <v>0.29088364508646503</v>
      </c>
      <c r="I805">
        <v>0.10163367951329499</v>
      </c>
      <c r="J805">
        <v>8.4608743794299002E-2</v>
      </c>
      <c r="K805">
        <v>5.9414625231830803E-2</v>
      </c>
      <c r="L805">
        <v>1232.10800038047</v>
      </c>
      <c r="M805">
        <v>21.117000404415499</v>
      </c>
      <c r="N805">
        <v>58.412561453591401</v>
      </c>
      <c r="O805">
        <v>57.831051976948899</v>
      </c>
      <c r="P805">
        <v>-9.0216527257336004E-2</v>
      </c>
      <c r="Q805">
        <v>1.17574269655631E-2</v>
      </c>
      <c r="R805">
        <v>0.99394938303202895</v>
      </c>
      <c r="S805" t="s">
        <v>5101</v>
      </c>
      <c r="T805" t="s">
        <v>8590</v>
      </c>
      <c r="U805" t="s">
        <v>8590</v>
      </c>
      <c r="V805" t="s">
        <v>8590</v>
      </c>
      <c r="W805">
        <v>16</v>
      </c>
      <c r="X805" t="s">
        <v>9395</v>
      </c>
      <c r="Y805">
        <v>0.62640443371025889</v>
      </c>
      <c r="Z805" t="str">
        <f>HYPERLINK("Melting_Curves/meltCurve_sp_P20711_DDC_HUMAN_.pdf", "Melting_Curves/meltCurve_sp_P20711_DDC_HUMAN_.pdf")</f>
        <v>Melting_Curves/meltCurve_sp_P20711_DDC_HUMAN_.pdf</v>
      </c>
      <c r="AA805" t="s">
        <v>13676</v>
      </c>
      <c r="AB805" t="s">
        <v>17890</v>
      </c>
    </row>
    <row r="806" spans="1:28" x14ac:dyDescent="0.25">
      <c r="A806" t="s">
        <v>810</v>
      </c>
      <c r="B806">
        <v>0.99876560204751996</v>
      </c>
      <c r="C806">
        <v>1.0865289560054701</v>
      </c>
      <c r="D806">
        <v>0.918702573502163</v>
      </c>
      <c r="E806">
        <v>1.19906545392532</v>
      </c>
      <c r="F806">
        <v>0.72107624904908096</v>
      </c>
      <c r="G806">
        <v>0.62413964279963197</v>
      </c>
      <c r="H806">
        <v>0.40014514285898301</v>
      </c>
      <c r="I806">
        <v>0.21345093669019599</v>
      </c>
      <c r="J806">
        <v>0.121214191574097</v>
      </c>
      <c r="K806">
        <v>5.7710439810485403E-2</v>
      </c>
      <c r="L806">
        <v>961.34086597051896</v>
      </c>
      <c r="M806">
        <v>16.3174583186733</v>
      </c>
      <c r="N806">
        <v>58.914866258481098</v>
      </c>
      <c r="O806">
        <v>58.051332808059897</v>
      </c>
      <c r="P806">
        <v>-7.0276781650447498E-2</v>
      </c>
      <c r="Q806">
        <v>0</v>
      </c>
      <c r="R806">
        <v>0.93839557230077197</v>
      </c>
      <c r="S806" t="s">
        <v>5102</v>
      </c>
      <c r="T806" t="s">
        <v>8590</v>
      </c>
      <c r="U806" t="s">
        <v>8590</v>
      </c>
      <c r="V806" t="s">
        <v>8590</v>
      </c>
      <c r="W806">
        <v>6</v>
      </c>
      <c r="X806" t="s">
        <v>9396</v>
      </c>
      <c r="Y806">
        <v>0.6414361030617568</v>
      </c>
      <c r="Z806" t="str">
        <f>HYPERLINK("Melting_Curves/meltCurve_sp_P20742_PZP_HUMAN_.pdf", "Melting_Curves/meltCurve_sp_P20742_PZP_HUMAN_.pdf")</f>
        <v>Melting_Curves/meltCurve_sp_P20742_PZP_HUMAN_.pdf</v>
      </c>
      <c r="AA806" t="s">
        <v>13677</v>
      </c>
      <c r="AB806" t="s">
        <v>17891</v>
      </c>
    </row>
    <row r="807" spans="1:28" x14ac:dyDescent="0.25">
      <c r="A807" t="s">
        <v>811</v>
      </c>
      <c r="B807">
        <v>0.99876560204751996</v>
      </c>
      <c r="C807">
        <v>0.97598044657903205</v>
      </c>
      <c r="D807">
        <v>1.04917789439566</v>
      </c>
      <c r="E807">
        <v>0.97584716582670195</v>
      </c>
      <c r="F807">
        <v>1.01260737387148</v>
      </c>
      <c r="G807">
        <v>0.817383033497181</v>
      </c>
      <c r="H807">
        <v>0.75115442141755495</v>
      </c>
      <c r="I807">
        <v>0.77630680870574997</v>
      </c>
      <c r="J807">
        <v>1.00542612657833</v>
      </c>
      <c r="K807">
        <v>0.99322867528151804</v>
      </c>
      <c r="L807">
        <v>5687.9599559538201</v>
      </c>
      <c r="M807">
        <v>104.13169979899</v>
      </c>
      <c r="O807">
        <v>54.602615683552699</v>
      </c>
      <c r="P807">
        <v>-6.2629886866459705E-2</v>
      </c>
      <c r="Q807">
        <v>0.86863729681735602</v>
      </c>
      <c r="R807">
        <v>0.41226802571184201</v>
      </c>
      <c r="S807" t="s">
        <v>5103</v>
      </c>
      <c r="T807" t="s">
        <v>8590</v>
      </c>
      <c r="U807" t="s">
        <v>8590</v>
      </c>
      <c r="V807" t="s">
        <v>8590</v>
      </c>
      <c r="W807">
        <v>25</v>
      </c>
      <c r="X807" t="s">
        <v>9397</v>
      </c>
      <c r="Y807">
        <v>0.93273942812485233</v>
      </c>
      <c r="Z807" t="str">
        <f>HYPERLINK("Melting_Curves/meltCurve_sp_P20810_5_ICAL_HUMAN_.pdf", "Melting_Curves/meltCurve_sp_P20810_5_ICAL_HUMAN_.pdf")</f>
        <v>Melting_Curves/meltCurve_sp_P20810_5_ICAL_HUMAN_.pdf</v>
      </c>
      <c r="AA807" t="s">
        <v>13678</v>
      </c>
      <c r="AB807" t="s">
        <v>17892</v>
      </c>
    </row>
    <row r="808" spans="1:28" x14ac:dyDescent="0.25">
      <c r="A808" t="s">
        <v>812</v>
      </c>
      <c r="B808">
        <v>0.99876560204751996</v>
      </c>
      <c r="C808">
        <v>0.87430773112340798</v>
      </c>
      <c r="D808">
        <v>0.89849961598956496</v>
      </c>
      <c r="E808">
        <v>0.80491683939127101</v>
      </c>
      <c r="F808">
        <v>0.71188377865489105</v>
      </c>
      <c r="G808">
        <v>0.67431028176900099</v>
      </c>
      <c r="H808">
        <v>0.61870039427148904</v>
      </c>
      <c r="I808">
        <v>0.52979363503539501</v>
      </c>
      <c r="J808">
        <v>0.62510343123797096</v>
      </c>
      <c r="K808">
        <v>0.62050442726038901</v>
      </c>
      <c r="L808">
        <v>521.93884503149195</v>
      </c>
      <c r="M808">
        <v>10.4234451286384</v>
      </c>
      <c r="O808">
        <v>48.335717123233202</v>
      </c>
      <c r="P808">
        <v>-2.3432632944352699E-2</v>
      </c>
      <c r="Q808">
        <v>0.56553201821564303</v>
      </c>
      <c r="R808">
        <v>0.93371352307573796</v>
      </c>
      <c r="S808" t="s">
        <v>5104</v>
      </c>
      <c r="T808" t="s">
        <v>8590</v>
      </c>
      <c r="U808" t="s">
        <v>8590</v>
      </c>
      <c r="V808" t="s">
        <v>8590</v>
      </c>
      <c r="W808">
        <v>25</v>
      </c>
      <c r="X808" t="s">
        <v>9398</v>
      </c>
      <c r="Y808">
        <v>0.72985865813292206</v>
      </c>
      <c r="Z808" t="str">
        <f>HYPERLINK("Melting_Curves/meltCurve_sp_P20810_6_ICAL_HUMAN_.pdf", "Melting_Curves/meltCurve_sp_P20810_6_ICAL_HUMAN_.pdf")</f>
        <v>Melting_Curves/meltCurve_sp_P20810_6_ICAL_HUMAN_.pdf</v>
      </c>
      <c r="AA808" t="s">
        <v>13678</v>
      </c>
      <c r="AB808" t="s">
        <v>17893</v>
      </c>
    </row>
    <row r="809" spans="1:28" x14ac:dyDescent="0.25">
      <c r="A809" t="s">
        <v>813</v>
      </c>
      <c r="B809">
        <v>0.99876560204751996</v>
      </c>
      <c r="C809">
        <v>1.19938994994924</v>
      </c>
      <c r="D809">
        <v>1.2121173567597201</v>
      </c>
      <c r="E809">
        <v>0.97571278810556294</v>
      </c>
      <c r="F809">
        <v>1.0212729611486899</v>
      </c>
      <c r="G809">
        <v>0.61693566592335103</v>
      </c>
      <c r="H809">
        <v>0.47534778395237198</v>
      </c>
      <c r="I809">
        <v>0.42366599391802301</v>
      </c>
      <c r="J809">
        <v>0.49577154217859798</v>
      </c>
      <c r="K809">
        <v>0.43528694525509698</v>
      </c>
      <c r="L809">
        <v>11724.403097157399</v>
      </c>
      <c r="M809">
        <v>206.56795455061601</v>
      </c>
      <c r="N809">
        <v>57.443722325584297</v>
      </c>
      <c r="O809">
        <v>56.752764511068598</v>
      </c>
      <c r="P809">
        <v>-0.49362963539382299</v>
      </c>
      <c r="Q809">
        <v>0.45751797661377402</v>
      </c>
      <c r="R809">
        <v>0.90635347416539502</v>
      </c>
      <c r="S809" t="s">
        <v>5105</v>
      </c>
      <c r="T809" t="s">
        <v>8590</v>
      </c>
      <c r="U809" t="s">
        <v>8590</v>
      </c>
      <c r="V809" t="s">
        <v>8590</v>
      </c>
      <c r="W809">
        <v>2</v>
      </c>
      <c r="X809" t="s">
        <v>9399</v>
      </c>
      <c r="Y809">
        <v>0.7606292659863666</v>
      </c>
      <c r="Z809" t="str">
        <f>HYPERLINK("Melting_Curves/meltCurve_sp_P20823_3_HNF1A_HUMAN_.pdf", "Melting_Curves/meltCurve_sp_P20823_3_HNF1A_HUMAN_.pdf")</f>
        <v>Melting_Curves/meltCurve_sp_P20823_3_HNF1A_HUMAN_.pdf</v>
      </c>
      <c r="AA809" t="s">
        <v>13679</v>
      </c>
      <c r="AB809" t="s">
        <v>17894</v>
      </c>
    </row>
    <row r="810" spans="1:28" x14ac:dyDescent="0.25">
      <c r="A810" t="s">
        <v>814</v>
      </c>
      <c r="B810">
        <v>0.99876560204751996</v>
      </c>
      <c r="C810">
        <v>0.96105965121794301</v>
      </c>
      <c r="D810">
        <v>0.82146599317792801</v>
      </c>
      <c r="E810">
        <v>0.756104960405241</v>
      </c>
      <c r="F810">
        <v>0.69416221462601901</v>
      </c>
      <c r="G810">
        <v>0.41657205634147998</v>
      </c>
      <c r="H810">
        <v>0.27408796733420299</v>
      </c>
      <c r="I810">
        <v>0.211733597157861</v>
      </c>
      <c r="J810">
        <v>0.25577549158683399</v>
      </c>
      <c r="K810">
        <v>0.22527322211668399</v>
      </c>
      <c r="L810">
        <v>633.41608191195098</v>
      </c>
      <c r="M810">
        <v>11.7522392609227</v>
      </c>
      <c r="N810">
        <v>55.473966398801998</v>
      </c>
      <c r="O810">
        <v>52.407926912480903</v>
      </c>
      <c r="P810">
        <v>-4.8115112810440702E-2</v>
      </c>
      <c r="Q810">
        <v>0.14196626003374199</v>
      </c>
      <c r="R810">
        <v>0.97877906740484899</v>
      </c>
      <c r="S810" t="s">
        <v>5106</v>
      </c>
      <c r="T810" t="s">
        <v>8590</v>
      </c>
      <c r="U810" t="s">
        <v>8590</v>
      </c>
      <c r="V810" t="s">
        <v>8590</v>
      </c>
      <c r="W810">
        <v>2</v>
      </c>
      <c r="X810" t="s">
        <v>9400</v>
      </c>
      <c r="Y810">
        <v>0.5625211288504276</v>
      </c>
      <c r="Z810" t="str">
        <f>HYPERLINK("Melting_Curves/meltCurve_sp_P20908_CO5A1_HUMAN_.pdf", "Melting_Curves/meltCurve_sp_P20908_CO5A1_HUMAN_.pdf")</f>
        <v>Melting_Curves/meltCurve_sp_P20908_CO5A1_HUMAN_.pdf</v>
      </c>
      <c r="AA810" t="s">
        <v>13680</v>
      </c>
      <c r="AB810" t="s">
        <v>17895</v>
      </c>
    </row>
    <row r="811" spans="1:28" x14ac:dyDescent="0.25">
      <c r="A811" t="s">
        <v>815</v>
      </c>
      <c r="B811">
        <v>0.99876560204751996</v>
      </c>
      <c r="C811">
        <v>1.0214134910580299</v>
      </c>
      <c r="D811">
        <v>0.98353880513421499</v>
      </c>
      <c r="E811">
        <v>0.92143822346234905</v>
      </c>
      <c r="F811">
        <v>1.13294465486077</v>
      </c>
      <c r="G811">
        <v>0.66985618342251896</v>
      </c>
      <c r="H811">
        <v>0.60657293347966201</v>
      </c>
      <c r="I811">
        <v>0.78881588067893704</v>
      </c>
      <c r="J811">
        <v>1.07213502899664</v>
      </c>
      <c r="K811">
        <v>1.00431320316409</v>
      </c>
      <c r="L811">
        <v>3387.9922329564101</v>
      </c>
      <c r="M811">
        <v>61.762598491387003</v>
      </c>
      <c r="O811">
        <v>54.7976378188079</v>
      </c>
      <c r="P811">
        <v>-4.77666637695131E-2</v>
      </c>
      <c r="Q811">
        <v>0.83047990578021103</v>
      </c>
      <c r="R811">
        <v>0.26684546102679801</v>
      </c>
      <c r="S811" t="s">
        <v>5107</v>
      </c>
      <c r="T811" t="s">
        <v>8590</v>
      </c>
      <c r="U811" t="s">
        <v>8590</v>
      </c>
      <c r="V811" t="s">
        <v>8590</v>
      </c>
      <c r="W811">
        <v>4</v>
      </c>
      <c r="X811" t="s">
        <v>9401</v>
      </c>
      <c r="Y811">
        <v>0.91468934416808978</v>
      </c>
      <c r="Z811" t="str">
        <f>HYPERLINK("Melting_Curves/meltCurve_sp_P20962_PTMS_HUMAN_.pdf", "Melting_Curves/meltCurve_sp_P20962_PTMS_HUMAN_.pdf")</f>
        <v>Melting_Curves/meltCurve_sp_P20962_PTMS_HUMAN_.pdf</v>
      </c>
      <c r="AA811" t="s">
        <v>13681</v>
      </c>
      <c r="AB811" t="s">
        <v>17896</v>
      </c>
    </row>
    <row r="812" spans="1:28" x14ac:dyDescent="0.25">
      <c r="A812" t="s">
        <v>816</v>
      </c>
      <c r="B812">
        <v>0.99876560204751996</v>
      </c>
      <c r="C812">
        <v>1.0501520289046999</v>
      </c>
      <c r="D812">
        <v>1.0132250447028901</v>
      </c>
      <c r="E812">
        <v>0.87979811417087095</v>
      </c>
      <c r="F812">
        <v>0.67753784765886405</v>
      </c>
      <c r="G812">
        <v>0.46941438342152803</v>
      </c>
      <c r="H812">
        <v>0.38819138924739799</v>
      </c>
      <c r="I812">
        <v>0.35892896188694701</v>
      </c>
      <c r="J812">
        <v>0.45700227908521501</v>
      </c>
      <c r="K812">
        <v>0.420271841487667</v>
      </c>
      <c r="L812">
        <v>1521.1808521733001</v>
      </c>
      <c r="M812">
        <v>28.9085776961542</v>
      </c>
      <c r="N812">
        <v>55.809756953009199</v>
      </c>
      <c r="O812">
        <v>52.370527596416601</v>
      </c>
      <c r="P812">
        <v>-8.2225224973443506E-2</v>
      </c>
      <c r="Q812">
        <v>0.40417049209360201</v>
      </c>
      <c r="R812">
        <v>0.98731813487291797</v>
      </c>
      <c r="S812" t="s">
        <v>5108</v>
      </c>
      <c r="T812" t="s">
        <v>8590</v>
      </c>
      <c r="U812" t="s">
        <v>8590</v>
      </c>
      <c r="V812" t="s">
        <v>8590</v>
      </c>
      <c r="W812">
        <v>8</v>
      </c>
      <c r="X812" t="s">
        <v>9402</v>
      </c>
      <c r="Y812">
        <v>0.65895697778677864</v>
      </c>
      <c r="Z812" t="str">
        <f>HYPERLINK("Melting_Curves/meltCurve_sp_P21127_8_CD11B_HUMAN_.pdf", "Melting_Curves/meltCurve_sp_P21127_8_CD11B_HUMAN_.pdf")</f>
        <v>Melting_Curves/meltCurve_sp_P21127_8_CD11B_HUMAN_.pdf</v>
      </c>
      <c r="AA812" t="s">
        <v>13682</v>
      </c>
      <c r="AB812" t="s">
        <v>17897</v>
      </c>
    </row>
    <row r="813" spans="1:28" x14ac:dyDescent="0.25">
      <c r="A813" t="s">
        <v>817</v>
      </c>
      <c r="B813">
        <v>0.99876560204751996</v>
      </c>
      <c r="C813">
        <v>0.85893576863973398</v>
      </c>
      <c r="D813">
        <v>0.81801735731918601</v>
      </c>
      <c r="E813">
        <v>0.421206421025482</v>
      </c>
      <c r="F813">
        <v>0.17622732542790101</v>
      </c>
      <c r="G813">
        <v>0.100554786307954</v>
      </c>
      <c r="H813">
        <v>6.4381319503155496E-2</v>
      </c>
      <c r="I813">
        <v>5.10310381059235E-2</v>
      </c>
      <c r="J813">
        <v>4.0809361718098701E-2</v>
      </c>
      <c r="K813">
        <v>3.5782248736567199E-2</v>
      </c>
      <c r="L813">
        <v>957.42646264510904</v>
      </c>
      <c r="M813">
        <v>19.5935905694006</v>
      </c>
      <c r="N813">
        <v>49.0547280298874</v>
      </c>
      <c r="O813">
        <v>48.363819042099301</v>
      </c>
      <c r="P813">
        <v>-9.7576147196733506E-2</v>
      </c>
      <c r="Q813">
        <v>3.66262154846883E-2</v>
      </c>
      <c r="R813">
        <v>0.993020432057793</v>
      </c>
      <c r="S813" t="s">
        <v>5109</v>
      </c>
      <c r="T813" t="s">
        <v>8590</v>
      </c>
      <c r="U813" t="s">
        <v>8590</v>
      </c>
      <c r="V813" t="s">
        <v>8590</v>
      </c>
      <c r="W813">
        <v>7</v>
      </c>
      <c r="X813" t="s">
        <v>9403</v>
      </c>
      <c r="Y813">
        <v>0.33537089383050489</v>
      </c>
      <c r="Z813" t="str">
        <f>HYPERLINK("Melting_Curves/meltCurve_sp_P21266_GSTM3_HUMAN_.pdf", "Melting_Curves/meltCurve_sp_P21266_GSTM3_HUMAN_.pdf")</f>
        <v>Melting_Curves/meltCurve_sp_P21266_GSTM3_HUMAN_.pdf</v>
      </c>
      <c r="AA813" t="s">
        <v>13683</v>
      </c>
      <c r="AB813" t="s">
        <v>17898</v>
      </c>
    </row>
    <row r="814" spans="1:28" x14ac:dyDescent="0.25">
      <c r="A814" t="s">
        <v>818</v>
      </c>
      <c r="B814">
        <v>0.99876560204751996</v>
      </c>
      <c r="C814">
        <v>1.01286409788404</v>
      </c>
      <c r="D814">
        <v>0.89891748872114596</v>
      </c>
      <c r="E814">
        <v>0.967077960364079</v>
      </c>
      <c r="F814">
        <v>0.70598217404131602</v>
      </c>
      <c r="G814">
        <v>0.51900527430884602</v>
      </c>
      <c r="H814">
        <v>0.263563754999877</v>
      </c>
      <c r="I814">
        <v>0.12235018456489501</v>
      </c>
      <c r="J814">
        <v>7.8840784941034095E-2</v>
      </c>
      <c r="K814">
        <v>7.6150030310492098E-2</v>
      </c>
      <c r="L814">
        <v>898.301422617561</v>
      </c>
      <c r="M814">
        <v>15.807300526145999</v>
      </c>
      <c r="N814">
        <v>56.869184024735397</v>
      </c>
      <c r="O814">
        <v>55.942085428384402</v>
      </c>
      <c r="P814">
        <v>-7.0247655766009998E-2</v>
      </c>
      <c r="Q814">
        <v>5.6550348601323002E-3</v>
      </c>
      <c r="R814">
        <v>0.98872740125413905</v>
      </c>
      <c r="S814" t="s">
        <v>5110</v>
      </c>
      <c r="T814" t="s">
        <v>8590</v>
      </c>
      <c r="U814" t="s">
        <v>8590</v>
      </c>
      <c r="V814" t="s">
        <v>8590</v>
      </c>
      <c r="W814">
        <v>17</v>
      </c>
      <c r="X814" t="s">
        <v>9404</v>
      </c>
      <c r="Y814">
        <v>0.57894719981991449</v>
      </c>
      <c r="Z814" t="str">
        <f>HYPERLINK("Melting_Curves/meltCurve_sp_P21281_VATB2_HUMAN_.pdf", "Melting_Curves/meltCurve_sp_P21281_VATB2_HUMAN_.pdf")</f>
        <v>Melting_Curves/meltCurve_sp_P21281_VATB2_HUMAN_.pdf</v>
      </c>
      <c r="AA814" t="s">
        <v>13684</v>
      </c>
      <c r="AB814" t="s">
        <v>17899</v>
      </c>
    </row>
    <row r="815" spans="1:28" x14ac:dyDescent="0.25">
      <c r="A815" t="s">
        <v>819</v>
      </c>
      <c r="B815">
        <v>0.99876560204751996</v>
      </c>
      <c r="C815">
        <v>0.980216823336725</v>
      </c>
      <c r="D815">
        <v>0.99682338703263296</v>
      </c>
      <c r="E815">
        <v>0.86929976704633805</v>
      </c>
      <c r="F815">
        <v>0.65296699001290903</v>
      </c>
      <c r="G815">
        <v>0.24954583770535499</v>
      </c>
      <c r="H815">
        <v>0.144043283783897</v>
      </c>
      <c r="I815">
        <v>0.114996605721936</v>
      </c>
      <c r="J815">
        <v>0.102457826444133</v>
      </c>
      <c r="K815">
        <v>8.28958532371631E-2</v>
      </c>
      <c r="L815">
        <v>1384.1779169608899</v>
      </c>
      <c r="M815">
        <v>25.7172844036299</v>
      </c>
      <c r="N815">
        <v>54.253483406526101</v>
      </c>
      <c r="O815">
        <v>53.500600759720101</v>
      </c>
      <c r="P815">
        <v>-0.109080008097158</v>
      </c>
      <c r="Q815">
        <v>9.2318697740079794E-2</v>
      </c>
      <c r="R815">
        <v>0.99890288056379595</v>
      </c>
      <c r="S815" t="s">
        <v>5111</v>
      </c>
      <c r="T815" t="s">
        <v>8590</v>
      </c>
      <c r="U815" t="s">
        <v>8590</v>
      </c>
      <c r="V815" t="s">
        <v>8590</v>
      </c>
      <c r="W815">
        <v>16</v>
      </c>
      <c r="X815" t="s">
        <v>9405</v>
      </c>
      <c r="Y815">
        <v>0.51851238352367157</v>
      </c>
      <c r="Z815" t="str">
        <f>HYPERLINK("Melting_Curves/meltCurve_sp_P21283_VATC1_HUMAN_.pdf", "Melting_Curves/meltCurve_sp_P21283_VATC1_HUMAN_.pdf")</f>
        <v>Melting_Curves/meltCurve_sp_P21283_VATC1_HUMAN_.pdf</v>
      </c>
      <c r="AA815" t="s">
        <v>13685</v>
      </c>
      <c r="AB815" t="s">
        <v>17900</v>
      </c>
    </row>
    <row r="816" spans="1:28" x14ac:dyDescent="0.25">
      <c r="A816" t="s">
        <v>820</v>
      </c>
      <c r="B816">
        <v>0.99876560204751996</v>
      </c>
      <c r="C816">
        <v>0.94440094253843299</v>
      </c>
      <c r="D816">
        <v>1.114559306219</v>
      </c>
      <c r="E816">
        <v>0.97143602140063501</v>
      </c>
      <c r="F816">
        <v>1.0439767641764</v>
      </c>
      <c r="G816">
        <v>0.81573209509829003</v>
      </c>
      <c r="H816">
        <v>0.80967965246232798</v>
      </c>
      <c r="I816">
        <v>0.84510025578097303</v>
      </c>
      <c r="J816">
        <v>1.0612714684696201</v>
      </c>
      <c r="K816">
        <v>1.08126399178639</v>
      </c>
      <c r="L816">
        <v>5765.6274539360002</v>
      </c>
      <c r="M816">
        <v>105.407852520587</v>
      </c>
      <c r="O816">
        <v>54.6785769173555</v>
      </c>
      <c r="P816">
        <v>-3.7301642377951798E-2</v>
      </c>
      <c r="Q816">
        <v>0.92260154559960905</v>
      </c>
      <c r="R816">
        <v>0.172770850826265</v>
      </c>
      <c r="S816" t="s">
        <v>5112</v>
      </c>
      <c r="T816" t="s">
        <v>8590</v>
      </c>
      <c r="U816" t="s">
        <v>8590</v>
      </c>
      <c r="V816" t="s">
        <v>8590</v>
      </c>
      <c r="W816">
        <v>12</v>
      </c>
      <c r="X816" t="s">
        <v>9406</v>
      </c>
      <c r="Y816">
        <v>0.960564168518101</v>
      </c>
      <c r="Z816" t="str">
        <f>HYPERLINK("Melting_Curves/meltCurve_sp_P21291_CSRP1_HUMAN_.pdf", "Melting_Curves/meltCurve_sp_P21291_CSRP1_HUMAN_.pdf")</f>
        <v>Melting_Curves/meltCurve_sp_P21291_CSRP1_HUMAN_.pdf</v>
      </c>
      <c r="AA816" t="s">
        <v>13686</v>
      </c>
      <c r="AB816" t="s">
        <v>17901</v>
      </c>
    </row>
    <row r="817" spans="1:28" x14ac:dyDescent="0.25">
      <c r="A817" t="s">
        <v>821</v>
      </c>
      <c r="B817">
        <v>0.99876560204751996</v>
      </c>
      <c r="C817">
        <v>1.1412054899978701</v>
      </c>
      <c r="D817">
        <v>1.36446804509333</v>
      </c>
      <c r="E817">
        <v>0.577999535480056</v>
      </c>
      <c r="F817">
        <v>0.39672335531369801</v>
      </c>
      <c r="G817">
        <v>0.28836627652061098</v>
      </c>
      <c r="H817">
        <v>0.467506552871091</v>
      </c>
      <c r="I817">
        <v>0.43291706852746697</v>
      </c>
      <c r="J817">
        <v>0.460056397194057</v>
      </c>
      <c r="K817">
        <v>0.72389544956787999</v>
      </c>
      <c r="L817">
        <v>12435.610726757401</v>
      </c>
      <c r="M817">
        <v>250</v>
      </c>
      <c r="N817">
        <v>50.2582743190477</v>
      </c>
      <c r="O817">
        <v>49.739259758988297</v>
      </c>
      <c r="P817">
        <v>-0.67655622436487595</v>
      </c>
      <c r="Q817">
        <v>0.46157750848253698</v>
      </c>
      <c r="R817">
        <v>0.78306201633449801</v>
      </c>
      <c r="S817" t="s">
        <v>5113</v>
      </c>
      <c r="T817" t="s">
        <v>8590</v>
      </c>
      <c r="U817" t="s">
        <v>8590</v>
      </c>
      <c r="V817" t="s">
        <v>8590</v>
      </c>
      <c r="W817">
        <v>3</v>
      </c>
      <c r="X817" t="s">
        <v>9407</v>
      </c>
      <c r="Y817">
        <v>0.63647619071452133</v>
      </c>
      <c r="Z817" t="str">
        <f>HYPERLINK("Melting_Curves/meltCurve_sp_P21397_2_AOFA_HUMAN_.pdf", "Melting_Curves/meltCurve_sp_P21397_2_AOFA_HUMAN_.pdf")</f>
        <v>Melting_Curves/meltCurve_sp_P21397_2_AOFA_HUMAN_.pdf</v>
      </c>
      <c r="AA817" t="s">
        <v>13687</v>
      </c>
      <c r="AB817" t="s">
        <v>17902</v>
      </c>
    </row>
    <row r="818" spans="1:28" x14ac:dyDescent="0.25">
      <c r="A818" t="s">
        <v>822</v>
      </c>
      <c r="B818">
        <v>0.99876560204751996</v>
      </c>
      <c r="C818">
        <v>0.95997242613912803</v>
      </c>
      <c r="D818">
        <v>0.84846698768120299</v>
      </c>
      <c r="E818">
        <v>0.78306664059020603</v>
      </c>
      <c r="F818">
        <v>0.56075274595475599</v>
      </c>
      <c r="G818">
        <v>0.14327894108863101</v>
      </c>
      <c r="H818">
        <v>6.5603006834237004E-2</v>
      </c>
      <c r="I818">
        <v>4.1960871865633E-2</v>
      </c>
      <c r="J818">
        <v>3.5495908631604102E-2</v>
      </c>
      <c r="K818">
        <v>2.7961305614748799E-2</v>
      </c>
      <c r="L818">
        <v>1061.84940092945</v>
      </c>
      <c r="M818">
        <v>20.012935051336701</v>
      </c>
      <c r="N818">
        <v>53.087593783559903</v>
      </c>
      <c r="O818">
        <v>52.536910910356198</v>
      </c>
      <c r="P818">
        <v>-9.4710398537245805E-2</v>
      </c>
      <c r="Q818">
        <v>5.5170985454080102E-3</v>
      </c>
      <c r="R818">
        <v>0.98770890687333801</v>
      </c>
      <c r="S818" t="s">
        <v>5114</v>
      </c>
      <c r="T818" t="s">
        <v>8590</v>
      </c>
      <c r="U818" t="s">
        <v>8590</v>
      </c>
      <c r="V818" t="s">
        <v>8590</v>
      </c>
      <c r="W818">
        <v>59</v>
      </c>
      <c r="X818" t="s">
        <v>9408</v>
      </c>
      <c r="Y818">
        <v>0.45204345187356321</v>
      </c>
      <c r="Z818" t="str">
        <f>HYPERLINK("Melting_Curves/meltCurve_sp_P21399_ACOC_HUMAN_.pdf", "Melting_Curves/meltCurve_sp_P21399_ACOC_HUMAN_.pdf")</f>
        <v>Melting_Curves/meltCurve_sp_P21399_ACOC_HUMAN_.pdf</v>
      </c>
      <c r="AA818" t="s">
        <v>13688</v>
      </c>
      <c r="AB818" t="s">
        <v>17903</v>
      </c>
    </row>
    <row r="819" spans="1:28" x14ac:dyDescent="0.25">
      <c r="A819" t="s">
        <v>823</v>
      </c>
      <c r="B819">
        <v>0.99876560204751996</v>
      </c>
      <c r="C819">
        <v>1.02897000075256</v>
      </c>
      <c r="D819">
        <v>1.0281416485211301</v>
      </c>
      <c r="E819">
        <v>0.98648970785288803</v>
      </c>
      <c r="F819">
        <v>0.899824032784457</v>
      </c>
      <c r="G819">
        <v>0.77392167046958105</v>
      </c>
      <c r="H819">
        <v>0.52519017149922997</v>
      </c>
      <c r="I819">
        <v>0.40865072072312802</v>
      </c>
      <c r="J819">
        <v>0.27034808403631799</v>
      </c>
      <c r="K819">
        <v>0.163648012279104</v>
      </c>
      <c r="L819">
        <v>879.40957077767496</v>
      </c>
      <c r="M819">
        <v>14.2653672802839</v>
      </c>
      <c r="N819">
        <v>61.871123277420303</v>
      </c>
      <c r="O819">
        <v>60.473004801895698</v>
      </c>
      <c r="P819">
        <v>-5.74927255934519E-2</v>
      </c>
      <c r="Q819">
        <v>2.52390946783486E-2</v>
      </c>
      <c r="R819">
        <v>0.99596783792771904</v>
      </c>
      <c r="S819" t="s">
        <v>5115</v>
      </c>
      <c r="T819" t="s">
        <v>8590</v>
      </c>
      <c r="U819" t="s">
        <v>8590</v>
      </c>
      <c r="V819" t="s">
        <v>8590</v>
      </c>
      <c r="W819">
        <v>33</v>
      </c>
      <c r="X819" t="s">
        <v>9409</v>
      </c>
      <c r="Y819">
        <v>0.72636884291325432</v>
      </c>
      <c r="Z819" t="str">
        <f>HYPERLINK("Melting_Curves/meltCurve_sp_P21549_SPYA_HUMAN_.pdf", "Melting_Curves/meltCurve_sp_P21549_SPYA_HUMAN_.pdf")</f>
        <v>Melting_Curves/meltCurve_sp_P21549_SPYA_HUMAN_.pdf</v>
      </c>
      <c r="AA819" t="s">
        <v>13689</v>
      </c>
      <c r="AB819" t="s">
        <v>17904</v>
      </c>
    </row>
    <row r="820" spans="1:28" x14ac:dyDescent="0.25">
      <c r="A820" t="s">
        <v>824</v>
      </c>
      <c r="B820">
        <v>0.99876560204751996</v>
      </c>
      <c r="C820">
        <v>0.90807187131499301</v>
      </c>
      <c r="D820">
        <v>0.79992915742683801</v>
      </c>
      <c r="E820">
        <v>0.78473971321282299</v>
      </c>
      <c r="F820">
        <v>0.54441149745303197</v>
      </c>
      <c r="G820">
        <v>0.26292805151588799</v>
      </c>
      <c r="H820">
        <v>0.15373719425136601</v>
      </c>
      <c r="I820">
        <v>0.109997970589944</v>
      </c>
      <c r="J820">
        <v>9.0609233178473997E-2</v>
      </c>
      <c r="K820">
        <v>0.113762889502458</v>
      </c>
      <c r="L820">
        <v>718.55134903771898</v>
      </c>
      <c r="M820">
        <v>13.5475510967203</v>
      </c>
      <c r="N820">
        <v>53.3403902755242</v>
      </c>
      <c r="O820">
        <v>51.923571393786901</v>
      </c>
      <c r="P820">
        <v>-6.2835799287494706E-2</v>
      </c>
      <c r="Q820">
        <v>3.6824195027587402E-2</v>
      </c>
      <c r="R820">
        <v>0.98145750598916104</v>
      </c>
      <c r="S820" t="s">
        <v>5116</v>
      </c>
      <c r="T820" t="s">
        <v>8590</v>
      </c>
      <c r="U820" t="s">
        <v>8590</v>
      </c>
      <c r="V820" t="s">
        <v>8590</v>
      </c>
      <c r="W820">
        <v>3</v>
      </c>
      <c r="X820" t="s">
        <v>9410</v>
      </c>
      <c r="Y820">
        <v>0.47913710666059411</v>
      </c>
      <c r="Z820" t="str">
        <f>HYPERLINK("Melting_Curves/meltCurve_sp_P21589_2_5NTD_HUMAN_.pdf", "Melting_Curves/meltCurve_sp_P21589_2_5NTD_HUMAN_.pdf")</f>
        <v>Melting_Curves/meltCurve_sp_P21589_2_5NTD_HUMAN_.pdf</v>
      </c>
      <c r="AA820" t="s">
        <v>13690</v>
      </c>
      <c r="AB820" t="s">
        <v>17905</v>
      </c>
    </row>
    <row r="821" spans="1:28" x14ac:dyDescent="0.25">
      <c r="A821" t="s">
        <v>825</v>
      </c>
      <c r="B821">
        <v>0.99876560204751996</v>
      </c>
      <c r="C821">
        <v>0.94745318929782096</v>
      </c>
      <c r="D821">
        <v>0.97966636812496299</v>
      </c>
      <c r="E821">
        <v>0.86512323547913905</v>
      </c>
      <c r="F821">
        <v>0.40895077735344998</v>
      </c>
      <c r="G821">
        <v>0.122146318092466</v>
      </c>
      <c r="H821">
        <v>6.3075444775725104E-2</v>
      </c>
      <c r="I821">
        <v>4.5630133520229203E-2</v>
      </c>
      <c r="J821">
        <v>4.4526370494064098E-2</v>
      </c>
      <c r="K821">
        <v>3.2138479176928497E-2</v>
      </c>
      <c r="L821">
        <v>1880.09632105479</v>
      </c>
      <c r="M821">
        <v>35.914883333487602</v>
      </c>
      <c r="N821">
        <v>52.499390041261996</v>
      </c>
      <c r="O821">
        <v>52.187168460614103</v>
      </c>
      <c r="P821">
        <v>-0.16362107061006201</v>
      </c>
      <c r="Q821">
        <v>4.8985603140374798E-2</v>
      </c>
      <c r="R821">
        <v>0.99757410855792406</v>
      </c>
      <c r="S821" t="s">
        <v>5117</v>
      </c>
      <c r="T821" t="s">
        <v>8590</v>
      </c>
      <c r="U821" t="s">
        <v>8590</v>
      </c>
      <c r="V821" t="s">
        <v>8590</v>
      </c>
      <c r="W821">
        <v>25</v>
      </c>
      <c r="X821" t="s">
        <v>9411</v>
      </c>
      <c r="Y821">
        <v>0.44471329589306102</v>
      </c>
      <c r="Z821" t="str">
        <f>HYPERLINK("Melting_Curves/meltCurve_sp_P21695_2_GPDA_HUMAN_.pdf", "Melting_Curves/meltCurve_sp_P21695_2_GPDA_HUMAN_.pdf")</f>
        <v>Melting_Curves/meltCurve_sp_P21695_2_GPDA_HUMAN_.pdf</v>
      </c>
      <c r="AA821" t="s">
        <v>13691</v>
      </c>
      <c r="AB821" t="s">
        <v>17906</v>
      </c>
    </row>
    <row r="822" spans="1:28" x14ac:dyDescent="0.25">
      <c r="A822" t="s">
        <v>826</v>
      </c>
      <c r="B822">
        <v>0.99876560204751996</v>
      </c>
      <c r="C822">
        <v>1.00104338034847</v>
      </c>
      <c r="D822">
        <v>0.81274792986211497</v>
      </c>
      <c r="E822">
        <v>0.62508114549942995</v>
      </c>
      <c r="F822">
        <v>0.28537609313984502</v>
      </c>
      <c r="G822">
        <v>0.12841277041443999</v>
      </c>
      <c r="H822">
        <v>8.1336942971921802E-2</v>
      </c>
      <c r="I822">
        <v>5.4430530311124797E-2</v>
      </c>
      <c r="J822">
        <v>5.4245993879483603E-2</v>
      </c>
      <c r="K822">
        <v>4.2621197623777002E-2</v>
      </c>
      <c r="L822">
        <v>966.77111458677496</v>
      </c>
      <c r="M822">
        <v>19.1220662576726</v>
      </c>
      <c r="N822">
        <v>50.767584734080401</v>
      </c>
      <c r="O822">
        <v>50.014686712826503</v>
      </c>
      <c r="P822">
        <v>-9.1956163947698899E-2</v>
      </c>
      <c r="Q822">
        <v>3.7974259583854399E-2</v>
      </c>
      <c r="R822">
        <v>0.99383041195612998</v>
      </c>
      <c r="S822" t="s">
        <v>5118</v>
      </c>
      <c r="T822" t="s">
        <v>8590</v>
      </c>
      <c r="U822" t="s">
        <v>8590</v>
      </c>
      <c r="V822" t="s">
        <v>8590</v>
      </c>
      <c r="W822">
        <v>8</v>
      </c>
      <c r="X822" t="s">
        <v>9412</v>
      </c>
      <c r="Y822">
        <v>0.39109536039550652</v>
      </c>
      <c r="Z822" t="str">
        <f>HYPERLINK("Melting_Curves/meltCurve_sp_P21912_DHSB_HUMAN_.pdf", "Melting_Curves/meltCurve_sp_P21912_DHSB_HUMAN_.pdf")</f>
        <v>Melting_Curves/meltCurve_sp_P21912_DHSB_HUMAN_.pdf</v>
      </c>
      <c r="AA822" t="s">
        <v>13692</v>
      </c>
      <c r="AB822" t="s">
        <v>17907</v>
      </c>
    </row>
    <row r="823" spans="1:28" x14ac:dyDescent="0.25">
      <c r="A823" t="s">
        <v>827</v>
      </c>
      <c r="B823">
        <v>0.99876560204751996</v>
      </c>
      <c r="C823">
        <v>0.88440715313798401</v>
      </c>
      <c r="D823">
        <v>0.65595332434787401</v>
      </c>
      <c r="E823">
        <v>0.41422340435215999</v>
      </c>
      <c r="F823">
        <v>0.23827284027171999</v>
      </c>
      <c r="G823">
        <v>0.103952582453865</v>
      </c>
      <c r="H823">
        <v>5.3473926246619903E-2</v>
      </c>
      <c r="I823">
        <v>3.5519556359919498E-2</v>
      </c>
      <c r="J823">
        <v>2.8397912150272899E-2</v>
      </c>
      <c r="K823">
        <v>2.2147542290688101E-2</v>
      </c>
      <c r="L823">
        <v>711.08720388524296</v>
      </c>
      <c r="M823">
        <v>14.665313760309999</v>
      </c>
      <c r="N823">
        <v>48.556175752251001</v>
      </c>
      <c r="O823">
        <v>47.612884835064598</v>
      </c>
      <c r="P823">
        <v>-7.6223298280450699E-2</v>
      </c>
      <c r="Q823">
        <v>1.02330468846919E-2</v>
      </c>
      <c r="R823">
        <v>0.997254501487155</v>
      </c>
      <c r="S823" t="s">
        <v>5119</v>
      </c>
      <c r="T823" t="s">
        <v>8590</v>
      </c>
      <c r="U823" t="s">
        <v>8590</v>
      </c>
      <c r="V823" t="s">
        <v>8590</v>
      </c>
      <c r="W823">
        <v>4</v>
      </c>
      <c r="X823" t="s">
        <v>9413</v>
      </c>
      <c r="Y823">
        <v>0.31629263095346283</v>
      </c>
      <c r="Z823" t="str">
        <f>HYPERLINK("Melting_Curves/meltCurve_sp_P21953_ODBB_HUMAN_.pdf", "Melting_Curves/meltCurve_sp_P21953_ODBB_HUMAN_.pdf")</f>
        <v>Melting_Curves/meltCurve_sp_P21953_ODBB_HUMAN_.pdf</v>
      </c>
      <c r="AA823" t="s">
        <v>13693</v>
      </c>
      <c r="AB823" t="s">
        <v>17908</v>
      </c>
    </row>
    <row r="824" spans="1:28" x14ac:dyDescent="0.25">
      <c r="A824" t="s">
        <v>828</v>
      </c>
      <c r="B824">
        <v>0.99876560204751996</v>
      </c>
      <c r="C824">
        <v>0.91308793514115905</v>
      </c>
      <c r="D824">
        <v>0.99184296862388999</v>
      </c>
      <c r="E824">
        <v>0.67046574494896805</v>
      </c>
      <c r="F824">
        <v>0.26391093365845403</v>
      </c>
      <c r="G824">
        <v>9.9555928512456898E-2</v>
      </c>
      <c r="H824">
        <v>5.9331045977529501E-2</v>
      </c>
      <c r="I824">
        <v>4.4849946005613303E-2</v>
      </c>
      <c r="J824">
        <v>4.3901197026838097E-2</v>
      </c>
      <c r="K824">
        <v>3.7309021057917301E-2</v>
      </c>
      <c r="L824">
        <v>1614.56849766806</v>
      </c>
      <c r="M824">
        <v>31.654887639117501</v>
      </c>
      <c r="N824">
        <v>51.168307305165598</v>
      </c>
      <c r="O824">
        <v>50.803083209757403</v>
      </c>
      <c r="P824">
        <v>-0.14830400257568099</v>
      </c>
      <c r="Q824">
        <v>4.7949757033401201E-2</v>
      </c>
      <c r="R824">
        <v>0.99505342427839005</v>
      </c>
      <c r="S824" t="s">
        <v>5120</v>
      </c>
      <c r="T824" t="s">
        <v>8590</v>
      </c>
      <c r="U824" t="s">
        <v>8590</v>
      </c>
      <c r="V824" t="s">
        <v>8590</v>
      </c>
      <c r="W824">
        <v>19</v>
      </c>
      <c r="X824" t="s">
        <v>9414</v>
      </c>
      <c r="Y824">
        <v>0.40257980792786768</v>
      </c>
      <c r="Z824" t="str">
        <f>HYPERLINK("Melting_Curves/meltCurve_sp_P21964_2_COMT_HUMAN_.pdf", "Melting_Curves/meltCurve_sp_P21964_2_COMT_HUMAN_.pdf")</f>
        <v>Melting_Curves/meltCurve_sp_P21964_2_COMT_HUMAN_.pdf</v>
      </c>
      <c r="AA824" t="s">
        <v>13694</v>
      </c>
      <c r="AB824" t="s">
        <v>17909</v>
      </c>
    </row>
    <row r="825" spans="1:28" x14ac:dyDescent="0.25">
      <c r="A825" t="s">
        <v>829</v>
      </c>
      <c r="B825">
        <v>0.99876560204751996</v>
      </c>
      <c r="C825">
        <v>0.97118318968248496</v>
      </c>
      <c r="D825">
        <v>0.88549772993569398</v>
      </c>
      <c r="E825">
        <v>0.58790550118407303</v>
      </c>
      <c r="F825">
        <v>0.29148621290622601</v>
      </c>
      <c r="G825">
        <v>0.13104819561649</v>
      </c>
      <c r="H825">
        <v>7.1300975470669103E-2</v>
      </c>
      <c r="I825">
        <v>5.2326757250530598E-2</v>
      </c>
      <c r="J825">
        <v>4.8612892993189903E-2</v>
      </c>
      <c r="K825">
        <v>3.6386886713559101E-2</v>
      </c>
      <c r="L825">
        <v>1053.3668554507101</v>
      </c>
      <c r="M825">
        <v>20.8353007716271</v>
      </c>
      <c r="N825">
        <v>50.762970927095203</v>
      </c>
      <c r="O825">
        <v>50.098021085332903</v>
      </c>
      <c r="P825">
        <v>-9.9757950606561105E-2</v>
      </c>
      <c r="Q825">
        <v>4.0563407190721802E-2</v>
      </c>
      <c r="R825">
        <v>0.99962068158491801</v>
      </c>
      <c r="S825" t="s">
        <v>5121</v>
      </c>
      <c r="T825" t="s">
        <v>8590</v>
      </c>
      <c r="U825" t="s">
        <v>8590</v>
      </c>
      <c r="V825" t="s">
        <v>8590</v>
      </c>
      <c r="W825">
        <v>27</v>
      </c>
      <c r="X825" t="s">
        <v>9415</v>
      </c>
      <c r="Y825">
        <v>0.39051147767535538</v>
      </c>
      <c r="Z825" t="str">
        <f>HYPERLINK("Melting_Curves/meltCurve_sp_P21980_TGM2_HUMAN_.pdf", "Melting_Curves/meltCurve_sp_P21980_TGM2_HUMAN_.pdf")</f>
        <v>Melting_Curves/meltCurve_sp_P21980_TGM2_HUMAN_.pdf</v>
      </c>
      <c r="AA825" t="s">
        <v>13695</v>
      </c>
      <c r="AB825" t="s">
        <v>17910</v>
      </c>
    </row>
    <row r="826" spans="1:28" x14ac:dyDescent="0.25">
      <c r="A826" t="s">
        <v>830</v>
      </c>
      <c r="B826">
        <v>0.99876560204751996</v>
      </c>
      <c r="C826">
        <v>1.0728833487478</v>
      </c>
      <c r="D826">
        <v>0.97079429734285305</v>
      </c>
      <c r="E826">
        <v>1.0390908689857301</v>
      </c>
      <c r="F826">
        <v>0.66888369805365699</v>
      </c>
      <c r="G826">
        <v>0.29185850047525003</v>
      </c>
      <c r="H826">
        <v>0.14328363339189601</v>
      </c>
      <c r="I826">
        <v>9.1886447021617704E-2</v>
      </c>
      <c r="J826">
        <v>6.9645581707486595E-2</v>
      </c>
      <c r="K826">
        <v>5.5051492958973103E-2</v>
      </c>
      <c r="L826">
        <v>1617.9560489773801</v>
      </c>
      <c r="M826">
        <v>29.7095614123592</v>
      </c>
      <c r="N826">
        <v>54.773684563634497</v>
      </c>
      <c r="O826">
        <v>54.214155653799502</v>
      </c>
      <c r="P826">
        <v>-0.126256299075621</v>
      </c>
      <c r="Q826">
        <v>7.8433766608361599E-2</v>
      </c>
      <c r="R826">
        <v>0.98883835140111898</v>
      </c>
      <c r="S826" t="s">
        <v>5122</v>
      </c>
      <c r="T826" t="s">
        <v>8590</v>
      </c>
      <c r="U826" t="s">
        <v>8590</v>
      </c>
      <c r="V826" t="s">
        <v>8590</v>
      </c>
      <c r="W826">
        <v>50</v>
      </c>
      <c r="X826" t="s">
        <v>9416</v>
      </c>
      <c r="Y826">
        <v>0.52879869171309801</v>
      </c>
      <c r="Z826" t="str">
        <f>HYPERLINK("Melting_Curves/meltCurve_sp_P22033_MUTA_HUMAN_.pdf", "Melting_Curves/meltCurve_sp_P22033_MUTA_HUMAN_.pdf")</f>
        <v>Melting_Curves/meltCurve_sp_P22033_MUTA_HUMAN_.pdf</v>
      </c>
      <c r="AA826" t="s">
        <v>13696</v>
      </c>
      <c r="AB826" t="s">
        <v>17911</v>
      </c>
    </row>
    <row r="827" spans="1:28" x14ac:dyDescent="0.25">
      <c r="A827" t="s">
        <v>831</v>
      </c>
      <c r="B827">
        <v>0.99876560204751996</v>
      </c>
      <c r="C827">
        <v>1.0144971813324399</v>
      </c>
      <c r="D827">
        <v>0.97189393201644603</v>
      </c>
      <c r="E827">
        <v>1.0076089861853701</v>
      </c>
      <c r="F827">
        <v>0.86101613783401698</v>
      </c>
      <c r="G827">
        <v>0.61006657226689898</v>
      </c>
      <c r="H827">
        <v>0.280654816053448</v>
      </c>
      <c r="I827">
        <v>0.108347407098077</v>
      </c>
      <c r="J827">
        <v>8.49306271311078E-2</v>
      </c>
      <c r="K827">
        <v>7.0765561686869094E-2</v>
      </c>
      <c r="L827">
        <v>1293.8042634977501</v>
      </c>
      <c r="M827">
        <v>22.357414612102701</v>
      </c>
      <c r="N827">
        <v>58.071960388882701</v>
      </c>
      <c r="O827">
        <v>57.412130252114899</v>
      </c>
      <c r="P827">
        <v>-9.3700772234210306E-2</v>
      </c>
      <c r="Q827">
        <v>3.7554494949129803E-2</v>
      </c>
      <c r="R827">
        <v>0.99728406362243704</v>
      </c>
      <c r="S827" t="s">
        <v>5123</v>
      </c>
      <c r="T827" t="s">
        <v>8590</v>
      </c>
      <c r="U827" t="s">
        <v>8590</v>
      </c>
      <c r="V827" t="s">
        <v>8590</v>
      </c>
      <c r="W827">
        <v>28</v>
      </c>
      <c r="X827" t="s">
        <v>9417</v>
      </c>
      <c r="Y827">
        <v>0.62057956846201923</v>
      </c>
      <c r="Z827" t="str">
        <f>HYPERLINK("Melting_Curves/meltCurve_sp_P22059_OSBP1_HUMAN_.pdf", "Melting_Curves/meltCurve_sp_P22059_OSBP1_HUMAN_.pdf")</f>
        <v>Melting_Curves/meltCurve_sp_P22059_OSBP1_HUMAN_.pdf</v>
      </c>
      <c r="AA827" t="s">
        <v>13697</v>
      </c>
      <c r="AB827" t="s">
        <v>17912</v>
      </c>
    </row>
    <row r="828" spans="1:28" x14ac:dyDescent="0.25">
      <c r="A828" t="s">
        <v>832</v>
      </c>
      <c r="B828">
        <v>0.99876560204751996</v>
      </c>
      <c r="C828">
        <v>0.91239974640499899</v>
      </c>
      <c r="D828">
        <v>1.0354344003137801</v>
      </c>
      <c r="E828">
        <v>0.87315727749011496</v>
      </c>
      <c r="F828">
        <v>0.73644914591141497</v>
      </c>
      <c r="G828">
        <v>0.21265962856158499</v>
      </c>
      <c r="H828">
        <v>7.9502401641890999E-2</v>
      </c>
      <c r="I828">
        <v>6.8754383719436499E-2</v>
      </c>
      <c r="J828">
        <v>5.7582787881027601E-2</v>
      </c>
      <c r="K828">
        <v>5.8247037623259501E-2</v>
      </c>
      <c r="L828">
        <v>1688.4756460956601</v>
      </c>
      <c r="M828">
        <v>31.0705431691004</v>
      </c>
      <c r="N828">
        <v>54.538732476576399</v>
      </c>
      <c r="O828">
        <v>54.119668951022703</v>
      </c>
      <c r="P828">
        <v>-0.13596635121998399</v>
      </c>
      <c r="Q828">
        <v>5.2683184318038201E-2</v>
      </c>
      <c r="R828">
        <v>0.99123475226144697</v>
      </c>
      <c r="S828" t="s">
        <v>5124</v>
      </c>
      <c r="T828" t="s">
        <v>8590</v>
      </c>
      <c r="U828" t="s">
        <v>8590</v>
      </c>
      <c r="V828" t="s">
        <v>8590</v>
      </c>
      <c r="W828">
        <v>10</v>
      </c>
      <c r="X828" t="s">
        <v>9418</v>
      </c>
      <c r="Y828">
        <v>0.5114432933672538</v>
      </c>
      <c r="Z828" t="str">
        <f>HYPERLINK("Melting_Curves/meltCurve_sp_P22061_PIMT_HUMAN_.pdf", "Melting_Curves/meltCurve_sp_P22061_PIMT_HUMAN_.pdf")</f>
        <v>Melting_Curves/meltCurve_sp_P22061_PIMT_HUMAN_.pdf</v>
      </c>
      <c r="AA828" t="s">
        <v>13698</v>
      </c>
      <c r="AB828" t="s">
        <v>17913</v>
      </c>
    </row>
    <row r="829" spans="1:28" x14ac:dyDescent="0.25">
      <c r="A829" t="s">
        <v>833</v>
      </c>
      <c r="B829">
        <v>0.99876560204751996</v>
      </c>
      <c r="C829">
        <v>1.00594720575567</v>
      </c>
      <c r="D829">
        <v>0.90160656430531405</v>
      </c>
      <c r="E829">
        <v>0.52826221000099904</v>
      </c>
      <c r="F829">
        <v>0.183743499769046</v>
      </c>
      <c r="G829">
        <v>8.2756894143510104E-2</v>
      </c>
      <c r="H829">
        <v>4.7607955180302398E-2</v>
      </c>
      <c r="I829">
        <v>3.7354628618468597E-2</v>
      </c>
      <c r="J829">
        <v>3.0885634079005499E-2</v>
      </c>
      <c r="K829">
        <v>2.9578259180191999E-2</v>
      </c>
      <c r="L829">
        <v>1372.12422993621</v>
      </c>
      <c r="M829">
        <v>27.451538867492498</v>
      </c>
      <c r="N829">
        <v>50.116291959838399</v>
      </c>
      <c r="O829">
        <v>49.720544377819401</v>
      </c>
      <c r="P829">
        <v>-0.133189024474302</v>
      </c>
      <c r="Q829">
        <v>3.5075377753791402E-2</v>
      </c>
      <c r="R829">
        <v>0.99916621688655904</v>
      </c>
      <c r="S829" t="s">
        <v>5125</v>
      </c>
      <c r="T829" t="s">
        <v>8590</v>
      </c>
      <c r="U829" t="s">
        <v>8590</v>
      </c>
      <c r="V829" t="s">
        <v>8590</v>
      </c>
      <c r="W829">
        <v>31</v>
      </c>
      <c r="X829" t="s">
        <v>9419</v>
      </c>
      <c r="Y829">
        <v>0.36332674900833678</v>
      </c>
      <c r="Z829" t="str">
        <f>HYPERLINK("Melting_Curves/meltCurve_sp_P22102_PUR2_HUMAN_.pdf", "Melting_Curves/meltCurve_sp_P22102_PUR2_HUMAN_.pdf")</f>
        <v>Melting_Curves/meltCurve_sp_P22102_PUR2_HUMAN_.pdf</v>
      </c>
      <c r="AA829" t="s">
        <v>13699</v>
      </c>
      <c r="AB829" t="s">
        <v>17914</v>
      </c>
    </row>
    <row r="830" spans="1:28" x14ac:dyDescent="0.25">
      <c r="A830" t="s">
        <v>834</v>
      </c>
      <c r="B830">
        <v>0.99876560204751996</v>
      </c>
      <c r="C830">
        <v>1.13562643272731</v>
      </c>
      <c r="D830">
        <v>1.0317440419320201</v>
      </c>
      <c r="E830">
        <v>1.1150343168325101</v>
      </c>
      <c r="F830">
        <v>1.0183377280163199</v>
      </c>
      <c r="G830">
        <v>0.83298449376008299</v>
      </c>
      <c r="H830">
        <v>0.642661974970275</v>
      </c>
      <c r="I830">
        <v>0.53468621402915595</v>
      </c>
      <c r="J830">
        <v>0.46249862569544298</v>
      </c>
      <c r="K830">
        <v>0.15465355109743301</v>
      </c>
      <c r="L830">
        <v>961.32840223370897</v>
      </c>
      <c r="M830">
        <v>14.9236506565661</v>
      </c>
      <c r="N830">
        <v>64.416437276674003</v>
      </c>
      <c r="O830">
        <v>63.292987639506698</v>
      </c>
      <c r="P830">
        <v>-5.8952774117970098E-2</v>
      </c>
      <c r="Q830">
        <v>0</v>
      </c>
      <c r="R830">
        <v>0.93770174670363005</v>
      </c>
      <c r="S830" t="s">
        <v>5126</v>
      </c>
      <c r="T830" t="s">
        <v>8590</v>
      </c>
      <c r="U830" t="s">
        <v>8590</v>
      </c>
      <c r="V830" t="s">
        <v>8590</v>
      </c>
      <c r="W830">
        <v>30</v>
      </c>
      <c r="X830" t="s">
        <v>9420</v>
      </c>
      <c r="Y830">
        <v>0.79342965334956939</v>
      </c>
      <c r="Z830" t="str">
        <f>HYPERLINK("Melting_Curves/meltCurve_sp_P22234_PUR6_HUMAN_.pdf", "Melting_Curves/meltCurve_sp_P22234_PUR6_HUMAN_.pdf")</f>
        <v>Melting_Curves/meltCurve_sp_P22234_PUR6_HUMAN_.pdf</v>
      </c>
      <c r="AA830" t="s">
        <v>13700</v>
      </c>
      <c r="AB830" t="s">
        <v>17915</v>
      </c>
    </row>
    <row r="831" spans="1:28" x14ac:dyDescent="0.25">
      <c r="A831" t="s">
        <v>835</v>
      </c>
      <c r="B831">
        <v>0.99876560204751996</v>
      </c>
      <c r="C831">
        <v>1.2353329564570199</v>
      </c>
      <c r="D831">
        <v>0.66993100541266504</v>
      </c>
      <c r="E831">
        <v>0.85132871674574095</v>
      </c>
      <c r="F831">
        <v>0.33732337010706998</v>
      </c>
      <c r="G831">
        <v>0.19990820968796899</v>
      </c>
      <c r="H831">
        <v>8.3558074726457196E-2</v>
      </c>
      <c r="I831">
        <v>4.8184411348415598E-2</v>
      </c>
      <c r="J831">
        <v>1.57050897211349E-2</v>
      </c>
      <c r="K831">
        <v>8.8034309381250196E-3</v>
      </c>
      <c r="L831">
        <v>969.14797598637904</v>
      </c>
      <c r="M831">
        <v>18.571052525030101</v>
      </c>
      <c r="N831">
        <v>52.230591284712702</v>
      </c>
      <c r="O831">
        <v>51.592134969813998</v>
      </c>
      <c r="P831">
        <v>-8.9285063911573107E-2</v>
      </c>
      <c r="Q831">
        <v>7.8739739966932499E-3</v>
      </c>
      <c r="R831">
        <v>0.913196262281737</v>
      </c>
      <c r="S831" t="s">
        <v>5127</v>
      </c>
      <c r="T831" t="s">
        <v>8590</v>
      </c>
      <c r="U831" t="s">
        <v>8590</v>
      </c>
      <c r="V831" t="s">
        <v>8590</v>
      </c>
      <c r="W831">
        <v>25</v>
      </c>
      <c r="X831" t="s">
        <v>9421</v>
      </c>
      <c r="Y831">
        <v>0.42648830455293701</v>
      </c>
      <c r="Z831" t="str">
        <f>HYPERLINK("Melting_Curves/meltCurve_sp_P22307_2_NLTP_HUMAN_.pdf", "Melting_Curves/meltCurve_sp_P22307_2_NLTP_HUMAN_.pdf")</f>
        <v>Melting_Curves/meltCurve_sp_P22307_2_NLTP_HUMAN_.pdf</v>
      </c>
      <c r="AA831" t="s">
        <v>13701</v>
      </c>
      <c r="AB831" t="s">
        <v>17916</v>
      </c>
    </row>
    <row r="832" spans="1:28" x14ac:dyDescent="0.25">
      <c r="A832" t="s">
        <v>836</v>
      </c>
      <c r="B832">
        <v>0.99876560204751996</v>
      </c>
      <c r="C832">
        <v>0.99832823558147898</v>
      </c>
      <c r="D832">
        <v>1.07443245162653</v>
      </c>
      <c r="E832">
        <v>0.88090349734449802</v>
      </c>
      <c r="F832">
        <v>0.60281367319669199</v>
      </c>
      <c r="G832">
        <v>0.38953889924067397</v>
      </c>
      <c r="H832">
        <v>0.29131575054493197</v>
      </c>
      <c r="I832">
        <v>0.246798551814225</v>
      </c>
      <c r="J832">
        <v>0.27329193394600299</v>
      </c>
      <c r="K832">
        <v>0.25791884845989799</v>
      </c>
      <c r="L832">
        <v>1448.8689308149301</v>
      </c>
      <c r="M832">
        <v>27.3778684378306</v>
      </c>
      <c r="N832">
        <v>54.423774730083501</v>
      </c>
      <c r="O832">
        <v>52.641243829141999</v>
      </c>
      <c r="P832">
        <v>-9.5540054861755694E-2</v>
      </c>
      <c r="Q832">
        <v>0.26520208572354598</v>
      </c>
      <c r="R832">
        <v>0.99113700028513996</v>
      </c>
      <c r="S832" t="s">
        <v>5128</v>
      </c>
      <c r="T832" t="s">
        <v>8590</v>
      </c>
      <c r="U832" t="s">
        <v>8590</v>
      </c>
      <c r="V832" t="s">
        <v>8590</v>
      </c>
      <c r="W832">
        <v>50</v>
      </c>
      <c r="X832" t="s">
        <v>9422</v>
      </c>
      <c r="Y832">
        <v>0.58737051123047546</v>
      </c>
      <c r="Z832" t="str">
        <f>HYPERLINK("Melting_Curves/meltCurve_sp_P22307_NLTP_HUMAN_.pdf", "Melting_Curves/meltCurve_sp_P22307_NLTP_HUMAN_.pdf")</f>
        <v>Melting_Curves/meltCurve_sp_P22307_NLTP_HUMAN_.pdf</v>
      </c>
      <c r="AA832" t="s">
        <v>13701</v>
      </c>
      <c r="AB832" t="s">
        <v>17917</v>
      </c>
    </row>
    <row r="833" spans="1:28" x14ac:dyDescent="0.25">
      <c r="A833" t="s">
        <v>837</v>
      </c>
      <c r="B833">
        <v>0.99876560204751996</v>
      </c>
      <c r="C833">
        <v>1.0001576641480101</v>
      </c>
      <c r="D833">
        <v>0.48805980358353801</v>
      </c>
      <c r="E833">
        <v>0.41310989219477601</v>
      </c>
      <c r="F833">
        <v>0.19674578285847599</v>
      </c>
      <c r="G833">
        <v>0.12114785829330101</v>
      </c>
      <c r="H833">
        <v>5.9135825437124701E-2</v>
      </c>
      <c r="I833">
        <v>5.28756164920062E-2</v>
      </c>
      <c r="J833">
        <v>4.6770555517420598E-2</v>
      </c>
      <c r="K833">
        <v>4.0995555456610697E-2</v>
      </c>
      <c r="L833">
        <v>791.11170197566901</v>
      </c>
      <c r="M833">
        <v>16.673405166714101</v>
      </c>
      <c r="N833">
        <v>47.740786160841999</v>
      </c>
      <c r="O833">
        <v>46.780733804622201</v>
      </c>
      <c r="P833">
        <v>-8.4772370652199502E-2</v>
      </c>
      <c r="Q833">
        <v>4.8676316185371798E-2</v>
      </c>
      <c r="R833">
        <v>0.95922088265529204</v>
      </c>
      <c r="S833" t="s">
        <v>5129</v>
      </c>
      <c r="T833" t="s">
        <v>8590</v>
      </c>
      <c r="U833" t="s">
        <v>8590</v>
      </c>
      <c r="V833" t="s">
        <v>8590</v>
      </c>
      <c r="W833">
        <v>5</v>
      </c>
      <c r="X833" t="s">
        <v>9423</v>
      </c>
      <c r="Y833">
        <v>0.30508236278509082</v>
      </c>
      <c r="Z833" t="str">
        <f>HYPERLINK("Melting_Curves/meltCurve_sp_P22310_UD14_HUMAN_.pdf", "Melting_Curves/meltCurve_sp_P22310_UD14_HUMAN_.pdf")</f>
        <v>Melting_Curves/meltCurve_sp_P22310_UD14_HUMAN_.pdf</v>
      </c>
      <c r="AA833" t="s">
        <v>13702</v>
      </c>
      <c r="AB833" t="s">
        <v>17918</v>
      </c>
    </row>
    <row r="834" spans="1:28" x14ac:dyDescent="0.25">
      <c r="A834" t="s">
        <v>838</v>
      </c>
      <c r="B834">
        <v>0.99876560204751996</v>
      </c>
      <c r="C834">
        <v>0.98911180211679695</v>
      </c>
      <c r="D834">
        <v>0.78151399730651605</v>
      </c>
      <c r="E834">
        <v>0.29464539458531802</v>
      </c>
      <c r="F834">
        <v>0.11034370105687701</v>
      </c>
      <c r="G834">
        <v>6.6937318903439902E-2</v>
      </c>
      <c r="H834">
        <v>4.6721587446961699E-2</v>
      </c>
      <c r="I834">
        <v>3.5895953718291997E-2</v>
      </c>
      <c r="J834">
        <v>3.5212176300224898E-2</v>
      </c>
      <c r="K834">
        <v>3.07811883854896E-2</v>
      </c>
      <c r="L834">
        <v>1316.4211604713901</v>
      </c>
      <c r="M834">
        <v>27.353278947281002</v>
      </c>
      <c r="N834">
        <v>48.271364049813599</v>
      </c>
      <c r="O834">
        <v>47.871615813407402</v>
      </c>
      <c r="P834">
        <v>-0.137224423162988</v>
      </c>
      <c r="Q834">
        <v>3.9370452075734398E-2</v>
      </c>
      <c r="R834">
        <v>0.99942418203487304</v>
      </c>
      <c r="S834" t="s">
        <v>5130</v>
      </c>
      <c r="T834" t="s">
        <v>8590</v>
      </c>
      <c r="U834" t="s">
        <v>8590</v>
      </c>
      <c r="V834" t="s">
        <v>8590</v>
      </c>
      <c r="W834">
        <v>38</v>
      </c>
      <c r="X834" t="s">
        <v>9424</v>
      </c>
      <c r="Y834">
        <v>0.30661553116100593</v>
      </c>
      <c r="Z834" t="str">
        <f>HYPERLINK("Melting_Curves/meltCurve_sp_P22314_UBA1_HUMAN_.pdf", "Melting_Curves/meltCurve_sp_P22314_UBA1_HUMAN_.pdf")</f>
        <v>Melting_Curves/meltCurve_sp_P22314_UBA1_HUMAN_.pdf</v>
      </c>
      <c r="AA834" t="s">
        <v>13703</v>
      </c>
      <c r="AB834" t="s">
        <v>17919</v>
      </c>
    </row>
    <row r="835" spans="1:28" x14ac:dyDescent="0.25">
      <c r="A835" t="s">
        <v>839</v>
      </c>
      <c r="B835">
        <v>0.99876560204751996</v>
      </c>
      <c r="C835">
        <v>0.99298667982863098</v>
      </c>
      <c r="D835">
        <v>0.953292985320629</v>
      </c>
      <c r="E835">
        <v>0.99216860276136698</v>
      </c>
      <c r="F835">
        <v>0.90954331699833402</v>
      </c>
      <c r="G835">
        <v>0.85582803532062002</v>
      </c>
      <c r="H835">
        <v>0.55158971682588498</v>
      </c>
      <c r="I835">
        <v>0.26548423551796602</v>
      </c>
      <c r="J835">
        <v>7.7474013870640498E-2</v>
      </c>
      <c r="K835">
        <v>5.56937538429235E-2</v>
      </c>
      <c r="L835">
        <v>1481.40513869748</v>
      </c>
      <c r="M835">
        <v>24.165178963051702</v>
      </c>
      <c r="N835">
        <v>61.3032792171092</v>
      </c>
      <c r="O835">
        <v>60.888110622192499</v>
      </c>
      <c r="P835">
        <v>-9.9221138119731406E-2</v>
      </c>
      <c r="Q835">
        <v>0</v>
      </c>
      <c r="R835">
        <v>0.99372902203220603</v>
      </c>
      <c r="S835" t="s">
        <v>5131</v>
      </c>
      <c r="T835" t="s">
        <v>8590</v>
      </c>
      <c r="U835" t="s">
        <v>8590</v>
      </c>
      <c r="V835" t="s">
        <v>8590</v>
      </c>
      <c r="W835">
        <v>15</v>
      </c>
      <c r="X835" t="s">
        <v>9425</v>
      </c>
      <c r="Y835">
        <v>0.71596284873389826</v>
      </c>
      <c r="Z835" t="str">
        <f>HYPERLINK("Melting_Curves/meltCurve_sp_P22392_2_NDKB_HUMAN_.pdf", "Melting_Curves/meltCurve_sp_P22392_2_NDKB_HUMAN_.pdf")</f>
        <v>Melting_Curves/meltCurve_sp_P22392_2_NDKB_HUMAN_.pdf</v>
      </c>
      <c r="AA835" t="s">
        <v>13704</v>
      </c>
      <c r="AB835" t="s">
        <v>17920</v>
      </c>
    </row>
    <row r="836" spans="1:28" x14ac:dyDescent="0.25">
      <c r="A836" t="s">
        <v>840</v>
      </c>
      <c r="B836">
        <v>0.99876560204751996</v>
      </c>
      <c r="C836">
        <v>0.76358299629999804</v>
      </c>
      <c r="D836">
        <v>0.46397613956719003</v>
      </c>
      <c r="E836">
        <v>0.28785825946256799</v>
      </c>
      <c r="F836">
        <v>0.18037232906436201</v>
      </c>
      <c r="G836">
        <v>9.9285860268891898E-2</v>
      </c>
      <c r="H836">
        <v>5.5111203633638597E-2</v>
      </c>
      <c r="I836">
        <v>4.01046432417205E-2</v>
      </c>
      <c r="J836">
        <v>3.6266910130179297E-2</v>
      </c>
      <c r="K836">
        <v>3.3340297800824203E-2</v>
      </c>
      <c r="L836">
        <v>725.81629645368503</v>
      </c>
      <c r="M836">
        <v>15.77416051416</v>
      </c>
      <c r="N836">
        <v>46.2701543666753</v>
      </c>
      <c r="O836">
        <v>45.292529521174004</v>
      </c>
      <c r="P836">
        <v>-8.3420988735216806E-2</v>
      </c>
      <c r="Q836">
        <v>4.1968855372052999E-2</v>
      </c>
      <c r="R836">
        <v>0.98786427442540203</v>
      </c>
      <c r="S836" t="s">
        <v>5132</v>
      </c>
      <c r="T836" t="s">
        <v>8590</v>
      </c>
      <c r="U836" t="s">
        <v>8590</v>
      </c>
      <c r="V836" t="s">
        <v>8590</v>
      </c>
      <c r="W836">
        <v>24</v>
      </c>
      <c r="X836" t="s">
        <v>9426</v>
      </c>
      <c r="Y836">
        <v>0.25910375163638039</v>
      </c>
      <c r="Z836" t="str">
        <f>HYPERLINK("Melting_Curves/meltCurve_sp_P22570_ADRO_HUMAN_.pdf", "Melting_Curves/meltCurve_sp_P22570_ADRO_HUMAN_.pdf")</f>
        <v>Melting_Curves/meltCurve_sp_P22570_ADRO_HUMAN_.pdf</v>
      </c>
      <c r="AA836" t="s">
        <v>13705</v>
      </c>
      <c r="AB836" t="s">
        <v>17921</v>
      </c>
    </row>
    <row r="837" spans="1:28" x14ac:dyDescent="0.25">
      <c r="A837" t="s">
        <v>841</v>
      </c>
      <c r="B837">
        <v>0.99876560204751996</v>
      </c>
      <c r="C837">
        <v>0.88560072273438795</v>
      </c>
      <c r="D837">
        <v>0.99726036158290299</v>
      </c>
      <c r="E837">
        <v>0.84611815655539502</v>
      </c>
      <c r="F837">
        <v>0.84359196825234595</v>
      </c>
      <c r="G837">
        <v>0.57590149952510195</v>
      </c>
      <c r="H837">
        <v>0.43933430092037201</v>
      </c>
      <c r="I837">
        <v>0.41894561261914198</v>
      </c>
      <c r="J837">
        <v>0.50741507911710204</v>
      </c>
      <c r="K837">
        <v>0.55100633273584898</v>
      </c>
      <c r="L837">
        <v>1261.86060660372</v>
      </c>
      <c r="M837">
        <v>23.451762916603901</v>
      </c>
      <c r="N837">
        <v>61.121006355932202</v>
      </c>
      <c r="O837">
        <v>53.4199867485531</v>
      </c>
      <c r="P837">
        <v>-5.81923916353475E-2</v>
      </c>
      <c r="Q837">
        <v>0.46979115661616699</v>
      </c>
      <c r="R837">
        <v>0.92039342600618401</v>
      </c>
      <c r="S837" t="s">
        <v>5133</v>
      </c>
      <c r="T837" t="s">
        <v>8590</v>
      </c>
      <c r="U837" t="s">
        <v>8590</v>
      </c>
      <c r="V837" t="s">
        <v>8590</v>
      </c>
      <c r="W837">
        <v>20</v>
      </c>
      <c r="X837" t="s">
        <v>9427</v>
      </c>
      <c r="Y837">
        <v>0.7193090250069788</v>
      </c>
      <c r="Z837" t="str">
        <f>HYPERLINK("Melting_Curves/meltCurve_sp_P22626_ROA2_HUMAN_.pdf", "Melting_Curves/meltCurve_sp_P22626_ROA2_HUMAN_.pdf")</f>
        <v>Melting_Curves/meltCurve_sp_P22626_ROA2_HUMAN_.pdf</v>
      </c>
      <c r="AA837" t="s">
        <v>13706</v>
      </c>
      <c r="AB837" t="s">
        <v>17922</v>
      </c>
    </row>
    <row r="838" spans="1:28" x14ac:dyDescent="0.25">
      <c r="A838" t="s">
        <v>842</v>
      </c>
      <c r="B838">
        <v>0.99876560204751996</v>
      </c>
      <c r="C838">
        <v>0.91982220026419304</v>
      </c>
      <c r="D838">
        <v>0.79100339108248496</v>
      </c>
      <c r="E838">
        <v>0.56631901255843198</v>
      </c>
      <c r="F838">
        <v>0.27884847636488502</v>
      </c>
      <c r="G838">
        <v>0.123257729757465</v>
      </c>
      <c r="H838">
        <v>8.2315722399054103E-2</v>
      </c>
      <c r="I838">
        <v>8.3981888100885305E-2</v>
      </c>
      <c r="J838">
        <v>9.5840402383626094E-2</v>
      </c>
      <c r="K838">
        <v>5.7260700443179401E-2</v>
      </c>
      <c r="L838">
        <v>857.94364172034102</v>
      </c>
      <c r="M838">
        <v>17.212827022442699</v>
      </c>
      <c r="N838">
        <v>50.178979859542999</v>
      </c>
      <c r="O838">
        <v>49.185114815669799</v>
      </c>
      <c r="P838">
        <v>-8.2736583106529996E-2</v>
      </c>
      <c r="Q838">
        <v>5.43868520323844E-2</v>
      </c>
      <c r="R838">
        <v>0.99479496980901905</v>
      </c>
      <c r="S838" t="s">
        <v>5134</v>
      </c>
      <c r="T838" t="s">
        <v>8590</v>
      </c>
      <c r="U838" t="s">
        <v>8590</v>
      </c>
      <c r="V838" t="s">
        <v>8590</v>
      </c>
      <c r="W838">
        <v>11</v>
      </c>
      <c r="X838" t="s">
        <v>9428</v>
      </c>
      <c r="Y838">
        <v>0.38224470043048497</v>
      </c>
      <c r="Z838" t="str">
        <f>HYPERLINK("Melting_Curves/meltCurve_sp_P22694_4_KAPCB_HUMAN_.pdf", "Melting_Curves/meltCurve_sp_P22694_4_KAPCB_HUMAN_.pdf")</f>
        <v>Melting_Curves/meltCurve_sp_P22694_4_KAPCB_HUMAN_.pdf</v>
      </c>
      <c r="AA838" t="s">
        <v>13707</v>
      </c>
      <c r="AB838" t="s">
        <v>17923</v>
      </c>
    </row>
    <row r="839" spans="1:28" x14ac:dyDescent="0.25">
      <c r="A839" t="s">
        <v>843</v>
      </c>
      <c r="B839">
        <v>0.99876560204751996</v>
      </c>
      <c r="C839">
        <v>0.97837552791087601</v>
      </c>
      <c r="D839">
        <v>0.71420587513684197</v>
      </c>
      <c r="E839">
        <v>0.72188068792599702</v>
      </c>
      <c r="F839">
        <v>0.64371066699931501</v>
      </c>
      <c r="G839">
        <v>0.36798288932622297</v>
      </c>
      <c r="H839">
        <v>0.30757646596900901</v>
      </c>
      <c r="I839">
        <v>0.369116975164754</v>
      </c>
      <c r="J839">
        <v>0.44482393590649499</v>
      </c>
      <c r="K839">
        <v>0.48677698335656699</v>
      </c>
      <c r="L839">
        <v>685.57259316918396</v>
      </c>
      <c r="M839">
        <v>13.9061493984892</v>
      </c>
      <c r="N839">
        <v>54.926863712727901</v>
      </c>
      <c r="O839">
        <v>48.314026788175099</v>
      </c>
      <c r="P839">
        <v>-4.4641284096375397E-2</v>
      </c>
      <c r="Q839">
        <v>0.37969680524844002</v>
      </c>
      <c r="R839">
        <v>0.88590517710345296</v>
      </c>
      <c r="S839" t="s">
        <v>5135</v>
      </c>
      <c r="T839" t="s">
        <v>8590</v>
      </c>
      <c r="U839" t="s">
        <v>8590</v>
      </c>
      <c r="V839" t="s">
        <v>8590</v>
      </c>
      <c r="W839">
        <v>1</v>
      </c>
      <c r="X839" t="s">
        <v>9429</v>
      </c>
      <c r="Y839">
        <v>0.58936872025628584</v>
      </c>
      <c r="Z839" t="str">
        <f>HYPERLINK("Melting_Curves/meltCurve_sp_P22760_AAAD_HUMAN_.pdf", "Melting_Curves/meltCurve_sp_P22760_AAAD_HUMAN_.pdf")</f>
        <v>Melting_Curves/meltCurve_sp_P22760_AAAD_HUMAN_.pdf</v>
      </c>
      <c r="AA839" t="s">
        <v>13708</v>
      </c>
      <c r="AB839" t="s">
        <v>17924</v>
      </c>
    </row>
    <row r="840" spans="1:28" x14ac:dyDescent="0.25">
      <c r="A840" t="s">
        <v>844</v>
      </c>
      <c r="B840">
        <v>0.99876560204751996</v>
      </c>
      <c r="C840">
        <v>1.00528896103778</v>
      </c>
      <c r="D840">
        <v>0.90391981899415996</v>
      </c>
      <c r="E840">
        <v>0.60722355670181605</v>
      </c>
      <c r="F840">
        <v>0.28389050897684098</v>
      </c>
      <c r="G840">
        <v>0.15848286736535699</v>
      </c>
      <c r="H840">
        <v>8.4561318713885003E-2</v>
      </c>
      <c r="I840">
        <v>6.0820974608090203E-2</v>
      </c>
      <c r="J840">
        <v>5.0598393885691498E-2</v>
      </c>
      <c r="K840">
        <v>4.2690811235470798E-2</v>
      </c>
      <c r="L840">
        <v>1137.4665384811899</v>
      </c>
      <c r="M840">
        <v>22.460177626471999</v>
      </c>
      <c r="N840">
        <v>50.907374040243198</v>
      </c>
      <c r="O840">
        <v>50.247361298858301</v>
      </c>
      <c r="P840">
        <v>-0.105614145225668</v>
      </c>
      <c r="Q840">
        <v>5.4909883767940801E-2</v>
      </c>
      <c r="R840">
        <v>0.99826267139962099</v>
      </c>
      <c r="S840" t="s">
        <v>5136</v>
      </c>
      <c r="T840" t="s">
        <v>8590</v>
      </c>
      <c r="U840" t="s">
        <v>8590</v>
      </c>
      <c r="V840" t="s">
        <v>8590</v>
      </c>
      <c r="W840">
        <v>18</v>
      </c>
      <c r="X840" t="s">
        <v>9430</v>
      </c>
      <c r="Y840">
        <v>0.40071915721390478</v>
      </c>
      <c r="Z840" t="str">
        <f>HYPERLINK("Melting_Curves/meltCurve_sp_P22830_HEMH_HUMAN_.pdf", "Melting_Curves/meltCurve_sp_P22830_HEMH_HUMAN_.pdf")</f>
        <v>Melting_Curves/meltCurve_sp_P22830_HEMH_HUMAN_.pdf</v>
      </c>
      <c r="AA840" t="s">
        <v>13709</v>
      </c>
      <c r="AB840" t="s">
        <v>17925</v>
      </c>
    </row>
    <row r="841" spans="1:28" x14ac:dyDescent="0.25">
      <c r="A841" t="s">
        <v>845</v>
      </c>
      <c r="B841">
        <v>0.99876560204751996</v>
      </c>
      <c r="C841">
        <v>1.08052714468827</v>
      </c>
      <c r="D841">
        <v>1.01052709695835</v>
      </c>
      <c r="E841">
        <v>1.05958818743521</v>
      </c>
      <c r="F841">
        <v>0.73200344528938499</v>
      </c>
      <c r="G841">
        <v>0.23009272025633501</v>
      </c>
      <c r="H841">
        <v>9.6699759267486099E-2</v>
      </c>
      <c r="I841">
        <v>6.7353504783562695E-2</v>
      </c>
      <c r="J841">
        <v>5.4063357500391498E-2</v>
      </c>
      <c r="K841">
        <v>4.0796577673891797E-2</v>
      </c>
      <c r="L841">
        <v>2029.2877233107799</v>
      </c>
      <c r="M841">
        <v>37.222310473238998</v>
      </c>
      <c r="N841">
        <v>54.709113049383198</v>
      </c>
      <c r="O841">
        <v>54.361406957832799</v>
      </c>
      <c r="P841">
        <v>-0.16074688781746499</v>
      </c>
      <c r="Q841">
        <v>6.0950001032869003E-2</v>
      </c>
      <c r="R841">
        <v>0.99179565144540505</v>
      </c>
      <c r="S841" t="s">
        <v>5137</v>
      </c>
      <c r="T841" t="s">
        <v>8590</v>
      </c>
      <c r="U841" t="s">
        <v>8590</v>
      </c>
      <c r="V841" t="s">
        <v>8590</v>
      </c>
      <c r="W841">
        <v>36</v>
      </c>
      <c r="X841" t="s">
        <v>9431</v>
      </c>
      <c r="Y841">
        <v>0.5194609537056285</v>
      </c>
      <c r="Z841" t="str">
        <f>HYPERLINK("Melting_Curves/meltCurve_sp_P23141_EST1_HUMAN_.pdf", "Melting_Curves/meltCurve_sp_P23141_EST1_HUMAN_.pdf")</f>
        <v>Melting_Curves/meltCurve_sp_P23141_EST1_HUMAN_.pdf</v>
      </c>
      <c r="AA841" t="s">
        <v>13710</v>
      </c>
      <c r="AB841" t="s">
        <v>17926</v>
      </c>
    </row>
    <row r="842" spans="1:28" x14ac:dyDescent="0.25">
      <c r="A842" t="s">
        <v>846</v>
      </c>
      <c r="B842">
        <v>0.99876560204751996</v>
      </c>
      <c r="C842">
        <v>0.98259827277257294</v>
      </c>
      <c r="D842">
        <v>0.91287655735400497</v>
      </c>
      <c r="E842">
        <v>0.92485580815341095</v>
      </c>
      <c r="F842">
        <v>0.76848610190974997</v>
      </c>
      <c r="G842">
        <v>0.55081738318857199</v>
      </c>
      <c r="H842">
        <v>0.293352590588349</v>
      </c>
      <c r="I842">
        <v>0.207953035640627</v>
      </c>
      <c r="J842">
        <v>0.14539291887344</v>
      </c>
      <c r="K842">
        <v>0.120694754777142</v>
      </c>
      <c r="L842">
        <v>872.06605644230001</v>
      </c>
      <c r="M842">
        <v>15.288273057347901</v>
      </c>
      <c r="N842">
        <v>57.513420535642403</v>
      </c>
      <c r="O842">
        <v>56.0922717054003</v>
      </c>
      <c r="P842">
        <v>-6.4128088512617504E-2</v>
      </c>
      <c r="Q842">
        <v>5.8951149105809099E-2</v>
      </c>
      <c r="R842">
        <v>0.99540529517069198</v>
      </c>
      <c r="S842" t="s">
        <v>5138</v>
      </c>
      <c r="T842" t="s">
        <v>8590</v>
      </c>
      <c r="U842" t="s">
        <v>8590</v>
      </c>
      <c r="V842" t="s">
        <v>8590</v>
      </c>
      <c r="W842">
        <v>7</v>
      </c>
      <c r="X842" t="s">
        <v>9432</v>
      </c>
      <c r="Y842">
        <v>0.60815472848491614</v>
      </c>
      <c r="Z842" t="str">
        <f>HYPERLINK("Melting_Curves/meltCurve_sp_P23142_3_FBLN1_HUMAN_.pdf", "Melting_Curves/meltCurve_sp_P23142_3_FBLN1_HUMAN_.pdf")</f>
        <v>Melting_Curves/meltCurve_sp_P23142_3_FBLN1_HUMAN_.pdf</v>
      </c>
      <c r="AA842" t="s">
        <v>13711</v>
      </c>
      <c r="AB842" t="s">
        <v>17927</v>
      </c>
    </row>
    <row r="843" spans="1:28" x14ac:dyDescent="0.25">
      <c r="A843" t="s">
        <v>847</v>
      </c>
      <c r="B843">
        <v>0.99876560204751996</v>
      </c>
      <c r="C843">
        <v>0.96835142989602796</v>
      </c>
      <c r="D843">
        <v>1.0564977172827099</v>
      </c>
      <c r="E843">
        <v>0.95922187429222505</v>
      </c>
      <c r="F843">
        <v>0.88772924467900305</v>
      </c>
      <c r="G843">
        <v>0.65443985553531103</v>
      </c>
      <c r="H843">
        <v>0.49777051838479702</v>
      </c>
      <c r="I843">
        <v>0.579852975097634</v>
      </c>
      <c r="J843">
        <v>0.62368028903818795</v>
      </c>
      <c r="K843">
        <v>0.70284714151139405</v>
      </c>
      <c r="L843">
        <v>2309.0056427230302</v>
      </c>
      <c r="M843">
        <v>42.674888944857301</v>
      </c>
      <c r="O843">
        <v>53.988483262499301</v>
      </c>
      <c r="P843">
        <v>-7.84995090747313E-2</v>
      </c>
      <c r="Q843">
        <v>0.60275816853563202</v>
      </c>
      <c r="R843">
        <v>0.92414250737399695</v>
      </c>
      <c r="S843" t="s">
        <v>5139</v>
      </c>
      <c r="T843" t="s">
        <v>8590</v>
      </c>
      <c r="U843" t="s">
        <v>8590</v>
      </c>
      <c r="V843" t="s">
        <v>8590</v>
      </c>
      <c r="W843">
        <v>15</v>
      </c>
      <c r="X843" t="s">
        <v>9433</v>
      </c>
      <c r="Y843">
        <v>0.79085549430072077</v>
      </c>
      <c r="Z843" t="str">
        <f>HYPERLINK("Melting_Curves/meltCurve_sp_P23193_TCEA1_HUMAN_.pdf", "Melting_Curves/meltCurve_sp_P23193_TCEA1_HUMAN_.pdf")</f>
        <v>Melting_Curves/meltCurve_sp_P23193_TCEA1_HUMAN_.pdf</v>
      </c>
      <c r="AA843" t="s">
        <v>13712</v>
      </c>
      <c r="AB843" t="s">
        <v>17928</v>
      </c>
    </row>
    <row r="844" spans="1:28" x14ac:dyDescent="0.25">
      <c r="A844" t="s">
        <v>848</v>
      </c>
      <c r="B844">
        <v>0.99876560204751996</v>
      </c>
      <c r="C844">
        <v>1.00721205602774</v>
      </c>
      <c r="D844">
        <v>1.0075815751347399</v>
      </c>
      <c r="E844">
        <v>0.86405987223284797</v>
      </c>
      <c r="F844">
        <v>0.66543996966812102</v>
      </c>
      <c r="G844">
        <v>0.38464379450646102</v>
      </c>
      <c r="H844">
        <v>0.25297961491415599</v>
      </c>
      <c r="I844">
        <v>0.21453074151592899</v>
      </c>
      <c r="J844">
        <v>0.22504125843053899</v>
      </c>
      <c r="K844">
        <v>0.21541850913375801</v>
      </c>
      <c r="L844">
        <v>1207.0570133707599</v>
      </c>
      <c r="M844">
        <v>22.4653657559255</v>
      </c>
      <c r="N844">
        <v>55.037971372850599</v>
      </c>
      <c r="O844">
        <v>53.309384595271098</v>
      </c>
      <c r="P844">
        <v>-8.3560167967089205E-2</v>
      </c>
      <c r="Q844">
        <v>0.20687699557255601</v>
      </c>
      <c r="R844">
        <v>0.99896613911092402</v>
      </c>
      <c r="S844" t="s">
        <v>5140</v>
      </c>
      <c r="T844" t="s">
        <v>8590</v>
      </c>
      <c r="U844" t="s">
        <v>8590</v>
      </c>
      <c r="V844" t="s">
        <v>8590</v>
      </c>
      <c r="W844">
        <v>22</v>
      </c>
      <c r="X844" t="s">
        <v>9434</v>
      </c>
      <c r="Y844">
        <v>0.57873962914391464</v>
      </c>
      <c r="Z844" t="str">
        <f>HYPERLINK("Melting_Curves/meltCurve_sp_P23246_SFPQ_HUMAN_.pdf", "Melting_Curves/meltCurve_sp_P23246_SFPQ_HUMAN_.pdf")</f>
        <v>Melting_Curves/meltCurve_sp_P23246_SFPQ_HUMAN_.pdf</v>
      </c>
      <c r="AA844" t="s">
        <v>13713</v>
      </c>
      <c r="AB844" t="s">
        <v>17929</v>
      </c>
    </row>
    <row r="845" spans="1:28" x14ac:dyDescent="0.25">
      <c r="A845" t="s">
        <v>849</v>
      </c>
      <c r="B845">
        <v>0.99876560204751996</v>
      </c>
      <c r="C845">
        <v>0.94971980363739406</v>
      </c>
      <c r="D845">
        <v>1.0264080033504499</v>
      </c>
      <c r="E845">
        <v>0.79135429516133304</v>
      </c>
      <c r="F845">
        <v>0.24446316181080099</v>
      </c>
      <c r="G845">
        <v>9.0329977350580098E-2</v>
      </c>
      <c r="H845">
        <v>5.5007896191048303E-2</v>
      </c>
      <c r="I845">
        <v>4.0209895150988002E-2</v>
      </c>
      <c r="J845">
        <v>3.5914099187215297E-2</v>
      </c>
      <c r="K845">
        <v>3.1103206389229601E-2</v>
      </c>
      <c r="L845">
        <v>2285.88140191511</v>
      </c>
      <c r="M845">
        <v>44.448859064152998</v>
      </c>
      <c r="N845">
        <v>51.542288021093803</v>
      </c>
      <c r="O845">
        <v>51.323453679396998</v>
      </c>
      <c r="P845">
        <v>-0.20628722269754299</v>
      </c>
      <c r="Q845">
        <v>4.7232384940510401E-2</v>
      </c>
      <c r="R845">
        <v>0.99729921096068097</v>
      </c>
      <c r="S845" t="s">
        <v>5141</v>
      </c>
      <c r="T845" t="s">
        <v>8590</v>
      </c>
      <c r="U845" t="s">
        <v>8590</v>
      </c>
      <c r="V845" t="s">
        <v>8590</v>
      </c>
      <c r="W845">
        <v>22</v>
      </c>
      <c r="X845" t="s">
        <v>9435</v>
      </c>
      <c r="Y845">
        <v>0.41288717808941822</v>
      </c>
      <c r="Z845" t="str">
        <f>HYPERLINK("Melting_Curves/meltCurve_sp_P23284_PPIB_HUMAN_.pdf", "Melting_Curves/meltCurve_sp_P23284_PPIB_HUMAN_.pdf")</f>
        <v>Melting_Curves/meltCurve_sp_P23284_PPIB_HUMAN_.pdf</v>
      </c>
      <c r="AA845" t="s">
        <v>13714</v>
      </c>
      <c r="AB845" t="s">
        <v>17930</v>
      </c>
    </row>
    <row r="846" spans="1:28" x14ac:dyDescent="0.25">
      <c r="A846" t="s">
        <v>850</v>
      </c>
      <c r="B846">
        <v>0.99876560204751996</v>
      </c>
      <c r="C846">
        <v>0.99787983672653502</v>
      </c>
      <c r="D846">
        <v>0.91635824180564596</v>
      </c>
      <c r="E846">
        <v>0.881664186681544</v>
      </c>
      <c r="F846">
        <v>0.53044777769027895</v>
      </c>
      <c r="G846">
        <v>0.21022825126070199</v>
      </c>
      <c r="H846">
        <v>0.132887192445727</v>
      </c>
      <c r="I846">
        <v>0.107527567301237</v>
      </c>
      <c r="J846">
        <v>0.101644589966898</v>
      </c>
      <c r="K846">
        <v>6.5544429490620101E-2</v>
      </c>
      <c r="L846">
        <v>1449.5180538483401</v>
      </c>
      <c r="M846">
        <v>27.353238089945801</v>
      </c>
      <c r="N846">
        <v>53.390379753227698</v>
      </c>
      <c r="O846">
        <v>52.711749543579998</v>
      </c>
      <c r="P846">
        <v>-0.117771255536084</v>
      </c>
      <c r="Q846">
        <v>9.2192227304546903E-2</v>
      </c>
      <c r="R846">
        <v>0.99538980976079805</v>
      </c>
      <c r="S846" t="s">
        <v>5142</v>
      </c>
      <c r="T846" t="s">
        <v>8590</v>
      </c>
      <c r="U846" t="s">
        <v>8590</v>
      </c>
      <c r="V846" t="s">
        <v>8590</v>
      </c>
      <c r="W846">
        <v>11</v>
      </c>
      <c r="X846" t="s">
        <v>9436</v>
      </c>
      <c r="Y846">
        <v>0.49239385605538982</v>
      </c>
      <c r="Z846" t="str">
        <f>HYPERLINK("Melting_Curves/meltCurve_sp_P23368_MAOM_HUMAN_.pdf", "Melting_Curves/meltCurve_sp_P23368_MAOM_HUMAN_.pdf")</f>
        <v>Melting_Curves/meltCurve_sp_P23368_MAOM_HUMAN_.pdf</v>
      </c>
      <c r="AA846" t="s">
        <v>13715</v>
      </c>
      <c r="AB846" t="s">
        <v>17931</v>
      </c>
    </row>
    <row r="847" spans="1:28" x14ac:dyDescent="0.25">
      <c r="A847" t="s">
        <v>851</v>
      </c>
      <c r="B847">
        <v>0.99876560204751996</v>
      </c>
      <c r="C847">
        <v>1.0370974102615</v>
      </c>
      <c r="D847">
        <v>0.79698087598637202</v>
      </c>
      <c r="E847">
        <v>0.95414712383309297</v>
      </c>
      <c r="F847">
        <v>0.78034726521828301</v>
      </c>
      <c r="G847">
        <v>0.57957593844440303</v>
      </c>
      <c r="H847">
        <v>0.34913903939159402</v>
      </c>
      <c r="I847">
        <v>0.209248133834495</v>
      </c>
      <c r="J847">
        <v>0.13155550631739901</v>
      </c>
      <c r="K847">
        <v>6.1423192955166697E-2</v>
      </c>
      <c r="L847">
        <v>805.37718374281201</v>
      </c>
      <c r="M847">
        <v>13.8651526254529</v>
      </c>
      <c r="N847">
        <v>58.086427653535203</v>
      </c>
      <c r="O847">
        <v>56.918126589289201</v>
      </c>
      <c r="P847">
        <v>-6.0907916887317101E-2</v>
      </c>
      <c r="Q847">
        <v>0</v>
      </c>
      <c r="R847">
        <v>0.97082206362897105</v>
      </c>
      <c r="S847" t="s">
        <v>5143</v>
      </c>
      <c r="T847" t="s">
        <v>8590</v>
      </c>
      <c r="U847" t="s">
        <v>8590</v>
      </c>
      <c r="V847" t="s">
        <v>8590</v>
      </c>
      <c r="W847">
        <v>58</v>
      </c>
      <c r="X847" t="s">
        <v>9437</v>
      </c>
      <c r="Y847">
        <v>0.61607350087035273</v>
      </c>
      <c r="Z847" t="str">
        <f>HYPERLINK("Melting_Curves/meltCurve_sp_P23378_GCSP_HUMAN_.pdf", "Melting_Curves/meltCurve_sp_P23378_GCSP_HUMAN_.pdf")</f>
        <v>Melting_Curves/meltCurve_sp_P23378_GCSP_HUMAN_.pdf</v>
      </c>
      <c r="AA847" t="s">
        <v>13716</v>
      </c>
      <c r="AB847" t="s">
        <v>17932</v>
      </c>
    </row>
    <row r="848" spans="1:28" x14ac:dyDescent="0.25">
      <c r="A848" t="s">
        <v>852</v>
      </c>
      <c r="B848">
        <v>0.99876560204751996</v>
      </c>
      <c r="C848">
        <v>1.0018101453110499</v>
      </c>
      <c r="D848">
        <v>0.95178248422706702</v>
      </c>
      <c r="E848">
        <v>1.02401529142866</v>
      </c>
      <c r="F848">
        <v>0.95631122638497401</v>
      </c>
      <c r="G848">
        <v>0.790764212286307</v>
      </c>
      <c r="H848">
        <v>0.64079821854918895</v>
      </c>
      <c r="I848">
        <v>0.64005183736544402</v>
      </c>
      <c r="J848">
        <v>0.65937711792694098</v>
      </c>
      <c r="K848">
        <v>0.61271684551706795</v>
      </c>
      <c r="L848">
        <v>2045.46669559975</v>
      </c>
      <c r="M848">
        <v>36.224672022933397</v>
      </c>
      <c r="O848">
        <v>56.2948702623207</v>
      </c>
      <c r="P848">
        <v>-5.9267267067409701E-2</v>
      </c>
      <c r="Q848">
        <v>0.63158450174132397</v>
      </c>
      <c r="R848">
        <v>0.98356052714488695</v>
      </c>
      <c r="S848" t="s">
        <v>5144</v>
      </c>
      <c r="T848" t="s">
        <v>8590</v>
      </c>
      <c r="U848" t="s">
        <v>8590</v>
      </c>
      <c r="V848" t="s">
        <v>8590</v>
      </c>
      <c r="W848">
        <v>21</v>
      </c>
      <c r="X848" t="s">
        <v>9438</v>
      </c>
      <c r="Y848">
        <v>0.83552546829494689</v>
      </c>
      <c r="Z848" t="str">
        <f>HYPERLINK("Melting_Curves/meltCurve_sp_P23381_SYWC_HUMAN_.pdf", "Melting_Curves/meltCurve_sp_P23381_SYWC_HUMAN_.pdf")</f>
        <v>Melting_Curves/meltCurve_sp_P23381_SYWC_HUMAN_.pdf</v>
      </c>
      <c r="AA848" t="s">
        <v>13717</v>
      </c>
      <c r="AB848" t="s">
        <v>17933</v>
      </c>
    </row>
    <row r="849" spans="1:28" x14ac:dyDescent="0.25">
      <c r="A849" t="s">
        <v>853</v>
      </c>
      <c r="B849">
        <v>0.99876560204751996</v>
      </c>
      <c r="C849">
        <v>0.93207605751594702</v>
      </c>
      <c r="D849">
        <v>0.93509450889958701</v>
      </c>
      <c r="E849">
        <v>1.03894966897635</v>
      </c>
      <c r="F849">
        <v>0.62589757149418501</v>
      </c>
      <c r="G849">
        <v>0.42852182010111101</v>
      </c>
      <c r="H849">
        <v>0.167003353735063</v>
      </c>
      <c r="I849">
        <v>0</v>
      </c>
      <c r="J849">
        <v>0</v>
      </c>
      <c r="K849">
        <v>0</v>
      </c>
      <c r="L849">
        <v>1150.17872354316</v>
      </c>
      <c r="M849">
        <v>20.6881707280881</v>
      </c>
      <c r="N849">
        <v>55.5959376522977</v>
      </c>
      <c r="O849">
        <v>55.0843233672746</v>
      </c>
      <c r="P849">
        <v>-9.3895860703193099E-2</v>
      </c>
      <c r="Q849">
        <v>0</v>
      </c>
      <c r="R849">
        <v>0.97563525582884603</v>
      </c>
      <c r="S849" t="s">
        <v>5145</v>
      </c>
      <c r="T849" t="s">
        <v>8590</v>
      </c>
      <c r="U849" t="s">
        <v>8590</v>
      </c>
      <c r="V849" t="s">
        <v>8590</v>
      </c>
      <c r="W849">
        <v>1</v>
      </c>
      <c r="X849" t="s">
        <v>9439</v>
      </c>
      <c r="Y849">
        <v>0.53232069006815053</v>
      </c>
      <c r="Z849" t="str">
        <f>HYPERLINK("Melting_Curves/meltCurve_sp_P23409_MYF6_HUMAN_.pdf", "Melting_Curves/meltCurve_sp_P23409_MYF6_HUMAN_.pdf")</f>
        <v>Melting_Curves/meltCurve_sp_P23409_MYF6_HUMAN_.pdf</v>
      </c>
      <c r="AA849" t="s">
        <v>13718</v>
      </c>
      <c r="AB849" t="s">
        <v>17934</v>
      </c>
    </row>
    <row r="850" spans="1:28" x14ac:dyDescent="0.25">
      <c r="A850" t="s">
        <v>854</v>
      </c>
      <c r="B850">
        <v>0.99876560204751996</v>
      </c>
      <c r="C850">
        <v>0.89407205897920505</v>
      </c>
      <c r="D850">
        <v>1.0066580870700601</v>
      </c>
      <c r="E850">
        <v>0.88520164118167699</v>
      </c>
      <c r="F850">
        <v>0.83408743790566997</v>
      </c>
      <c r="G850">
        <v>0.72741737304096898</v>
      </c>
      <c r="H850">
        <v>0.711536521392795</v>
      </c>
      <c r="I850">
        <v>0.64010577944785696</v>
      </c>
      <c r="J850">
        <v>0.81206341853295005</v>
      </c>
      <c r="K850">
        <v>0.78488754246933501</v>
      </c>
      <c r="L850">
        <v>1269.10219879346</v>
      </c>
      <c r="M850">
        <v>24.881104919347301</v>
      </c>
      <c r="O850">
        <v>50.680601841141304</v>
      </c>
      <c r="P850">
        <v>-3.2729365861606803E-2</v>
      </c>
      <c r="Q850">
        <v>0.73333640649648901</v>
      </c>
      <c r="R850">
        <v>0.76034741819140395</v>
      </c>
      <c r="S850" t="s">
        <v>5146</v>
      </c>
      <c r="T850" t="s">
        <v>8590</v>
      </c>
      <c r="U850" t="s">
        <v>8590</v>
      </c>
      <c r="V850" t="s">
        <v>8590</v>
      </c>
      <c r="W850">
        <v>4</v>
      </c>
      <c r="X850" t="s">
        <v>9440</v>
      </c>
      <c r="Y850">
        <v>0.83360420138009816</v>
      </c>
      <c r="Z850" t="str">
        <f>HYPERLINK("Melting_Curves/meltCurve_sp_P23434_GCSH_HUMAN_.pdf", "Melting_Curves/meltCurve_sp_P23434_GCSH_HUMAN_.pdf")</f>
        <v>Melting_Curves/meltCurve_sp_P23434_GCSH_HUMAN_.pdf</v>
      </c>
      <c r="AA850" t="s">
        <v>13719</v>
      </c>
      <c r="AB850" t="s">
        <v>17935</v>
      </c>
    </row>
    <row r="851" spans="1:28" x14ac:dyDescent="0.25">
      <c r="A851" t="s">
        <v>855</v>
      </c>
      <c r="B851">
        <v>0.99876560204751996</v>
      </c>
      <c r="C851">
        <v>1.05011128557099</v>
      </c>
      <c r="D851">
        <v>1.0156084813075901</v>
      </c>
      <c r="E851">
        <v>0.96467633561600696</v>
      </c>
      <c r="F851">
        <v>0.81195158503464904</v>
      </c>
      <c r="G851">
        <v>0.66891685464341799</v>
      </c>
      <c r="H851">
        <v>0.50763699942774698</v>
      </c>
      <c r="I851">
        <v>0.44846545780922398</v>
      </c>
      <c r="J851">
        <v>0.49639799126641099</v>
      </c>
      <c r="K851">
        <v>0.509013956672419</v>
      </c>
      <c r="L851">
        <v>1255.6336103731401</v>
      </c>
      <c r="M851">
        <v>22.8559888921687</v>
      </c>
      <c r="N851">
        <v>63.219710765739599</v>
      </c>
      <c r="O851">
        <v>54.521382590540803</v>
      </c>
      <c r="P851">
        <v>-5.5025625394707199E-2</v>
      </c>
      <c r="Q851">
        <v>0.47497076269271599</v>
      </c>
      <c r="R851">
        <v>0.98401854280937195</v>
      </c>
      <c r="S851" t="s">
        <v>5147</v>
      </c>
      <c r="T851" t="s">
        <v>8590</v>
      </c>
      <c r="U851" t="s">
        <v>8590</v>
      </c>
      <c r="V851" t="s">
        <v>8590</v>
      </c>
      <c r="W851">
        <v>7</v>
      </c>
      <c r="X851" t="s">
        <v>9441</v>
      </c>
      <c r="Y851">
        <v>0.74204295874779369</v>
      </c>
      <c r="Z851" t="str">
        <f>HYPERLINK("Melting_Curves/meltCurve_sp_P23497_SP100_HUMAN_.pdf", "Melting_Curves/meltCurve_sp_P23497_SP100_HUMAN_.pdf")</f>
        <v>Melting_Curves/meltCurve_sp_P23497_SP100_HUMAN_.pdf</v>
      </c>
      <c r="AA851" t="s">
        <v>13720</v>
      </c>
      <c r="AB851" t="s">
        <v>17936</v>
      </c>
    </row>
    <row r="852" spans="1:28" x14ac:dyDescent="0.25">
      <c r="A852" t="s">
        <v>856</v>
      </c>
      <c r="B852">
        <v>0.99876560204751996</v>
      </c>
      <c r="C852">
        <v>0.83478387938292697</v>
      </c>
      <c r="D852">
        <v>0.74818555790572905</v>
      </c>
      <c r="E852">
        <v>0.72393828666563298</v>
      </c>
      <c r="F852">
        <v>0.51566831576463901</v>
      </c>
      <c r="G852">
        <v>0.33390169339315801</v>
      </c>
      <c r="H852">
        <v>0.21227949788135</v>
      </c>
      <c r="I852">
        <v>0.20288605805545101</v>
      </c>
      <c r="J852">
        <v>0.21635178822142001</v>
      </c>
      <c r="K852">
        <v>0.18370329497216001</v>
      </c>
      <c r="L852">
        <v>506.86911970249002</v>
      </c>
      <c r="M852">
        <v>9.7502988470685104</v>
      </c>
      <c r="N852">
        <v>53.099412654742601</v>
      </c>
      <c r="O852">
        <v>49.939688302043002</v>
      </c>
      <c r="P852">
        <v>-4.4317782554376101E-2</v>
      </c>
      <c r="Q852">
        <v>9.2527804206364403E-2</v>
      </c>
      <c r="R852">
        <v>0.97333839336116301</v>
      </c>
      <c r="S852" t="s">
        <v>5148</v>
      </c>
      <c r="T852" t="s">
        <v>8590</v>
      </c>
      <c r="U852" t="s">
        <v>8590</v>
      </c>
      <c r="V852" t="s">
        <v>8590</v>
      </c>
      <c r="W852">
        <v>4</v>
      </c>
      <c r="X852" t="s">
        <v>9442</v>
      </c>
      <c r="Y852">
        <v>0.49051388265121809</v>
      </c>
      <c r="Z852" t="str">
        <f>HYPERLINK("Melting_Curves/meltCurve_sp_P23508_2_CRCM_HUMAN_.pdf", "Melting_Curves/meltCurve_sp_P23508_2_CRCM_HUMAN_.pdf")</f>
        <v>Melting_Curves/meltCurve_sp_P23508_2_CRCM_HUMAN_.pdf</v>
      </c>
      <c r="AA852" t="s">
        <v>13721</v>
      </c>
      <c r="AB852" t="s">
        <v>17937</v>
      </c>
    </row>
    <row r="853" spans="1:28" x14ac:dyDescent="0.25">
      <c r="A853" t="s">
        <v>857</v>
      </c>
      <c r="B853">
        <v>0.99876560204751996</v>
      </c>
      <c r="C853">
        <v>1.06113624673792</v>
      </c>
      <c r="D853">
        <v>0.96214159737656901</v>
      </c>
      <c r="E853">
        <v>1.0470014061382</v>
      </c>
      <c r="F853">
        <v>0.69414958696048601</v>
      </c>
      <c r="G853">
        <v>0.25364556572581998</v>
      </c>
      <c r="H853">
        <v>0.11786843901767199</v>
      </c>
      <c r="I853">
        <v>5.87395076144673E-2</v>
      </c>
      <c r="J853">
        <v>4.4438395919002102E-2</v>
      </c>
      <c r="K853">
        <v>3.52987168869658E-2</v>
      </c>
      <c r="L853">
        <v>1765.1767112407199</v>
      </c>
      <c r="M853">
        <v>32.3812919500673</v>
      </c>
      <c r="N853">
        <v>54.709644744169701</v>
      </c>
      <c r="O853">
        <v>54.305599397326702</v>
      </c>
      <c r="P853">
        <v>-0.14085130985480299</v>
      </c>
      <c r="Q853">
        <v>5.5136177061226199E-2</v>
      </c>
      <c r="R853">
        <v>0.99099181889437704</v>
      </c>
      <c r="S853" t="s">
        <v>5149</v>
      </c>
      <c r="T853" t="s">
        <v>8590</v>
      </c>
      <c r="U853" t="s">
        <v>8590</v>
      </c>
      <c r="V853" t="s">
        <v>8590</v>
      </c>
      <c r="W853">
        <v>29</v>
      </c>
      <c r="X853" t="s">
        <v>9443</v>
      </c>
      <c r="Y853">
        <v>0.51759233707025665</v>
      </c>
      <c r="Z853" t="str">
        <f>HYPERLINK("Melting_Curves/meltCurve_sp_P23526_SAHH_HUMAN_.pdf", "Melting_Curves/meltCurve_sp_P23526_SAHH_HUMAN_.pdf")</f>
        <v>Melting_Curves/meltCurve_sp_P23526_SAHH_HUMAN_.pdf</v>
      </c>
      <c r="AA853" t="s">
        <v>13722</v>
      </c>
      <c r="AB853" t="s">
        <v>17938</v>
      </c>
    </row>
    <row r="854" spans="1:28" x14ac:dyDescent="0.25">
      <c r="A854" t="s">
        <v>858</v>
      </c>
      <c r="B854">
        <v>0.99876560204751996</v>
      </c>
      <c r="C854">
        <v>0.99387897479280995</v>
      </c>
      <c r="D854">
        <v>1.0964823761228</v>
      </c>
      <c r="E854">
        <v>0.93287939864929303</v>
      </c>
      <c r="F854">
        <v>0.91046558864910199</v>
      </c>
      <c r="G854">
        <v>0.73301119716899199</v>
      </c>
      <c r="H854">
        <v>0.56629899980054998</v>
      </c>
      <c r="I854">
        <v>0.559033393836742</v>
      </c>
      <c r="J854">
        <v>0.67948709996990297</v>
      </c>
      <c r="K854">
        <v>0.73893666364574595</v>
      </c>
      <c r="L854">
        <v>1852.0511504230101</v>
      </c>
      <c r="M854">
        <v>33.893108851776901</v>
      </c>
      <c r="O854">
        <v>54.454708173208502</v>
      </c>
      <c r="P854">
        <v>-5.6371398109716399E-2</v>
      </c>
      <c r="Q854">
        <v>0.63772272891986903</v>
      </c>
      <c r="R854">
        <v>0.88359817551724096</v>
      </c>
      <c r="S854" t="s">
        <v>5150</v>
      </c>
      <c r="T854" t="s">
        <v>8590</v>
      </c>
      <c r="U854" t="s">
        <v>8590</v>
      </c>
      <c r="V854" t="s">
        <v>8590</v>
      </c>
      <c r="W854">
        <v>18</v>
      </c>
      <c r="X854" t="s">
        <v>9444</v>
      </c>
      <c r="Y854">
        <v>0.81645371889046003</v>
      </c>
      <c r="Z854" t="str">
        <f>HYPERLINK("Melting_Curves/meltCurve_sp_P23528_COF1_HUMAN_.pdf", "Melting_Curves/meltCurve_sp_P23528_COF1_HUMAN_.pdf")</f>
        <v>Melting_Curves/meltCurve_sp_P23528_COF1_HUMAN_.pdf</v>
      </c>
      <c r="AA854" t="s">
        <v>13723</v>
      </c>
      <c r="AB854" t="s">
        <v>17939</v>
      </c>
    </row>
    <row r="855" spans="1:28" x14ac:dyDescent="0.25">
      <c r="A855" t="s">
        <v>859</v>
      </c>
      <c r="B855">
        <v>0.99876560204751996</v>
      </c>
      <c r="C855">
        <v>0.953506069783154</v>
      </c>
      <c r="D855">
        <v>1.0476794483148</v>
      </c>
      <c r="E855">
        <v>0.96601994776021305</v>
      </c>
      <c r="F855">
        <v>1.0164436140305699</v>
      </c>
      <c r="G855">
        <v>0.81559587266436395</v>
      </c>
      <c r="H855">
        <v>0.78486561186522896</v>
      </c>
      <c r="I855">
        <v>0.81303349465047603</v>
      </c>
      <c r="J855">
        <v>1.03170747335057</v>
      </c>
      <c r="K855">
        <v>1.0561123015887799</v>
      </c>
      <c r="L855">
        <v>5152.7176363386197</v>
      </c>
      <c r="M855">
        <v>94.507925911428003</v>
      </c>
      <c r="O855">
        <v>54.497153847540403</v>
      </c>
      <c r="P855">
        <v>-4.3136458600397297E-2</v>
      </c>
      <c r="Q855">
        <v>0.90050301133034305</v>
      </c>
      <c r="R855">
        <v>0.22885518866332599</v>
      </c>
      <c r="S855" t="s">
        <v>5151</v>
      </c>
      <c r="T855" t="s">
        <v>8590</v>
      </c>
      <c r="U855" t="s">
        <v>8590</v>
      </c>
      <c r="V855" t="s">
        <v>8590</v>
      </c>
      <c r="W855">
        <v>25</v>
      </c>
      <c r="X855" t="s">
        <v>9445</v>
      </c>
      <c r="Y855">
        <v>0.94873136759377397</v>
      </c>
      <c r="Z855" t="str">
        <f>HYPERLINK("Melting_Curves/meltCurve_sp_P23588_IF4B_HUMAN_.pdf", "Melting_Curves/meltCurve_sp_P23588_IF4B_HUMAN_.pdf")</f>
        <v>Melting_Curves/meltCurve_sp_P23588_IF4B_HUMAN_.pdf</v>
      </c>
      <c r="AA855" t="s">
        <v>13724</v>
      </c>
      <c r="AB855" t="s">
        <v>17940</v>
      </c>
    </row>
    <row r="856" spans="1:28" x14ac:dyDescent="0.25">
      <c r="A856" t="s">
        <v>860</v>
      </c>
      <c r="B856">
        <v>0.99876560204751996</v>
      </c>
      <c r="C856">
        <v>0.62139538319115795</v>
      </c>
      <c r="D856">
        <v>0.40865689360323498</v>
      </c>
      <c r="E856">
        <v>0.26197059227066999</v>
      </c>
      <c r="F856">
        <v>0.122250378793318</v>
      </c>
      <c r="G856">
        <v>6.2182340152229502E-2</v>
      </c>
      <c r="H856">
        <v>5.15017954935129E-2</v>
      </c>
      <c r="I856">
        <v>3.5570027389646798E-2</v>
      </c>
      <c r="J856">
        <v>2.9086090111173499E-2</v>
      </c>
      <c r="K856">
        <v>2.4344226291433398E-2</v>
      </c>
      <c r="L856">
        <v>715.95950894801501</v>
      </c>
      <c r="M856">
        <v>15.920376966324501</v>
      </c>
      <c r="N856">
        <v>45.179548924647399</v>
      </c>
      <c r="O856">
        <v>44.279670014990202</v>
      </c>
      <c r="P856">
        <v>-8.6712077201927099E-2</v>
      </c>
      <c r="Q856">
        <v>3.53809995728257E-2</v>
      </c>
      <c r="R856">
        <v>0.97494459464010697</v>
      </c>
      <c r="S856" t="s">
        <v>5152</v>
      </c>
      <c r="T856" t="s">
        <v>8590</v>
      </c>
      <c r="U856" t="s">
        <v>8590</v>
      </c>
      <c r="V856" t="s">
        <v>8590</v>
      </c>
      <c r="W856">
        <v>22</v>
      </c>
      <c r="X856" t="s">
        <v>9446</v>
      </c>
      <c r="Y856">
        <v>0.2226090001216551</v>
      </c>
      <c r="Z856" t="str">
        <f>HYPERLINK("Melting_Curves/meltCurve_sp_P23786_CPT2_HUMAN_.pdf", "Melting_Curves/meltCurve_sp_P23786_CPT2_HUMAN_.pdf")</f>
        <v>Melting_Curves/meltCurve_sp_P23786_CPT2_HUMAN_.pdf</v>
      </c>
      <c r="AA856" t="s">
        <v>13725</v>
      </c>
      <c r="AB856" t="s">
        <v>17941</v>
      </c>
    </row>
    <row r="857" spans="1:28" x14ac:dyDescent="0.25">
      <c r="A857" t="s">
        <v>861</v>
      </c>
      <c r="B857">
        <v>0.99876560204751996</v>
      </c>
      <c r="C857">
        <v>0.99404892922890897</v>
      </c>
      <c r="D857">
        <v>1.03585080700073</v>
      </c>
      <c r="E857">
        <v>0.72970023019368802</v>
      </c>
      <c r="F857">
        <v>0.65389843911123602</v>
      </c>
      <c r="G857">
        <v>0.32271530798515102</v>
      </c>
      <c r="H857">
        <v>0.20535673265037299</v>
      </c>
      <c r="I857">
        <v>0.16605780263494499</v>
      </c>
      <c r="J857">
        <v>0.18010698633856401</v>
      </c>
      <c r="K857">
        <v>0.17991568915868</v>
      </c>
      <c r="L857">
        <v>1028.3368322693</v>
      </c>
      <c r="M857">
        <v>19.317050151799702</v>
      </c>
      <c r="N857">
        <v>54.261462533493898</v>
      </c>
      <c r="O857">
        <v>52.674009247233897</v>
      </c>
      <c r="P857">
        <v>-7.7649704869299202E-2</v>
      </c>
      <c r="Q857">
        <v>0.15308633113104</v>
      </c>
      <c r="R857">
        <v>0.98660073080879795</v>
      </c>
      <c r="S857" t="s">
        <v>5153</v>
      </c>
      <c r="T857" t="s">
        <v>8590</v>
      </c>
      <c r="U857" t="s">
        <v>8590</v>
      </c>
      <c r="V857" t="s">
        <v>8590</v>
      </c>
      <c r="W857">
        <v>6</v>
      </c>
      <c r="X857" t="s">
        <v>9447</v>
      </c>
      <c r="Y857">
        <v>0.53902365896076865</v>
      </c>
      <c r="Z857" t="str">
        <f>HYPERLINK("Melting_Curves/meltCurve_sp_P23919_KTHY_HUMAN_.pdf", "Melting_Curves/meltCurve_sp_P23919_KTHY_HUMAN_.pdf")</f>
        <v>Melting_Curves/meltCurve_sp_P23919_KTHY_HUMAN_.pdf</v>
      </c>
      <c r="AA857" t="s">
        <v>13726</v>
      </c>
      <c r="AB857" t="s">
        <v>17942</v>
      </c>
    </row>
    <row r="858" spans="1:28" x14ac:dyDescent="0.25">
      <c r="A858" t="s">
        <v>862</v>
      </c>
      <c r="B858">
        <v>0.99876560204751996</v>
      </c>
      <c r="C858">
        <v>0.86395128846106195</v>
      </c>
      <c r="D858">
        <v>0.756952223745464</v>
      </c>
      <c r="E858">
        <v>0.552038235187718</v>
      </c>
      <c r="F858">
        <v>0.268334874133424</v>
      </c>
      <c r="G858">
        <v>0.14244988705071601</v>
      </c>
      <c r="H858">
        <v>7.2996776341880898E-2</v>
      </c>
      <c r="I858">
        <v>4.9729608354614499E-2</v>
      </c>
      <c r="J858">
        <v>4.26393882622145E-2</v>
      </c>
      <c r="K858">
        <v>2.3096996066781901E-2</v>
      </c>
      <c r="L858">
        <v>698.718440849692</v>
      </c>
      <c r="M858">
        <v>14.0013486706083</v>
      </c>
      <c r="N858">
        <v>49.929673754212601</v>
      </c>
      <c r="O858">
        <v>48.918732298702999</v>
      </c>
      <c r="P858">
        <v>-7.1303440174685206E-2</v>
      </c>
      <c r="Q858">
        <v>3.6352517756212798E-3</v>
      </c>
      <c r="R858">
        <v>0.99384980988305205</v>
      </c>
      <c r="S858" t="s">
        <v>5154</v>
      </c>
      <c r="T858" t="s">
        <v>8590</v>
      </c>
      <c r="U858" t="s">
        <v>8590</v>
      </c>
      <c r="V858" t="s">
        <v>8590</v>
      </c>
      <c r="W858">
        <v>6</v>
      </c>
      <c r="X858" t="s">
        <v>9448</v>
      </c>
      <c r="Y858">
        <v>0.35945056730567532</v>
      </c>
      <c r="Z858" t="str">
        <f>HYPERLINK("Melting_Curves/meltCurve_sp_P23921_RIR1_HUMAN_.pdf", "Melting_Curves/meltCurve_sp_P23921_RIR1_HUMAN_.pdf")</f>
        <v>Melting_Curves/meltCurve_sp_P23921_RIR1_HUMAN_.pdf</v>
      </c>
      <c r="AA858" t="s">
        <v>13727</v>
      </c>
      <c r="AB858" t="s">
        <v>17943</v>
      </c>
    </row>
    <row r="859" spans="1:28" x14ac:dyDescent="0.25">
      <c r="A859" t="s">
        <v>863</v>
      </c>
      <c r="B859">
        <v>0.99876560204751996</v>
      </c>
      <c r="C859">
        <v>0.99025252201984604</v>
      </c>
      <c r="D859">
        <v>0.92546343202280501</v>
      </c>
      <c r="E859">
        <v>0.55616989155228402</v>
      </c>
      <c r="F859">
        <v>0.420161846153983</v>
      </c>
      <c r="G859">
        <v>0.219782231805559</v>
      </c>
      <c r="H859">
        <v>0.16225817797865</v>
      </c>
      <c r="I859">
        <v>0.14488732099853899</v>
      </c>
      <c r="J859">
        <v>9.5435087234058497E-2</v>
      </c>
      <c r="K859">
        <v>7.2698146410366996E-2</v>
      </c>
      <c r="L859">
        <v>905.24281425744095</v>
      </c>
      <c r="M859">
        <v>17.81444909412</v>
      </c>
      <c r="N859">
        <v>51.4537701081099</v>
      </c>
      <c r="O859">
        <v>50.187723544337501</v>
      </c>
      <c r="P859">
        <v>-7.99409553805321E-2</v>
      </c>
      <c r="Q859">
        <v>9.9191924651479899E-2</v>
      </c>
      <c r="R859">
        <v>0.99302815943915601</v>
      </c>
      <c r="S859" t="s">
        <v>5155</v>
      </c>
      <c r="T859" t="s">
        <v>8590</v>
      </c>
      <c r="U859" t="s">
        <v>8590</v>
      </c>
      <c r="V859" t="s">
        <v>8590</v>
      </c>
      <c r="W859">
        <v>1</v>
      </c>
      <c r="X859" t="s">
        <v>9449</v>
      </c>
      <c r="Y859">
        <v>0.43943586764905268</v>
      </c>
      <c r="Z859" t="str">
        <f>HYPERLINK("Melting_Curves/meltCurve_sp_P24158_PRTN3_HUMAN_.pdf", "Melting_Curves/meltCurve_sp_P24158_PRTN3_HUMAN_.pdf")</f>
        <v>Melting_Curves/meltCurve_sp_P24158_PRTN3_HUMAN_.pdf</v>
      </c>
      <c r="AA859" t="s">
        <v>13728</v>
      </c>
      <c r="AB859" t="s">
        <v>17944</v>
      </c>
    </row>
    <row r="860" spans="1:28" x14ac:dyDescent="0.25">
      <c r="A860" t="s">
        <v>864</v>
      </c>
      <c r="B860">
        <v>0.99876560204751996</v>
      </c>
      <c r="C860">
        <v>1.0220271275681401</v>
      </c>
      <c r="D860">
        <v>1.0024077815766601</v>
      </c>
      <c r="E860">
        <v>1.0518697236468</v>
      </c>
      <c r="F860">
        <v>1.00564645205874</v>
      </c>
      <c r="G860">
        <v>0.82388218037545302</v>
      </c>
      <c r="H860">
        <v>0.540578121040443</v>
      </c>
      <c r="I860">
        <v>0.31101404329156801</v>
      </c>
      <c r="J860">
        <v>0.16517651892370699</v>
      </c>
      <c r="K860">
        <v>0.106319637679695</v>
      </c>
      <c r="L860">
        <v>1391.9927407606599</v>
      </c>
      <c r="M860">
        <v>22.786130522776499</v>
      </c>
      <c r="N860">
        <v>61.4214652152654</v>
      </c>
      <c r="O860">
        <v>60.624794310374803</v>
      </c>
      <c r="P860">
        <v>-8.8521308436342996E-2</v>
      </c>
      <c r="Q860">
        <v>5.7938899184900798E-2</v>
      </c>
      <c r="R860">
        <v>0.99582323859706801</v>
      </c>
      <c r="S860" t="s">
        <v>5156</v>
      </c>
      <c r="T860" t="s">
        <v>8590</v>
      </c>
      <c r="U860" t="s">
        <v>8590</v>
      </c>
      <c r="V860" t="s">
        <v>8590</v>
      </c>
      <c r="W860">
        <v>28</v>
      </c>
      <c r="X860" t="s">
        <v>9450</v>
      </c>
      <c r="Y860">
        <v>0.72605425618363006</v>
      </c>
      <c r="Z860" t="str">
        <f>HYPERLINK("Melting_Curves/meltCurve_sp_P24298_ALAT1_HUMAN_.pdf", "Melting_Curves/meltCurve_sp_P24298_ALAT1_HUMAN_.pdf")</f>
        <v>Melting_Curves/meltCurve_sp_P24298_ALAT1_HUMAN_.pdf</v>
      </c>
      <c r="AA860" t="s">
        <v>13729</v>
      </c>
      <c r="AB860" t="s">
        <v>17945</v>
      </c>
    </row>
    <row r="861" spans="1:28" x14ac:dyDescent="0.25">
      <c r="A861" t="s">
        <v>865</v>
      </c>
      <c r="B861">
        <v>0.99876560204751996</v>
      </c>
      <c r="C861">
        <v>1.09517848741798</v>
      </c>
      <c r="D861">
        <v>0.95426722999464197</v>
      </c>
      <c r="E861">
        <v>0.96181314263256101</v>
      </c>
      <c r="F861">
        <v>0.73511114278165202</v>
      </c>
      <c r="G861">
        <v>0.58260916184669898</v>
      </c>
      <c r="H861">
        <v>0.55684180186032395</v>
      </c>
      <c r="I861">
        <v>0.61256536792429594</v>
      </c>
      <c r="J861">
        <v>0.72946719138638905</v>
      </c>
      <c r="K861">
        <v>0.77687609396417501</v>
      </c>
      <c r="L861">
        <v>3059.9289404701099</v>
      </c>
      <c r="M861">
        <v>58.966043238949098</v>
      </c>
      <c r="O861">
        <v>51.833484206575498</v>
      </c>
      <c r="P861">
        <v>-9.8974789501224694E-2</v>
      </c>
      <c r="Q861">
        <v>0.651989134330622</v>
      </c>
      <c r="R861">
        <v>0.85221049419823502</v>
      </c>
      <c r="S861" t="s">
        <v>5157</v>
      </c>
      <c r="T861" t="s">
        <v>8590</v>
      </c>
      <c r="U861" t="s">
        <v>8590</v>
      </c>
      <c r="V861" t="s">
        <v>8590</v>
      </c>
      <c r="W861">
        <v>12</v>
      </c>
      <c r="X861" t="s">
        <v>9451</v>
      </c>
      <c r="Y861">
        <v>0.79052490088006688</v>
      </c>
      <c r="Z861" t="str">
        <f>HYPERLINK("Melting_Curves/meltCurve_sp_P24534_EF1B_HUMAN_.pdf", "Melting_Curves/meltCurve_sp_P24534_EF1B_HUMAN_.pdf")</f>
        <v>Melting_Curves/meltCurve_sp_P24534_EF1B_HUMAN_.pdf</v>
      </c>
      <c r="AA861" t="s">
        <v>13730</v>
      </c>
      <c r="AB861" t="s">
        <v>17946</v>
      </c>
    </row>
    <row r="862" spans="1:28" x14ac:dyDescent="0.25">
      <c r="A862" t="s">
        <v>866</v>
      </c>
      <c r="B862">
        <v>0.99876560204751996</v>
      </c>
      <c r="C862">
        <v>0.95410437395589598</v>
      </c>
      <c r="D862">
        <v>1.23443632386835</v>
      </c>
      <c r="E862">
        <v>0.88386079429333597</v>
      </c>
      <c r="F862">
        <v>0.98129398567124904</v>
      </c>
      <c r="G862">
        <v>0.40081096215341899</v>
      </c>
      <c r="H862">
        <v>0.38067887838208297</v>
      </c>
      <c r="I862">
        <v>0.26984789163474698</v>
      </c>
      <c r="J862">
        <v>0.30701757652387202</v>
      </c>
      <c r="K862">
        <v>0.246552974280317</v>
      </c>
      <c r="L862">
        <v>3776.56977216415</v>
      </c>
      <c r="M862">
        <v>68.0036598378273</v>
      </c>
      <c r="N862">
        <v>56.293228706456802</v>
      </c>
      <c r="O862">
        <v>55.486835742845201</v>
      </c>
      <c r="P862">
        <v>-0.214482525468703</v>
      </c>
      <c r="Q862">
        <v>0.29998157719486201</v>
      </c>
      <c r="R862">
        <v>0.93688561815998395</v>
      </c>
      <c r="S862" t="s">
        <v>5158</v>
      </c>
      <c r="T862" t="s">
        <v>8590</v>
      </c>
      <c r="U862" t="s">
        <v>8590</v>
      </c>
      <c r="V862" t="s">
        <v>8590</v>
      </c>
      <c r="W862">
        <v>7</v>
      </c>
      <c r="X862" t="s">
        <v>9452</v>
      </c>
      <c r="Y862">
        <v>0.66339443965926292</v>
      </c>
      <c r="Z862" t="str">
        <f>HYPERLINK("Melting_Curves/meltCurve_sp_P24666_2_PPAC_HUMAN_.pdf", "Melting_Curves/meltCurve_sp_P24666_2_PPAC_HUMAN_.pdf")</f>
        <v>Melting_Curves/meltCurve_sp_P24666_2_PPAC_HUMAN_.pdf</v>
      </c>
      <c r="AA862" t="s">
        <v>13731</v>
      </c>
      <c r="AB862" t="s">
        <v>17947</v>
      </c>
    </row>
    <row r="863" spans="1:28" x14ac:dyDescent="0.25">
      <c r="A863" t="s">
        <v>867</v>
      </c>
      <c r="B863">
        <v>0.99876560204751996</v>
      </c>
      <c r="C863">
        <v>0.91174312014724901</v>
      </c>
      <c r="D863">
        <v>1.0050104354236</v>
      </c>
      <c r="E863">
        <v>0.64976930827823998</v>
      </c>
      <c r="F863">
        <v>0.49054560272764902</v>
      </c>
      <c r="G863">
        <v>0.22661411373906301</v>
      </c>
      <c r="H863">
        <v>0.11226645039858101</v>
      </c>
      <c r="I863">
        <v>8.6769487843690499E-2</v>
      </c>
      <c r="J863">
        <v>8.6068269361417496E-2</v>
      </c>
      <c r="K863">
        <v>6.61535470467364E-2</v>
      </c>
      <c r="L863">
        <v>942.58816962695801</v>
      </c>
      <c r="M863">
        <v>18.076916441888098</v>
      </c>
      <c r="N863">
        <v>52.509220001389401</v>
      </c>
      <c r="O863">
        <v>51.517645823971201</v>
      </c>
      <c r="P863">
        <v>-8.2533160089544602E-2</v>
      </c>
      <c r="Q863">
        <v>5.9196308000580997E-2</v>
      </c>
      <c r="R863">
        <v>0.98918389135734497</v>
      </c>
      <c r="S863" t="s">
        <v>5159</v>
      </c>
      <c r="T863" t="s">
        <v>8590</v>
      </c>
      <c r="U863" t="s">
        <v>8590</v>
      </c>
      <c r="V863" t="s">
        <v>8590</v>
      </c>
      <c r="W863">
        <v>11</v>
      </c>
      <c r="X863" t="s">
        <v>9453</v>
      </c>
      <c r="Y863">
        <v>0.45552028636047998</v>
      </c>
      <c r="Z863" t="str">
        <f>HYPERLINK("Melting_Curves/meltCurve_sp_P24666_PPAC_HUMAN_.pdf", "Melting_Curves/meltCurve_sp_P24666_PPAC_HUMAN_.pdf")</f>
        <v>Melting_Curves/meltCurve_sp_P24666_PPAC_HUMAN_.pdf</v>
      </c>
      <c r="AA863" t="s">
        <v>13731</v>
      </c>
      <c r="AB863" t="s">
        <v>17948</v>
      </c>
    </row>
    <row r="864" spans="1:28" x14ac:dyDescent="0.25">
      <c r="A864" t="s">
        <v>868</v>
      </c>
      <c r="B864">
        <v>0.99876560204751996</v>
      </c>
      <c r="C864">
        <v>1.0482588657725</v>
      </c>
      <c r="D864">
        <v>0.969428478321263</v>
      </c>
      <c r="E864">
        <v>0.86455131455739997</v>
      </c>
      <c r="F864">
        <v>0.25944845509722603</v>
      </c>
      <c r="G864">
        <v>0.11941268231803399</v>
      </c>
      <c r="H864">
        <v>6.7819042426710205E-2</v>
      </c>
      <c r="I864">
        <v>4.5200695125358598E-2</v>
      </c>
      <c r="J864">
        <v>4.2324138426777298E-2</v>
      </c>
      <c r="K864">
        <v>3.3655159564756301E-2</v>
      </c>
      <c r="L864">
        <v>2660.2705910458899</v>
      </c>
      <c r="M864">
        <v>51.464575523209099</v>
      </c>
      <c r="N864">
        <v>51.818139048914901</v>
      </c>
      <c r="O864">
        <v>51.613427645007498</v>
      </c>
      <c r="P864">
        <v>-0.23452616038688201</v>
      </c>
      <c r="Q864">
        <v>5.9182803118073599E-2</v>
      </c>
      <c r="R864">
        <v>0.99620795508940796</v>
      </c>
      <c r="S864" t="s">
        <v>5160</v>
      </c>
      <c r="T864" t="s">
        <v>8590</v>
      </c>
      <c r="U864" t="s">
        <v>8590</v>
      </c>
      <c r="V864" t="s">
        <v>8590</v>
      </c>
      <c r="W864">
        <v>42</v>
      </c>
      <c r="X864" t="s">
        <v>9454</v>
      </c>
      <c r="Y864">
        <v>0.427852640353171</v>
      </c>
      <c r="Z864" t="str">
        <f>HYPERLINK("Melting_Curves/meltCurve_sp_P24752_THIL_HUMAN_.pdf", "Melting_Curves/meltCurve_sp_P24752_THIL_HUMAN_.pdf")</f>
        <v>Melting_Curves/meltCurve_sp_P24752_THIL_HUMAN_.pdf</v>
      </c>
      <c r="AA864" t="s">
        <v>13732</v>
      </c>
      <c r="AB864" t="s">
        <v>17949</v>
      </c>
    </row>
    <row r="865" spans="1:28" x14ac:dyDescent="0.25">
      <c r="A865" t="s">
        <v>869</v>
      </c>
      <c r="B865">
        <v>0.99876560204751996</v>
      </c>
      <c r="C865">
        <v>0.91232234793400202</v>
      </c>
      <c r="D865">
        <v>0.72898385113987596</v>
      </c>
      <c r="E865">
        <v>0.63243480066081403</v>
      </c>
      <c r="F865">
        <v>0.42986716671683001</v>
      </c>
      <c r="G865">
        <v>0.40519260512261202</v>
      </c>
      <c r="H865">
        <v>0.34512703203258499</v>
      </c>
      <c r="I865">
        <v>0.25004123650536503</v>
      </c>
      <c r="J865">
        <v>0.226040487755192</v>
      </c>
      <c r="K865">
        <v>0.20460687108940601</v>
      </c>
      <c r="L865">
        <v>532.084369223453</v>
      </c>
      <c r="M865">
        <v>10.586974904870599</v>
      </c>
      <c r="N865">
        <v>52.576261715124303</v>
      </c>
      <c r="O865">
        <v>48.564668846708898</v>
      </c>
      <c r="P865">
        <v>-4.4353838711649302E-2</v>
      </c>
      <c r="Q865">
        <v>0.18647666260464399</v>
      </c>
      <c r="R865">
        <v>0.98135900916609597</v>
      </c>
      <c r="S865" t="s">
        <v>5161</v>
      </c>
      <c r="T865" t="s">
        <v>8590</v>
      </c>
      <c r="U865" t="s">
        <v>8590</v>
      </c>
      <c r="V865" t="s">
        <v>8590</v>
      </c>
      <c r="W865">
        <v>4</v>
      </c>
      <c r="X865" t="s">
        <v>9455</v>
      </c>
      <c r="Y865">
        <v>0.49797252066161718</v>
      </c>
      <c r="Z865" t="str">
        <f>HYPERLINK("Melting_Curves/meltCurve_sp_P24928_RPB1_HUMAN_.pdf", "Melting_Curves/meltCurve_sp_P24928_RPB1_HUMAN_.pdf")</f>
        <v>Melting_Curves/meltCurve_sp_P24928_RPB1_HUMAN_.pdf</v>
      </c>
      <c r="AA865" t="s">
        <v>13733</v>
      </c>
      <c r="AB865" t="s">
        <v>17950</v>
      </c>
    </row>
    <row r="866" spans="1:28" x14ac:dyDescent="0.25">
      <c r="A866" t="s">
        <v>870</v>
      </c>
      <c r="B866">
        <v>0.99876560204751996</v>
      </c>
      <c r="C866">
        <v>0.92856336518458304</v>
      </c>
      <c r="D866">
        <v>0.91920725909989598</v>
      </c>
      <c r="E866">
        <v>0.64943133664333896</v>
      </c>
      <c r="F866">
        <v>0.34728019003944899</v>
      </c>
      <c r="G866">
        <v>0.21055916880935999</v>
      </c>
      <c r="H866">
        <v>0.123819296949187</v>
      </c>
      <c r="I866">
        <v>7.6367668605261493E-2</v>
      </c>
      <c r="J866">
        <v>6.4028808199467699E-2</v>
      </c>
      <c r="K866">
        <v>3.4950235903904697E-2</v>
      </c>
      <c r="L866">
        <v>934.52475055673801</v>
      </c>
      <c r="M866">
        <v>18.233670087995499</v>
      </c>
      <c r="N866">
        <v>51.567519150871497</v>
      </c>
      <c r="O866">
        <v>50.648146629748602</v>
      </c>
      <c r="P866">
        <v>-8.5265058513842001E-2</v>
      </c>
      <c r="Q866">
        <v>5.2672410566251701E-2</v>
      </c>
      <c r="R866">
        <v>0.99545009337898105</v>
      </c>
      <c r="S866" t="s">
        <v>5162</v>
      </c>
      <c r="T866" t="s">
        <v>8590</v>
      </c>
      <c r="U866" t="s">
        <v>8590</v>
      </c>
      <c r="V866" t="s">
        <v>8590</v>
      </c>
      <c r="W866">
        <v>8</v>
      </c>
      <c r="X866" t="s">
        <v>9456</v>
      </c>
      <c r="Y866">
        <v>0.42355786535305312</v>
      </c>
      <c r="Z866" t="str">
        <f>HYPERLINK("Melting_Curves/meltCurve_sp_P24941_CDK2_HUMAN_.pdf", "Melting_Curves/meltCurve_sp_P24941_CDK2_HUMAN_.pdf")</f>
        <v>Melting_Curves/meltCurve_sp_P24941_CDK2_HUMAN_.pdf</v>
      </c>
      <c r="AA866" t="s">
        <v>13734</v>
      </c>
      <c r="AB866" t="s">
        <v>17951</v>
      </c>
    </row>
    <row r="867" spans="1:28" x14ac:dyDescent="0.25">
      <c r="A867" t="s">
        <v>871</v>
      </c>
      <c r="B867">
        <v>0.99876560204751996</v>
      </c>
      <c r="C867">
        <v>0.99320979701592704</v>
      </c>
      <c r="D867">
        <v>1.07965534904563</v>
      </c>
      <c r="E867">
        <v>0.982263510593264</v>
      </c>
      <c r="F867">
        <v>1.11010210096344</v>
      </c>
      <c r="G867">
        <v>0.64450082570885103</v>
      </c>
      <c r="H867">
        <v>0.83225292143275398</v>
      </c>
      <c r="I867">
        <v>0.67384890799309805</v>
      </c>
      <c r="J867">
        <v>0.78982292001855003</v>
      </c>
      <c r="K867">
        <v>0.55201356089113696</v>
      </c>
      <c r="L867">
        <v>13753.3370272067</v>
      </c>
      <c r="M867">
        <v>250</v>
      </c>
      <c r="O867">
        <v>55.009827758900499</v>
      </c>
      <c r="P867">
        <v>-0.34257362217719201</v>
      </c>
      <c r="Q867">
        <v>0.69848134590642597</v>
      </c>
      <c r="R867">
        <v>0.79640467188722497</v>
      </c>
      <c r="S867" t="s">
        <v>5163</v>
      </c>
      <c r="T867" t="s">
        <v>8590</v>
      </c>
      <c r="U867" t="s">
        <v>8590</v>
      </c>
      <c r="V867" t="s">
        <v>8590</v>
      </c>
      <c r="W867">
        <v>2</v>
      </c>
      <c r="X867" t="s">
        <v>9457</v>
      </c>
      <c r="Y867">
        <v>0.84940394064010027</v>
      </c>
      <c r="Z867" t="str">
        <f>HYPERLINK("Melting_Curves/meltCurve_sp_P25054_2_APC_HUMAN_.pdf", "Melting_Curves/meltCurve_sp_P25054_2_APC_HUMAN_.pdf")</f>
        <v>Melting_Curves/meltCurve_sp_P25054_2_APC_HUMAN_.pdf</v>
      </c>
      <c r="AA867" t="s">
        <v>13735</v>
      </c>
      <c r="AB867" t="s">
        <v>17952</v>
      </c>
    </row>
    <row r="868" spans="1:28" x14ac:dyDescent="0.25">
      <c r="A868" t="s">
        <v>872</v>
      </c>
      <c r="B868">
        <v>0.99876560204751996</v>
      </c>
      <c r="C868">
        <v>1.0177722996937399</v>
      </c>
      <c r="D868">
        <v>0.88244280172095302</v>
      </c>
      <c r="E868">
        <v>0.495163527477198</v>
      </c>
      <c r="F868">
        <v>0.230810755653757</v>
      </c>
      <c r="G868">
        <v>0.12920224875844399</v>
      </c>
      <c r="H868">
        <v>0.10565278541378501</v>
      </c>
      <c r="I868">
        <v>6.8889721243678606E-2</v>
      </c>
      <c r="J868">
        <v>6.4349159264593198E-2</v>
      </c>
      <c r="K868">
        <v>6.8345642303418802E-2</v>
      </c>
      <c r="L868">
        <v>1237.0257185642599</v>
      </c>
      <c r="M868">
        <v>24.919394625165101</v>
      </c>
      <c r="N868">
        <v>49.973596094316697</v>
      </c>
      <c r="O868">
        <v>49.324713271803098</v>
      </c>
      <c r="P868">
        <v>-0.116655473172847</v>
      </c>
      <c r="Q868">
        <v>7.6395025014570905E-2</v>
      </c>
      <c r="R868">
        <v>0.99839382692360601</v>
      </c>
      <c r="S868" t="s">
        <v>5164</v>
      </c>
      <c r="T868" t="s">
        <v>8590</v>
      </c>
      <c r="U868" t="s">
        <v>8590</v>
      </c>
      <c r="V868" t="s">
        <v>8590</v>
      </c>
      <c r="W868">
        <v>2</v>
      </c>
      <c r="X868" t="s">
        <v>9458</v>
      </c>
      <c r="Y868">
        <v>0.38149369761437141</v>
      </c>
      <c r="Z868" t="str">
        <f>HYPERLINK("Melting_Curves/meltCurve_sp_P25098_ARBK1_HUMAN_.pdf", "Melting_Curves/meltCurve_sp_P25098_ARBK1_HUMAN_.pdf")</f>
        <v>Melting_Curves/meltCurve_sp_P25098_ARBK1_HUMAN_.pdf</v>
      </c>
      <c r="AA868" t="s">
        <v>13736</v>
      </c>
      <c r="AB868" t="s">
        <v>17953</v>
      </c>
    </row>
    <row r="869" spans="1:28" x14ac:dyDescent="0.25">
      <c r="A869" t="s">
        <v>873</v>
      </c>
      <c r="B869">
        <v>0.99876560204751996</v>
      </c>
      <c r="C869">
        <v>1.02946681711903</v>
      </c>
      <c r="D869">
        <v>0.92908106912389898</v>
      </c>
      <c r="E869">
        <v>0.765050663823299</v>
      </c>
      <c r="F869">
        <v>0.47453968841989602</v>
      </c>
      <c r="G869">
        <v>0.20227612936949499</v>
      </c>
      <c r="H869">
        <v>0.109353114662835</v>
      </c>
      <c r="I869">
        <v>7.6813091688748697E-2</v>
      </c>
      <c r="J869">
        <v>6.0425790923080501E-2</v>
      </c>
      <c r="K869">
        <v>5.1448376303040298E-2</v>
      </c>
      <c r="L869">
        <v>1100.3432771986299</v>
      </c>
      <c r="M869">
        <v>20.956687875136701</v>
      </c>
      <c r="N869">
        <v>52.7840902140764</v>
      </c>
      <c r="O869">
        <v>52.034513594432603</v>
      </c>
      <c r="P869">
        <v>-9.5419674979502198E-2</v>
      </c>
      <c r="Q869">
        <v>5.2334595978688198E-2</v>
      </c>
      <c r="R869">
        <v>0.99854462736586802</v>
      </c>
      <c r="S869" t="s">
        <v>5165</v>
      </c>
      <c r="T869" t="s">
        <v>8590</v>
      </c>
      <c r="U869" t="s">
        <v>8590</v>
      </c>
      <c r="V869" t="s">
        <v>8590</v>
      </c>
      <c r="W869">
        <v>9</v>
      </c>
      <c r="X869" t="s">
        <v>9459</v>
      </c>
      <c r="Y869">
        <v>0.45941488882995968</v>
      </c>
      <c r="Z869" t="str">
        <f>HYPERLINK("Melting_Curves/meltCurve_sp_P25205_MCM3_HUMAN_.pdf", "Melting_Curves/meltCurve_sp_P25205_MCM3_HUMAN_.pdf")</f>
        <v>Melting_Curves/meltCurve_sp_P25205_MCM3_HUMAN_.pdf</v>
      </c>
      <c r="AA869" t="s">
        <v>13737</v>
      </c>
      <c r="AB869" t="s">
        <v>17954</v>
      </c>
    </row>
    <row r="870" spans="1:28" x14ac:dyDescent="0.25">
      <c r="A870" t="s">
        <v>874</v>
      </c>
      <c r="B870">
        <v>0.99876560204751996</v>
      </c>
      <c r="C870">
        <v>0.88675135727534304</v>
      </c>
      <c r="D870">
        <v>0.94726225503955697</v>
      </c>
      <c r="E870">
        <v>0.86020061855436802</v>
      </c>
      <c r="F870">
        <v>0.77197254405223403</v>
      </c>
      <c r="G870">
        <v>0.62923361210347095</v>
      </c>
      <c r="H870">
        <v>0.53436309265401105</v>
      </c>
      <c r="I870">
        <v>0.54825820432180505</v>
      </c>
      <c r="J870">
        <v>0.667237178281196</v>
      </c>
      <c r="K870">
        <v>0.74521462272062999</v>
      </c>
      <c r="L870">
        <v>1095.70706161616</v>
      </c>
      <c r="M870">
        <v>21.447956012921502</v>
      </c>
      <c r="O870">
        <v>50.648890460738201</v>
      </c>
      <c r="P870">
        <v>-4.0338942737744798E-2</v>
      </c>
      <c r="Q870">
        <v>0.61897115518746504</v>
      </c>
      <c r="R870">
        <v>0.80668764004288196</v>
      </c>
      <c r="S870" t="s">
        <v>5166</v>
      </c>
      <c r="T870" t="s">
        <v>8590</v>
      </c>
      <c r="U870" t="s">
        <v>8590</v>
      </c>
      <c r="V870" t="s">
        <v>8590</v>
      </c>
      <c r="W870">
        <v>12</v>
      </c>
      <c r="X870" t="s">
        <v>9460</v>
      </c>
      <c r="Y870">
        <v>0.76441942582207478</v>
      </c>
      <c r="Z870" t="str">
        <f>HYPERLINK("Melting_Curves/meltCurve_sp_P25311_ZA2G_HUMAN_.pdf", "Melting_Curves/meltCurve_sp_P25311_ZA2G_HUMAN_.pdf")</f>
        <v>Melting_Curves/meltCurve_sp_P25311_ZA2G_HUMAN_.pdf</v>
      </c>
      <c r="AA870" t="s">
        <v>13738</v>
      </c>
      <c r="AB870" t="s">
        <v>17955</v>
      </c>
    </row>
    <row r="871" spans="1:28" x14ac:dyDescent="0.25">
      <c r="A871" t="s">
        <v>875</v>
      </c>
      <c r="B871">
        <v>0.99876560204751996</v>
      </c>
      <c r="C871">
        <v>0.99460112310926196</v>
      </c>
      <c r="D871">
        <v>0.92698840813324601</v>
      </c>
      <c r="E871">
        <v>0.84151395202776602</v>
      </c>
      <c r="F871">
        <v>0.70363041625737499</v>
      </c>
      <c r="G871">
        <v>0.45137877471924398</v>
      </c>
      <c r="H871">
        <v>0.36158339156456198</v>
      </c>
      <c r="I871">
        <v>0.34275516125650801</v>
      </c>
      <c r="J871">
        <v>0.488959650635513</v>
      </c>
      <c r="K871">
        <v>0.41135275492033002</v>
      </c>
      <c r="L871">
        <v>1235.17211438397</v>
      </c>
      <c r="M871">
        <v>23.508527400149099</v>
      </c>
      <c r="N871">
        <v>56.189161754594302</v>
      </c>
      <c r="O871">
        <v>52.165687531571599</v>
      </c>
      <c r="P871">
        <v>-6.8577543710608799E-2</v>
      </c>
      <c r="Q871">
        <v>0.391313071937895</v>
      </c>
      <c r="R871">
        <v>0.96914382613056504</v>
      </c>
      <c r="S871" t="s">
        <v>5167</v>
      </c>
      <c r="T871" t="s">
        <v>8590</v>
      </c>
      <c r="U871" t="s">
        <v>8590</v>
      </c>
      <c r="V871" t="s">
        <v>8590</v>
      </c>
      <c r="W871">
        <v>5</v>
      </c>
      <c r="X871" t="s">
        <v>9461</v>
      </c>
      <c r="Y871">
        <v>0.6520437605924122</v>
      </c>
      <c r="Z871" t="str">
        <f>HYPERLINK("Melting_Curves/meltCurve_sp_P25398_RS12_HUMAN_.pdf", "Melting_Curves/meltCurve_sp_P25398_RS12_HUMAN_.pdf")</f>
        <v>Melting_Curves/meltCurve_sp_P25398_RS12_HUMAN_.pdf</v>
      </c>
      <c r="AA871" t="s">
        <v>13739</v>
      </c>
      <c r="AB871" t="s">
        <v>17956</v>
      </c>
    </row>
    <row r="872" spans="1:28" x14ac:dyDescent="0.25">
      <c r="A872" t="s">
        <v>876</v>
      </c>
      <c r="B872">
        <v>0.99876560204751996</v>
      </c>
      <c r="C872">
        <v>0.99845605147286798</v>
      </c>
      <c r="D872">
        <v>1.0683323612839699</v>
      </c>
      <c r="E872">
        <v>0.98158327186904304</v>
      </c>
      <c r="F872">
        <v>0.93006179287292901</v>
      </c>
      <c r="G872">
        <v>0.73633541905265198</v>
      </c>
      <c r="H872">
        <v>0.60462742544168402</v>
      </c>
      <c r="I872">
        <v>0.57680887743250497</v>
      </c>
      <c r="J872">
        <v>0.74655993555983802</v>
      </c>
      <c r="K872">
        <v>0.69663560606272301</v>
      </c>
      <c r="L872">
        <v>2209.9284417172198</v>
      </c>
      <c r="M872">
        <v>40.235811162967998</v>
      </c>
      <c r="O872">
        <v>54.789266964433899</v>
      </c>
      <c r="P872">
        <v>-6.2922892032070604E-2</v>
      </c>
      <c r="Q872">
        <v>0.65727127070660996</v>
      </c>
      <c r="R872">
        <v>0.91635600609440504</v>
      </c>
      <c r="S872" t="s">
        <v>5168</v>
      </c>
      <c r="T872" t="s">
        <v>8590</v>
      </c>
      <c r="U872" t="s">
        <v>8590</v>
      </c>
      <c r="V872" t="s">
        <v>8590</v>
      </c>
      <c r="W872">
        <v>6</v>
      </c>
      <c r="X872" t="s">
        <v>9462</v>
      </c>
      <c r="Y872">
        <v>0.82905368322519069</v>
      </c>
      <c r="Z872" t="str">
        <f>HYPERLINK("Melting_Curves/meltCurve_sp_P25440_BRD2_HUMAN_.pdf", "Melting_Curves/meltCurve_sp_P25440_BRD2_HUMAN_.pdf")</f>
        <v>Melting_Curves/meltCurve_sp_P25440_BRD2_HUMAN_.pdf</v>
      </c>
      <c r="AA872" t="s">
        <v>13740</v>
      </c>
      <c r="AB872" t="s">
        <v>17957</v>
      </c>
    </row>
    <row r="873" spans="1:28" x14ac:dyDescent="0.25">
      <c r="A873" t="s">
        <v>877</v>
      </c>
      <c r="B873">
        <v>0.99876560204751996</v>
      </c>
      <c r="C873">
        <v>0.975564445303162</v>
      </c>
      <c r="D873">
        <v>0.85655665728462105</v>
      </c>
      <c r="E873">
        <v>0.56148483294380802</v>
      </c>
      <c r="F873">
        <v>0.31483812507568298</v>
      </c>
      <c r="G873">
        <v>0.18530447434890601</v>
      </c>
      <c r="H873">
        <v>0.125364806301931</v>
      </c>
      <c r="I873">
        <v>0.101688674770849</v>
      </c>
      <c r="J873">
        <v>0.120693103723686</v>
      </c>
      <c r="K873">
        <v>0.100180294009958</v>
      </c>
      <c r="L873">
        <v>988.31683021472998</v>
      </c>
      <c r="M873">
        <v>19.754216857550901</v>
      </c>
      <c r="N873">
        <v>50.612984822524503</v>
      </c>
      <c r="O873">
        <v>49.526434845742102</v>
      </c>
      <c r="P873">
        <v>-8.9582644993527902E-2</v>
      </c>
      <c r="Q873">
        <v>0.101648541777315</v>
      </c>
      <c r="R873">
        <v>0.999417734327681</v>
      </c>
      <c r="S873" t="s">
        <v>5169</v>
      </c>
      <c r="T873" t="s">
        <v>8590</v>
      </c>
      <c r="U873" t="s">
        <v>8590</v>
      </c>
      <c r="V873" t="s">
        <v>8590</v>
      </c>
      <c r="W873">
        <v>11</v>
      </c>
      <c r="X873" t="s">
        <v>9463</v>
      </c>
      <c r="Y873">
        <v>0.41482690160088459</v>
      </c>
      <c r="Z873" t="str">
        <f>HYPERLINK("Melting_Curves/meltCurve_sp_P25685_DNJB1_HUMAN_.pdf", "Melting_Curves/meltCurve_sp_P25685_DNJB1_HUMAN_.pdf")</f>
        <v>Melting_Curves/meltCurve_sp_P25685_DNJB1_HUMAN_.pdf</v>
      </c>
      <c r="AA873" t="s">
        <v>13741</v>
      </c>
      <c r="AB873" t="s">
        <v>17958</v>
      </c>
    </row>
    <row r="874" spans="1:28" x14ac:dyDescent="0.25">
      <c r="A874" t="s">
        <v>878</v>
      </c>
      <c r="B874">
        <v>0.99876560204751996</v>
      </c>
      <c r="C874">
        <v>0.85417026753240399</v>
      </c>
      <c r="D874">
        <v>0.83529970553562805</v>
      </c>
      <c r="E874">
        <v>0.75670634607559195</v>
      </c>
      <c r="F874">
        <v>0.66495960835512002</v>
      </c>
      <c r="G874">
        <v>0.51783386959502897</v>
      </c>
      <c r="H874">
        <v>0.36747398443670698</v>
      </c>
      <c r="I874">
        <v>0.35751950483568201</v>
      </c>
      <c r="J874">
        <v>0.461035853515536</v>
      </c>
      <c r="K874">
        <v>0.38507676202709001</v>
      </c>
      <c r="L874">
        <v>510.42096930632999</v>
      </c>
      <c r="M874">
        <v>9.8346173147433795</v>
      </c>
      <c r="N874">
        <v>57.869684242614397</v>
      </c>
      <c r="O874">
        <v>49.8911305700273</v>
      </c>
      <c r="P874">
        <v>-3.3592281834175799E-2</v>
      </c>
      <c r="Q874">
        <v>0.31869699241154698</v>
      </c>
      <c r="R874">
        <v>0.95114117618287897</v>
      </c>
      <c r="S874" t="s">
        <v>5170</v>
      </c>
      <c r="T874" t="s">
        <v>8590</v>
      </c>
      <c r="U874" t="s">
        <v>8590</v>
      </c>
      <c r="V874" t="s">
        <v>8590</v>
      </c>
      <c r="W874">
        <v>2</v>
      </c>
      <c r="X874" t="s">
        <v>9464</v>
      </c>
      <c r="Y874">
        <v>0.61555169383070696</v>
      </c>
      <c r="Z874" t="str">
        <f>HYPERLINK("Melting_Curves/meltCurve_sp_P25686_DNJB2_HUMAN_.pdf", "Melting_Curves/meltCurve_sp_P25686_DNJB2_HUMAN_.pdf")</f>
        <v>Melting_Curves/meltCurve_sp_P25686_DNJB2_HUMAN_.pdf</v>
      </c>
      <c r="AA874" t="s">
        <v>13742</v>
      </c>
      <c r="AB874" t="s">
        <v>17959</v>
      </c>
    </row>
    <row r="875" spans="1:28" x14ac:dyDescent="0.25">
      <c r="A875" t="s">
        <v>879</v>
      </c>
      <c r="B875">
        <v>0.99876560204751996</v>
      </c>
      <c r="C875">
        <v>0.867523795378356</v>
      </c>
      <c r="D875">
        <v>0.58984007301293095</v>
      </c>
      <c r="E875">
        <v>0.41836771925218003</v>
      </c>
      <c r="F875">
        <v>0.29362013065901099</v>
      </c>
      <c r="G875">
        <v>0.18035498158678101</v>
      </c>
      <c r="H875">
        <v>0.124500707902827</v>
      </c>
      <c r="I875">
        <v>0.107987150764057</v>
      </c>
      <c r="J875">
        <v>0.10724878588580899</v>
      </c>
      <c r="K875">
        <v>9.4622290819234497E-2</v>
      </c>
      <c r="L875">
        <v>668.59022586110996</v>
      </c>
      <c r="M875">
        <v>14.0404157590508</v>
      </c>
      <c r="N875">
        <v>48.318286405541798</v>
      </c>
      <c r="O875">
        <v>46.684202606705298</v>
      </c>
      <c r="P875">
        <v>-6.8283966325935197E-2</v>
      </c>
      <c r="Q875">
        <v>9.1945593829784594E-2</v>
      </c>
      <c r="R875">
        <v>0.99045234244874902</v>
      </c>
      <c r="S875" t="s">
        <v>5171</v>
      </c>
      <c r="T875" t="s">
        <v>8590</v>
      </c>
      <c r="U875" t="s">
        <v>8590</v>
      </c>
      <c r="V875" t="s">
        <v>8590</v>
      </c>
      <c r="W875">
        <v>20</v>
      </c>
      <c r="X875" t="s">
        <v>9465</v>
      </c>
      <c r="Y875">
        <v>0.3497123094409359</v>
      </c>
      <c r="Z875" t="str">
        <f>HYPERLINK("Melting_Curves/meltCurve_sp_P25705_ATPA_HUMAN_.pdf", "Melting_Curves/meltCurve_sp_P25705_ATPA_HUMAN_.pdf")</f>
        <v>Melting_Curves/meltCurve_sp_P25705_ATPA_HUMAN_.pdf</v>
      </c>
      <c r="AA875" t="s">
        <v>13743</v>
      </c>
      <c r="AB875" t="s">
        <v>17960</v>
      </c>
    </row>
    <row r="876" spans="1:28" x14ac:dyDescent="0.25">
      <c r="A876" t="s">
        <v>880</v>
      </c>
      <c r="B876">
        <v>0.99876560204751996</v>
      </c>
      <c r="C876">
        <v>0.92869229527600705</v>
      </c>
      <c r="D876">
        <v>0.97256777294121499</v>
      </c>
      <c r="E876">
        <v>0.90514816728347203</v>
      </c>
      <c r="F876">
        <v>0.80732259043031596</v>
      </c>
      <c r="G876">
        <v>0.64585628428358099</v>
      </c>
      <c r="H876">
        <v>0.49884243981918702</v>
      </c>
      <c r="I876">
        <v>0.40447026123144703</v>
      </c>
      <c r="J876">
        <v>0.46232601228436998</v>
      </c>
      <c r="K876">
        <v>0.36615694076555799</v>
      </c>
      <c r="L876">
        <v>798.85546499682596</v>
      </c>
      <c r="M876">
        <v>14.2399820211576</v>
      </c>
      <c r="N876">
        <v>61.224482747973397</v>
      </c>
      <c r="O876">
        <v>55.027916481572099</v>
      </c>
      <c r="P876">
        <v>-4.2173366654151098E-2</v>
      </c>
      <c r="Q876">
        <v>0.348194481534986</v>
      </c>
      <c r="R876">
        <v>0.98389535738129297</v>
      </c>
      <c r="S876" t="s">
        <v>5172</v>
      </c>
      <c r="T876" t="s">
        <v>8590</v>
      </c>
      <c r="U876" t="s">
        <v>8590</v>
      </c>
      <c r="V876" t="s">
        <v>8590</v>
      </c>
      <c r="W876">
        <v>9</v>
      </c>
      <c r="X876" t="s">
        <v>9466</v>
      </c>
      <c r="Y876">
        <v>0.70990581505695682</v>
      </c>
      <c r="Z876" t="str">
        <f>HYPERLINK("Melting_Curves/meltCurve_sp_P25774_CATS_HUMAN_.pdf", "Melting_Curves/meltCurve_sp_P25774_CATS_HUMAN_.pdf")</f>
        <v>Melting_Curves/meltCurve_sp_P25774_CATS_HUMAN_.pdf</v>
      </c>
      <c r="AA876" t="s">
        <v>13744</v>
      </c>
      <c r="AB876" t="s">
        <v>17961</v>
      </c>
    </row>
    <row r="877" spans="1:28" x14ac:dyDescent="0.25">
      <c r="A877" t="s">
        <v>881</v>
      </c>
      <c r="B877">
        <v>0.99876560204751996</v>
      </c>
      <c r="C877">
        <v>1.0583457430468</v>
      </c>
      <c r="D877">
        <v>0.98358850966036704</v>
      </c>
      <c r="E877">
        <v>0.95220519362891398</v>
      </c>
      <c r="F877">
        <v>0.80792633027531902</v>
      </c>
      <c r="G877">
        <v>0.66997836695007895</v>
      </c>
      <c r="H877">
        <v>0.55157622410671303</v>
      </c>
      <c r="I877">
        <v>0.54019917863900102</v>
      </c>
      <c r="J877">
        <v>0.66522426674225599</v>
      </c>
      <c r="K877">
        <v>0.483558683450522</v>
      </c>
      <c r="L877">
        <v>1283.98293796352</v>
      </c>
      <c r="M877">
        <v>23.808571739916101</v>
      </c>
      <c r="O877">
        <v>53.5533033708736</v>
      </c>
      <c r="P877">
        <v>-4.9722179815413499E-2</v>
      </c>
      <c r="Q877">
        <v>0.55264123478264904</v>
      </c>
      <c r="R877">
        <v>0.946531256110412</v>
      </c>
      <c r="S877" t="s">
        <v>5173</v>
      </c>
      <c r="T877" t="s">
        <v>8590</v>
      </c>
      <c r="U877" t="s">
        <v>8590</v>
      </c>
      <c r="V877" t="s">
        <v>8590</v>
      </c>
      <c r="W877">
        <v>21</v>
      </c>
      <c r="X877" t="s">
        <v>9467</v>
      </c>
      <c r="Y877">
        <v>0.76487708425153234</v>
      </c>
      <c r="Z877" t="str">
        <f>HYPERLINK("Melting_Curves/meltCurve_sp_P25786_PSA1_HUMAN_.pdf", "Melting_Curves/meltCurve_sp_P25786_PSA1_HUMAN_.pdf")</f>
        <v>Melting_Curves/meltCurve_sp_P25786_PSA1_HUMAN_.pdf</v>
      </c>
      <c r="AA877" t="s">
        <v>13745</v>
      </c>
      <c r="AB877" t="s">
        <v>17962</v>
      </c>
    </row>
    <row r="878" spans="1:28" x14ac:dyDescent="0.25">
      <c r="A878" t="s">
        <v>882</v>
      </c>
      <c r="B878">
        <v>0.99876560204751996</v>
      </c>
      <c r="C878">
        <v>0.98764216093113399</v>
      </c>
      <c r="D878">
        <v>0.80487088672271501</v>
      </c>
      <c r="E878">
        <v>0.94607926317459301</v>
      </c>
      <c r="F878">
        <v>0.80773380603806999</v>
      </c>
      <c r="G878">
        <v>0.68874673583102497</v>
      </c>
      <c r="H878">
        <v>0.55420741143682195</v>
      </c>
      <c r="I878">
        <v>0.49814070638882102</v>
      </c>
      <c r="J878">
        <v>0.57619693312093401</v>
      </c>
      <c r="K878">
        <v>0.44726401561745299</v>
      </c>
      <c r="L878">
        <v>506.95168361137303</v>
      </c>
      <c r="M878">
        <v>8.85239985184025</v>
      </c>
      <c r="N878">
        <v>66.915385811305498</v>
      </c>
      <c r="O878">
        <v>54.570654439817901</v>
      </c>
      <c r="P878">
        <v>-2.5955698807461999E-2</v>
      </c>
      <c r="Q878">
        <v>0.36047837137815097</v>
      </c>
      <c r="R878">
        <v>0.91034101314642302</v>
      </c>
      <c r="S878" t="s">
        <v>5174</v>
      </c>
      <c r="T878" t="s">
        <v>8590</v>
      </c>
      <c r="U878" t="s">
        <v>8590</v>
      </c>
      <c r="V878" t="s">
        <v>8590</v>
      </c>
      <c r="W878">
        <v>12</v>
      </c>
      <c r="X878" t="s">
        <v>9468</v>
      </c>
      <c r="Y878">
        <v>0.73636868878618011</v>
      </c>
      <c r="Z878" t="str">
        <f>HYPERLINK("Melting_Curves/meltCurve_sp_P25787_PSA2_HUMAN_.pdf", "Melting_Curves/meltCurve_sp_P25787_PSA2_HUMAN_.pdf")</f>
        <v>Melting_Curves/meltCurve_sp_P25787_PSA2_HUMAN_.pdf</v>
      </c>
      <c r="AA878" t="s">
        <v>13746</v>
      </c>
      <c r="AB878" t="s">
        <v>17963</v>
      </c>
    </row>
    <row r="879" spans="1:28" x14ac:dyDescent="0.25">
      <c r="A879" t="s">
        <v>883</v>
      </c>
      <c r="B879">
        <v>0.99876560204751996</v>
      </c>
      <c r="C879">
        <v>1.1144553088473601</v>
      </c>
      <c r="D879">
        <v>1.0774210209708499</v>
      </c>
      <c r="E879">
        <v>1.1318773111753699</v>
      </c>
      <c r="F879">
        <v>1.00600691459493</v>
      </c>
      <c r="G879">
        <v>0.874008313021719</v>
      </c>
      <c r="H879">
        <v>0.71670406822773802</v>
      </c>
      <c r="I879">
        <v>0.662488958309983</v>
      </c>
      <c r="J879">
        <v>0.82653607842834997</v>
      </c>
      <c r="K879">
        <v>0.66334394429608301</v>
      </c>
      <c r="L879">
        <v>14262.447250605501</v>
      </c>
      <c r="M879">
        <v>250</v>
      </c>
      <c r="O879">
        <v>57.046128876464103</v>
      </c>
      <c r="P879">
        <v>-0.30976214320603401</v>
      </c>
      <c r="Q879">
        <v>0.717268255753997</v>
      </c>
      <c r="R879">
        <v>0.82103007123609795</v>
      </c>
      <c r="S879" t="s">
        <v>5175</v>
      </c>
      <c r="T879" t="s">
        <v>8590</v>
      </c>
      <c r="U879" t="s">
        <v>8590</v>
      </c>
      <c r="V879" t="s">
        <v>8590</v>
      </c>
      <c r="W879">
        <v>16</v>
      </c>
      <c r="X879" t="s">
        <v>9469</v>
      </c>
      <c r="Y879">
        <v>0.8779804494007154</v>
      </c>
      <c r="Z879" t="str">
        <f>HYPERLINK("Melting_Curves/meltCurve_sp_P25788_2_PSA3_HUMAN_.pdf", "Melting_Curves/meltCurve_sp_P25788_2_PSA3_HUMAN_.pdf")</f>
        <v>Melting_Curves/meltCurve_sp_P25788_2_PSA3_HUMAN_.pdf</v>
      </c>
      <c r="AA879" t="s">
        <v>13747</v>
      </c>
      <c r="AB879" t="s">
        <v>17964</v>
      </c>
    </row>
    <row r="880" spans="1:28" x14ac:dyDescent="0.25">
      <c r="A880" t="s">
        <v>884</v>
      </c>
      <c r="B880">
        <v>0.99876560204751996</v>
      </c>
      <c r="C880">
        <v>1.0723327684320201</v>
      </c>
      <c r="D880">
        <v>1.0181705963730701</v>
      </c>
      <c r="E880">
        <v>0.96103482066058699</v>
      </c>
      <c r="F880">
        <v>0.88200116865795397</v>
      </c>
      <c r="G880">
        <v>0.77764293277796404</v>
      </c>
      <c r="H880">
        <v>0.58733976499132701</v>
      </c>
      <c r="I880">
        <v>0.57116816707851803</v>
      </c>
      <c r="J880">
        <v>0.65001453719131796</v>
      </c>
      <c r="K880">
        <v>0.474022845654063</v>
      </c>
      <c r="L880">
        <v>1060.48762064158</v>
      </c>
      <c r="M880">
        <v>18.715402833367602</v>
      </c>
      <c r="O880">
        <v>56.028852328137603</v>
      </c>
      <c r="P880">
        <v>-3.9396590680295697E-2</v>
      </c>
      <c r="Q880">
        <v>0.52824902713487698</v>
      </c>
      <c r="R880">
        <v>0.94657586244181902</v>
      </c>
      <c r="S880" t="s">
        <v>5176</v>
      </c>
      <c r="T880" t="s">
        <v>8590</v>
      </c>
      <c r="U880" t="s">
        <v>8590</v>
      </c>
      <c r="V880" t="s">
        <v>8590</v>
      </c>
      <c r="W880">
        <v>17</v>
      </c>
      <c r="X880" t="s">
        <v>9470</v>
      </c>
      <c r="Y880">
        <v>0.79666196639064801</v>
      </c>
      <c r="Z880" t="str">
        <f>HYPERLINK("Melting_Curves/meltCurve_sp_P25789_PSA4_HUMAN_.pdf", "Melting_Curves/meltCurve_sp_P25789_PSA4_HUMAN_.pdf")</f>
        <v>Melting_Curves/meltCurve_sp_P25789_PSA4_HUMAN_.pdf</v>
      </c>
      <c r="AA880" t="s">
        <v>13748</v>
      </c>
      <c r="AB880" t="s">
        <v>17965</v>
      </c>
    </row>
    <row r="881" spans="1:28" x14ac:dyDescent="0.25">
      <c r="A881" t="s">
        <v>885</v>
      </c>
      <c r="B881">
        <v>0.99876560204751996</v>
      </c>
      <c r="C881">
        <v>0.98316332071486701</v>
      </c>
      <c r="D881">
        <v>0.99503143688277995</v>
      </c>
      <c r="E881">
        <v>0.95055686330933697</v>
      </c>
      <c r="F881">
        <v>0.94959620700063996</v>
      </c>
      <c r="G881">
        <v>0.25413045427808101</v>
      </c>
      <c r="H881">
        <v>0.147131632816908</v>
      </c>
      <c r="I881">
        <v>8.0462143213683002E-2</v>
      </c>
      <c r="J881">
        <v>7.72095037796761E-2</v>
      </c>
      <c r="K881">
        <v>7.0579926596819206E-2</v>
      </c>
      <c r="L881">
        <v>3165.7153512312102</v>
      </c>
      <c r="M881">
        <v>57.032445115423499</v>
      </c>
      <c r="N881">
        <v>55.704868985207703</v>
      </c>
      <c r="O881">
        <v>55.439150025342997</v>
      </c>
      <c r="P881">
        <v>-0.23363297957583101</v>
      </c>
      <c r="Q881">
        <v>9.1576223550187699E-2</v>
      </c>
      <c r="R881">
        <v>0.99674426996362497</v>
      </c>
      <c r="S881" t="s">
        <v>5177</v>
      </c>
      <c r="T881" t="s">
        <v>8590</v>
      </c>
      <c r="U881" t="s">
        <v>8590</v>
      </c>
      <c r="V881" t="s">
        <v>8590</v>
      </c>
      <c r="W881">
        <v>57</v>
      </c>
      <c r="X881" t="s">
        <v>9471</v>
      </c>
      <c r="Y881">
        <v>0.56285559803392782</v>
      </c>
      <c r="Z881" t="str">
        <f>HYPERLINK("Melting_Curves/meltCurve_sp_P26038_MOES_HUMAN_.pdf", "Melting_Curves/meltCurve_sp_P26038_MOES_HUMAN_.pdf")</f>
        <v>Melting_Curves/meltCurve_sp_P26038_MOES_HUMAN_.pdf</v>
      </c>
      <c r="AA881" t="s">
        <v>13749</v>
      </c>
      <c r="AB881" t="s">
        <v>17966</v>
      </c>
    </row>
    <row r="882" spans="1:28" x14ac:dyDescent="0.25">
      <c r="A882" t="s">
        <v>886</v>
      </c>
      <c r="B882">
        <v>0.99876560204751996</v>
      </c>
      <c r="C882">
        <v>0.93078571658348797</v>
      </c>
      <c r="D882">
        <v>0.85582220605069104</v>
      </c>
      <c r="E882">
        <v>0.79371386983621495</v>
      </c>
      <c r="F882">
        <v>0.31851449269021898</v>
      </c>
      <c r="G882">
        <v>0.155208392271387</v>
      </c>
      <c r="H882">
        <v>8.9197233157102401E-2</v>
      </c>
      <c r="I882">
        <v>7.2641859159539704E-2</v>
      </c>
      <c r="J882">
        <v>8.0714889590901895E-2</v>
      </c>
      <c r="K882">
        <v>6.5866318351495298E-2</v>
      </c>
      <c r="L882">
        <v>1607.2567862056601</v>
      </c>
      <c r="M882">
        <v>31.168419458030201</v>
      </c>
      <c r="N882">
        <v>51.849285350096103</v>
      </c>
      <c r="O882">
        <v>51.355969051269099</v>
      </c>
      <c r="P882">
        <v>-0.13988144373707101</v>
      </c>
      <c r="Q882">
        <v>7.8078984688580003E-2</v>
      </c>
      <c r="R882">
        <v>0.98334950843242697</v>
      </c>
      <c r="S882" t="s">
        <v>5178</v>
      </c>
      <c r="T882" t="s">
        <v>8590</v>
      </c>
      <c r="U882" t="s">
        <v>8590</v>
      </c>
      <c r="V882" t="s">
        <v>8590</v>
      </c>
      <c r="W882">
        <v>14</v>
      </c>
      <c r="X882" t="s">
        <v>9472</v>
      </c>
      <c r="Y882">
        <v>0.43895685842303361</v>
      </c>
      <c r="Z882" t="str">
        <f>HYPERLINK("Melting_Curves/meltCurve_sp_P26196_DDX6_HUMAN_.pdf", "Melting_Curves/meltCurve_sp_P26196_DDX6_HUMAN_.pdf")</f>
        <v>Melting_Curves/meltCurve_sp_P26196_DDX6_HUMAN_.pdf</v>
      </c>
      <c r="AA882" t="s">
        <v>13750</v>
      </c>
      <c r="AB882" t="s">
        <v>17967</v>
      </c>
    </row>
    <row r="883" spans="1:28" x14ac:dyDescent="0.25">
      <c r="A883" t="s">
        <v>887</v>
      </c>
      <c r="B883">
        <v>0.99876560204751996</v>
      </c>
      <c r="C883">
        <v>1.00117850447981</v>
      </c>
      <c r="D883">
        <v>1.0058678392646401</v>
      </c>
      <c r="E883">
        <v>0.97650549557967203</v>
      </c>
      <c r="F883">
        <v>0.86539184901213695</v>
      </c>
      <c r="G883">
        <v>0.52709741769493501</v>
      </c>
      <c r="H883">
        <v>0.33310263864029899</v>
      </c>
      <c r="I883">
        <v>0.29436563109706698</v>
      </c>
      <c r="J883">
        <v>0.36376715103349799</v>
      </c>
      <c r="K883">
        <v>0.28822663282126099</v>
      </c>
      <c r="L883">
        <v>1726.4152379117099</v>
      </c>
      <c r="M883">
        <v>31.107880061824499</v>
      </c>
      <c r="N883">
        <v>57.254726564639597</v>
      </c>
      <c r="O883">
        <v>55.269844773495997</v>
      </c>
      <c r="P883">
        <v>-9.7437653670874494E-2</v>
      </c>
      <c r="Q883">
        <v>0.30752798396674902</v>
      </c>
      <c r="R883">
        <v>0.99577295071621996</v>
      </c>
      <c r="S883" t="s">
        <v>5179</v>
      </c>
      <c r="T883" t="s">
        <v>8590</v>
      </c>
      <c r="U883" t="s">
        <v>8590</v>
      </c>
      <c r="V883" t="s">
        <v>8590</v>
      </c>
      <c r="W883">
        <v>5</v>
      </c>
      <c r="X883" t="s">
        <v>9473</v>
      </c>
      <c r="Y883">
        <v>0.66955750416517146</v>
      </c>
      <c r="Z883" t="str">
        <f>HYPERLINK("Melting_Curves/meltCurve_sp_P26358_DNMT1_HUMAN_.pdf", "Melting_Curves/meltCurve_sp_P26358_DNMT1_HUMAN_.pdf")</f>
        <v>Melting_Curves/meltCurve_sp_P26358_DNMT1_HUMAN_.pdf</v>
      </c>
      <c r="AA883" t="s">
        <v>13751</v>
      </c>
      <c r="AB883" t="s">
        <v>17968</v>
      </c>
    </row>
    <row r="884" spans="1:28" x14ac:dyDescent="0.25">
      <c r="A884" t="s">
        <v>888</v>
      </c>
      <c r="B884">
        <v>0.99876560204751996</v>
      </c>
      <c r="C884">
        <v>1.0024999601950499</v>
      </c>
      <c r="D884">
        <v>1.0933609515271701</v>
      </c>
      <c r="E884">
        <v>0.96395036867585104</v>
      </c>
      <c r="F884">
        <v>0.93995682354447796</v>
      </c>
      <c r="G884">
        <v>0.65272301242125697</v>
      </c>
      <c r="H884">
        <v>0.34102741973770101</v>
      </c>
      <c r="I884">
        <v>0.236451361858666</v>
      </c>
      <c r="J884">
        <v>0.21479059504950901</v>
      </c>
      <c r="K884">
        <v>0.20430038719638799</v>
      </c>
      <c r="L884">
        <v>1601.81617532983</v>
      </c>
      <c r="M884">
        <v>27.818890517492001</v>
      </c>
      <c r="N884">
        <v>58.635932203784201</v>
      </c>
      <c r="O884">
        <v>57.285084539254598</v>
      </c>
      <c r="P884">
        <v>-9.7488598661799694E-2</v>
      </c>
      <c r="Q884">
        <v>0.19700700726402701</v>
      </c>
      <c r="R884">
        <v>0.99250140916118401</v>
      </c>
      <c r="S884" t="s">
        <v>5180</v>
      </c>
      <c r="T884" t="s">
        <v>8590</v>
      </c>
      <c r="U884" t="s">
        <v>8590</v>
      </c>
      <c r="V884" t="s">
        <v>8590</v>
      </c>
      <c r="W884">
        <v>2</v>
      </c>
      <c r="X884" t="s">
        <v>9474</v>
      </c>
      <c r="Y884">
        <v>0.67359346586371249</v>
      </c>
      <c r="Z884" t="str">
        <f>HYPERLINK("Melting_Curves/meltCurve_sp_P26368_2_U2AF2_HUMAN_.pdf", "Melting_Curves/meltCurve_sp_P26368_2_U2AF2_HUMAN_.pdf")</f>
        <v>Melting_Curves/meltCurve_sp_P26368_2_U2AF2_HUMAN_.pdf</v>
      </c>
      <c r="AA884" t="s">
        <v>13752</v>
      </c>
      <c r="AB884" t="s">
        <v>17969</v>
      </c>
    </row>
    <row r="885" spans="1:28" x14ac:dyDescent="0.25">
      <c r="A885" t="s">
        <v>889</v>
      </c>
      <c r="B885">
        <v>0.99876560204751996</v>
      </c>
      <c r="C885">
        <v>1.19677622495729</v>
      </c>
      <c r="D885">
        <v>1.0206780872685299</v>
      </c>
      <c r="E885">
        <v>0.87859018984998905</v>
      </c>
      <c r="F885">
        <v>0.75564800926640197</v>
      </c>
      <c r="G885">
        <v>0.45877835215215301</v>
      </c>
      <c r="H885">
        <v>0.41416116483382998</v>
      </c>
      <c r="I885">
        <v>0.37294593614902</v>
      </c>
      <c r="J885">
        <v>0.47257295868390697</v>
      </c>
      <c r="K885">
        <v>0.47502957527885598</v>
      </c>
      <c r="L885">
        <v>1656.66888684849</v>
      </c>
      <c r="M885">
        <v>31.195919486677798</v>
      </c>
      <c r="N885">
        <v>56.583792332671599</v>
      </c>
      <c r="O885">
        <v>52.888492695342102</v>
      </c>
      <c r="P885">
        <v>-8.4564470253150004E-2</v>
      </c>
      <c r="Q885">
        <v>0.42653212089806902</v>
      </c>
      <c r="R885">
        <v>0.93693330670661601</v>
      </c>
      <c r="S885" t="s">
        <v>5181</v>
      </c>
      <c r="T885" t="s">
        <v>8590</v>
      </c>
      <c r="U885" t="s">
        <v>8590</v>
      </c>
      <c r="V885" t="s">
        <v>8590</v>
      </c>
      <c r="W885">
        <v>2</v>
      </c>
      <c r="X885" t="s">
        <v>9475</v>
      </c>
      <c r="Y885">
        <v>0.6804972777116437</v>
      </c>
      <c r="Z885" t="str">
        <f>HYPERLINK("Melting_Curves/meltCurve_sp_P26373_RL13_HUMAN_.pdf", "Melting_Curves/meltCurve_sp_P26373_RL13_HUMAN_.pdf")</f>
        <v>Melting_Curves/meltCurve_sp_P26373_RL13_HUMAN_.pdf</v>
      </c>
      <c r="AA885" t="s">
        <v>13753</v>
      </c>
      <c r="AB885" t="s">
        <v>17970</v>
      </c>
    </row>
    <row r="886" spans="1:28" x14ac:dyDescent="0.25">
      <c r="A886" t="s">
        <v>890</v>
      </c>
      <c r="B886">
        <v>0.99876560204751996</v>
      </c>
      <c r="C886">
        <v>1.03684097359386</v>
      </c>
      <c r="D886">
        <v>0.89069368271569305</v>
      </c>
      <c r="E886">
        <v>0.90891979579535298</v>
      </c>
      <c r="F886">
        <v>0.79397677253085597</v>
      </c>
      <c r="G886">
        <v>0.60628041745142602</v>
      </c>
      <c r="H886">
        <v>0.39655653394697599</v>
      </c>
      <c r="I886">
        <v>0.302487021267484</v>
      </c>
      <c r="J886">
        <v>0.202817988265173</v>
      </c>
      <c r="K886">
        <v>0.12808824570155999</v>
      </c>
      <c r="L886">
        <v>685.87509641415795</v>
      </c>
      <c r="M886">
        <v>11.6153639891251</v>
      </c>
      <c r="N886">
        <v>59.048954235879798</v>
      </c>
      <c r="O886">
        <v>57.380159503472903</v>
      </c>
      <c r="P886">
        <v>-5.0620913806344002E-2</v>
      </c>
      <c r="Q886">
        <v>0</v>
      </c>
      <c r="R886">
        <v>0.99193105555429095</v>
      </c>
      <c r="S886" t="s">
        <v>5182</v>
      </c>
      <c r="T886" t="s">
        <v>8590</v>
      </c>
      <c r="U886" t="s">
        <v>8590</v>
      </c>
      <c r="V886" t="s">
        <v>8590</v>
      </c>
      <c r="W886">
        <v>29</v>
      </c>
      <c r="X886" t="s">
        <v>9476</v>
      </c>
      <c r="Y886">
        <v>0.64196508082066628</v>
      </c>
      <c r="Z886" t="str">
        <f>HYPERLINK("Melting_Curves/meltCurve_sp_P26440_IVD_HUMAN_.pdf", "Melting_Curves/meltCurve_sp_P26440_IVD_HUMAN_.pdf")</f>
        <v>Melting_Curves/meltCurve_sp_P26440_IVD_HUMAN_.pdf</v>
      </c>
      <c r="AA886" t="s">
        <v>13754</v>
      </c>
      <c r="AB886" t="s">
        <v>17971</v>
      </c>
    </row>
    <row r="887" spans="1:28" x14ac:dyDescent="0.25">
      <c r="A887" t="s">
        <v>891</v>
      </c>
      <c r="B887">
        <v>0.99876560204751996</v>
      </c>
      <c r="C887">
        <v>0.88557547626492505</v>
      </c>
      <c r="D887">
        <v>0.96475134777426896</v>
      </c>
      <c r="E887">
        <v>0.85058786216308002</v>
      </c>
      <c r="F887">
        <v>0.72518021863504101</v>
      </c>
      <c r="G887">
        <v>0.58425441252603305</v>
      </c>
      <c r="H887">
        <v>0.35234236310504302</v>
      </c>
      <c r="I887">
        <v>0.40109115810363499</v>
      </c>
      <c r="J887">
        <v>0.405033618302715</v>
      </c>
      <c r="K887">
        <v>0.42236806846510799</v>
      </c>
      <c r="L887">
        <v>898.21007105659896</v>
      </c>
      <c r="M887">
        <v>16.747197349087799</v>
      </c>
      <c r="N887">
        <v>58.304742640795801</v>
      </c>
      <c r="O887">
        <v>52.886241903532898</v>
      </c>
      <c r="P887">
        <v>-4.9932784107786003E-2</v>
      </c>
      <c r="Q887">
        <v>0.36930719800668099</v>
      </c>
      <c r="R887">
        <v>0.96052034678481302</v>
      </c>
      <c r="S887" t="s">
        <v>5183</v>
      </c>
      <c r="T887" t="s">
        <v>8590</v>
      </c>
      <c r="U887" t="s">
        <v>8590</v>
      </c>
      <c r="V887" t="s">
        <v>8590</v>
      </c>
      <c r="W887">
        <v>2</v>
      </c>
      <c r="X887" t="s">
        <v>9477</v>
      </c>
      <c r="Y887">
        <v>0.66726389163879718</v>
      </c>
      <c r="Z887" t="str">
        <f>HYPERLINK("Melting_Curves/meltCurve_sp_P26447_S10A4_HUMAN_.pdf", "Melting_Curves/meltCurve_sp_P26447_S10A4_HUMAN_.pdf")</f>
        <v>Melting_Curves/meltCurve_sp_P26447_S10A4_HUMAN_.pdf</v>
      </c>
      <c r="AA887" t="s">
        <v>13755</v>
      </c>
      <c r="AB887" t="s">
        <v>17972</v>
      </c>
    </row>
    <row r="888" spans="1:28" x14ac:dyDescent="0.25">
      <c r="A888" t="s">
        <v>892</v>
      </c>
      <c r="B888">
        <v>0.99876560204751996</v>
      </c>
      <c r="C888">
        <v>1.0078701711344</v>
      </c>
      <c r="D888">
        <v>1.14772032772315</v>
      </c>
      <c r="E888">
        <v>1.0541983357732201</v>
      </c>
      <c r="F888">
        <v>1.1686232644433201</v>
      </c>
      <c r="G888">
        <v>0.91301139299193201</v>
      </c>
      <c r="H888">
        <v>0.87025799758176103</v>
      </c>
      <c r="I888">
        <v>0.85577465105485795</v>
      </c>
      <c r="J888">
        <v>1.0691147350057399</v>
      </c>
      <c r="K888">
        <v>1.1030524491040401</v>
      </c>
      <c r="L888">
        <v>15000</v>
      </c>
      <c r="M888">
        <v>224.589638827356</v>
      </c>
      <c r="O888">
        <v>66.783184649899397</v>
      </c>
      <c r="P888">
        <v>8.6657264262813699E-2</v>
      </c>
      <c r="Q888">
        <v>1.1030723916762299</v>
      </c>
      <c r="R888">
        <v>0.10739299278964901</v>
      </c>
      <c r="S888" t="s">
        <v>5184</v>
      </c>
      <c r="T888" t="s">
        <v>8590</v>
      </c>
      <c r="U888" t="s">
        <v>8590</v>
      </c>
      <c r="V888" t="s">
        <v>8590</v>
      </c>
      <c r="W888">
        <v>7</v>
      </c>
      <c r="X888" t="s">
        <v>9478</v>
      </c>
      <c r="Y888">
        <v>1.011019044741359</v>
      </c>
      <c r="Z888" t="str">
        <f>HYPERLINK("Melting_Curves/meltCurve_sp_P26583_HMGB2_HUMAN_.pdf", "Melting_Curves/meltCurve_sp_P26583_HMGB2_HUMAN_.pdf")</f>
        <v>Melting_Curves/meltCurve_sp_P26583_HMGB2_HUMAN_.pdf</v>
      </c>
      <c r="AA888" t="s">
        <v>13756</v>
      </c>
      <c r="AB888" t="s">
        <v>17973</v>
      </c>
    </row>
    <row r="889" spans="1:28" x14ac:dyDescent="0.25">
      <c r="A889" t="s">
        <v>893</v>
      </c>
      <c r="B889">
        <v>0.99876560204751996</v>
      </c>
      <c r="C889">
        <v>1.0395142253154299</v>
      </c>
      <c r="D889">
        <v>0.96476852710780903</v>
      </c>
      <c r="E889">
        <v>0.75153378022620898</v>
      </c>
      <c r="F889">
        <v>0.47054302993198199</v>
      </c>
      <c r="G889">
        <v>0.34969686009595202</v>
      </c>
      <c r="H889">
        <v>0.23641143785544</v>
      </c>
      <c r="I889">
        <v>0.171702285059009</v>
      </c>
      <c r="J889">
        <v>0.167734111034578</v>
      </c>
      <c r="K889">
        <v>0.11547739351038</v>
      </c>
      <c r="L889">
        <v>958.77241351818805</v>
      </c>
      <c r="M889">
        <v>18.332132795159701</v>
      </c>
      <c r="N889">
        <v>53.326181182726202</v>
      </c>
      <c r="O889">
        <v>51.689678905622202</v>
      </c>
      <c r="P889">
        <v>-7.5490570407760096E-2</v>
      </c>
      <c r="Q889">
        <v>0.14861968901113501</v>
      </c>
      <c r="R889">
        <v>0.99095888032942003</v>
      </c>
      <c r="S889" t="s">
        <v>5185</v>
      </c>
      <c r="T889" t="s">
        <v>8590</v>
      </c>
      <c r="U889" t="s">
        <v>8590</v>
      </c>
      <c r="V889" t="s">
        <v>8590</v>
      </c>
      <c r="W889">
        <v>10</v>
      </c>
      <c r="X889" t="s">
        <v>9479</v>
      </c>
      <c r="Y889">
        <v>0.51136750881370985</v>
      </c>
      <c r="Z889" t="str">
        <f>HYPERLINK("Melting_Curves/meltCurve_sp_P26599_PTBP1_HUMAN_.pdf", "Melting_Curves/meltCurve_sp_P26599_PTBP1_HUMAN_.pdf")</f>
        <v>Melting_Curves/meltCurve_sp_P26599_PTBP1_HUMAN_.pdf</v>
      </c>
      <c r="AA889" t="s">
        <v>13757</v>
      </c>
      <c r="AB889" t="s">
        <v>17974</v>
      </c>
    </row>
    <row r="890" spans="1:28" x14ac:dyDescent="0.25">
      <c r="A890" t="s">
        <v>894</v>
      </c>
      <c r="B890">
        <v>0.99876560204751996</v>
      </c>
      <c r="C890">
        <v>1.02277307695178</v>
      </c>
      <c r="D890">
        <v>0.93416735107980398</v>
      </c>
      <c r="E890">
        <v>0.87269548077761305</v>
      </c>
      <c r="F890">
        <v>0.45809552556628302</v>
      </c>
      <c r="G890">
        <v>0.17048684498098299</v>
      </c>
      <c r="H890">
        <v>8.4824967219007799E-2</v>
      </c>
      <c r="I890">
        <v>6.3344854247833093E-2</v>
      </c>
      <c r="J890">
        <v>6.3276357443157794E-2</v>
      </c>
      <c r="K890">
        <v>5.04007749157536E-2</v>
      </c>
      <c r="L890">
        <v>1617.4456122174399</v>
      </c>
      <c r="M890">
        <v>30.741137615223899</v>
      </c>
      <c r="N890">
        <v>52.8524506129882</v>
      </c>
      <c r="O890">
        <v>52.393880285073401</v>
      </c>
      <c r="P890">
        <v>-0.137223588444532</v>
      </c>
      <c r="Q890">
        <v>6.4493565267603595E-2</v>
      </c>
      <c r="R890">
        <v>0.99658941375806098</v>
      </c>
      <c r="S890" t="s">
        <v>5186</v>
      </c>
      <c r="T890" t="s">
        <v>8590</v>
      </c>
      <c r="U890" t="s">
        <v>8590</v>
      </c>
      <c r="V890" t="s">
        <v>8590</v>
      </c>
      <c r="W890">
        <v>37</v>
      </c>
      <c r="X890" t="s">
        <v>9480</v>
      </c>
      <c r="Y890">
        <v>0.46362453745009607</v>
      </c>
      <c r="Z890" t="str">
        <f>HYPERLINK("Melting_Curves/meltCurve_sp_P26639_SYTC_HUMAN_.pdf", "Melting_Curves/meltCurve_sp_P26639_SYTC_HUMAN_.pdf")</f>
        <v>Melting_Curves/meltCurve_sp_P26639_SYTC_HUMAN_.pdf</v>
      </c>
      <c r="AA890" t="s">
        <v>13758</v>
      </c>
      <c r="AB890" t="s">
        <v>17975</v>
      </c>
    </row>
    <row r="891" spans="1:28" x14ac:dyDescent="0.25">
      <c r="A891" t="s">
        <v>895</v>
      </c>
      <c r="B891">
        <v>0.99876560204751996</v>
      </c>
      <c r="C891">
        <v>0.96760042445849204</v>
      </c>
      <c r="D891">
        <v>0.57077736418149905</v>
      </c>
      <c r="E891">
        <v>0.27530595642352201</v>
      </c>
      <c r="F891">
        <v>0.134871348539748</v>
      </c>
      <c r="G891">
        <v>8.7236603879410804E-2</v>
      </c>
      <c r="H891">
        <v>5.5565192974117703E-2</v>
      </c>
      <c r="I891">
        <v>4.92792707800489E-2</v>
      </c>
      <c r="J891">
        <v>4.4266902343345203E-2</v>
      </c>
      <c r="K891">
        <v>3.7508980943944198E-2</v>
      </c>
      <c r="L891">
        <v>1049.31288312079</v>
      </c>
      <c r="M891">
        <v>22.375385599179999</v>
      </c>
      <c r="N891">
        <v>47.137641884944799</v>
      </c>
      <c r="O891">
        <v>46.526097719627003</v>
      </c>
      <c r="P891">
        <v>-0.113714407898988</v>
      </c>
      <c r="Q891">
        <v>5.4214804256724702E-2</v>
      </c>
      <c r="R891">
        <v>0.99184795644092105</v>
      </c>
      <c r="S891" t="s">
        <v>5187</v>
      </c>
      <c r="T891" t="s">
        <v>8590</v>
      </c>
      <c r="U891" t="s">
        <v>8590</v>
      </c>
      <c r="V891" t="s">
        <v>8590</v>
      </c>
      <c r="W891">
        <v>39</v>
      </c>
      <c r="X891" t="s">
        <v>9481</v>
      </c>
      <c r="Y891">
        <v>0.28244551918653032</v>
      </c>
      <c r="Z891" t="str">
        <f>HYPERLINK("Melting_Curves/meltCurve_sp_P26640_SYVC_HUMAN_.pdf", "Melting_Curves/meltCurve_sp_P26640_SYVC_HUMAN_.pdf")</f>
        <v>Melting_Curves/meltCurve_sp_P26640_SYVC_HUMAN_.pdf</v>
      </c>
      <c r="AA891" t="s">
        <v>13759</v>
      </c>
      <c r="AB891" t="s">
        <v>17976</v>
      </c>
    </row>
    <row r="892" spans="1:28" x14ac:dyDescent="0.25">
      <c r="A892" t="s">
        <v>896</v>
      </c>
      <c r="B892">
        <v>0.99876560204751996</v>
      </c>
      <c r="C892">
        <v>1.0284292003359601</v>
      </c>
      <c r="D892">
        <v>0.93570407059887994</v>
      </c>
      <c r="E892">
        <v>0.68543875807726196</v>
      </c>
      <c r="F892">
        <v>0.28323673882320499</v>
      </c>
      <c r="G892">
        <v>0.12625313337380301</v>
      </c>
      <c r="H892">
        <v>7.9597261782672596E-2</v>
      </c>
      <c r="I892">
        <v>6.3598167451653295E-2</v>
      </c>
      <c r="J892">
        <v>5.5303424379806003E-2</v>
      </c>
      <c r="K892">
        <v>4.5907337759867599E-2</v>
      </c>
      <c r="L892">
        <v>1483.19123809741</v>
      </c>
      <c r="M892">
        <v>29.0487157652124</v>
      </c>
      <c r="N892">
        <v>51.288114879138703</v>
      </c>
      <c r="O892">
        <v>50.818615186097198</v>
      </c>
      <c r="P892">
        <v>-0.13420048501780599</v>
      </c>
      <c r="Q892">
        <v>6.0911008421616702E-2</v>
      </c>
      <c r="R892">
        <v>0.99805985309567702</v>
      </c>
      <c r="S892" t="s">
        <v>5188</v>
      </c>
      <c r="T892" t="s">
        <v>8590</v>
      </c>
      <c r="U892" t="s">
        <v>8590</v>
      </c>
      <c r="V892" t="s">
        <v>8590</v>
      </c>
      <c r="W892">
        <v>18</v>
      </c>
      <c r="X892" t="s">
        <v>9482</v>
      </c>
      <c r="Y892">
        <v>0.41338635120498418</v>
      </c>
      <c r="Z892" t="str">
        <f>HYPERLINK("Melting_Curves/meltCurve_sp_P26641_EF1G_HUMAN_.pdf", "Melting_Curves/meltCurve_sp_P26641_EF1G_HUMAN_.pdf")</f>
        <v>Melting_Curves/meltCurve_sp_P26641_EF1G_HUMAN_.pdf</v>
      </c>
      <c r="AA892" t="s">
        <v>13760</v>
      </c>
      <c r="AB892" t="s">
        <v>17977</v>
      </c>
    </row>
    <row r="893" spans="1:28" x14ac:dyDescent="0.25">
      <c r="A893" t="s">
        <v>897</v>
      </c>
      <c r="B893">
        <v>0.99876560204751996</v>
      </c>
      <c r="C893">
        <v>0.93530653849595202</v>
      </c>
      <c r="D893">
        <v>1.06580544571738</v>
      </c>
      <c r="E893">
        <v>0.91611308567282301</v>
      </c>
      <c r="F893">
        <v>0.92184539661955101</v>
      </c>
      <c r="G893">
        <v>0.68910041757850105</v>
      </c>
      <c r="H893">
        <v>0.54537555831941398</v>
      </c>
      <c r="I893">
        <v>0.448413470491827</v>
      </c>
      <c r="J893">
        <v>0.40097535782108501</v>
      </c>
      <c r="K893">
        <v>0.30558267645962101</v>
      </c>
      <c r="L893">
        <v>871.637659380336</v>
      </c>
      <c r="M893">
        <v>14.805650055985801</v>
      </c>
      <c r="N893">
        <v>62.116534388813797</v>
      </c>
      <c r="O893">
        <v>57.829265702959503</v>
      </c>
      <c r="P893">
        <v>-4.6776089296988697E-2</v>
      </c>
      <c r="Q893">
        <v>0.269268419444258</v>
      </c>
      <c r="R893">
        <v>0.97824108962827105</v>
      </c>
      <c r="S893" t="s">
        <v>5189</v>
      </c>
      <c r="T893" t="s">
        <v>8590</v>
      </c>
      <c r="U893" t="s">
        <v>8590</v>
      </c>
      <c r="V893" t="s">
        <v>8590</v>
      </c>
      <c r="W893">
        <v>10</v>
      </c>
      <c r="X893" t="s">
        <v>9483</v>
      </c>
      <c r="Y893">
        <v>0.7368674158066818</v>
      </c>
      <c r="Z893" t="str">
        <f>HYPERLINK("Melting_Curves/meltCurve_sp_P26885_FKBP2_HUMAN_.pdf", "Melting_Curves/meltCurve_sp_P26885_FKBP2_HUMAN_.pdf")</f>
        <v>Melting_Curves/meltCurve_sp_P26885_FKBP2_HUMAN_.pdf</v>
      </c>
      <c r="AA893" t="s">
        <v>13761</v>
      </c>
      <c r="AB893" t="s">
        <v>17978</v>
      </c>
    </row>
    <row r="894" spans="1:28" x14ac:dyDescent="0.25">
      <c r="A894" t="s">
        <v>898</v>
      </c>
      <c r="B894">
        <v>0.99876560204751996</v>
      </c>
      <c r="C894">
        <v>1.04676768957336</v>
      </c>
      <c r="D894">
        <v>1.0521891053417101</v>
      </c>
      <c r="E894">
        <v>0.77253725257804595</v>
      </c>
      <c r="F894">
        <v>0.52964268268761905</v>
      </c>
      <c r="G894">
        <v>0.26699922376195401</v>
      </c>
      <c r="H894">
        <v>0.17452637510048499</v>
      </c>
      <c r="I894">
        <v>0.15950636024845299</v>
      </c>
      <c r="J894">
        <v>0.16850128273732701</v>
      </c>
      <c r="K894">
        <v>0.17214958941634301</v>
      </c>
      <c r="L894">
        <v>1326.59434916125</v>
      </c>
      <c r="M894">
        <v>25.3355016264893</v>
      </c>
      <c r="N894">
        <v>53.186154537435797</v>
      </c>
      <c r="O894">
        <v>52.038151993915498</v>
      </c>
      <c r="P894">
        <v>-0.101939135254951</v>
      </c>
      <c r="Q894">
        <v>0.16249453533720501</v>
      </c>
      <c r="R894">
        <v>0.992897710838343</v>
      </c>
      <c r="S894" t="s">
        <v>5190</v>
      </c>
      <c r="T894" t="s">
        <v>8590</v>
      </c>
      <c r="U894" t="s">
        <v>8590</v>
      </c>
      <c r="V894" t="s">
        <v>8590</v>
      </c>
      <c r="W894">
        <v>4</v>
      </c>
      <c r="X894" t="s">
        <v>9484</v>
      </c>
      <c r="Y894">
        <v>0.51505554792302477</v>
      </c>
      <c r="Z894" t="str">
        <f>HYPERLINK("Melting_Curves/meltCurve_sp_P26927_HGFL_HUMAN_.pdf", "Melting_Curves/meltCurve_sp_P26927_HGFL_HUMAN_.pdf")</f>
        <v>Melting_Curves/meltCurve_sp_P26927_HGFL_HUMAN_.pdf</v>
      </c>
      <c r="AA894" t="s">
        <v>13762</v>
      </c>
      <c r="AB894" t="s">
        <v>17979</v>
      </c>
    </row>
    <row r="895" spans="1:28" x14ac:dyDescent="0.25">
      <c r="A895" t="s">
        <v>899</v>
      </c>
      <c r="B895">
        <v>0.99876560204751996</v>
      </c>
      <c r="C895">
        <v>0.85464273956333903</v>
      </c>
      <c r="D895">
        <v>0.83031783823902305</v>
      </c>
      <c r="E895">
        <v>0.43746023804626399</v>
      </c>
      <c r="F895">
        <v>0.19537001822552599</v>
      </c>
      <c r="G895">
        <v>0.109110232846355</v>
      </c>
      <c r="H895">
        <v>6.50486999064082E-2</v>
      </c>
      <c r="I895">
        <v>5.09912871437017E-2</v>
      </c>
      <c r="J895">
        <v>4.7594595422835402E-2</v>
      </c>
      <c r="K895">
        <v>4.37915567160869E-2</v>
      </c>
      <c r="L895">
        <v>942.90989103088896</v>
      </c>
      <c r="M895">
        <v>19.231512554809299</v>
      </c>
      <c r="N895">
        <v>49.241795615664202</v>
      </c>
      <c r="O895">
        <v>48.508522241943503</v>
      </c>
      <c r="P895">
        <v>-9.5173095936776295E-2</v>
      </c>
      <c r="Q895">
        <v>3.9798712828343699E-2</v>
      </c>
      <c r="R895">
        <v>0.992276905600322</v>
      </c>
      <c r="S895" t="s">
        <v>5191</v>
      </c>
      <c r="T895" t="s">
        <v>8590</v>
      </c>
      <c r="U895" t="s">
        <v>8590</v>
      </c>
      <c r="V895" t="s">
        <v>8590</v>
      </c>
      <c r="W895">
        <v>14</v>
      </c>
      <c r="X895" t="s">
        <v>9485</v>
      </c>
      <c r="Y895">
        <v>0.34335731154637739</v>
      </c>
      <c r="Z895" t="str">
        <f>HYPERLINK("Melting_Curves/meltCurve_sp_P27144_KAD4_HUMAN_.pdf", "Melting_Curves/meltCurve_sp_P27144_KAD4_HUMAN_.pdf")</f>
        <v>Melting_Curves/meltCurve_sp_P27144_KAD4_HUMAN_.pdf</v>
      </c>
      <c r="AA895" t="s">
        <v>13763</v>
      </c>
      <c r="AB895" t="s">
        <v>17980</v>
      </c>
    </row>
    <row r="896" spans="1:28" x14ac:dyDescent="0.25">
      <c r="A896" t="s">
        <v>900</v>
      </c>
      <c r="B896">
        <v>0.99876560204751996</v>
      </c>
      <c r="C896">
        <v>1.0536211846596</v>
      </c>
      <c r="D896">
        <v>0.79958435977151898</v>
      </c>
      <c r="E896">
        <v>0.60220116141598801</v>
      </c>
      <c r="F896">
        <v>0.36687856225173698</v>
      </c>
      <c r="G896">
        <v>0.22652538594548</v>
      </c>
      <c r="H896">
        <v>0.122730222904469</v>
      </c>
      <c r="I896">
        <v>0.11644792101474399</v>
      </c>
      <c r="J896">
        <v>7.0699989063996396E-2</v>
      </c>
      <c r="K896">
        <v>0.102682599032604</v>
      </c>
      <c r="L896">
        <v>847.224672729551</v>
      </c>
      <c r="M896">
        <v>16.732370990614299</v>
      </c>
      <c r="N896">
        <v>51.177477264311001</v>
      </c>
      <c r="O896">
        <v>49.927222936276998</v>
      </c>
      <c r="P896">
        <v>-7.6967487145372104E-2</v>
      </c>
      <c r="Q896">
        <v>8.1416471383541203E-2</v>
      </c>
      <c r="R896">
        <v>0.989365771969823</v>
      </c>
      <c r="S896" t="s">
        <v>5192</v>
      </c>
      <c r="T896" t="s">
        <v>8590</v>
      </c>
      <c r="U896" t="s">
        <v>8590</v>
      </c>
      <c r="V896" t="s">
        <v>8590</v>
      </c>
      <c r="W896">
        <v>1</v>
      </c>
      <c r="X896" t="s">
        <v>9486</v>
      </c>
      <c r="Y896">
        <v>0.42476431806699771</v>
      </c>
      <c r="Z896" t="str">
        <f>HYPERLINK("Melting_Curves/meltCurve_sp_P27169_PON1_HUMAN_.pdf", "Melting_Curves/meltCurve_sp_P27169_PON1_HUMAN_.pdf")</f>
        <v>Melting_Curves/meltCurve_sp_P27169_PON1_HUMAN_.pdf</v>
      </c>
      <c r="AA896" t="s">
        <v>13764</v>
      </c>
      <c r="AB896" t="s">
        <v>17981</v>
      </c>
    </row>
    <row r="897" spans="1:28" x14ac:dyDescent="0.25">
      <c r="A897" t="s">
        <v>901</v>
      </c>
      <c r="B897">
        <v>0.99876560204751996</v>
      </c>
      <c r="C897">
        <v>0.861749736087003</v>
      </c>
      <c r="D897">
        <v>0.94941693769059299</v>
      </c>
      <c r="E897">
        <v>0.90938023185691996</v>
      </c>
      <c r="F897">
        <v>0.85531156851465895</v>
      </c>
      <c r="G897">
        <v>0.44556787101297401</v>
      </c>
      <c r="H897">
        <v>0.15940743003308799</v>
      </c>
      <c r="I897">
        <v>8.6498950770846406E-2</v>
      </c>
      <c r="J897">
        <v>6.9010118689202593E-2</v>
      </c>
      <c r="K897">
        <v>6.0565849417227299E-2</v>
      </c>
      <c r="L897">
        <v>1394.8323482936501</v>
      </c>
      <c r="M897">
        <v>24.7921697618576</v>
      </c>
      <c r="N897">
        <v>56.483897369148501</v>
      </c>
      <c r="O897">
        <v>55.898793024524402</v>
      </c>
      <c r="P897">
        <v>-0.105714177972243</v>
      </c>
      <c r="Q897">
        <v>4.6600135830667001E-2</v>
      </c>
      <c r="R897">
        <v>0.98397926202630503</v>
      </c>
      <c r="S897" t="s">
        <v>5193</v>
      </c>
      <c r="T897" t="s">
        <v>8590</v>
      </c>
      <c r="U897" t="s">
        <v>8590</v>
      </c>
      <c r="V897" t="s">
        <v>8590</v>
      </c>
      <c r="W897">
        <v>22</v>
      </c>
      <c r="X897" t="s">
        <v>9487</v>
      </c>
      <c r="Y897">
        <v>0.57221389030376524</v>
      </c>
      <c r="Z897" t="str">
        <f>HYPERLINK("Melting_Curves/meltCurve_sp_P27348_1433T_HUMAN_.pdf", "Melting_Curves/meltCurve_sp_P27348_1433T_HUMAN_.pdf")</f>
        <v>Melting_Curves/meltCurve_sp_P27348_1433T_HUMAN_.pdf</v>
      </c>
      <c r="AA897" t="s">
        <v>13765</v>
      </c>
      <c r="AB897" t="s">
        <v>17982</v>
      </c>
    </row>
    <row r="898" spans="1:28" x14ac:dyDescent="0.25">
      <c r="A898" t="s">
        <v>902</v>
      </c>
      <c r="B898">
        <v>0.99876560204751996</v>
      </c>
      <c r="C898">
        <v>1.2404770281570801</v>
      </c>
      <c r="D898">
        <v>1.1363525318498799</v>
      </c>
      <c r="E898">
        <v>0.88042901893937697</v>
      </c>
      <c r="F898">
        <v>0.73691604067559002</v>
      </c>
      <c r="G898">
        <v>0.56199406046989697</v>
      </c>
      <c r="H898">
        <v>0.44233907062054401</v>
      </c>
      <c r="I898">
        <v>0.25457319492696801</v>
      </c>
      <c r="J898">
        <v>0.22183634567840299</v>
      </c>
      <c r="K898">
        <v>0.20171241802575501</v>
      </c>
      <c r="L898">
        <v>888.79114753243903</v>
      </c>
      <c r="M898">
        <v>15.672814270391401</v>
      </c>
      <c r="N898">
        <v>58.189775443770998</v>
      </c>
      <c r="O898">
        <v>55.809935169297603</v>
      </c>
      <c r="P898">
        <v>-5.8666524152369698E-2</v>
      </c>
      <c r="Q898">
        <v>0.164439343454369</v>
      </c>
      <c r="R898">
        <v>0.93002888655186799</v>
      </c>
      <c r="S898" t="s">
        <v>5194</v>
      </c>
      <c r="T898" t="s">
        <v>8590</v>
      </c>
      <c r="U898" t="s">
        <v>8590</v>
      </c>
      <c r="V898" t="s">
        <v>8590</v>
      </c>
      <c r="W898">
        <v>1</v>
      </c>
      <c r="X898" t="s">
        <v>9488</v>
      </c>
      <c r="Y898">
        <v>0.6431237751493003</v>
      </c>
      <c r="Z898" t="str">
        <f>HYPERLINK("Melting_Curves/meltCurve_sp_P27540_2_ARNT_HUMAN_.pdf", "Melting_Curves/meltCurve_sp_P27540_2_ARNT_HUMAN_.pdf")</f>
        <v>Melting_Curves/meltCurve_sp_P27540_2_ARNT_HUMAN_.pdf</v>
      </c>
      <c r="AA898" t="s">
        <v>13766</v>
      </c>
      <c r="AB898" t="s">
        <v>17983</v>
      </c>
    </row>
    <row r="899" spans="1:28" x14ac:dyDescent="0.25">
      <c r="A899" t="s">
        <v>903</v>
      </c>
      <c r="B899">
        <v>0.99876560204751996</v>
      </c>
      <c r="C899">
        <v>1.07363172939942</v>
      </c>
      <c r="D899">
        <v>1.0132906198187099</v>
      </c>
      <c r="E899">
        <v>1.0220037400431301</v>
      </c>
      <c r="F899">
        <v>0.68474167307390599</v>
      </c>
      <c r="G899">
        <v>0.24419211950164199</v>
      </c>
      <c r="H899">
        <v>0.12705250002280699</v>
      </c>
      <c r="I899">
        <v>9.1077087547017405E-2</v>
      </c>
      <c r="J899">
        <v>7.0102042011240803E-2</v>
      </c>
      <c r="K899">
        <v>6.2786645308644598E-2</v>
      </c>
      <c r="L899">
        <v>1860.7949492556299</v>
      </c>
      <c r="M899">
        <v>34.320592360672201</v>
      </c>
      <c r="N899">
        <v>54.507022721800098</v>
      </c>
      <c r="O899">
        <v>54.034950807867602</v>
      </c>
      <c r="P899">
        <v>-0.145580426123155</v>
      </c>
      <c r="Q899">
        <v>8.31858740487086E-2</v>
      </c>
      <c r="R899">
        <v>0.99313728504642595</v>
      </c>
      <c r="S899" t="s">
        <v>5195</v>
      </c>
      <c r="T899" t="s">
        <v>8590</v>
      </c>
      <c r="U899" t="s">
        <v>8590</v>
      </c>
      <c r="V899" t="s">
        <v>8590</v>
      </c>
      <c r="W899">
        <v>14</v>
      </c>
      <c r="X899" t="s">
        <v>9489</v>
      </c>
      <c r="Y899">
        <v>0.52234123666302446</v>
      </c>
      <c r="Z899" t="str">
        <f>HYPERLINK("Melting_Curves/meltCurve_sp_P27694_RFA1_HUMAN_.pdf", "Melting_Curves/meltCurve_sp_P27694_RFA1_HUMAN_.pdf")</f>
        <v>Melting_Curves/meltCurve_sp_P27694_RFA1_HUMAN_.pdf</v>
      </c>
      <c r="AA899" t="s">
        <v>13767</v>
      </c>
      <c r="AB899" t="s">
        <v>17984</v>
      </c>
    </row>
    <row r="900" spans="1:28" x14ac:dyDescent="0.25">
      <c r="A900" t="s">
        <v>904</v>
      </c>
      <c r="B900">
        <v>0.99876560204751996</v>
      </c>
      <c r="C900">
        <v>0.94005834722694803</v>
      </c>
      <c r="D900">
        <v>0.92166687023821203</v>
      </c>
      <c r="E900">
        <v>0.41867027480213098</v>
      </c>
      <c r="F900">
        <v>0.18358711625110999</v>
      </c>
      <c r="G900">
        <v>0.10729502859128801</v>
      </c>
      <c r="H900">
        <v>7.7667030039867205E-2</v>
      </c>
      <c r="I900">
        <v>6.2621761233098996E-2</v>
      </c>
      <c r="J900">
        <v>6.7307527982568796E-2</v>
      </c>
      <c r="K900">
        <v>5.3421623457077197E-2</v>
      </c>
      <c r="L900">
        <v>1458.4364041349399</v>
      </c>
      <c r="M900">
        <v>29.6175336415765</v>
      </c>
      <c r="N900">
        <v>49.495425854954</v>
      </c>
      <c r="O900">
        <v>49.019476542822296</v>
      </c>
      <c r="P900">
        <v>-0.140436932322105</v>
      </c>
      <c r="Q900">
        <v>7.0267201745527599E-2</v>
      </c>
      <c r="R900">
        <v>0.99727414099186396</v>
      </c>
      <c r="S900" t="s">
        <v>5196</v>
      </c>
      <c r="T900" t="s">
        <v>8590</v>
      </c>
      <c r="U900" t="s">
        <v>8590</v>
      </c>
      <c r="V900" t="s">
        <v>8590</v>
      </c>
      <c r="W900">
        <v>12</v>
      </c>
      <c r="X900" t="s">
        <v>9490</v>
      </c>
      <c r="Y900">
        <v>0.36253079921493397</v>
      </c>
      <c r="Z900" t="str">
        <f>HYPERLINK("Melting_Curves/meltCurve_sp_P27695_APEX1_HUMAN_.pdf", "Melting_Curves/meltCurve_sp_P27695_APEX1_HUMAN_.pdf")</f>
        <v>Melting_Curves/meltCurve_sp_P27695_APEX1_HUMAN_.pdf</v>
      </c>
      <c r="AA900" t="s">
        <v>13768</v>
      </c>
      <c r="AB900" t="s">
        <v>17985</v>
      </c>
    </row>
    <row r="901" spans="1:28" x14ac:dyDescent="0.25">
      <c r="A901" t="s">
        <v>905</v>
      </c>
      <c r="B901">
        <v>0.99876560204751996</v>
      </c>
      <c r="C901">
        <v>0.99323721759504702</v>
      </c>
      <c r="D901">
        <v>1.0541475399536899</v>
      </c>
      <c r="E901">
        <v>0.81038786404735397</v>
      </c>
      <c r="F901">
        <v>0.68408575782330405</v>
      </c>
      <c r="G901">
        <v>0.40956093243634201</v>
      </c>
      <c r="H901">
        <v>0.30985486585963501</v>
      </c>
      <c r="I901">
        <v>0.30720686502546601</v>
      </c>
      <c r="J901">
        <v>0.393043182081388</v>
      </c>
      <c r="K901">
        <v>0.38040236161611701</v>
      </c>
      <c r="L901">
        <v>1353.1955426909501</v>
      </c>
      <c r="M901">
        <v>25.7018981403948</v>
      </c>
      <c r="N901">
        <v>55.106848248918197</v>
      </c>
      <c r="O901">
        <v>52.334028950323898</v>
      </c>
      <c r="P901">
        <v>-8.09050917760087E-2</v>
      </c>
      <c r="Q901">
        <v>0.34105460116958602</v>
      </c>
      <c r="R901">
        <v>0.97911146055492804</v>
      </c>
      <c r="S901" t="s">
        <v>5197</v>
      </c>
      <c r="T901" t="s">
        <v>8590</v>
      </c>
      <c r="U901" t="s">
        <v>8590</v>
      </c>
      <c r="V901" t="s">
        <v>8590</v>
      </c>
      <c r="W901">
        <v>26</v>
      </c>
      <c r="X901" t="s">
        <v>9491</v>
      </c>
      <c r="Y901">
        <v>0.62464231089573441</v>
      </c>
      <c r="Z901" t="str">
        <f>HYPERLINK("Melting_Curves/meltCurve_sp_P27797_CALR_HUMAN_.pdf", "Melting_Curves/meltCurve_sp_P27797_CALR_HUMAN_.pdf")</f>
        <v>Melting_Curves/meltCurve_sp_P27797_CALR_HUMAN_.pdf</v>
      </c>
      <c r="AA901" t="s">
        <v>13769</v>
      </c>
      <c r="AB901" t="s">
        <v>17986</v>
      </c>
    </row>
    <row r="902" spans="1:28" x14ac:dyDescent="0.25">
      <c r="A902" t="s">
        <v>906</v>
      </c>
      <c r="B902">
        <v>0.99876560204751996</v>
      </c>
      <c r="C902">
        <v>0.99172100905854299</v>
      </c>
      <c r="D902">
        <v>1.0598098224646899</v>
      </c>
      <c r="E902">
        <v>0.95960582980385001</v>
      </c>
      <c r="F902">
        <v>0.96626630539347602</v>
      </c>
      <c r="G902">
        <v>0.77541417460652295</v>
      </c>
      <c r="H902">
        <v>0.69975345654504695</v>
      </c>
      <c r="I902">
        <v>0.69244906161053499</v>
      </c>
      <c r="J902">
        <v>0.88298787913689603</v>
      </c>
      <c r="K902">
        <v>0.83874415864599605</v>
      </c>
      <c r="L902">
        <v>5597.8122222905904</v>
      </c>
      <c r="M902">
        <v>103.904613770482</v>
      </c>
      <c r="O902">
        <v>53.854582121159297</v>
      </c>
      <c r="P902">
        <v>-0.10721143884030999</v>
      </c>
      <c r="Q902">
        <v>0.77772586953784695</v>
      </c>
      <c r="R902">
        <v>0.780851751463849</v>
      </c>
      <c r="S902" t="s">
        <v>5198</v>
      </c>
      <c r="T902" t="s">
        <v>8590</v>
      </c>
      <c r="U902" t="s">
        <v>8590</v>
      </c>
      <c r="V902" t="s">
        <v>8590</v>
      </c>
      <c r="W902">
        <v>35</v>
      </c>
      <c r="X902" t="s">
        <v>9492</v>
      </c>
      <c r="Y902">
        <v>0.88064596343599888</v>
      </c>
      <c r="Z902" t="str">
        <f>HYPERLINK("Melting_Curves/meltCurve_sp_P27816_MAP4_HUMAN_.pdf", "Melting_Curves/meltCurve_sp_P27816_MAP4_HUMAN_.pdf")</f>
        <v>Melting_Curves/meltCurve_sp_P27816_MAP4_HUMAN_.pdf</v>
      </c>
      <c r="AA902" t="s">
        <v>13770</v>
      </c>
      <c r="AB902" t="s">
        <v>17987</v>
      </c>
    </row>
    <row r="903" spans="1:28" x14ac:dyDescent="0.25">
      <c r="A903" t="s">
        <v>907</v>
      </c>
      <c r="B903">
        <v>0.99876560204751996</v>
      </c>
      <c r="C903">
        <v>0.89412561456176998</v>
      </c>
      <c r="D903">
        <v>0.85347513002261699</v>
      </c>
      <c r="E903">
        <v>0.68929650414698596</v>
      </c>
      <c r="F903">
        <v>0.34742520020101603</v>
      </c>
      <c r="G903">
        <v>0.18669514206087201</v>
      </c>
      <c r="H903">
        <v>0.108730524533586</v>
      </c>
      <c r="I903">
        <v>9.0439042739949002E-2</v>
      </c>
      <c r="J903">
        <v>9.1998703566789894E-2</v>
      </c>
      <c r="K903">
        <v>7.9853673491560098E-2</v>
      </c>
      <c r="L903">
        <v>895.76089975459104</v>
      </c>
      <c r="M903">
        <v>17.529017865196</v>
      </c>
      <c r="N903">
        <v>51.505400841365002</v>
      </c>
      <c r="O903">
        <v>50.450443812457003</v>
      </c>
      <c r="P903">
        <v>-8.1290375295441003E-2</v>
      </c>
      <c r="Q903">
        <v>6.4200665406996898E-2</v>
      </c>
      <c r="R903">
        <v>0.989914998133123</v>
      </c>
      <c r="S903" t="s">
        <v>5199</v>
      </c>
      <c r="T903" t="s">
        <v>8590</v>
      </c>
      <c r="U903" t="s">
        <v>8590</v>
      </c>
      <c r="V903" t="s">
        <v>8590</v>
      </c>
      <c r="W903">
        <v>9</v>
      </c>
      <c r="X903" t="s">
        <v>9493</v>
      </c>
      <c r="Y903">
        <v>0.42700814736032922</v>
      </c>
      <c r="Z903" t="str">
        <f>HYPERLINK("Melting_Curves/meltCurve_sp_P27986_P85A_HUMAN_.pdf", "Melting_Curves/meltCurve_sp_P27986_P85A_HUMAN_.pdf")</f>
        <v>Melting_Curves/meltCurve_sp_P27986_P85A_HUMAN_.pdf</v>
      </c>
      <c r="AA903" t="s">
        <v>13771</v>
      </c>
      <c r="AB903" t="s">
        <v>17988</v>
      </c>
    </row>
    <row r="904" spans="1:28" x14ac:dyDescent="0.25">
      <c r="A904" t="s">
        <v>908</v>
      </c>
      <c r="B904">
        <v>0.99876560204751996</v>
      </c>
      <c r="C904">
        <v>0.89980641258997296</v>
      </c>
      <c r="D904">
        <v>0.73024910754655303</v>
      </c>
      <c r="E904">
        <v>0.82209787928577105</v>
      </c>
      <c r="F904">
        <v>0.57717830734141795</v>
      </c>
      <c r="G904">
        <v>0.57433435780248099</v>
      </c>
      <c r="H904">
        <v>0.44563944655764298</v>
      </c>
      <c r="I904">
        <v>0.37126942606785401</v>
      </c>
      <c r="J904">
        <v>0.37354851543613199</v>
      </c>
      <c r="K904">
        <v>0.28933759846663998</v>
      </c>
      <c r="L904">
        <v>356.25378572609799</v>
      </c>
      <c r="M904">
        <v>6.2885584671616304</v>
      </c>
      <c r="N904">
        <v>58.638934450575903</v>
      </c>
      <c r="O904">
        <v>51.731405704147299</v>
      </c>
      <c r="P904">
        <v>-2.75483088758657E-2</v>
      </c>
      <c r="Q904">
        <v>9.5994204227473096E-2</v>
      </c>
      <c r="R904">
        <v>0.94476557930255001</v>
      </c>
      <c r="S904" t="s">
        <v>5200</v>
      </c>
      <c r="T904" t="s">
        <v>8590</v>
      </c>
      <c r="U904" t="s">
        <v>8590</v>
      </c>
      <c r="V904" t="s">
        <v>8590</v>
      </c>
      <c r="W904">
        <v>12</v>
      </c>
      <c r="X904" t="s">
        <v>9494</v>
      </c>
      <c r="Y904">
        <v>0.60578520208605291</v>
      </c>
      <c r="Z904" t="str">
        <f>HYPERLINK("Melting_Curves/meltCurve_sp_P28062_2_PSB8_HUMAN_.pdf", "Melting_Curves/meltCurve_sp_P28062_2_PSB8_HUMAN_.pdf")</f>
        <v>Melting_Curves/meltCurve_sp_P28062_2_PSB8_HUMAN_.pdf</v>
      </c>
      <c r="AA904" t="s">
        <v>13772</v>
      </c>
      <c r="AB904" t="s">
        <v>17989</v>
      </c>
    </row>
    <row r="905" spans="1:28" x14ac:dyDescent="0.25">
      <c r="A905" t="s">
        <v>909</v>
      </c>
      <c r="B905">
        <v>0.99876560204751996</v>
      </c>
      <c r="C905">
        <v>1.0649469177067299</v>
      </c>
      <c r="D905">
        <v>1.00036788372481</v>
      </c>
      <c r="E905">
        <v>0.97955644298203903</v>
      </c>
      <c r="F905">
        <v>0.83152759104817398</v>
      </c>
      <c r="G905">
        <v>0.69337740189222496</v>
      </c>
      <c r="H905">
        <v>0.54797782501276804</v>
      </c>
      <c r="I905">
        <v>0.52825395229720595</v>
      </c>
      <c r="J905">
        <v>0.64787258577585305</v>
      </c>
      <c r="K905">
        <v>0.49895910125459197</v>
      </c>
      <c r="L905">
        <v>1358.0960839188699</v>
      </c>
      <c r="M905">
        <v>24.8692727957133</v>
      </c>
      <c r="O905">
        <v>54.259987442500801</v>
      </c>
      <c r="P905">
        <v>-5.1815956427379399E-2</v>
      </c>
      <c r="Q905">
        <v>0.547796347333804</v>
      </c>
      <c r="R905">
        <v>0.95531245096783002</v>
      </c>
      <c r="S905" t="s">
        <v>5201</v>
      </c>
      <c r="T905" t="s">
        <v>8590</v>
      </c>
      <c r="U905" t="s">
        <v>8590</v>
      </c>
      <c r="V905" t="s">
        <v>8590</v>
      </c>
      <c r="W905">
        <v>14</v>
      </c>
      <c r="X905" t="s">
        <v>9495</v>
      </c>
      <c r="Y905">
        <v>0.77223690601025097</v>
      </c>
      <c r="Z905" t="str">
        <f>HYPERLINK("Melting_Curves/meltCurve_sp_P28066_PSA5_HUMAN_.pdf", "Melting_Curves/meltCurve_sp_P28066_PSA5_HUMAN_.pdf")</f>
        <v>Melting_Curves/meltCurve_sp_P28066_PSA5_HUMAN_.pdf</v>
      </c>
      <c r="AA905" t="s">
        <v>13773</v>
      </c>
      <c r="AB905" t="s">
        <v>17990</v>
      </c>
    </row>
    <row r="906" spans="1:28" x14ac:dyDescent="0.25">
      <c r="A906" t="s">
        <v>910</v>
      </c>
      <c r="B906">
        <v>0.99876560204751996</v>
      </c>
      <c r="C906">
        <v>1.1080068315317999</v>
      </c>
      <c r="D906">
        <v>1.0215655179801599</v>
      </c>
      <c r="E906">
        <v>1.0409239284524301</v>
      </c>
      <c r="F906">
        <v>0.94928016978968599</v>
      </c>
      <c r="G906">
        <v>0.86599999184865095</v>
      </c>
      <c r="H906">
        <v>0.68652412977876998</v>
      </c>
      <c r="I906">
        <v>0.66184889267948499</v>
      </c>
      <c r="J906">
        <v>0.75717792729321198</v>
      </c>
      <c r="K906">
        <v>0.57655377179084499</v>
      </c>
      <c r="L906">
        <v>1764.6071323779199</v>
      </c>
      <c r="M906">
        <v>30.652283368062299</v>
      </c>
      <c r="O906">
        <v>57.325187051371202</v>
      </c>
      <c r="P906">
        <v>-4.62927656497771E-2</v>
      </c>
      <c r="Q906">
        <v>0.65369952498060802</v>
      </c>
      <c r="R906">
        <v>0.89776303538977398</v>
      </c>
      <c r="S906" t="s">
        <v>5202</v>
      </c>
      <c r="T906" t="s">
        <v>8590</v>
      </c>
      <c r="U906" t="s">
        <v>8590</v>
      </c>
      <c r="V906" t="s">
        <v>8590</v>
      </c>
      <c r="W906">
        <v>6</v>
      </c>
      <c r="X906" t="s">
        <v>9496</v>
      </c>
      <c r="Y906">
        <v>0.85871074386150448</v>
      </c>
      <c r="Z906" t="str">
        <f>HYPERLINK("Melting_Curves/meltCurve_sp_P28070_PSB4_HUMAN_.pdf", "Melting_Curves/meltCurve_sp_P28070_PSB4_HUMAN_.pdf")</f>
        <v>Melting_Curves/meltCurve_sp_P28070_PSB4_HUMAN_.pdf</v>
      </c>
      <c r="AA906" t="s">
        <v>13774</v>
      </c>
      <c r="AB906" t="s">
        <v>17991</v>
      </c>
    </row>
    <row r="907" spans="1:28" x14ac:dyDescent="0.25">
      <c r="A907" t="s">
        <v>911</v>
      </c>
      <c r="B907">
        <v>0.99876560204751996</v>
      </c>
      <c r="C907">
        <v>1.0781731154788201</v>
      </c>
      <c r="D907">
        <v>0.94285064898573001</v>
      </c>
      <c r="E907">
        <v>1.0167994497939601</v>
      </c>
      <c r="F907">
        <v>0.892805044376899</v>
      </c>
      <c r="G907">
        <v>0.78907628853106404</v>
      </c>
      <c r="H907">
        <v>0.66088727935972702</v>
      </c>
      <c r="I907">
        <v>0.617657502125875</v>
      </c>
      <c r="J907">
        <v>0.73608826060698895</v>
      </c>
      <c r="K907">
        <v>0.55725718865921103</v>
      </c>
      <c r="L907">
        <v>1251.4200130414699</v>
      </c>
      <c r="M907">
        <v>22.347799444410899</v>
      </c>
      <c r="O907">
        <v>55.554860387898302</v>
      </c>
      <c r="P907">
        <v>-3.7922321524846703E-2</v>
      </c>
      <c r="Q907">
        <v>0.62292035307313498</v>
      </c>
      <c r="R907">
        <v>0.90615890959824696</v>
      </c>
      <c r="S907" t="s">
        <v>5203</v>
      </c>
      <c r="T907" t="s">
        <v>8590</v>
      </c>
      <c r="U907" t="s">
        <v>8590</v>
      </c>
      <c r="V907" t="s">
        <v>8590</v>
      </c>
      <c r="W907">
        <v>9</v>
      </c>
      <c r="X907" t="s">
        <v>9497</v>
      </c>
      <c r="Y907">
        <v>0.82813670445986221</v>
      </c>
      <c r="Z907" t="str">
        <f>HYPERLINK("Melting_Curves/meltCurve_sp_P28072_PSB6_HUMAN_.pdf", "Melting_Curves/meltCurve_sp_P28072_PSB6_HUMAN_.pdf")</f>
        <v>Melting_Curves/meltCurve_sp_P28072_PSB6_HUMAN_.pdf</v>
      </c>
      <c r="AA907" t="s">
        <v>13775</v>
      </c>
      <c r="AB907" t="s">
        <v>17992</v>
      </c>
    </row>
    <row r="908" spans="1:28" x14ac:dyDescent="0.25">
      <c r="A908" t="s">
        <v>912</v>
      </c>
      <c r="B908">
        <v>0.99876560204751996</v>
      </c>
      <c r="C908">
        <v>0.99094043728478798</v>
      </c>
      <c r="D908">
        <v>0.88995369240029398</v>
      </c>
      <c r="E908">
        <v>0.93209725031546398</v>
      </c>
      <c r="F908">
        <v>0.83530624884418903</v>
      </c>
      <c r="G908">
        <v>0.68923436603144395</v>
      </c>
      <c r="H908">
        <v>0.57819837730454904</v>
      </c>
      <c r="I908">
        <v>0.59693047013139999</v>
      </c>
      <c r="J908">
        <v>0.65048279285947497</v>
      </c>
      <c r="K908">
        <v>0.51058773689056502</v>
      </c>
      <c r="L908">
        <v>751.48911161446699</v>
      </c>
      <c r="M908">
        <v>13.7775926460997</v>
      </c>
      <c r="O908">
        <v>53.433721312797203</v>
      </c>
      <c r="P908">
        <v>-2.9848118880638801E-2</v>
      </c>
      <c r="Q908">
        <v>0.537024655946017</v>
      </c>
      <c r="R908">
        <v>0.93814989530631099</v>
      </c>
      <c r="S908" t="s">
        <v>5204</v>
      </c>
      <c r="T908" t="s">
        <v>8590</v>
      </c>
      <c r="U908" t="s">
        <v>8590</v>
      </c>
      <c r="V908" t="s">
        <v>8590</v>
      </c>
      <c r="W908">
        <v>14</v>
      </c>
      <c r="X908" t="s">
        <v>9498</v>
      </c>
      <c r="Y908">
        <v>0.77156973811588236</v>
      </c>
      <c r="Z908" t="str">
        <f>HYPERLINK("Melting_Curves/meltCurve_sp_P28074_PSB5_HUMAN_.pdf", "Melting_Curves/meltCurve_sp_P28074_PSB5_HUMAN_.pdf")</f>
        <v>Melting_Curves/meltCurve_sp_P28074_PSB5_HUMAN_.pdf</v>
      </c>
      <c r="AA908" t="s">
        <v>13776</v>
      </c>
      <c r="AB908" t="s">
        <v>17993</v>
      </c>
    </row>
    <row r="909" spans="1:28" x14ac:dyDescent="0.25">
      <c r="A909" t="s">
        <v>913</v>
      </c>
      <c r="B909">
        <v>0.99876560204751996</v>
      </c>
      <c r="C909">
        <v>1.1058100561364399</v>
      </c>
      <c r="D909">
        <v>0.63819585428273395</v>
      </c>
      <c r="E909">
        <v>0.44057733260772702</v>
      </c>
      <c r="F909">
        <v>0.208019592335425</v>
      </c>
      <c r="G909">
        <v>0.10393774064624201</v>
      </c>
      <c r="H909">
        <v>5.3721752327531798E-2</v>
      </c>
      <c r="I909">
        <v>4.7652257566670603E-2</v>
      </c>
      <c r="J909">
        <v>4.3664058931080899E-2</v>
      </c>
      <c r="K909">
        <v>5.4464953738719402E-2</v>
      </c>
      <c r="L909">
        <v>937.53713856668298</v>
      </c>
      <c r="M909">
        <v>19.2984059585695</v>
      </c>
      <c r="N909">
        <v>48.8250911308333</v>
      </c>
      <c r="O909">
        <v>48.068438665771602</v>
      </c>
      <c r="P909">
        <v>-9.57586857984314E-2</v>
      </c>
      <c r="Q909">
        <v>4.5973373202338498E-2</v>
      </c>
      <c r="R909">
        <v>0.96877067448871301</v>
      </c>
      <c r="S909" t="s">
        <v>5205</v>
      </c>
      <c r="T909" t="s">
        <v>8590</v>
      </c>
      <c r="U909" t="s">
        <v>8590</v>
      </c>
      <c r="V909" t="s">
        <v>8590</v>
      </c>
      <c r="W909">
        <v>1</v>
      </c>
      <c r="X909" t="s">
        <v>9499</v>
      </c>
      <c r="Y909">
        <v>0.33331266098427309</v>
      </c>
      <c r="Z909" t="str">
        <f>HYPERLINK("Melting_Curves/meltCurve_sp_P28288_2_ABCD3_HUMAN_.pdf", "Melting_Curves/meltCurve_sp_P28288_2_ABCD3_HUMAN_.pdf")</f>
        <v>Melting_Curves/meltCurve_sp_P28288_2_ABCD3_HUMAN_.pdf</v>
      </c>
      <c r="AA909" t="s">
        <v>13777</v>
      </c>
      <c r="AB909" t="s">
        <v>17994</v>
      </c>
    </row>
    <row r="910" spans="1:28" x14ac:dyDescent="0.25">
      <c r="A910" t="s">
        <v>914</v>
      </c>
      <c r="B910">
        <v>0.99876560204751996</v>
      </c>
      <c r="C910">
        <v>1.04961707126265</v>
      </c>
      <c r="D910">
        <v>0.90340138769941802</v>
      </c>
      <c r="E910">
        <v>0.98570963376482401</v>
      </c>
      <c r="F910">
        <v>0.86096532039288898</v>
      </c>
      <c r="G910">
        <v>0.58837396166818401</v>
      </c>
      <c r="H910">
        <v>0.232164368103491</v>
      </c>
      <c r="I910">
        <v>0.16058641814288699</v>
      </c>
      <c r="J910">
        <v>0.104467197407204</v>
      </c>
      <c r="K910">
        <v>7.6091582445655198E-2</v>
      </c>
      <c r="L910">
        <v>1309.58277083436</v>
      </c>
      <c r="M910">
        <v>22.816166676422</v>
      </c>
      <c r="N910">
        <v>57.750634917853802</v>
      </c>
      <c r="O910">
        <v>56.9616596850788</v>
      </c>
      <c r="P910">
        <v>-9.3613748259198201E-2</v>
      </c>
      <c r="Q910">
        <v>6.5172766491110604E-2</v>
      </c>
      <c r="R910">
        <v>0.99141565267466902</v>
      </c>
      <c r="S910" t="s">
        <v>5206</v>
      </c>
      <c r="T910" t="s">
        <v>8590</v>
      </c>
      <c r="U910" t="s">
        <v>8590</v>
      </c>
      <c r="V910" t="s">
        <v>8590</v>
      </c>
      <c r="W910">
        <v>17</v>
      </c>
      <c r="X910" t="s">
        <v>9500</v>
      </c>
      <c r="Y910">
        <v>0.61676028964484086</v>
      </c>
      <c r="Z910" t="str">
        <f>HYPERLINK("Melting_Curves/meltCurve_sp_P28330_ACADL_HUMAN_.pdf", "Melting_Curves/meltCurve_sp_P28330_ACADL_HUMAN_.pdf")</f>
        <v>Melting_Curves/meltCurve_sp_P28330_ACADL_HUMAN_.pdf</v>
      </c>
      <c r="AA910" t="s">
        <v>13778</v>
      </c>
      <c r="AB910" t="s">
        <v>17995</v>
      </c>
    </row>
    <row r="911" spans="1:28" x14ac:dyDescent="0.25">
      <c r="A911" t="s">
        <v>915</v>
      </c>
      <c r="B911">
        <v>0.99876560204751996</v>
      </c>
      <c r="C911">
        <v>0.95065282077936997</v>
      </c>
      <c r="D911">
        <v>0.78860622934926905</v>
      </c>
      <c r="E911">
        <v>0.40835424376229001</v>
      </c>
      <c r="F911">
        <v>0.17208629633436301</v>
      </c>
      <c r="G911">
        <v>8.98511630124737E-2</v>
      </c>
      <c r="H911">
        <v>5.8717120865170697E-2</v>
      </c>
      <c r="I911">
        <v>5.0002997724647898E-2</v>
      </c>
      <c r="J911">
        <v>4.9452197841107798E-2</v>
      </c>
      <c r="K911">
        <v>3.9962922212921803E-2</v>
      </c>
      <c r="L911">
        <v>1051.99163180356</v>
      </c>
      <c r="M911">
        <v>21.575474805622601</v>
      </c>
      <c r="N911">
        <v>48.965540980440998</v>
      </c>
      <c r="O911">
        <v>48.345604281798501</v>
      </c>
      <c r="P911">
        <v>-0.10671168274057</v>
      </c>
      <c r="Q911">
        <v>4.3559167193753197E-2</v>
      </c>
      <c r="R911">
        <v>0.99961578149286001</v>
      </c>
      <c r="S911" t="s">
        <v>5207</v>
      </c>
      <c r="T911" t="s">
        <v>8590</v>
      </c>
      <c r="U911" t="s">
        <v>8590</v>
      </c>
      <c r="V911" t="s">
        <v>8590</v>
      </c>
      <c r="W911">
        <v>22</v>
      </c>
      <c r="X911" t="s">
        <v>9501</v>
      </c>
      <c r="Y911">
        <v>0.3342851713556475</v>
      </c>
      <c r="Z911" t="str">
        <f>HYPERLINK("Melting_Curves/meltCurve_sp_P28331_NDUS1_HUMAN_.pdf", "Melting_Curves/meltCurve_sp_P28331_NDUS1_HUMAN_.pdf")</f>
        <v>Melting_Curves/meltCurve_sp_P28331_NDUS1_HUMAN_.pdf</v>
      </c>
      <c r="AA911" t="s">
        <v>13779</v>
      </c>
      <c r="AB911" t="s">
        <v>17996</v>
      </c>
    </row>
    <row r="912" spans="1:28" x14ac:dyDescent="0.25">
      <c r="A912" t="s">
        <v>916</v>
      </c>
      <c r="B912">
        <v>0.99876560204751996</v>
      </c>
      <c r="C912">
        <v>0.98492205459473503</v>
      </c>
      <c r="D912">
        <v>1.0056861802355199</v>
      </c>
      <c r="E912">
        <v>0.98098068125248905</v>
      </c>
      <c r="F912">
        <v>0.91575818903576001</v>
      </c>
      <c r="G912">
        <v>0.77638048658067105</v>
      </c>
      <c r="H912">
        <v>0.61589412327327997</v>
      </c>
      <c r="I912">
        <v>0.578431067272972</v>
      </c>
      <c r="J912">
        <v>0.49168164341123699</v>
      </c>
      <c r="K912">
        <v>0.31654685350609602</v>
      </c>
      <c r="L912">
        <v>626.59527092387304</v>
      </c>
      <c r="M912">
        <v>9.6367977385010395</v>
      </c>
      <c r="N912">
        <v>65.366318911361503</v>
      </c>
      <c r="O912">
        <v>62.4062976551619</v>
      </c>
      <c r="P912">
        <v>-3.7668351149007302E-2</v>
      </c>
      <c r="Q912">
        <v>2.4810526285398E-2</v>
      </c>
      <c r="R912">
        <v>0.98412531667745895</v>
      </c>
      <c r="S912" t="s">
        <v>5208</v>
      </c>
      <c r="T912" t="s">
        <v>8590</v>
      </c>
      <c r="U912" t="s">
        <v>8590</v>
      </c>
      <c r="V912" t="s">
        <v>8590</v>
      </c>
      <c r="W912">
        <v>19</v>
      </c>
      <c r="X912" t="s">
        <v>9502</v>
      </c>
      <c r="Y912">
        <v>0.78167060957139334</v>
      </c>
      <c r="Z912" t="str">
        <f>HYPERLINK("Melting_Curves/meltCurve_sp_P28332_ADH6_HUMAN_.pdf", "Melting_Curves/meltCurve_sp_P28332_ADH6_HUMAN_.pdf")</f>
        <v>Melting_Curves/meltCurve_sp_P28332_ADH6_HUMAN_.pdf</v>
      </c>
      <c r="AA912" t="s">
        <v>13780</v>
      </c>
      <c r="AB912" t="s">
        <v>17997</v>
      </c>
    </row>
    <row r="913" spans="1:28" x14ac:dyDescent="0.25">
      <c r="A913" t="s">
        <v>917</v>
      </c>
      <c r="B913">
        <v>0.99876560204751996</v>
      </c>
      <c r="C913">
        <v>1.0345082246188699</v>
      </c>
      <c r="D913">
        <v>0.94925430696284396</v>
      </c>
      <c r="E913">
        <v>0.697987730231167</v>
      </c>
      <c r="F913">
        <v>0.49572701661023499</v>
      </c>
      <c r="G913">
        <v>0.34575819530773499</v>
      </c>
      <c r="H913">
        <v>0.21099028264589301</v>
      </c>
      <c r="I913">
        <v>0.16178369779409099</v>
      </c>
      <c r="J913">
        <v>0.17469169323640099</v>
      </c>
      <c r="K913">
        <v>0.10329045716983599</v>
      </c>
      <c r="L913">
        <v>861.75532247762703</v>
      </c>
      <c r="M913">
        <v>16.4730327225402</v>
      </c>
      <c r="N913">
        <v>53.2701098184518</v>
      </c>
      <c r="O913">
        <v>51.5603849237704</v>
      </c>
      <c r="P913">
        <v>-6.9646978504427706E-2</v>
      </c>
      <c r="Q913">
        <v>0.12808412954048501</v>
      </c>
      <c r="R913">
        <v>0.99283105267167104</v>
      </c>
      <c r="S913" t="s">
        <v>5209</v>
      </c>
      <c r="T913" t="s">
        <v>8590</v>
      </c>
      <c r="U913" t="s">
        <v>8590</v>
      </c>
      <c r="V913" t="s">
        <v>8590</v>
      </c>
      <c r="W913">
        <v>10</v>
      </c>
      <c r="X913" t="s">
        <v>9503</v>
      </c>
      <c r="Y913">
        <v>0.50264102890051032</v>
      </c>
      <c r="Z913" t="str">
        <f>HYPERLINK("Melting_Curves/meltCurve_sp_P28340_DPOD1_HUMAN_.pdf", "Melting_Curves/meltCurve_sp_P28340_DPOD1_HUMAN_.pdf")</f>
        <v>Melting_Curves/meltCurve_sp_P28340_DPOD1_HUMAN_.pdf</v>
      </c>
      <c r="AA913" t="s">
        <v>13781</v>
      </c>
      <c r="AB913" t="s">
        <v>17998</v>
      </c>
    </row>
    <row r="914" spans="1:28" x14ac:dyDescent="0.25">
      <c r="A914" t="s">
        <v>918</v>
      </c>
      <c r="B914">
        <v>0.99876560204751996</v>
      </c>
      <c r="C914">
        <v>0.99012883757602199</v>
      </c>
      <c r="D914">
        <v>1.0424455076728201</v>
      </c>
      <c r="E914">
        <v>0.88024032204304004</v>
      </c>
      <c r="F914">
        <v>0.74266162939855795</v>
      </c>
      <c r="G914">
        <v>0.26124621713352902</v>
      </c>
      <c r="H914">
        <v>0.108740570180446</v>
      </c>
      <c r="I914">
        <v>8.6659153193023003E-2</v>
      </c>
      <c r="J914">
        <v>7.7766878967341399E-2</v>
      </c>
      <c r="K914">
        <v>6.8022358193025198E-2</v>
      </c>
      <c r="L914">
        <v>1558.68237277455</v>
      </c>
      <c r="M914">
        <v>28.590667925982402</v>
      </c>
      <c r="N914">
        <v>54.7977218516817</v>
      </c>
      <c r="O914">
        <v>54.252553866451002</v>
      </c>
      <c r="P914">
        <v>-0.122779095334414</v>
      </c>
      <c r="Q914">
        <v>6.8083772714324906E-2</v>
      </c>
      <c r="R914">
        <v>0.99633360424640005</v>
      </c>
      <c r="S914" t="s">
        <v>5210</v>
      </c>
      <c r="T914" t="s">
        <v>8590</v>
      </c>
      <c r="U914" t="s">
        <v>8590</v>
      </c>
      <c r="V914" t="s">
        <v>8590</v>
      </c>
      <c r="W914">
        <v>12</v>
      </c>
      <c r="X914" t="s">
        <v>9504</v>
      </c>
      <c r="Y914">
        <v>0.52578683156666317</v>
      </c>
      <c r="Z914" t="str">
        <f>HYPERLINK("Melting_Curves/meltCurve_sp_P28482_MK01_HUMAN_.pdf", "Melting_Curves/meltCurve_sp_P28482_MK01_HUMAN_.pdf")</f>
        <v>Melting_Curves/meltCurve_sp_P28482_MK01_HUMAN_.pdf</v>
      </c>
      <c r="AA914" t="s">
        <v>13782</v>
      </c>
      <c r="AB914" t="s">
        <v>17999</v>
      </c>
    </row>
    <row r="915" spans="1:28" x14ac:dyDescent="0.25">
      <c r="A915" t="s">
        <v>919</v>
      </c>
      <c r="B915">
        <v>0.99876560204751996</v>
      </c>
      <c r="C915">
        <v>1.0193270124251299</v>
      </c>
      <c r="D915">
        <v>1.02535181467311</v>
      </c>
      <c r="E915">
        <v>0.93590741798477595</v>
      </c>
      <c r="F915">
        <v>0.70373879033889297</v>
      </c>
      <c r="G915">
        <v>0.405775288683416</v>
      </c>
      <c r="H915">
        <v>0.25724973439691801</v>
      </c>
      <c r="I915">
        <v>0.14090341106332699</v>
      </c>
      <c r="J915">
        <v>0.276959418278587</v>
      </c>
      <c r="K915">
        <v>0.27125658095002703</v>
      </c>
      <c r="L915">
        <v>1487.1712038902499</v>
      </c>
      <c r="M915">
        <v>27.4949252239246</v>
      </c>
      <c r="N915">
        <v>55.3176466109838</v>
      </c>
      <c r="O915">
        <v>53.805253466694801</v>
      </c>
      <c r="P915">
        <v>-9.8559202659875805E-2</v>
      </c>
      <c r="Q915">
        <v>0.228519104225305</v>
      </c>
      <c r="R915">
        <v>0.98704470426441904</v>
      </c>
      <c r="S915" t="s">
        <v>5211</v>
      </c>
      <c r="T915" t="s">
        <v>8590</v>
      </c>
      <c r="U915" t="s">
        <v>8590</v>
      </c>
      <c r="V915" t="s">
        <v>8590</v>
      </c>
      <c r="W915">
        <v>8</v>
      </c>
      <c r="X915" t="s">
        <v>9505</v>
      </c>
      <c r="Y915">
        <v>0.59681941524438653</v>
      </c>
      <c r="Z915" t="str">
        <f>HYPERLINK("Melting_Curves/meltCurve_sp_P28715_ERCC5_HUMAN_.pdf", "Melting_Curves/meltCurve_sp_P28715_ERCC5_HUMAN_.pdf")</f>
        <v>Melting_Curves/meltCurve_sp_P28715_ERCC5_HUMAN_.pdf</v>
      </c>
      <c r="AA915" t="s">
        <v>13783</v>
      </c>
      <c r="AB915" t="s">
        <v>18000</v>
      </c>
    </row>
    <row r="916" spans="1:28" x14ac:dyDescent="0.25">
      <c r="A916" t="s">
        <v>920</v>
      </c>
      <c r="B916">
        <v>0.99876560204751996</v>
      </c>
      <c r="C916">
        <v>0.921716035694784</v>
      </c>
      <c r="D916">
        <v>1.0680095924844899</v>
      </c>
      <c r="E916">
        <v>0.97027409712290402</v>
      </c>
      <c r="F916">
        <v>0.93338335418009399</v>
      </c>
      <c r="G916">
        <v>0.65761723409165795</v>
      </c>
      <c r="H916">
        <v>0.73527079689691299</v>
      </c>
      <c r="I916">
        <v>0.76678259473740895</v>
      </c>
      <c r="J916">
        <v>1.0633794501498199</v>
      </c>
      <c r="K916">
        <v>0.98615620093726897</v>
      </c>
      <c r="L916">
        <v>13266.845685612099</v>
      </c>
      <c r="M916">
        <v>250</v>
      </c>
      <c r="O916">
        <v>53.063983744620501</v>
      </c>
      <c r="P916">
        <v>-0.18628305078419699</v>
      </c>
      <c r="Q916">
        <v>0.84184125866503501</v>
      </c>
      <c r="R916">
        <v>0.26901335865091103</v>
      </c>
      <c r="S916" t="s">
        <v>5212</v>
      </c>
      <c r="T916" t="s">
        <v>8590</v>
      </c>
      <c r="U916" t="s">
        <v>8590</v>
      </c>
      <c r="V916" t="s">
        <v>8590</v>
      </c>
      <c r="W916">
        <v>5</v>
      </c>
      <c r="X916" t="s">
        <v>9506</v>
      </c>
      <c r="Y916">
        <v>0.91074668194266406</v>
      </c>
      <c r="Z916" t="str">
        <f>HYPERLINK("Melting_Curves/meltCurve_sp_P28799_GRN_HUMAN_.pdf", "Melting_Curves/meltCurve_sp_P28799_GRN_HUMAN_.pdf")</f>
        <v>Melting_Curves/meltCurve_sp_P28799_GRN_HUMAN_.pdf</v>
      </c>
      <c r="AA916" t="s">
        <v>13784</v>
      </c>
      <c r="AB916" t="s">
        <v>18001</v>
      </c>
    </row>
    <row r="917" spans="1:28" x14ac:dyDescent="0.25">
      <c r="A917" t="s">
        <v>921</v>
      </c>
      <c r="B917">
        <v>0.99876560204751996</v>
      </c>
      <c r="C917">
        <v>1.07019198524906</v>
      </c>
      <c r="D917">
        <v>0.897238396100285</v>
      </c>
      <c r="E917">
        <v>0.79910315243354602</v>
      </c>
      <c r="F917">
        <v>0.59782470116631503</v>
      </c>
      <c r="G917">
        <v>0.43534619748033099</v>
      </c>
      <c r="H917">
        <v>0.20859041265748399</v>
      </c>
      <c r="I917">
        <v>0.111943853299597</v>
      </c>
      <c r="J917">
        <v>5.9199526309419499E-2</v>
      </c>
      <c r="K917">
        <v>3.6174556578828801E-2</v>
      </c>
      <c r="L917">
        <v>755.186785118638</v>
      </c>
      <c r="M917">
        <v>13.7180939032966</v>
      </c>
      <c r="N917">
        <v>55.050397758806298</v>
      </c>
      <c r="O917">
        <v>53.920125272009699</v>
      </c>
      <c r="P917">
        <v>-6.3612891505097094E-2</v>
      </c>
      <c r="Q917">
        <v>0</v>
      </c>
      <c r="R917">
        <v>0.99036457740068895</v>
      </c>
      <c r="S917" t="s">
        <v>5213</v>
      </c>
      <c r="T917" t="s">
        <v>8590</v>
      </c>
      <c r="U917" t="s">
        <v>8590</v>
      </c>
      <c r="V917" t="s">
        <v>8590</v>
      </c>
      <c r="W917">
        <v>40</v>
      </c>
      <c r="X917" t="s">
        <v>9507</v>
      </c>
      <c r="Y917">
        <v>0.52264888049504887</v>
      </c>
      <c r="Z917" t="str">
        <f>HYPERLINK("Melting_Curves/meltCurve_sp_P28838_2_AMPL_HUMAN_.pdf", "Melting_Curves/meltCurve_sp_P28838_2_AMPL_HUMAN_.pdf")</f>
        <v>Melting_Curves/meltCurve_sp_P28838_2_AMPL_HUMAN_.pdf</v>
      </c>
      <c r="AA917" t="s">
        <v>13785</v>
      </c>
      <c r="AB917" t="s">
        <v>18002</v>
      </c>
    </row>
    <row r="918" spans="1:28" x14ac:dyDescent="0.25">
      <c r="A918" t="s">
        <v>922</v>
      </c>
      <c r="B918">
        <v>0.99876560204751996</v>
      </c>
      <c r="C918">
        <v>1.13520313406383</v>
      </c>
      <c r="D918">
        <v>0.71239137405833797</v>
      </c>
      <c r="E918">
        <v>0.440758628201113</v>
      </c>
      <c r="F918">
        <v>0.25689272138121599</v>
      </c>
      <c r="G918">
        <v>0.132471908096438</v>
      </c>
      <c r="H918">
        <v>0.108727201957788</v>
      </c>
      <c r="I918">
        <v>0.10047067269429399</v>
      </c>
      <c r="J918">
        <v>7.4143669301630202E-2</v>
      </c>
      <c r="K918">
        <v>6.4567165470048593E-2</v>
      </c>
      <c r="L918">
        <v>1023.77081386986</v>
      </c>
      <c r="M918">
        <v>20.975766927174998</v>
      </c>
      <c r="N918">
        <v>49.250667478406697</v>
      </c>
      <c r="O918">
        <v>48.370200705982697</v>
      </c>
      <c r="P918">
        <v>-9.9088170113070001E-2</v>
      </c>
      <c r="Q918">
        <v>8.6033811478363101E-2</v>
      </c>
      <c r="R918">
        <v>0.970876842049883</v>
      </c>
      <c r="S918" t="s">
        <v>5214</v>
      </c>
      <c r="T918" t="s">
        <v>8590</v>
      </c>
      <c r="U918" t="s">
        <v>8590</v>
      </c>
      <c r="V918" t="s">
        <v>8590</v>
      </c>
      <c r="W918">
        <v>2</v>
      </c>
      <c r="X918" t="s">
        <v>9508</v>
      </c>
      <c r="Y918">
        <v>0.36598484334527481</v>
      </c>
      <c r="Z918" t="str">
        <f>HYPERLINK("Melting_Curves/meltCurve_sp_P28845_DHI1_HUMAN_.pdf", "Melting_Curves/meltCurve_sp_P28845_DHI1_HUMAN_.pdf")</f>
        <v>Melting_Curves/meltCurve_sp_P28845_DHI1_HUMAN_.pdf</v>
      </c>
      <c r="AA918" t="s">
        <v>13786</v>
      </c>
      <c r="AB918" t="s">
        <v>18003</v>
      </c>
    </row>
    <row r="919" spans="1:28" x14ac:dyDescent="0.25">
      <c r="A919" t="s">
        <v>923</v>
      </c>
      <c r="B919">
        <v>0.99876560204751996</v>
      </c>
      <c r="C919">
        <v>0.92922819406930601</v>
      </c>
      <c r="D919">
        <v>1.0065941372268701</v>
      </c>
      <c r="E919">
        <v>0.91700368030123802</v>
      </c>
      <c r="F919">
        <v>0.77983197817944006</v>
      </c>
      <c r="G919">
        <v>0.54485525432492998</v>
      </c>
      <c r="H919">
        <v>0.40743445843500098</v>
      </c>
      <c r="I919">
        <v>0.40444125383127899</v>
      </c>
      <c r="J919">
        <v>0.440413033402625</v>
      </c>
      <c r="K919">
        <v>0.45001287109937499</v>
      </c>
      <c r="L919">
        <v>1409.3271071547099</v>
      </c>
      <c r="M919">
        <v>26.1401140006863</v>
      </c>
      <c r="N919">
        <v>57.9355381448812</v>
      </c>
      <c r="O919">
        <v>53.601779897905701</v>
      </c>
      <c r="P919">
        <v>-7.0892939068948002E-2</v>
      </c>
      <c r="Q919">
        <v>0.41852664501765902</v>
      </c>
      <c r="R919">
        <v>0.98574804110046299</v>
      </c>
      <c r="S919" t="s">
        <v>5215</v>
      </c>
      <c r="T919" t="s">
        <v>8590</v>
      </c>
      <c r="U919" t="s">
        <v>8590</v>
      </c>
      <c r="V919" t="s">
        <v>8590</v>
      </c>
      <c r="W919">
        <v>3</v>
      </c>
      <c r="X919" t="s">
        <v>9509</v>
      </c>
      <c r="Y919">
        <v>0.69317581264640837</v>
      </c>
      <c r="Z919" t="str">
        <f>HYPERLINK("Melting_Curves/meltCurve_sp_P29083_T2EA_HUMAN_.pdf", "Melting_Curves/meltCurve_sp_P29083_T2EA_HUMAN_.pdf")</f>
        <v>Melting_Curves/meltCurve_sp_P29083_T2EA_HUMAN_.pdf</v>
      </c>
      <c r="AA919" t="s">
        <v>13787</v>
      </c>
      <c r="AB919" t="s">
        <v>18004</v>
      </c>
    </row>
    <row r="920" spans="1:28" x14ac:dyDescent="0.25">
      <c r="A920" t="s">
        <v>924</v>
      </c>
      <c r="B920">
        <v>0.99876560204751996</v>
      </c>
      <c r="C920">
        <v>1.01174759748291</v>
      </c>
      <c r="D920">
        <v>0.96716560633676696</v>
      </c>
      <c r="E920">
        <v>0.86288764315701805</v>
      </c>
      <c r="F920">
        <v>0.70733148482196095</v>
      </c>
      <c r="G920">
        <v>0.43035278660343401</v>
      </c>
      <c r="H920">
        <v>0.33943903322054197</v>
      </c>
      <c r="I920">
        <v>0.25263498110809002</v>
      </c>
      <c r="J920">
        <v>0.25943111098053101</v>
      </c>
      <c r="K920">
        <v>9.6155568444772299E-2</v>
      </c>
      <c r="L920">
        <v>812.68087698391696</v>
      </c>
      <c r="M920">
        <v>14.6830690478552</v>
      </c>
      <c r="N920">
        <v>56.541683574507999</v>
      </c>
      <c r="O920">
        <v>54.351919458052997</v>
      </c>
      <c r="P920">
        <v>-5.8543856854974097E-2</v>
      </c>
      <c r="Q920">
        <v>0.133254303186261</v>
      </c>
      <c r="R920">
        <v>0.98789595535989505</v>
      </c>
      <c r="S920" t="s">
        <v>5216</v>
      </c>
      <c r="T920" t="s">
        <v>8590</v>
      </c>
      <c r="U920" t="s">
        <v>8590</v>
      </c>
      <c r="V920" t="s">
        <v>8590</v>
      </c>
      <c r="W920">
        <v>2</v>
      </c>
      <c r="X920" t="s">
        <v>9510</v>
      </c>
      <c r="Y920">
        <v>0.59331012524245041</v>
      </c>
      <c r="Z920" t="str">
        <f>HYPERLINK("Melting_Curves/meltCurve_sp_P29084_T2EB_HUMAN_.pdf", "Melting_Curves/meltCurve_sp_P29084_T2EB_HUMAN_.pdf")</f>
        <v>Melting_Curves/meltCurve_sp_P29084_T2EB_HUMAN_.pdf</v>
      </c>
      <c r="AA920" t="s">
        <v>13788</v>
      </c>
      <c r="AB920" t="s">
        <v>18005</v>
      </c>
    </row>
    <row r="921" spans="1:28" x14ac:dyDescent="0.25">
      <c r="A921" t="s">
        <v>925</v>
      </c>
      <c r="B921">
        <v>0.99876560204751996</v>
      </c>
      <c r="C921">
        <v>1.0088191859643301</v>
      </c>
      <c r="D921">
        <v>0.80059475578013595</v>
      </c>
      <c r="E921">
        <v>0.48499136499157502</v>
      </c>
      <c r="F921">
        <v>0.21872935176007199</v>
      </c>
      <c r="G921">
        <v>0.122714099301486</v>
      </c>
      <c r="H921">
        <v>7.3271720701522103E-2</v>
      </c>
      <c r="I921">
        <v>6.1603720726912801E-2</v>
      </c>
      <c r="J921">
        <v>5.4734428414272597E-2</v>
      </c>
      <c r="K921">
        <v>5.4142620714755903E-2</v>
      </c>
      <c r="L921">
        <v>1030.6336076602299</v>
      </c>
      <c r="M921">
        <v>20.8750076326581</v>
      </c>
      <c r="N921">
        <v>49.646125620574402</v>
      </c>
      <c r="O921">
        <v>48.925270713932598</v>
      </c>
      <c r="P921">
        <v>-0.100857257020944</v>
      </c>
      <c r="Q921">
        <v>5.44994061506517E-2</v>
      </c>
      <c r="R921">
        <v>0.99713013956351504</v>
      </c>
      <c r="S921" t="s">
        <v>5217</v>
      </c>
      <c r="T921" t="s">
        <v>8590</v>
      </c>
      <c r="U921" t="s">
        <v>8590</v>
      </c>
      <c r="V921" t="s">
        <v>8590</v>
      </c>
      <c r="W921">
        <v>27</v>
      </c>
      <c r="X921" t="s">
        <v>9511</v>
      </c>
      <c r="Y921">
        <v>0.36197983446187709</v>
      </c>
      <c r="Z921" t="str">
        <f>HYPERLINK("Melting_Curves/meltCurve_sp_P29144_TPP2_HUMAN_.pdf", "Melting_Curves/meltCurve_sp_P29144_TPP2_HUMAN_.pdf")</f>
        <v>Melting_Curves/meltCurve_sp_P29144_TPP2_HUMAN_.pdf</v>
      </c>
      <c r="AA921" t="s">
        <v>13789</v>
      </c>
      <c r="AB921" t="s">
        <v>18006</v>
      </c>
    </row>
    <row r="922" spans="1:28" x14ac:dyDescent="0.25">
      <c r="A922" t="s">
        <v>926</v>
      </c>
      <c r="B922">
        <v>0.99876560204751996</v>
      </c>
      <c r="C922">
        <v>0.96670171335539601</v>
      </c>
      <c r="D922">
        <v>1.0219563212632401</v>
      </c>
      <c r="E922">
        <v>0.98680491410124904</v>
      </c>
      <c r="F922">
        <v>0.89284157543842801</v>
      </c>
      <c r="G922">
        <v>0.77325529076414401</v>
      </c>
      <c r="H922">
        <v>0.62908684002435999</v>
      </c>
      <c r="I922">
        <v>0.586452532791499</v>
      </c>
      <c r="J922">
        <v>0.53589481828420804</v>
      </c>
      <c r="K922">
        <v>0.29835609120293799</v>
      </c>
      <c r="L922">
        <v>603.35960079670599</v>
      </c>
      <c r="M922">
        <v>9.1847522389704999</v>
      </c>
      <c r="N922">
        <v>65.6914369980217</v>
      </c>
      <c r="O922">
        <v>62.802339008266202</v>
      </c>
      <c r="P922">
        <v>-3.6586726758185598E-2</v>
      </c>
      <c r="Q922">
        <v>0</v>
      </c>
      <c r="R922">
        <v>0.96756364912329995</v>
      </c>
      <c r="S922" t="s">
        <v>5218</v>
      </c>
      <c r="T922" t="s">
        <v>8590</v>
      </c>
      <c r="U922" t="s">
        <v>8590</v>
      </c>
      <c r="V922" t="s">
        <v>8590</v>
      </c>
      <c r="W922">
        <v>10</v>
      </c>
      <c r="X922" t="s">
        <v>9512</v>
      </c>
      <c r="Y922">
        <v>0.78492441760722431</v>
      </c>
      <c r="Z922" t="str">
        <f>HYPERLINK("Melting_Curves/meltCurve_sp_P29218_IMPA1_HUMAN_.pdf", "Melting_Curves/meltCurve_sp_P29218_IMPA1_HUMAN_.pdf")</f>
        <v>Melting_Curves/meltCurve_sp_P29218_IMPA1_HUMAN_.pdf</v>
      </c>
      <c r="AA922" t="s">
        <v>13790</v>
      </c>
      <c r="AB922" t="s">
        <v>18007</v>
      </c>
    </row>
    <row r="923" spans="1:28" x14ac:dyDescent="0.25">
      <c r="A923" t="s">
        <v>927</v>
      </c>
      <c r="B923">
        <v>0.99876560204751996</v>
      </c>
      <c r="C923">
        <v>0.94736484996147996</v>
      </c>
      <c r="D923">
        <v>0.92082059926473303</v>
      </c>
      <c r="E923">
        <v>0.39705145372885298</v>
      </c>
      <c r="F923">
        <v>0.18030458089441601</v>
      </c>
      <c r="G923">
        <v>0.103674154740309</v>
      </c>
      <c r="H923">
        <v>6.9054737569945304E-2</v>
      </c>
      <c r="I923">
        <v>5.9532620151094902E-2</v>
      </c>
      <c r="J923">
        <v>5.7139223036818398E-2</v>
      </c>
      <c r="K923">
        <v>5.3017691918899497E-2</v>
      </c>
      <c r="L923">
        <v>1484.5900415983001</v>
      </c>
      <c r="M923">
        <v>30.2091429229285</v>
      </c>
      <c r="N923">
        <v>49.377602003173699</v>
      </c>
      <c r="O923">
        <v>48.9298902722892</v>
      </c>
      <c r="P923">
        <v>-0.14406170959419301</v>
      </c>
      <c r="Q923">
        <v>6.6656212581067506E-2</v>
      </c>
      <c r="R923">
        <v>0.99738468773591904</v>
      </c>
      <c r="S923" t="s">
        <v>5219</v>
      </c>
      <c r="T923" t="s">
        <v>8590</v>
      </c>
      <c r="U923" t="s">
        <v>8590</v>
      </c>
      <c r="V923" t="s">
        <v>8590</v>
      </c>
      <c r="W923">
        <v>19</v>
      </c>
      <c r="X923" t="s">
        <v>9513</v>
      </c>
      <c r="Y923">
        <v>0.3567471830653437</v>
      </c>
      <c r="Z923" t="str">
        <f>HYPERLINK("Melting_Curves/meltCurve_sp_P29350_PTN6_HUMAN_.pdf", "Melting_Curves/meltCurve_sp_P29350_PTN6_HUMAN_.pdf")</f>
        <v>Melting_Curves/meltCurve_sp_P29350_PTN6_HUMAN_.pdf</v>
      </c>
      <c r="AA923" t="s">
        <v>13791</v>
      </c>
      <c r="AB923" t="s">
        <v>18008</v>
      </c>
    </row>
    <row r="924" spans="1:28" x14ac:dyDescent="0.25">
      <c r="A924" t="s">
        <v>928</v>
      </c>
      <c r="B924">
        <v>0.99876560204751996</v>
      </c>
      <c r="C924">
        <v>0.88694214218591505</v>
      </c>
      <c r="D924">
        <v>0.95251911192004601</v>
      </c>
      <c r="E924">
        <v>0.83039620285675297</v>
      </c>
      <c r="F924">
        <v>0.62817704981986999</v>
      </c>
      <c r="G924">
        <v>0.48860157711666102</v>
      </c>
      <c r="H924">
        <v>0.273414620609505</v>
      </c>
      <c r="I924">
        <v>0.194015196044305</v>
      </c>
      <c r="J924">
        <v>0.210782166279428</v>
      </c>
      <c r="K924">
        <v>0.206642516153277</v>
      </c>
      <c r="L924">
        <v>754.18983732075105</v>
      </c>
      <c r="M924">
        <v>13.8299099981826</v>
      </c>
      <c r="N924">
        <v>55.844819026882099</v>
      </c>
      <c r="O924">
        <v>53.430985824374503</v>
      </c>
      <c r="P924">
        <v>-5.5743857293002297E-2</v>
      </c>
      <c r="Q924">
        <v>0.13866785666182499</v>
      </c>
      <c r="R924">
        <v>0.984370855396276</v>
      </c>
      <c r="S924" t="s">
        <v>5220</v>
      </c>
      <c r="T924" t="s">
        <v>8590</v>
      </c>
      <c r="U924" t="s">
        <v>8590</v>
      </c>
      <c r="V924" t="s">
        <v>8590</v>
      </c>
      <c r="W924">
        <v>9</v>
      </c>
      <c r="X924" t="s">
        <v>9514</v>
      </c>
      <c r="Y924">
        <v>0.5746483049622787</v>
      </c>
      <c r="Z924" t="str">
        <f>HYPERLINK("Melting_Curves/meltCurve_sp_P29353_7_SHC1_HUMAN_.pdf", "Melting_Curves/meltCurve_sp_P29353_7_SHC1_HUMAN_.pdf")</f>
        <v>Melting_Curves/meltCurve_sp_P29353_7_SHC1_HUMAN_.pdf</v>
      </c>
      <c r="AA924" t="s">
        <v>13792</v>
      </c>
      <c r="AB924" t="s">
        <v>18009</v>
      </c>
    </row>
    <row r="925" spans="1:28" x14ac:dyDescent="0.25">
      <c r="A925" t="s">
        <v>929</v>
      </c>
      <c r="B925">
        <v>0.99876560204751996</v>
      </c>
      <c r="C925">
        <v>1.1328303473127801</v>
      </c>
      <c r="D925">
        <v>0.92674751896729402</v>
      </c>
      <c r="E925">
        <v>0.65085991694479395</v>
      </c>
      <c r="F925">
        <v>0.49113494870832097</v>
      </c>
      <c r="G925">
        <v>0.28215045659495902</v>
      </c>
      <c r="H925">
        <v>0.24864090316873999</v>
      </c>
      <c r="I925">
        <v>0.18122471292564299</v>
      </c>
      <c r="J925">
        <v>0.18376523314989601</v>
      </c>
      <c r="K925">
        <v>0.19920302301381901</v>
      </c>
      <c r="L925">
        <v>1046.8385925191301</v>
      </c>
      <c r="M925">
        <v>20.446430100935601</v>
      </c>
      <c r="N925">
        <v>52.440663129388199</v>
      </c>
      <c r="O925">
        <v>50.7168797820148</v>
      </c>
      <c r="P925">
        <v>-8.1451537853482095E-2</v>
      </c>
      <c r="Q925">
        <v>0.19186970740261</v>
      </c>
      <c r="R925">
        <v>0.97903631532152002</v>
      </c>
      <c r="S925" t="s">
        <v>5221</v>
      </c>
      <c r="T925" t="s">
        <v>8590</v>
      </c>
      <c r="U925" t="s">
        <v>8590</v>
      </c>
      <c r="V925" t="s">
        <v>8590</v>
      </c>
      <c r="W925">
        <v>3</v>
      </c>
      <c r="X925" t="s">
        <v>9515</v>
      </c>
      <c r="Y925">
        <v>0.50430789827371925</v>
      </c>
      <c r="Z925" t="str">
        <f>HYPERLINK("Melting_Curves/meltCurve_sp_P29372_5_3MG_HUMAN_.pdf", "Melting_Curves/meltCurve_sp_P29372_5_3MG_HUMAN_.pdf")</f>
        <v>Melting_Curves/meltCurve_sp_P29372_5_3MG_HUMAN_.pdf</v>
      </c>
      <c r="AA925" t="s">
        <v>13793</v>
      </c>
      <c r="AB925" t="s">
        <v>18010</v>
      </c>
    </row>
    <row r="926" spans="1:28" x14ac:dyDescent="0.25">
      <c r="A926" t="s">
        <v>930</v>
      </c>
      <c r="B926">
        <v>0.99876560204751996</v>
      </c>
      <c r="C926">
        <v>1.20749371709108</v>
      </c>
      <c r="D926">
        <v>1.02704939608832</v>
      </c>
      <c r="E926">
        <v>0.73720182570116799</v>
      </c>
      <c r="F926">
        <v>0.67644470281864999</v>
      </c>
      <c r="G926">
        <v>0.485319785012922</v>
      </c>
      <c r="H926">
        <v>0.43877105812261202</v>
      </c>
      <c r="I926">
        <v>0.36070174072563199</v>
      </c>
      <c r="J926">
        <v>0.44926909696685402</v>
      </c>
      <c r="K926">
        <v>0.480039704173994</v>
      </c>
      <c r="L926">
        <v>1223.7867305510699</v>
      </c>
      <c r="M926">
        <v>23.773957822248502</v>
      </c>
      <c r="N926">
        <v>56.170636042326898</v>
      </c>
      <c r="O926">
        <v>51.115882007132598</v>
      </c>
      <c r="P926">
        <v>-6.61094184470572E-2</v>
      </c>
      <c r="Q926">
        <v>0.43144759757252299</v>
      </c>
      <c r="R926">
        <v>0.91773060286525698</v>
      </c>
      <c r="S926" t="s">
        <v>5222</v>
      </c>
      <c r="T926" t="s">
        <v>8590</v>
      </c>
      <c r="U926" t="s">
        <v>8590</v>
      </c>
      <c r="V926" t="s">
        <v>8590</v>
      </c>
      <c r="W926">
        <v>3</v>
      </c>
      <c r="X926" t="s">
        <v>9516</v>
      </c>
      <c r="Y926">
        <v>0.65462770961732419</v>
      </c>
      <c r="Z926" t="str">
        <f>HYPERLINK("Melting_Curves/meltCurve_sp_P29374_3_ARI4A_HUMAN_.pdf", "Melting_Curves/meltCurve_sp_P29374_3_ARI4A_HUMAN_.pdf")</f>
        <v>Melting_Curves/meltCurve_sp_P29374_3_ARI4A_HUMAN_.pdf</v>
      </c>
      <c r="AA926" t="s">
        <v>13794</v>
      </c>
      <c r="AB926" t="s">
        <v>18011</v>
      </c>
    </row>
    <row r="927" spans="1:28" x14ac:dyDescent="0.25">
      <c r="A927" t="s">
        <v>931</v>
      </c>
      <c r="B927">
        <v>0.99876560204751996</v>
      </c>
      <c r="C927">
        <v>1.03429771097523</v>
      </c>
      <c r="D927">
        <v>0.95709623129213495</v>
      </c>
      <c r="E927">
        <v>0.95027715156270098</v>
      </c>
      <c r="F927">
        <v>0.84038784548397805</v>
      </c>
      <c r="G927">
        <v>0.87123024940788096</v>
      </c>
      <c r="H927">
        <v>0.67550761767891798</v>
      </c>
      <c r="I927">
        <v>0.806962423570172</v>
      </c>
      <c r="J927">
        <v>0.67149319585384704</v>
      </c>
      <c r="K927">
        <v>0.30329557777444899</v>
      </c>
      <c r="L927">
        <v>623.68940482460403</v>
      </c>
      <c r="M927">
        <v>9.0718706243086995</v>
      </c>
      <c r="N927">
        <v>68.749812534378293</v>
      </c>
      <c r="O927">
        <v>65.656042986150396</v>
      </c>
      <c r="P927">
        <v>-3.45675087195913E-2</v>
      </c>
      <c r="Q927">
        <v>0</v>
      </c>
      <c r="R927">
        <v>0.818563436273964</v>
      </c>
      <c r="S927" t="s">
        <v>5223</v>
      </c>
      <c r="T927" t="s">
        <v>8590</v>
      </c>
      <c r="U927" t="s">
        <v>8590</v>
      </c>
      <c r="V927" t="s">
        <v>8590</v>
      </c>
      <c r="W927">
        <v>36</v>
      </c>
      <c r="X927" t="s">
        <v>9517</v>
      </c>
      <c r="Y927">
        <v>0.83755400915267608</v>
      </c>
      <c r="Z927" t="str">
        <f>HYPERLINK("Melting_Curves/meltCurve_sp_P29401_TKT_HUMAN_.pdf", "Melting_Curves/meltCurve_sp_P29401_TKT_HUMAN_.pdf")</f>
        <v>Melting_Curves/meltCurve_sp_P29401_TKT_HUMAN_.pdf</v>
      </c>
      <c r="AA927" t="s">
        <v>13795</v>
      </c>
      <c r="AB927" t="s">
        <v>18012</v>
      </c>
    </row>
    <row r="928" spans="1:28" x14ac:dyDescent="0.25">
      <c r="A928" t="s">
        <v>932</v>
      </c>
      <c r="B928">
        <v>0.99876560204751996</v>
      </c>
      <c r="C928">
        <v>1.0205338409332301</v>
      </c>
      <c r="D928">
        <v>0.96426775700077205</v>
      </c>
      <c r="E928">
        <v>0.98245203159456895</v>
      </c>
      <c r="F928">
        <v>0.89368958653493702</v>
      </c>
      <c r="G928">
        <v>0.65714134423449699</v>
      </c>
      <c r="H928">
        <v>0.46214374844545197</v>
      </c>
      <c r="I928">
        <v>0.41240463122371901</v>
      </c>
      <c r="J928">
        <v>0.523474504484294</v>
      </c>
      <c r="K928">
        <v>0.48413196843570899</v>
      </c>
      <c r="L928">
        <v>1755.4007239104899</v>
      </c>
      <c r="M928">
        <v>31.5424731008885</v>
      </c>
      <c r="N928">
        <v>60.669870451511002</v>
      </c>
      <c r="O928">
        <v>55.429713505892401</v>
      </c>
      <c r="P928">
        <v>-7.6368880017822799E-2</v>
      </c>
      <c r="Q928">
        <v>0.46318951658448099</v>
      </c>
      <c r="R928">
        <v>0.98167620708407199</v>
      </c>
      <c r="S928" t="s">
        <v>5224</v>
      </c>
      <c r="T928" t="s">
        <v>8590</v>
      </c>
      <c r="U928" t="s">
        <v>8590</v>
      </c>
      <c r="V928" t="s">
        <v>8590</v>
      </c>
      <c r="W928">
        <v>15</v>
      </c>
      <c r="X928" t="s">
        <v>9518</v>
      </c>
      <c r="Y928">
        <v>0.74651624348134749</v>
      </c>
      <c r="Z928" t="str">
        <f>HYPERLINK("Melting_Curves/meltCurve_sp_P29590_PML_HUMAN_.pdf", "Melting_Curves/meltCurve_sp_P29590_PML_HUMAN_.pdf")</f>
        <v>Melting_Curves/meltCurve_sp_P29590_PML_HUMAN_.pdf</v>
      </c>
      <c r="AA928" t="s">
        <v>13796</v>
      </c>
      <c r="AB928" t="s">
        <v>18013</v>
      </c>
    </row>
    <row r="929" spans="1:28" x14ac:dyDescent="0.25">
      <c r="A929" t="s">
        <v>933</v>
      </c>
      <c r="B929">
        <v>0.99876560204751996</v>
      </c>
      <c r="C929">
        <v>0.97875072998204204</v>
      </c>
      <c r="D929">
        <v>0.95996110987710903</v>
      </c>
      <c r="E929">
        <v>0.89653005107114803</v>
      </c>
      <c r="F929">
        <v>1.03453564214898</v>
      </c>
      <c r="G929">
        <v>0.62803861724396903</v>
      </c>
      <c r="H929">
        <v>0.64012506521047796</v>
      </c>
      <c r="I929">
        <v>0.67884788782333705</v>
      </c>
      <c r="J929">
        <v>0.98595195249988998</v>
      </c>
      <c r="K929">
        <v>0.86992915845057395</v>
      </c>
      <c r="L929">
        <v>6283.6394258406899</v>
      </c>
      <c r="M929">
        <v>114.971463593938</v>
      </c>
      <c r="O929">
        <v>54.637357822402898</v>
      </c>
      <c r="P929">
        <v>-0.12616175749006101</v>
      </c>
      <c r="Q929">
        <v>0.76017885617117498</v>
      </c>
      <c r="R929">
        <v>0.48349251116500502</v>
      </c>
      <c r="S929" t="s">
        <v>5225</v>
      </c>
      <c r="T929" t="s">
        <v>8590</v>
      </c>
      <c r="U929" t="s">
        <v>8590</v>
      </c>
      <c r="V929" t="s">
        <v>8590</v>
      </c>
      <c r="W929">
        <v>3</v>
      </c>
      <c r="X929" t="s">
        <v>9519</v>
      </c>
      <c r="Y929">
        <v>0.87743158289958412</v>
      </c>
      <c r="Z929" t="str">
        <f>HYPERLINK("Melting_Curves/meltCurve_sp_P29966_MARCS_HUMAN_.pdf", "Melting_Curves/meltCurve_sp_P29966_MARCS_HUMAN_.pdf")</f>
        <v>Melting_Curves/meltCurve_sp_P29966_MARCS_HUMAN_.pdf</v>
      </c>
      <c r="AA929" t="s">
        <v>13797</v>
      </c>
      <c r="AB929" t="s">
        <v>18014</v>
      </c>
    </row>
    <row r="930" spans="1:28" x14ac:dyDescent="0.25">
      <c r="A930" t="s">
        <v>934</v>
      </c>
      <c r="B930">
        <v>0.99876560204751996</v>
      </c>
      <c r="C930">
        <v>0.67411437086350501</v>
      </c>
      <c r="D930">
        <v>0.29739719472932002</v>
      </c>
      <c r="E930">
        <v>0.175096789609301</v>
      </c>
      <c r="F930">
        <v>6.7297445642132206E-2</v>
      </c>
      <c r="G930">
        <v>4.12924857887614E-2</v>
      </c>
      <c r="H930">
        <v>2.7899030776135401E-2</v>
      </c>
      <c r="I930">
        <v>2.33952569595012E-2</v>
      </c>
      <c r="J930">
        <v>2.22483371539367E-2</v>
      </c>
      <c r="K930">
        <v>1.80552669612776E-2</v>
      </c>
      <c r="L930">
        <v>1046.57552729445</v>
      </c>
      <c r="M930">
        <v>23.627334821811999</v>
      </c>
      <c r="N930">
        <v>44.442845321538002</v>
      </c>
      <c r="O930">
        <v>43.981469453507401</v>
      </c>
      <c r="P930">
        <v>-0.129232794922784</v>
      </c>
      <c r="Q930">
        <v>3.7766613202908403E-2</v>
      </c>
      <c r="R930">
        <v>0.98761769229440299</v>
      </c>
      <c r="S930" t="s">
        <v>5226</v>
      </c>
      <c r="T930" t="s">
        <v>8590</v>
      </c>
      <c r="U930" t="s">
        <v>8590</v>
      </c>
      <c r="V930" t="s">
        <v>8590</v>
      </c>
      <c r="W930">
        <v>30</v>
      </c>
      <c r="X930" t="s">
        <v>9520</v>
      </c>
      <c r="Y930">
        <v>0.18756434601345201</v>
      </c>
      <c r="Z930" t="str">
        <f>HYPERLINK("Melting_Curves/meltCurve_sp_P30038_AL4A1_HUMAN_.pdf", "Melting_Curves/meltCurve_sp_P30038_AL4A1_HUMAN_.pdf")</f>
        <v>Melting_Curves/meltCurve_sp_P30038_AL4A1_HUMAN_.pdf</v>
      </c>
      <c r="AA930" t="s">
        <v>13798</v>
      </c>
      <c r="AB930" t="s">
        <v>18015</v>
      </c>
    </row>
    <row r="931" spans="1:28" x14ac:dyDescent="0.25">
      <c r="A931" t="s">
        <v>935</v>
      </c>
      <c r="B931">
        <v>0.99876560204751996</v>
      </c>
      <c r="C931">
        <v>0.99054611588389396</v>
      </c>
      <c r="D931">
        <v>1.05745697336626</v>
      </c>
      <c r="E931">
        <v>0.96124930593560098</v>
      </c>
      <c r="F931">
        <v>0.90212078456084299</v>
      </c>
      <c r="G931">
        <v>0.48340484677524898</v>
      </c>
      <c r="H931">
        <v>0.134587937580467</v>
      </c>
      <c r="I931">
        <v>7.8519898435035707E-2</v>
      </c>
      <c r="J931">
        <v>6.0719944236261099E-2</v>
      </c>
      <c r="K931">
        <v>4.8175452791977103E-2</v>
      </c>
      <c r="L931">
        <v>1761.3626906372399</v>
      </c>
      <c r="M931">
        <v>31.0855281757207</v>
      </c>
      <c r="N931">
        <v>56.847946829612098</v>
      </c>
      <c r="O931">
        <v>56.428879971356501</v>
      </c>
      <c r="P931">
        <v>-0.13105709109963901</v>
      </c>
      <c r="Q931">
        <v>4.8385103978366699E-2</v>
      </c>
      <c r="R931">
        <v>0.99773013171788405</v>
      </c>
      <c r="S931" t="s">
        <v>5227</v>
      </c>
      <c r="T931" t="s">
        <v>8590</v>
      </c>
      <c r="U931" t="s">
        <v>8590</v>
      </c>
      <c r="V931" t="s">
        <v>8590</v>
      </c>
      <c r="W931">
        <v>20</v>
      </c>
      <c r="X931" t="s">
        <v>9521</v>
      </c>
      <c r="Y931">
        <v>0.58285881359186364</v>
      </c>
      <c r="Z931" t="str">
        <f>HYPERLINK("Melting_Curves/meltCurve_sp_P30039_PBLD_HUMAN_.pdf", "Melting_Curves/meltCurve_sp_P30039_PBLD_HUMAN_.pdf")</f>
        <v>Melting_Curves/meltCurve_sp_P30039_PBLD_HUMAN_.pdf</v>
      </c>
      <c r="AA931" t="s">
        <v>13799</v>
      </c>
      <c r="AB931" t="s">
        <v>18016</v>
      </c>
    </row>
    <row r="932" spans="1:28" x14ac:dyDescent="0.25">
      <c r="A932" t="s">
        <v>936</v>
      </c>
      <c r="B932">
        <v>0.99876560204751996</v>
      </c>
      <c r="C932">
        <v>0.94876732054512702</v>
      </c>
      <c r="D932">
        <v>1.05123307192672</v>
      </c>
      <c r="E932">
        <v>0.93309208133201604</v>
      </c>
      <c r="F932">
        <v>0.66909775908015001</v>
      </c>
      <c r="G932">
        <v>0.36991171986632798</v>
      </c>
      <c r="H932">
        <v>0.25677629417172099</v>
      </c>
      <c r="I932">
        <v>0.23339067147653</v>
      </c>
      <c r="J932">
        <v>0.26706415933204503</v>
      </c>
      <c r="K932">
        <v>0.272735521588295</v>
      </c>
      <c r="L932">
        <v>1670.75497848946</v>
      </c>
      <c r="M932">
        <v>31.236230639694799</v>
      </c>
      <c r="N932">
        <v>54.741299542672202</v>
      </c>
      <c r="O932">
        <v>53.269919718684598</v>
      </c>
      <c r="P932">
        <v>-0.109143058280303</v>
      </c>
      <c r="Q932">
        <v>0.25547849868616201</v>
      </c>
      <c r="R932">
        <v>0.99323402309255904</v>
      </c>
      <c r="S932" t="s">
        <v>5228</v>
      </c>
      <c r="T932" t="s">
        <v>8590</v>
      </c>
      <c r="U932" t="s">
        <v>8590</v>
      </c>
      <c r="V932" t="s">
        <v>8590</v>
      </c>
      <c r="W932">
        <v>13</v>
      </c>
      <c r="X932" t="s">
        <v>9522</v>
      </c>
      <c r="Y932">
        <v>0.59470020357616038</v>
      </c>
      <c r="Z932" t="str">
        <f>HYPERLINK("Melting_Curves/meltCurve_sp_P30040_ERP29_HUMAN_.pdf", "Melting_Curves/meltCurve_sp_P30040_ERP29_HUMAN_.pdf")</f>
        <v>Melting_Curves/meltCurve_sp_P30040_ERP29_HUMAN_.pdf</v>
      </c>
      <c r="AA932" t="s">
        <v>13800</v>
      </c>
      <c r="AB932" t="s">
        <v>18017</v>
      </c>
    </row>
    <row r="933" spans="1:28" x14ac:dyDescent="0.25">
      <c r="A933" t="s">
        <v>937</v>
      </c>
      <c r="B933">
        <v>0.99876560204751996</v>
      </c>
      <c r="C933">
        <v>0.92406150066075399</v>
      </c>
      <c r="D933">
        <v>0.98475212141563195</v>
      </c>
      <c r="E933">
        <v>0.89870384238060996</v>
      </c>
      <c r="F933">
        <v>0.77085661202540101</v>
      </c>
      <c r="G933">
        <v>0.43624355704273599</v>
      </c>
      <c r="H933">
        <v>0.14741504493887</v>
      </c>
      <c r="I933">
        <v>7.5096693817806995E-2</v>
      </c>
      <c r="J933">
        <v>5.5608434042277097E-2</v>
      </c>
      <c r="K933">
        <v>4.2230479113388703E-2</v>
      </c>
      <c r="L933">
        <v>1141.88185489942</v>
      </c>
      <c r="M933">
        <v>20.388368429256602</v>
      </c>
      <c r="N933">
        <v>56.0835500076087</v>
      </c>
      <c r="O933">
        <v>55.476088617691801</v>
      </c>
      <c r="P933">
        <v>-9.0613439579296906E-2</v>
      </c>
      <c r="Q933">
        <v>1.3804830871567701E-2</v>
      </c>
      <c r="R933">
        <v>0.99553005696686603</v>
      </c>
      <c r="S933" t="s">
        <v>5229</v>
      </c>
      <c r="T933" t="s">
        <v>8590</v>
      </c>
      <c r="U933" t="s">
        <v>8590</v>
      </c>
      <c r="V933" t="s">
        <v>8590</v>
      </c>
      <c r="W933">
        <v>25</v>
      </c>
      <c r="X933" t="s">
        <v>9523</v>
      </c>
      <c r="Y933">
        <v>0.55235969992547751</v>
      </c>
      <c r="Z933" t="str">
        <f>HYPERLINK("Melting_Curves/meltCurve_sp_P30041_PRDX6_HUMAN_.pdf", "Melting_Curves/meltCurve_sp_P30041_PRDX6_HUMAN_.pdf")</f>
        <v>Melting_Curves/meltCurve_sp_P30041_PRDX6_HUMAN_.pdf</v>
      </c>
      <c r="AA933" t="s">
        <v>13801</v>
      </c>
      <c r="AB933" t="s">
        <v>18018</v>
      </c>
    </row>
    <row r="934" spans="1:28" x14ac:dyDescent="0.25">
      <c r="A934" t="s">
        <v>938</v>
      </c>
      <c r="B934">
        <v>0.99876560204751996</v>
      </c>
      <c r="C934">
        <v>0.98910957482208905</v>
      </c>
      <c r="D934">
        <v>1.0419288724193501</v>
      </c>
      <c r="E934">
        <v>1.0163580500413001</v>
      </c>
      <c r="F934">
        <v>0.99002441492927695</v>
      </c>
      <c r="G934">
        <v>0.84029789698685697</v>
      </c>
      <c r="H934">
        <v>0.74514849180912901</v>
      </c>
      <c r="I934">
        <v>0.72556989417141504</v>
      </c>
      <c r="J934">
        <v>0.81765052895148205</v>
      </c>
      <c r="K934">
        <v>0.75932140998334396</v>
      </c>
      <c r="L934">
        <v>4613.5136475812797</v>
      </c>
      <c r="M934">
        <v>81.6568065329635</v>
      </c>
      <c r="O934">
        <v>56.4649661977489</v>
      </c>
      <c r="P934">
        <v>-8.6103937902484995E-2</v>
      </c>
      <c r="Q934">
        <v>0.76183955593147301</v>
      </c>
      <c r="R934">
        <v>0.95147320522454004</v>
      </c>
      <c r="S934" t="s">
        <v>5230</v>
      </c>
      <c r="T934" t="s">
        <v>8590</v>
      </c>
      <c r="U934" t="s">
        <v>8590</v>
      </c>
      <c r="V934" t="s">
        <v>8590</v>
      </c>
      <c r="W934">
        <v>22</v>
      </c>
      <c r="X934" t="s">
        <v>9524</v>
      </c>
      <c r="Y934">
        <v>0.89304023421320367</v>
      </c>
      <c r="Z934" t="str">
        <f>HYPERLINK("Melting_Curves/meltCurve_sp_P30042_ES1_HUMAN_.pdf", "Melting_Curves/meltCurve_sp_P30042_ES1_HUMAN_.pdf")</f>
        <v>Melting_Curves/meltCurve_sp_P30042_ES1_HUMAN_.pdf</v>
      </c>
      <c r="AA934" t="s">
        <v>13802</v>
      </c>
      <c r="AB934" t="s">
        <v>18019</v>
      </c>
    </row>
    <row r="935" spans="1:28" x14ac:dyDescent="0.25">
      <c r="A935" t="s">
        <v>939</v>
      </c>
      <c r="B935">
        <v>0.99876560204751996</v>
      </c>
      <c r="C935">
        <v>0.92477900431172699</v>
      </c>
      <c r="D935">
        <v>0.989065885352858</v>
      </c>
      <c r="E935">
        <v>0.56119214713588905</v>
      </c>
      <c r="F935">
        <v>0.280198445698492</v>
      </c>
      <c r="G935">
        <v>0.15963548683922099</v>
      </c>
      <c r="H935">
        <v>0.101851406758615</v>
      </c>
      <c r="I935">
        <v>8.57925402665176E-2</v>
      </c>
      <c r="J935">
        <v>6.9223086866070205E-2</v>
      </c>
      <c r="K935">
        <v>6.5503424906713806E-2</v>
      </c>
      <c r="L935">
        <v>1348.9052213652701</v>
      </c>
      <c r="M935">
        <v>26.7964173638901</v>
      </c>
      <c r="N935">
        <v>50.6932782651526</v>
      </c>
      <c r="O935">
        <v>50.061174408394102</v>
      </c>
      <c r="P935">
        <v>-0.122393275117525</v>
      </c>
      <c r="Q935">
        <v>8.5387017462622894E-2</v>
      </c>
      <c r="R935">
        <v>0.99306285089488999</v>
      </c>
      <c r="S935" t="s">
        <v>5231</v>
      </c>
      <c r="T935" t="s">
        <v>8590</v>
      </c>
      <c r="U935" t="s">
        <v>8590</v>
      </c>
      <c r="V935" t="s">
        <v>8590</v>
      </c>
      <c r="W935">
        <v>10</v>
      </c>
      <c r="X935" t="s">
        <v>9525</v>
      </c>
      <c r="Y935">
        <v>0.40773321752968861</v>
      </c>
      <c r="Z935" t="str">
        <f>HYPERLINK("Melting_Curves/meltCurve_sp_P30043_BLVRB_HUMAN_.pdf", "Melting_Curves/meltCurve_sp_P30043_BLVRB_HUMAN_.pdf")</f>
        <v>Melting_Curves/meltCurve_sp_P30043_BLVRB_HUMAN_.pdf</v>
      </c>
      <c r="AA935" t="s">
        <v>13803</v>
      </c>
      <c r="AB935" t="s">
        <v>18020</v>
      </c>
    </row>
    <row r="936" spans="1:28" x14ac:dyDescent="0.25">
      <c r="A936" t="s">
        <v>940</v>
      </c>
      <c r="B936">
        <v>0.99876560204751996</v>
      </c>
      <c r="C936">
        <v>0.98581325323387003</v>
      </c>
      <c r="D936">
        <v>1.11564189725605</v>
      </c>
      <c r="E936">
        <v>0.97212181186198399</v>
      </c>
      <c r="F936">
        <v>0.96023555072284295</v>
      </c>
      <c r="G936">
        <v>0.70615804141390304</v>
      </c>
      <c r="H936">
        <v>0.407676820242028</v>
      </c>
      <c r="I936">
        <v>0.26076700811452602</v>
      </c>
      <c r="J936">
        <v>0.22323945749694199</v>
      </c>
      <c r="K936">
        <v>0.17744851028936601</v>
      </c>
      <c r="L936">
        <v>1429.5069509319001</v>
      </c>
      <c r="M936">
        <v>24.418124018629001</v>
      </c>
      <c r="N936">
        <v>59.587611725960898</v>
      </c>
      <c r="O936">
        <v>58.154467446392097</v>
      </c>
      <c r="P936">
        <v>-8.6693133220791696E-2</v>
      </c>
      <c r="Q936">
        <v>0.17413513526139901</v>
      </c>
      <c r="R936">
        <v>0.98809416937655703</v>
      </c>
      <c r="S936" t="s">
        <v>5232</v>
      </c>
      <c r="T936" t="s">
        <v>8590</v>
      </c>
      <c r="U936" t="s">
        <v>8590</v>
      </c>
      <c r="V936" t="s">
        <v>8590</v>
      </c>
      <c r="W936">
        <v>10</v>
      </c>
      <c r="X936" t="s">
        <v>9526</v>
      </c>
      <c r="Y936">
        <v>0.69179023318034716</v>
      </c>
      <c r="Z936" t="str">
        <f>HYPERLINK("Melting_Curves/meltCurve_sp_P30044_2_PRDX5_HUMAN_.pdf", "Melting_Curves/meltCurve_sp_P30044_2_PRDX5_HUMAN_.pdf")</f>
        <v>Melting_Curves/meltCurve_sp_P30044_2_PRDX5_HUMAN_.pdf</v>
      </c>
      <c r="AA936" t="s">
        <v>13804</v>
      </c>
      <c r="AB936" t="s">
        <v>18021</v>
      </c>
    </row>
    <row r="937" spans="1:28" x14ac:dyDescent="0.25">
      <c r="A937" t="s">
        <v>941</v>
      </c>
      <c r="B937">
        <v>0.99876560204751996</v>
      </c>
      <c r="C937">
        <v>0.92997087791417599</v>
      </c>
      <c r="D937">
        <v>1.03880294186529</v>
      </c>
      <c r="E937">
        <v>0.90298304533888596</v>
      </c>
      <c r="F937">
        <v>0.87668243019673497</v>
      </c>
      <c r="G937">
        <v>0.72786271717004902</v>
      </c>
      <c r="H937">
        <v>0.57468557880933802</v>
      </c>
      <c r="I937">
        <v>0.51162773570208397</v>
      </c>
      <c r="J937">
        <v>0.486095314379135</v>
      </c>
      <c r="K937">
        <v>0.37693736124080002</v>
      </c>
      <c r="L937">
        <v>699.43818332661499</v>
      </c>
      <c r="M937">
        <v>11.8218344643322</v>
      </c>
      <c r="N937">
        <v>64.3814171949778</v>
      </c>
      <c r="O937">
        <v>57.548171684831701</v>
      </c>
      <c r="P937">
        <v>-3.55402707092057E-2</v>
      </c>
      <c r="Q937">
        <v>0.30814309238798399</v>
      </c>
      <c r="R937">
        <v>0.97816067946678298</v>
      </c>
      <c r="S937" t="s">
        <v>5233</v>
      </c>
      <c r="T937" t="s">
        <v>8590</v>
      </c>
      <c r="U937" t="s">
        <v>8590</v>
      </c>
      <c r="V937" t="s">
        <v>8590</v>
      </c>
      <c r="W937">
        <v>15</v>
      </c>
      <c r="X937" t="s">
        <v>9527</v>
      </c>
      <c r="Y937">
        <v>0.75478842227247567</v>
      </c>
      <c r="Z937" t="str">
        <f>HYPERLINK("Melting_Curves/meltCurve_sp_P30046_DOPD_HUMAN_.pdf", "Melting_Curves/meltCurve_sp_P30046_DOPD_HUMAN_.pdf")</f>
        <v>Melting_Curves/meltCurve_sp_P30046_DOPD_HUMAN_.pdf</v>
      </c>
      <c r="AA937" t="s">
        <v>13805</v>
      </c>
      <c r="AB937" t="s">
        <v>18022</v>
      </c>
    </row>
    <row r="938" spans="1:28" x14ac:dyDescent="0.25">
      <c r="A938" t="s">
        <v>942</v>
      </c>
      <c r="B938">
        <v>0.99876560204751996</v>
      </c>
      <c r="C938">
        <v>0.84999048620962703</v>
      </c>
      <c r="D938">
        <v>0.99920439539767303</v>
      </c>
      <c r="E938">
        <v>0.86487102363590196</v>
      </c>
      <c r="F938">
        <v>0.78822448183263005</v>
      </c>
      <c r="G938">
        <v>0.68905814599433202</v>
      </c>
      <c r="H938">
        <v>0.63609279490302795</v>
      </c>
      <c r="I938">
        <v>0.63149318141709898</v>
      </c>
      <c r="J938">
        <v>0.79050310768613397</v>
      </c>
      <c r="K938">
        <v>0.68585514065764097</v>
      </c>
      <c r="L938">
        <v>1118.62865998659</v>
      </c>
      <c r="M938">
        <v>22.034419623340199</v>
      </c>
      <c r="O938">
        <v>50.354736993379603</v>
      </c>
      <c r="P938">
        <v>-3.4848967572849103E-2</v>
      </c>
      <c r="Q938">
        <v>0.68144903792147105</v>
      </c>
      <c r="R938">
        <v>0.76208871664476197</v>
      </c>
      <c r="S938" t="s">
        <v>5234</v>
      </c>
      <c r="T938" t="s">
        <v>8590</v>
      </c>
      <c r="U938" t="s">
        <v>8590</v>
      </c>
      <c r="V938" t="s">
        <v>8590</v>
      </c>
      <c r="W938">
        <v>6</v>
      </c>
      <c r="X938" t="s">
        <v>9528</v>
      </c>
      <c r="Y938">
        <v>0.79945617915657452</v>
      </c>
      <c r="Z938" t="str">
        <f>HYPERLINK("Melting_Curves/meltCurve_sp_P30047_GFRP_HUMAN_.pdf", "Melting_Curves/meltCurve_sp_P30047_GFRP_HUMAN_.pdf")</f>
        <v>Melting_Curves/meltCurve_sp_P30047_GFRP_HUMAN_.pdf</v>
      </c>
      <c r="AA938" t="s">
        <v>13806</v>
      </c>
      <c r="AB938" t="s">
        <v>18023</v>
      </c>
    </row>
    <row r="939" spans="1:28" x14ac:dyDescent="0.25">
      <c r="A939" t="s">
        <v>943</v>
      </c>
      <c r="B939">
        <v>0.99876560204751996</v>
      </c>
      <c r="C939">
        <v>0.94002012489637399</v>
      </c>
      <c r="D939">
        <v>0.97000710561757397</v>
      </c>
      <c r="E939">
        <v>0.85931901774410202</v>
      </c>
      <c r="F939">
        <v>0.84188449072862603</v>
      </c>
      <c r="G939">
        <v>0.66115571298943498</v>
      </c>
      <c r="H939">
        <v>0.79169168808507495</v>
      </c>
      <c r="I939">
        <v>0.58410311966178696</v>
      </c>
      <c r="J939">
        <v>0.72030131503477501</v>
      </c>
      <c r="K939">
        <v>0.670516982438772</v>
      </c>
      <c r="L939">
        <v>750.51368858200397</v>
      </c>
      <c r="M939">
        <v>14.5196624346534</v>
      </c>
      <c r="O939">
        <v>50.738690505254702</v>
      </c>
      <c r="P939">
        <v>-2.4104923693570399E-2</v>
      </c>
      <c r="Q939">
        <v>0.66310197494140399</v>
      </c>
      <c r="R939">
        <v>0.83563481936805994</v>
      </c>
      <c r="S939" t="s">
        <v>5235</v>
      </c>
      <c r="T939" t="s">
        <v>8590</v>
      </c>
      <c r="U939" t="s">
        <v>8590</v>
      </c>
      <c r="V939" t="s">
        <v>8590</v>
      </c>
      <c r="W939">
        <v>2</v>
      </c>
      <c r="X939" t="s">
        <v>9529</v>
      </c>
      <c r="Y939">
        <v>0.80238042821703526</v>
      </c>
      <c r="Z939" t="str">
        <f>HYPERLINK("Melting_Curves/meltCurve_sp_P30049_ATPD_HUMAN_.pdf", "Melting_Curves/meltCurve_sp_P30049_ATPD_HUMAN_.pdf")</f>
        <v>Melting_Curves/meltCurve_sp_P30049_ATPD_HUMAN_.pdf</v>
      </c>
      <c r="AA939" t="s">
        <v>13807</v>
      </c>
      <c r="AB939" t="s">
        <v>18024</v>
      </c>
    </row>
    <row r="940" spans="1:28" x14ac:dyDescent="0.25">
      <c r="A940" t="s">
        <v>944</v>
      </c>
      <c r="B940">
        <v>0.99876560204751996</v>
      </c>
      <c r="C940">
        <v>1.00652866001651</v>
      </c>
      <c r="D940">
        <v>0.91418707794516196</v>
      </c>
      <c r="E940">
        <v>0.55375672932965103</v>
      </c>
      <c r="F940">
        <v>0.26811356997931801</v>
      </c>
      <c r="G940">
        <v>0.15576551049477699</v>
      </c>
      <c r="H940">
        <v>7.2298890693763496E-2</v>
      </c>
      <c r="I940">
        <v>6.6781433655544606E-2</v>
      </c>
      <c r="J940">
        <v>8.4550536093886894E-2</v>
      </c>
      <c r="K940">
        <v>2.80380192846124E-2</v>
      </c>
      <c r="L940">
        <v>1182.4190155896399</v>
      </c>
      <c r="M940">
        <v>23.52708775907</v>
      </c>
      <c r="N940">
        <v>50.549649374820497</v>
      </c>
      <c r="O940">
        <v>49.898902026276502</v>
      </c>
      <c r="P940">
        <v>-0.110389274273876</v>
      </c>
      <c r="Q940">
        <v>6.3511908834730096E-2</v>
      </c>
      <c r="R940">
        <v>0.99748490170410598</v>
      </c>
      <c r="S940" t="s">
        <v>5236</v>
      </c>
      <c r="T940" t="s">
        <v>8590</v>
      </c>
      <c r="U940" t="s">
        <v>8590</v>
      </c>
      <c r="V940" t="s">
        <v>8590</v>
      </c>
      <c r="W940">
        <v>1</v>
      </c>
      <c r="X940" t="s">
        <v>9530</v>
      </c>
      <c r="Y940">
        <v>0.39319356868090172</v>
      </c>
      <c r="Z940" t="str">
        <f>HYPERLINK("Melting_Curves/meltCurve_sp_P30050_RL12_HUMAN_.pdf", "Melting_Curves/meltCurve_sp_P30050_RL12_HUMAN_.pdf")</f>
        <v>Melting_Curves/meltCurve_sp_P30050_RL12_HUMAN_.pdf</v>
      </c>
      <c r="AA940" t="s">
        <v>13808</v>
      </c>
      <c r="AB940" t="s">
        <v>18025</v>
      </c>
    </row>
    <row r="941" spans="1:28" x14ac:dyDescent="0.25">
      <c r="A941" t="s">
        <v>945</v>
      </c>
      <c r="B941">
        <v>0.99876560204751996</v>
      </c>
      <c r="C941">
        <v>1.1929960331545399</v>
      </c>
      <c r="D941">
        <v>0.70625971870780702</v>
      </c>
      <c r="E941">
        <v>1.00046836572075</v>
      </c>
      <c r="F941">
        <v>0.36181546699247202</v>
      </c>
      <c r="G941">
        <v>0.104208208129611</v>
      </c>
      <c r="H941">
        <v>4.6043974898722299E-2</v>
      </c>
      <c r="I941">
        <v>2.85906484600639E-2</v>
      </c>
      <c r="J941">
        <v>2.5139702047474E-2</v>
      </c>
      <c r="K941">
        <v>2.0153713238792802E-2</v>
      </c>
      <c r="L941">
        <v>5061.9328088825796</v>
      </c>
      <c r="M941">
        <v>96.205744241970294</v>
      </c>
      <c r="N941">
        <v>52.6669365921856</v>
      </c>
      <c r="O941">
        <v>52.592979694330801</v>
      </c>
      <c r="P941">
        <v>-0.43688716848627901</v>
      </c>
      <c r="Q941">
        <v>4.4664256950449802E-2</v>
      </c>
      <c r="R941">
        <v>0.93757661478313803</v>
      </c>
      <c r="S941" t="s">
        <v>5237</v>
      </c>
      <c r="T941" t="s">
        <v>8590</v>
      </c>
      <c r="U941" t="s">
        <v>8590</v>
      </c>
      <c r="V941" t="s">
        <v>8590</v>
      </c>
      <c r="W941">
        <v>32</v>
      </c>
      <c r="X941" t="s">
        <v>9531</v>
      </c>
      <c r="Y941">
        <v>0.44700175835858619</v>
      </c>
      <c r="Z941" t="str">
        <f>HYPERLINK("Melting_Curves/meltCurve_sp_P30084_ECHM_HUMAN_.pdf", "Melting_Curves/meltCurve_sp_P30084_ECHM_HUMAN_.pdf")</f>
        <v>Melting_Curves/meltCurve_sp_P30084_ECHM_HUMAN_.pdf</v>
      </c>
      <c r="AA941" t="s">
        <v>13809</v>
      </c>
      <c r="AB941" t="s">
        <v>18026</v>
      </c>
    </row>
    <row r="942" spans="1:28" x14ac:dyDescent="0.25">
      <c r="A942" t="s">
        <v>946</v>
      </c>
      <c r="B942">
        <v>0.99876560204751996</v>
      </c>
      <c r="C942">
        <v>0.91212659280378405</v>
      </c>
      <c r="D942">
        <v>1.01860268203371</v>
      </c>
      <c r="E942">
        <v>0.78206700638920801</v>
      </c>
      <c r="F942">
        <v>0.51744552317100301</v>
      </c>
      <c r="G942">
        <v>0.26716129702918201</v>
      </c>
      <c r="H942">
        <v>0.17349645862646099</v>
      </c>
      <c r="I942">
        <v>0.15230730751195101</v>
      </c>
      <c r="J942">
        <v>0.168911086329015</v>
      </c>
      <c r="K942">
        <v>0.17879301394399999</v>
      </c>
      <c r="L942">
        <v>1281.6562513430399</v>
      </c>
      <c r="M942">
        <v>24.501793081531201</v>
      </c>
      <c r="N942">
        <v>53.147607557441702</v>
      </c>
      <c r="O942">
        <v>51.963965135607602</v>
      </c>
      <c r="P942">
        <v>-9.8975594546847304E-2</v>
      </c>
      <c r="Q942">
        <v>0.16037338039547</v>
      </c>
      <c r="R942">
        <v>0.99186495496047</v>
      </c>
      <c r="S942" t="s">
        <v>5238</v>
      </c>
      <c r="T942" t="s">
        <v>8590</v>
      </c>
      <c r="U942" t="s">
        <v>8590</v>
      </c>
      <c r="V942" t="s">
        <v>8590</v>
      </c>
      <c r="W942">
        <v>9</v>
      </c>
      <c r="X942" t="s">
        <v>9532</v>
      </c>
      <c r="Y942">
        <v>0.51285095095270061</v>
      </c>
      <c r="Z942" t="str">
        <f>HYPERLINK("Melting_Curves/meltCurve_sp_P30085_KCY_HUMAN_.pdf", "Melting_Curves/meltCurve_sp_P30085_KCY_HUMAN_.pdf")</f>
        <v>Melting_Curves/meltCurve_sp_P30085_KCY_HUMAN_.pdf</v>
      </c>
      <c r="AA942" t="s">
        <v>13810</v>
      </c>
      <c r="AB942" t="s">
        <v>18027</v>
      </c>
    </row>
    <row r="943" spans="1:28" x14ac:dyDescent="0.25">
      <c r="A943" t="s">
        <v>947</v>
      </c>
      <c r="B943">
        <v>0.99876560204751996</v>
      </c>
      <c r="C943">
        <v>0.99437527450293095</v>
      </c>
      <c r="D943">
        <v>1.16755234566513</v>
      </c>
      <c r="E943">
        <v>0.95118240378214303</v>
      </c>
      <c r="F943">
        <v>0.97531393924063903</v>
      </c>
      <c r="G943">
        <v>0.759985492971058</v>
      </c>
      <c r="H943">
        <v>0.52821028848795004</v>
      </c>
      <c r="I943">
        <v>0.32880307883778098</v>
      </c>
      <c r="J943">
        <v>0.24157843177807101</v>
      </c>
      <c r="K943">
        <v>0.196561034479419</v>
      </c>
      <c r="L943">
        <v>1215.6017781231801</v>
      </c>
      <c r="M943">
        <v>20.244486852859001</v>
      </c>
      <c r="N943">
        <v>61.120046312796902</v>
      </c>
      <c r="O943">
        <v>59.469401088384103</v>
      </c>
      <c r="P943">
        <v>-7.2369343737255606E-2</v>
      </c>
      <c r="Q943">
        <v>0.14966946392376701</v>
      </c>
      <c r="R943">
        <v>0.97266712006316702</v>
      </c>
      <c r="S943" t="s">
        <v>5239</v>
      </c>
      <c r="T943" t="s">
        <v>8590</v>
      </c>
      <c r="U943" t="s">
        <v>8590</v>
      </c>
      <c r="V943" t="s">
        <v>8590</v>
      </c>
      <c r="W943">
        <v>20</v>
      </c>
      <c r="X943" t="s">
        <v>9533</v>
      </c>
      <c r="Y943">
        <v>0.72488065865122697</v>
      </c>
      <c r="Z943" t="str">
        <f>HYPERLINK("Melting_Curves/meltCurve_sp_P30086_PEBP1_HUMAN_.pdf", "Melting_Curves/meltCurve_sp_P30086_PEBP1_HUMAN_.pdf")</f>
        <v>Melting_Curves/meltCurve_sp_P30086_PEBP1_HUMAN_.pdf</v>
      </c>
      <c r="AA943" t="s">
        <v>13811</v>
      </c>
      <c r="AB943" t="s">
        <v>18028</v>
      </c>
    </row>
    <row r="944" spans="1:28" x14ac:dyDescent="0.25">
      <c r="A944" t="s">
        <v>948</v>
      </c>
      <c r="B944">
        <v>0.99876560204751996</v>
      </c>
      <c r="C944">
        <v>0.97135916842958803</v>
      </c>
      <c r="D944">
        <v>0.88056866419234503</v>
      </c>
      <c r="E944">
        <v>0.94559943722856299</v>
      </c>
      <c r="F944">
        <v>0.61123108280823402</v>
      </c>
      <c r="G944">
        <v>0.16054936702651301</v>
      </c>
      <c r="H944">
        <v>9.6709560073936801E-2</v>
      </c>
      <c r="I944">
        <v>7.35794097063735E-2</v>
      </c>
      <c r="J944">
        <v>6.9674560515273695E-2</v>
      </c>
      <c r="K944">
        <v>5.5509911841917801E-2</v>
      </c>
      <c r="L944">
        <v>1918.44551787719</v>
      </c>
      <c r="M944">
        <v>35.8525732552785</v>
      </c>
      <c r="N944">
        <v>53.733734341304299</v>
      </c>
      <c r="O944">
        <v>53.343630884177202</v>
      </c>
      <c r="P944">
        <v>-0.15634170881875301</v>
      </c>
      <c r="Q944">
        <v>6.9544340920383405E-2</v>
      </c>
      <c r="R944">
        <v>0.99091424411553297</v>
      </c>
      <c r="S944" t="s">
        <v>5240</v>
      </c>
      <c r="T944" t="s">
        <v>8590</v>
      </c>
      <c r="U944" t="s">
        <v>8590</v>
      </c>
      <c r="V944" t="s">
        <v>8590</v>
      </c>
      <c r="W944">
        <v>24</v>
      </c>
      <c r="X944" t="s">
        <v>9534</v>
      </c>
      <c r="Y944">
        <v>0.4928134542120361</v>
      </c>
      <c r="Z944" t="str">
        <f>HYPERLINK("Melting_Curves/meltCurve_sp_P30153_2AAA_HUMAN_.pdf", "Melting_Curves/meltCurve_sp_P30153_2AAA_HUMAN_.pdf")</f>
        <v>Melting_Curves/meltCurve_sp_P30153_2AAA_HUMAN_.pdf</v>
      </c>
      <c r="AA944" t="s">
        <v>13812</v>
      </c>
      <c r="AB944" t="s">
        <v>18029</v>
      </c>
    </row>
    <row r="945" spans="1:28" x14ac:dyDescent="0.25">
      <c r="A945" t="s">
        <v>949</v>
      </c>
      <c r="B945">
        <v>0.99876560204751996</v>
      </c>
      <c r="C945">
        <v>0.90237259167474104</v>
      </c>
      <c r="D945">
        <v>0.57045158125105799</v>
      </c>
      <c r="E945">
        <v>0.42487821911547702</v>
      </c>
      <c r="F945">
        <v>0.14204828732396299</v>
      </c>
      <c r="G945">
        <v>9.5872106837302698E-2</v>
      </c>
      <c r="H945">
        <v>7.5598070580370699E-2</v>
      </c>
      <c r="I945">
        <v>4.6441277239927303E-2</v>
      </c>
      <c r="J945">
        <v>6.0732421177306498E-2</v>
      </c>
      <c r="K945">
        <v>3.3323756266254001E-2</v>
      </c>
      <c r="L945">
        <v>775.57010704223399</v>
      </c>
      <c r="M945">
        <v>16.2984352921445</v>
      </c>
      <c r="N945">
        <v>47.820755727476801</v>
      </c>
      <c r="O945">
        <v>46.886504637609598</v>
      </c>
      <c r="P945">
        <v>-8.3562554603535302E-2</v>
      </c>
      <c r="Q945">
        <v>3.8516507616230697E-2</v>
      </c>
      <c r="R945">
        <v>0.98379608572009103</v>
      </c>
      <c r="S945" t="s">
        <v>5241</v>
      </c>
      <c r="T945" t="s">
        <v>8590</v>
      </c>
      <c r="U945" t="s">
        <v>8590</v>
      </c>
      <c r="V945" t="s">
        <v>8590</v>
      </c>
      <c r="W945">
        <v>10</v>
      </c>
      <c r="X945" t="s">
        <v>9535</v>
      </c>
      <c r="Y945">
        <v>0.30294343063743517</v>
      </c>
      <c r="Z945" t="str">
        <f>HYPERLINK("Melting_Curves/meltCurve_sp_P30154_2AAB_HUMAN_.pdf", "Melting_Curves/meltCurve_sp_P30154_2AAB_HUMAN_.pdf")</f>
        <v>Melting_Curves/meltCurve_sp_P30154_2AAB_HUMAN_.pdf</v>
      </c>
      <c r="AA945" t="s">
        <v>13813</v>
      </c>
      <c r="AB945" t="s">
        <v>18030</v>
      </c>
    </row>
    <row r="946" spans="1:28" x14ac:dyDescent="0.25">
      <c r="A946" t="s">
        <v>950</v>
      </c>
      <c r="B946">
        <v>0.99876560204751996</v>
      </c>
      <c r="C946">
        <v>0.90429418535878103</v>
      </c>
      <c r="D946">
        <v>1.0367317207509299</v>
      </c>
      <c r="E946">
        <v>0.90403142161294603</v>
      </c>
      <c r="F946">
        <v>0.81121850314250299</v>
      </c>
      <c r="G946">
        <v>0.40372545983658398</v>
      </c>
      <c r="H946">
        <v>0.27740193200084301</v>
      </c>
      <c r="I946">
        <v>0.246441247352328</v>
      </c>
      <c r="J946">
        <v>0.271415080580171</v>
      </c>
      <c r="K946">
        <v>0.26996356281446798</v>
      </c>
      <c r="L946">
        <v>1688.4999214541399</v>
      </c>
      <c r="M946">
        <v>30.937230298701799</v>
      </c>
      <c r="N946">
        <v>55.872202447553697</v>
      </c>
      <c r="O946">
        <v>54.351732332687803</v>
      </c>
      <c r="P946">
        <v>-0.10590596648931599</v>
      </c>
      <c r="Q946">
        <v>0.25576537574953301</v>
      </c>
      <c r="R946">
        <v>0.98593252979941703</v>
      </c>
      <c r="S946" t="s">
        <v>5242</v>
      </c>
      <c r="T946" t="s">
        <v>8590</v>
      </c>
      <c r="U946" t="s">
        <v>8590</v>
      </c>
      <c r="V946" t="s">
        <v>8590</v>
      </c>
      <c r="W946">
        <v>14</v>
      </c>
      <c r="X946" t="s">
        <v>9536</v>
      </c>
      <c r="Y946">
        <v>0.62205738465427729</v>
      </c>
      <c r="Z946" t="str">
        <f>HYPERLINK("Melting_Curves/meltCurve_sp_P30405_PPIF_HUMAN_.pdf", "Melting_Curves/meltCurve_sp_P30405_PPIF_HUMAN_.pdf")</f>
        <v>Melting_Curves/meltCurve_sp_P30405_PPIF_HUMAN_.pdf</v>
      </c>
      <c r="AA946" t="s">
        <v>13814</v>
      </c>
      <c r="AB946" t="s">
        <v>18031</v>
      </c>
    </row>
    <row r="947" spans="1:28" x14ac:dyDescent="0.25">
      <c r="A947" t="s">
        <v>951</v>
      </c>
      <c r="B947">
        <v>0.99876560204751996</v>
      </c>
      <c r="C947">
        <v>0.96624693585284704</v>
      </c>
      <c r="D947">
        <v>0.95623430956086497</v>
      </c>
      <c r="E947">
        <v>0.74073908153793899</v>
      </c>
      <c r="F947">
        <v>0.39787414427197598</v>
      </c>
      <c r="G947">
        <v>0.25491182957379499</v>
      </c>
      <c r="H947">
        <v>0.188371952035918</v>
      </c>
      <c r="I947">
        <v>0.17824862582691001</v>
      </c>
      <c r="J947">
        <v>0.203740556629319</v>
      </c>
      <c r="K947">
        <v>0.18970080983760801</v>
      </c>
      <c r="L947">
        <v>1462.0016502598701</v>
      </c>
      <c r="M947">
        <v>28.554233113033501</v>
      </c>
      <c r="N947">
        <v>52.075163550969201</v>
      </c>
      <c r="O947">
        <v>50.9517211313375</v>
      </c>
      <c r="P947">
        <v>-0.113426231293858</v>
      </c>
      <c r="Q947">
        <v>0.19042254672842801</v>
      </c>
      <c r="R947">
        <v>0.99792999412800099</v>
      </c>
      <c r="S947" t="s">
        <v>5243</v>
      </c>
      <c r="T947" t="s">
        <v>8590</v>
      </c>
      <c r="U947" t="s">
        <v>8590</v>
      </c>
      <c r="V947" t="s">
        <v>8590</v>
      </c>
      <c r="W947">
        <v>8</v>
      </c>
      <c r="X947" t="s">
        <v>9537</v>
      </c>
      <c r="Y947">
        <v>0.49832422416640432</v>
      </c>
      <c r="Z947" t="str">
        <f>HYPERLINK("Melting_Curves/meltCurve_sp_P30419_NMT1_HUMAN_.pdf", "Melting_Curves/meltCurve_sp_P30419_NMT1_HUMAN_.pdf")</f>
        <v>Melting_Curves/meltCurve_sp_P30419_NMT1_HUMAN_.pdf</v>
      </c>
      <c r="AA947" t="s">
        <v>13815</v>
      </c>
      <c r="AB947" t="s">
        <v>18032</v>
      </c>
    </row>
    <row r="948" spans="1:28" x14ac:dyDescent="0.25">
      <c r="A948" t="s">
        <v>952</v>
      </c>
      <c r="B948">
        <v>0.99876560204751996</v>
      </c>
      <c r="C948">
        <v>1.0932511908445499</v>
      </c>
      <c r="D948">
        <v>0.95305586344425697</v>
      </c>
      <c r="E948">
        <v>0.71158149411587301</v>
      </c>
      <c r="F948">
        <v>0.62971799880662205</v>
      </c>
      <c r="G948">
        <v>0.33440412684019699</v>
      </c>
      <c r="H948">
        <v>0.31320461806796601</v>
      </c>
      <c r="I948">
        <v>0.25300130979332403</v>
      </c>
      <c r="J948">
        <v>0.28237352103556101</v>
      </c>
      <c r="K948">
        <v>0.26134226680497502</v>
      </c>
      <c r="L948">
        <v>1005.3847624948399</v>
      </c>
      <c r="M948">
        <v>19.297044431602998</v>
      </c>
      <c r="N948">
        <v>54.097494570531303</v>
      </c>
      <c r="O948">
        <v>51.550592353350197</v>
      </c>
      <c r="P948">
        <v>-6.9744768944922195E-2</v>
      </c>
      <c r="Q948">
        <v>0.25475612962352301</v>
      </c>
      <c r="R948">
        <v>0.97942901470775401</v>
      </c>
      <c r="S948" t="s">
        <v>5244</v>
      </c>
      <c r="T948" t="s">
        <v>8590</v>
      </c>
      <c r="U948" t="s">
        <v>8590</v>
      </c>
      <c r="V948" t="s">
        <v>8590</v>
      </c>
      <c r="W948">
        <v>4</v>
      </c>
      <c r="X948" t="s">
        <v>9538</v>
      </c>
      <c r="Y948">
        <v>0.56633173644569179</v>
      </c>
      <c r="Z948" t="str">
        <f>HYPERLINK("Melting_Curves/meltCurve_sp_P30519_HMOX2_HUMAN_.pdf", "Melting_Curves/meltCurve_sp_P30519_HMOX2_HUMAN_.pdf")</f>
        <v>Melting_Curves/meltCurve_sp_P30519_HMOX2_HUMAN_.pdf</v>
      </c>
      <c r="AA948" t="s">
        <v>13816</v>
      </c>
      <c r="AB948" t="s">
        <v>18033</v>
      </c>
    </row>
    <row r="949" spans="1:28" x14ac:dyDescent="0.25">
      <c r="A949" t="s">
        <v>953</v>
      </c>
      <c r="B949">
        <v>0.99876560204751996</v>
      </c>
      <c r="C949">
        <v>1.0076815795455301</v>
      </c>
      <c r="D949">
        <v>0.91638783480449104</v>
      </c>
      <c r="E949">
        <v>0.87752823655589296</v>
      </c>
      <c r="F949">
        <v>0.60199244955563602</v>
      </c>
      <c r="G949">
        <v>0.32323415841050102</v>
      </c>
      <c r="H949">
        <v>0.154778359558361</v>
      </c>
      <c r="I949">
        <v>0.11561188591123001</v>
      </c>
      <c r="J949">
        <v>7.5094573210028701E-2</v>
      </c>
      <c r="K949">
        <v>5.1268248545704199E-2</v>
      </c>
      <c r="L949">
        <v>1012.94456599771</v>
      </c>
      <c r="M949">
        <v>18.687552692973998</v>
      </c>
      <c r="N949">
        <v>54.507831647572502</v>
      </c>
      <c r="O949">
        <v>53.594984867588799</v>
      </c>
      <c r="P949">
        <v>-8.2865407995015503E-2</v>
      </c>
      <c r="Q949">
        <v>4.9424769595676599E-2</v>
      </c>
      <c r="R949">
        <v>0.99646800811962399</v>
      </c>
      <c r="S949" t="s">
        <v>5245</v>
      </c>
      <c r="T949" t="s">
        <v>8590</v>
      </c>
      <c r="U949" t="s">
        <v>8590</v>
      </c>
      <c r="V949" t="s">
        <v>8590</v>
      </c>
      <c r="W949">
        <v>17</v>
      </c>
      <c r="X949" t="s">
        <v>9539</v>
      </c>
      <c r="Y949">
        <v>0.51380052871381288</v>
      </c>
      <c r="Z949" t="str">
        <f>HYPERLINK("Melting_Curves/meltCurve_sp_P30520_PURA2_HUMAN_.pdf", "Melting_Curves/meltCurve_sp_P30520_PURA2_HUMAN_.pdf")</f>
        <v>Melting_Curves/meltCurve_sp_P30520_PURA2_HUMAN_.pdf</v>
      </c>
      <c r="AA949" t="s">
        <v>13817</v>
      </c>
      <c r="AB949" t="s">
        <v>18034</v>
      </c>
    </row>
    <row r="950" spans="1:28" x14ac:dyDescent="0.25">
      <c r="A950" t="s">
        <v>954</v>
      </c>
      <c r="B950">
        <v>0.99876560204751996</v>
      </c>
      <c r="C950">
        <v>0.98787552810923196</v>
      </c>
      <c r="D950">
        <v>1.01571178693784</v>
      </c>
      <c r="E950">
        <v>0.92658943101232605</v>
      </c>
      <c r="F950">
        <v>0.95353198576454801</v>
      </c>
      <c r="G950">
        <v>0.76840191072695896</v>
      </c>
      <c r="H950">
        <v>0.70862916336277104</v>
      </c>
      <c r="I950">
        <v>0.694261881430149</v>
      </c>
      <c r="J950">
        <v>0.88070244599716296</v>
      </c>
      <c r="K950">
        <v>0.86286906914907302</v>
      </c>
      <c r="L950">
        <v>5998.2047973810604</v>
      </c>
      <c r="M950">
        <v>111.879850449085</v>
      </c>
      <c r="O950">
        <v>53.595799573389598</v>
      </c>
      <c r="P950">
        <v>-0.11328379874507601</v>
      </c>
      <c r="Q950">
        <v>0.78292661269319996</v>
      </c>
      <c r="R950">
        <v>0.72476818627537998</v>
      </c>
      <c r="S950" t="s">
        <v>5246</v>
      </c>
      <c r="T950" t="s">
        <v>8590</v>
      </c>
      <c r="U950" t="s">
        <v>8590</v>
      </c>
      <c r="V950" t="s">
        <v>8590</v>
      </c>
      <c r="W950">
        <v>17</v>
      </c>
      <c r="X950" t="s">
        <v>9540</v>
      </c>
      <c r="Y950">
        <v>0.88152873034934698</v>
      </c>
      <c r="Z950" t="str">
        <f>HYPERLINK("Melting_Curves/meltCurve_sp_P30533_AMRP_HUMAN_.pdf", "Melting_Curves/meltCurve_sp_P30533_AMRP_HUMAN_.pdf")</f>
        <v>Melting_Curves/meltCurve_sp_P30533_AMRP_HUMAN_.pdf</v>
      </c>
      <c r="AA950" t="s">
        <v>13818</v>
      </c>
      <c r="AB950" t="s">
        <v>18035</v>
      </c>
    </row>
    <row r="951" spans="1:28" x14ac:dyDescent="0.25">
      <c r="A951" t="s">
        <v>955</v>
      </c>
      <c r="B951">
        <v>0.99876560204751996</v>
      </c>
      <c r="C951">
        <v>1.0207110844422</v>
      </c>
      <c r="D951">
        <v>0.83671054381170695</v>
      </c>
      <c r="E951">
        <v>0.95704969655038896</v>
      </c>
      <c r="F951">
        <v>0.81759374677754704</v>
      </c>
      <c r="G951">
        <v>0.76783058142708605</v>
      </c>
      <c r="H951">
        <v>0.292435089200756</v>
      </c>
      <c r="I951">
        <v>8.2442311080877101E-2</v>
      </c>
      <c r="J951">
        <v>6.6397221780483101E-2</v>
      </c>
      <c r="K951">
        <v>5.0984003457494501E-2</v>
      </c>
      <c r="L951">
        <v>1414.79844344562</v>
      </c>
      <c r="M951">
        <v>23.999491667222401</v>
      </c>
      <c r="N951">
        <v>58.953963892003898</v>
      </c>
      <c r="O951">
        <v>58.546459317348003</v>
      </c>
      <c r="P951">
        <v>-0.10242420922890901</v>
      </c>
      <c r="Q951">
        <v>5.6549800028694202E-4</v>
      </c>
      <c r="R951">
        <v>0.96708289315257401</v>
      </c>
      <c r="S951" t="s">
        <v>5247</v>
      </c>
      <c r="T951" t="s">
        <v>8590</v>
      </c>
      <c r="U951" t="s">
        <v>8590</v>
      </c>
      <c r="V951" t="s">
        <v>8590</v>
      </c>
      <c r="W951">
        <v>11</v>
      </c>
      <c r="X951" t="s">
        <v>9541</v>
      </c>
      <c r="Y951">
        <v>0.64052921740477708</v>
      </c>
      <c r="Z951" t="str">
        <f>HYPERLINK("Melting_Curves/meltCurve_sp_P30566_PUR8_HUMAN_.pdf", "Melting_Curves/meltCurve_sp_P30566_PUR8_HUMAN_.pdf")</f>
        <v>Melting_Curves/meltCurve_sp_P30566_PUR8_HUMAN_.pdf</v>
      </c>
      <c r="AA951" t="s">
        <v>13819</v>
      </c>
      <c r="AB951" t="s">
        <v>18036</v>
      </c>
    </row>
    <row r="952" spans="1:28" x14ac:dyDescent="0.25">
      <c r="A952" t="s">
        <v>956</v>
      </c>
      <c r="B952">
        <v>0.99876560204751996</v>
      </c>
      <c r="C952">
        <v>1.1039926795903201</v>
      </c>
      <c r="D952">
        <v>0.95472642426481802</v>
      </c>
      <c r="E952">
        <v>1.1211642711862699</v>
      </c>
      <c r="F952">
        <v>1.0527418016635199</v>
      </c>
      <c r="G952">
        <v>0.94118382091721497</v>
      </c>
      <c r="H952">
        <v>0.63614037978440297</v>
      </c>
      <c r="I952">
        <v>0.26868728082211302</v>
      </c>
      <c r="J952">
        <v>3.8533509313349402E-2</v>
      </c>
      <c r="K952">
        <v>3.3814239328855099E-2</v>
      </c>
      <c r="L952">
        <v>2151.5648259515201</v>
      </c>
      <c r="M952">
        <v>34.699192410316897</v>
      </c>
      <c r="N952">
        <v>62.006193137141501</v>
      </c>
      <c r="O952">
        <v>61.801333277448698</v>
      </c>
      <c r="P952">
        <v>-0.14036638907808099</v>
      </c>
      <c r="Q952">
        <v>0</v>
      </c>
      <c r="R952">
        <v>0.98148764421854995</v>
      </c>
      <c r="S952" t="s">
        <v>5248</v>
      </c>
      <c r="T952" t="s">
        <v>8590</v>
      </c>
      <c r="U952" t="s">
        <v>8590</v>
      </c>
      <c r="V952" t="s">
        <v>8590</v>
      </c>
      <c r="W952">
        <v>36</v>
      </c>
      <c r="X952" t="s">
        <v>9542</v>
      </c>
      <c r="Y952">
        <v>0.73771983777273886</v>
      </c>
      <c r="Z952" t="str">
        <f>HYPERLINK("Melting_Curves/meltCurve_sp_P30613_2_KPYR_HUMAN_.pdf", "Melting_Curves/meltCurve_sp_P30613_2_KPYR_HUMAN_.pdf")</f>
        <v>Melting_Curves/meltCurve_sp_P30613_2_KPYR_HUMAN_.pdf</v>
      </c>
      <c r="AA952" t="s">
        <v>13820</v>
      </c>
      <c r="AB952" t="s">
        <v>18037</v>
      </c>
    </row>
    <row r="953" spans="1:28" x14ac:dyDescent="0.25">
      <c r="A953" t="s">
        <v>957</v>
      </c>
      <c r="B953">
        <v>0.99876560204751996</v>
      </c>
      <c r="C953">
        <v>1.0195271165214299</v>
      </c>
      <c r="D953">
        <v>0.98514532886583805</v>
      </c>
      <c r="E953">
        <v>0.98970761104843896</v>
      </c>
      <c r="F953">
        <v>0.95461667733336197</v>
      </c>
      <c r="G953">
        <v>0.77465585910323898</v>
      </c>
      <c r="H953">
        <v>0.66386921475962901</v>
      </c>
      <c r="I953">
        <v>0.63227129666929904</v>
      </c>
      <c r="J953">
        <v>0.80667888273935295</v>
      </c>
      <c r="K953">
        <v>0.77304029876803004</v>
      </c>
      <c r="L953">
        <v>2565.4818177525199</v>
      </c>
      <c r="M953">
        <v>46.654115806419597</v>
      </c>
      <c r="O953">
        <v>54.888653212236797</v>
      </c>
      <c r="P953">
        <v>-5.9476498980279797E-2</v>
      </c>
      <c r="Q953">
        <v>0.72010347344942305</v>
      </c>
      <c r="R953">
        <v>0.885061270087248</v>
      </c>
      <c r="S953" t="s">
        <v>5249</v>
      </c>
      <c r="T953" t="s">
        <v>8590</v>
      </c>
      <c r="U953" t="s">
        <v>8590</v>
      </c>
      <c r="V953" t="s">
        <v>8590</v>
      </c>
      <c r="W953">
        <v>63</v>
      </c>
      <c r="X953" t="s">
        <v>9543</v>
      </c>
      <c r="Y953">
        <v>0.86073242822331575</v>
      </c>
      <c r="Z953" t="str">
        <f>HYPERLINK("Melting_Curves/meltCurve_sp_P30622_2_CLIP1_HUMAN_.pdf", "Melting_Curves/meltCurve_sp_P30622_2_CLIP1_HUMAN_.pdf")</f>
        <v>Melting_Curves/meltCurve_sp_P30622_2_CLIP1_HUMAN_.pdf</v>
      </c>
      <c r="AA953" t="s">
        <v>13821</v>
      </c>
      <c r="AB953" t="s">
        <v>18038</v>
      </c>
    </row>
    <row r="954" spans="1:28" x14ac:dyDescent="0.25">
      <c r="A954" t="s">
        <v>958</v>
      </c>
      <c r="B954">
        <v>0.99876560204751996</v>
      </c>
      <c r="C954">
        <v>0.92340423705496799</v>
      </c>
      <c r="D954">
        <v>0.954332322131761</v>
      </c>
      <c r="E954">
        <v>0.91985635371483998</v>
      </c>
      <c r="F954">
        <v>0.865482135728742</v>
      </c>
      <c r="G954">
        <v>0.72261153021528601</v>
      </c>
      <c r="H954">
        <v>0.58465088841215196</v>
      </c>
      <c r="I954">
        <v>0.51791489119797696</v>
      </c>
      <c r="J954">
        <v>0.530560504259185</v>
      </c>
      <c r="K954">
        <v>0.42097632821340097</v>
      </c>
      <c r="L954">
        <v>617.00350618500295</v>
      </c>
      <c r="M954">
        <v>10.489542753247401</v>
      </c>
      <c r="N954">
        <v>65.868615043347603</v>
      </c>
      <c r="O954">
        <v>56.803618044166903</v>
      </c>
      <c r="P954">
        <v>-3.0609054040846899E-2</v>
      </c>
      <c r="Q954">
        <v>0.33724428489026198</v>
      </c>
      <c r="R954">
        <v>0.97932556367621904</v>
      </c>
      <c r="S954" t="s">
        <v>5250</v>
      </c>
      <c r="T954" t="s">
        <v>8590</v>
      </c>
      <c r="U954" t="s">
        <v>8590</v>
      </c>
      <c r="V954" t="s">
        <v>8590</v>
      </c>
      <c r="W954">
        <v>15</v>
      </c>
      <c r="X954" t="s">
        <v>9544</v>
      </c>
      <c r="Y954">
        <v>0.75694840886477244</v>
      </c>
      <c r="Z954" t="str">
        <f>HYPERLINK("Melting_Curves/meltCurve_sp_P30711_GSTT1_HUMAN_.pdf", "Melting_Curves/meltCurve_sp_P30711_GSTT1_HUMAN_.pdf")</f>
        <v>Melting_Curves/meltCurve_sp_P30711_GSTT1_HUMAN_.pdf</v>
      </c>
      <c r="AA954" t="s">
        <v>13822</v>
      </c>
      <c r="AB954" t="s">
        <v>18039</v>
      </c>
    </row>
    <row r="955" spans="1:28" x14ac:dyDescent="0.25">
      <c r="A955" t="s">
        <v>959</v>
      </c>
      <c r="B955">
        <v>0.99876560204751996</v>
      </c>
      <c r="C955">
        <v>0.95147906046893505</v>
      </c>
      <c r="D955">
        <v>1.05537916769435</v>
      </c>
      <c r="E955">
        <v>0.91493657282117102</v>
      </c>
      <c r="F955">
        <v>0.69677327593464999</v>
      </c>
      <c r="G955">
        <v>0.24824287649941801</v>
      </c>
      <c r="H955">
        <v>0.19192481042054599</v>
      </c>
      <c r="I955">
        <v>0.14169873720586099</v>
      </c>
      <c r="J955">
        <v>0.11589365563447999</v>
      </c>
      <c r="K955">
        <v>8.4383276267423299E-2</v>
      </c>
      <c r="L955">
        <v>1645.8463165482899</v>
      </c>
      <c r="M955">
        <v>30.4639364939082</v>
      </c>
      <c r="N955">
        <v>54.518122521663102</v>
      </c>
      <c r="O955">
        <v>53.7948561916496</v>
      </c>
      <c r="P955">
        <v>-0.124558231824658</v>
      </c>
      <c r="Q955">
        <v>0.120198913119327</v>
      </c>
      <c r="R955">
        <v>0.99338987928102396</v>
      </c>
      <c r="S955" t="s">
        <v>5251</v>
      </c>
      <c r="T955" t="s">
        <v>8590</v>
      </c>
      <c r="U955" t="s">
        <v>8590</v>
      </c>
      <c r="V955" t="s">
        <v>8590</v>
      </c>
      <c r="W955">
        <v>16</v>
      </c>
      <c r="X955" t="s">
        <v>9545</v>
      </c>
      <c r="Y955">
        <v>0.53714899794959492</v>
      </c>
      <c r="Z955" t="str">
        <f>HYPERLINK("Melting_Curves/meltCurve_sp_P30740_ILEU_HUMAN_.pdf", "Melting_Curves/meltCurve_sp_P30740_ILEU_HUMAN_.pdf")</f>
        <v>Melting_Curves/meltCurve_sp_P30740_ILEU_HUMAN_.pdf</v>
      </c>
      <c r="AA955" t="s">
        <v>13823</v>
      </c>
      <c r="AB955" t="s">
        <v>18040</v>
      </c>
    </row>
    <row r="956" spans="1:28" x14ac:dyDescent="0.25">
      <c r="A956" t="s">
        <v>960</v>
      </c>
      <c r="B956">
        <v>0.99876560204751996</v>
      </c>
      <c r="C956">
        <v>0.99281302026857898</v>
      </c>
      <c r="D956">
        <v>0.89608835915368701</v>
      </c>
      <c r="E956">
        <v>0.95205270056986202</v>
      </c>
      <c r="F956">
        <v>0.91272394357180897</v>
      </c>
      <c r="G956">
        <v>0.754599631985579</v>
      </c>
      <c r="H956">
        <v>0.62399486950404304</v>
      </c>
      <c r="I956">
        <v>0.66421201776017202</v>
      </c>
      <c r="J956">
        <v>0.86426444582685802</v>
      </c>
      <c r="K956">
        <v>0.74767163659153901</v>
      </c>
      <c r="L956">
        <v>2134.9572429394998</v>
      </c>
      <c r="M956">
        <v>39.694396929734303</v>
      </c>
      <c r="O956">
        <v>53.648893956128198</v>
      </c>
      <c r="P956">
        <v>-5.0756401938332599E-2</v>
      </c>
      <c r="Q956">
        <v>0.72560171604763701</v>
      </c>
      <c r="R956">
        <v>0.71576898869262595</v>
      </c>
      <c r="S956" t="s">
        <v>5252</v>
      </c>
      <c r="T956" t="s">
        <v>8590</v>
      </c>
      <c r="U956" t="s">
        <v>8590</v>
      </c>
      <c r="V956" t="s">
        <v>8590</v>
      </c>
      <c r="W956">
        <v>6</v>
      </c>
      <c r="X956" t="s">
        <v>9546</v>
      </c>
      <c r="Y956">
        <v>0.8527204470616816</v>
      </c>
      <c r="Z956" t="str">
        <f>HYPERLINK("Melting_Curves/meltCurve_sp_P30793_GCH1_HUMAN_.pdf", "Melting_Curves/meltCurve_sp_P30793_GCH1_HUMAN_.pdf")</f>
        <v>Melting_Curves/meltCurve_sp_P30793_GCH1_HUMAN_.pdf</v>
      </c>
      <c r="AA956" t="s">
        <v>13824</v>
      </c>
      <c r="AB956" t="s">
        <v>18041</v>
      </c>
    </row>
    <row r="957" spans="1:28" x14ac:dyDescent="0.25">
      <c r="A957" t="s">
        <v>961</v>
      </c>
      <c r="B957">
        <v>0.99876560204751996</v>
      </c>
      <c r="C957">
        <v>0.92084790780007897</v>
      </c>
      <c r="D957">
        <v>0.69792567258778704</v>
      </c>
      <c r="E957">
        <v>0.43629501608805799</v>
      </c>
      <c r="F957">
        <v>0.15038359844124699</v>
      </c>
      <c r="G957">
        <v>6.7273670124782206E-2</v>
      </c>
      <c r="H957">
        <v>3.8069048605950201E-2</v>
      </c>
      <c r="I957">
        <v>2.7953157223363001E-2</v>
      </c>
      <c r="J957">
        <v>2.6172378141961501E-2</v>
      </c>
      <c r="K957">
        <v>2.0897880623265998E-2</v>
      </c>
      <c r="L957">
        <v>864.63188346363904</v>
      </c>
      <c r="M957">
        <v>17.8031783288999</v>
      </c>
      <c r="N957">
        <v>48.626926976809102</v>
      </c>
      <c r="O957">
        <v>47.96581093711</v>
      </c>
      <c r="P957">
        <v>-9.1774751204271601E-2</v>
      </c>
      <c r="Q957">
        <v>1.10024162237804E-2</v>
      </c>
      <c r="R957">
        <v>0.995284466407372</v>
      </c>
      <c r="S957" t="s">
        <v>5253</v>
      </c>
      <c r="T957" t="s">
        <v>8590</v>
      </c>
      <c r="U957" t="s">
        <v>8590</v>
      </c>
      <c r="V957" t="s">
        <v>8590</v>
      </c>
      <c r="W957">
        <v>31</v>
      </c>
      <c r="X957" t="s">
        <v>9547</v>
      </c>
      <c r="Y957">
        <v>0.31107586333946718</v>
      </c>
      <c r="Z957" t="str">
        <f>HYPERLINK("Melting_Curves/meltCurve_sp_P30837_AL1B1_HUMAN_.pdf", "Melting_Curves/meltCurve_sp_P30837_AL1B1_HUMAN_.pdf")</f>
        <v>Melting_Curves/meltCurve_sp_P30837_AL1B1_HUMAN_.pdf</v>
      </c>
      <c r="AA957" t="s">
        <v>13825</v>
      </c>
      <c r="AB957" t="s">
        <v>18042</v>
      </c>
    </row>
    <row r="958" spans="1:28" x14ac:dyDescent="0.25">
      <c r="A958" t="s">
        <v>962</v>
      </c>
      <c r="B958">
        <v>0.99876560204751996</v>
      </c>
      <c r="C958">
        <v>0.91296813981188596</v>
      </c>
      <c r="D958">
        <v>0.855556801040669</v>
      </c>
      <c r="E958">
        <v>0.82630711470607499</v>
      </c>
      <c r="F958">
        <v>0.72085159085815897</v>
      </c>
      <c r="G958">
        <v>0.559154161075607</v>
      </c>
      <c r="H958">
        <v>0.30942947667950299</v>
      </c>
      <c r="I958">
        <v>0.171666611333433</v>
      </c>
      <c r="J958">
        <v>6.73100051921941E-2</v>
      </c>
      <c r="K958">
        <v>4.0177418880519601E-2</v>
      </c>
      <c r="L958">
        <v>723.98398714665495</v>
      </c>
      <c r="M958">
        <v>12.7418741466492</v>
      </c>
      <c r="N958">
        <v>56.819266785606203</v>
      </c>
      <c r="O958">
        <v>55.474277245784798</v>
      </c>
      <c r="P958">
        <v>-5.7433398571319197E-2</v>
      </c>
      <c r="Q958">
        <v>0</v>
      </c>
      <c r="R958">
        <v>0.97888846316244404</v>
      </c>
      <c r="S958" t="s">
        <v>5254</v>
      </c>
      <c r="T958" t="s">
        <v>8590</v>
      </c>
      <c r="U958" t="s">
        <v>8590</v>
      </c>
      <c r="V958" t="s">
        <v>8590</v>
      </c>
      <c r="W958">
        <v>24</v>
      </c>
      <c r="X958" t="s">
        <v>9548</v>
      </c>
      <c r="Y958">
        <v>0.57801204358242686</v>
      </c>
      <c r="Z958" t="str">
        <f>HYPERLINK("Melting_Curves/meltCurve_sp_P31040_DHSA_HUMAN_.pdf", "Melting_Curves/meltCurve_sp_P31040_DHSA_HUMAN_.pdf")</f>
        <v>Melting_Curves/meltCurve_sp_P31040_DHSA_HUMAN_.pdf</v>
      </c>
      <c r="AA958" t="s">
        <v>13826</v>
      </c>
      <c r="AB958" t="s">
        <v>18043</v>
      </c>
    </row>
    <row r="959" spans="1:28" x14ac:dyDescent="0.25">
      <c r="A959" t="s">
        <v>963</v>
      </c>
      <c r="B959">
        <v>0.99876560204751996</v>
      </c>
      <c r="C959">
        <v>0.96634821003223204</v>
      </c>
      <c r="D959">
        <v>0.99408935761180806</v>
      </c>
      <c r="E959">
        <v>0.81847426301681603</v>
      </c>
      <c r="F959">
        <v>0.37455218115995798</v>
      </c>
      <c r="G959">
        <v>0.252956450073475</v>
      </c>
      <c r="H959">
        <v>0.16703204714995801</v>
      </c>
      <c r="I959">
        <v>0.138912987076446</v>
      </c>
      <c r="J959">
        <v>0.18499843870737101</v>
      </c>
      <c r="K959">
        <v>0.14807340897235099</v>
      </c>
      <c r="L959">
        <v>1965.1096292777399</v>
      </c>
      <c r="M959">
        <v>38.097081134107398</v>
      </c>
      <c r="N959">
        <v>52.155523128688799</v>
      </c>
      <c r="O959">
        <v>51.440126277715997</v>
      </c>
      <c r="P959">
        <v>-0.153453081167155</v>
      </c>
      <c r="Q959">
        <v>0.171209406506553</v>
      </c>
      <c r="R959">
        <v>0.99487343311264698</v>
      </c>
      <c r="S959" t="s">
        <v>5255</v>
      </c>
      <c r="T959" t="s">
        <v>8590</v>
      </c>
      <c r="U959" t="s">
        <v>8590</v>
      </c>
      <c r="V959" t="s">
        <v>8590</v>
      </c>
      <c r="W959">
        <v>10</v>
      </c>
      <c r="X959" t="s">
        <v>9549</v>
      </c>
      <c r="Y959">
        <v>0.49442624487485698</v>
      </c>
      <c r="Z959" t="str">
        <f>HYPERLINK("Melting_Curves/meltCurve_sp_P31146_COR1A_HUMAN_.pdf", "Melting_Curves/meltCurve_sp_P31146_COR1A_HUMAN_.pdf")</f>
        <v>Melting_Curves/meltCurve_sp_P31146_COR1A_HUMAN_.pdf</v>
      </c>
      <c r="AA959" t="s">
        <v>13827</v>
      </c>
      <c r="AB959" t="s">
        <v>18044</v>
      </c>
    </row>
    <row r="960" spans="1:28" x14ac:dyDescent="0.25">
      <c r="A960" t="s">
        <v>964</v>
      </c>
      <c r="B960">
        <v>0.99876560204751996</v>
      </c>
      <c r="C960">
        <v>0.93508280011637601</v>
      </c>
      <c r="D960">
        <v>0.99783418230575005</v>
      </c>
      <c r="E960">
        <v>0.90237882248724599</v>
      </c>
      <c r="F960">
        <v>0.65296914998602495</v>
      </c>
      <c r="G960">
        <v>0.15095957601696899</v>
      </c>
      <c r="H960">
        <v>7.53183341099804E-2</v>
      </c>
      <c r="I960">
        <v>5.7244481719419101E-2</v>
      </c>
      <c r="J960">
        <v>4.8119141918967497E-2</v>
      </c>
      <c r="K960">
        <v>3.2440139450276698E-2</v>
      </c>
      <c r="L960">
        <v>1796.1241780555899</v>
      </c>
      <c r="M960">
        <v>33.397617560855899</v>
      </c>
      <c r="N960">
        <v>53.928837335783101</v>
      </c>
      <c r="O960">
        <v>53.588291391386903</v>
      </c>
      <c r="P960">
        <v>-0.14894786199695201</v>
      </c>
      <c r="Q960">
        <v>4.4024338623996302E-2</v>
      </c>
      <c r="R960">
        <v>0.99669495735332603</v>
      </c>
      <c r="S960" t="s">
        <v>5256</v>
      </c>
      <c r="T960" t="s">
        <v>8590</v>
      </c>
      <c r="U960" t="s">
        <v>8590</v>
      </c>
      <c r="V960" t="s">
        <v>8590</v>
      </c>
      <c r="W960">
        <v>22</v>
      </c>
      <c r="X960" t="s">
        <v>9550</v>
      </c>
      <c r="Y960">
        <v>0.48821431402878862</v>
      </c>
      <c r="Z960" t="str">
        <f>HYPERLINK("Melting_Curves/meltCurve_sp_P31150_GDIA_HUMAN_.pdf", "Melting_Curves/meltCurve_sp_P31150_GDIA_HUMAN_.pdf")</f>
        <v>Melting_Curves/meltCurve_sp_P31150_GDIA_HUMAN_.pdf</v>
      </c>
      <c r="AA960" t="s">
        <v>13828</v>
      </c>
      <c r="AB960" t="s">
        <v>18045</v>
      </c>
    </row>
    <row r="961" spans="1:28" x14ac:dyDescent="0.25">
      <c r="A961" t="s">
        <v>965</v>
      </c>
      <c r="B961">
        <v>0.99876560204751996</v>
      </c>
      <c r="C961">
        <v>1.1012789929503399</v>
      </c>
      <c r="D961">
        <v>1.0113719218658701</v>
      </c>
      <c r="E961">
        <v>1.0502997018129501</v>
      </c>
      <c r="F961">
        <v>0.76941028431536096</v>
      </c>
      <c r="G961">
        <v>0.30854287893667498</v>
      </c>
      <c r="H961">
        <v>0.14329964426372599</v>
      </c>
      <c r="I961">
        <v>0.11665239777078</v>
      </c>
      <c r="J961">
        <v>0.101576868411448</v>
      </c>
      <c r="K961">
        <v>6.3301708974041401E-2</v>
      </c>
      <c r="L961">
        <v>1853.4114286863301</v>
      </c>
      <c r="M961">
        <v>33.740434687349499</v>
      </c>
      <c r="N961">
        <v>55.282566297574597</v>
      </c>
      <c r="O961">
        <v>54.739576012383203</v>
      </c>
      <c r="P961">
        <v>-0.13923448518756101</v>
      </c>
      <c r="Q961">
        <v>9.6442524589780004E-2</v>
      </c>
      <c r="R961">
        <v>0.98958728919515504</v>
      </c>
      <c r="S961" t="s">
        <v>5257</v>
      </c>
      <c r="T961" t="s">
        <v>8590</v>
      </c>
      <c r="U961" t="s">
        <v>8590</v>
      </c>
      <c r="V961" t="s">
        <v>8590</v>
      </c>
      <c r="W961">
        <v>20</v>
      </c>
      <c r="X961" t="s">
        <v>9551</v>
      </c>
      <c r="Y961">
        <v>0.55093738905689826</v>
      </c>
      <c r="Z961" t="str">
        <f>HYPERLINK("Melting_Curves/meltCurve_sp_P31153_METK2_HUMAN_.pdf", "Melting_Curves/meltCurve_sp_P31153_METK2_HUMAN_.pdf")</f>
        <v>Melting_Curves/meltCurve_sp_P31153_METK2_HUMAN_.pdf</v>
      </c>
      <c r="AA961" t="s">
        <v>13829</v>
      </c>
      <c r="AB961" t="s">
        <v>18046</v>
      </c>
    </row>
    <row r="962" spans="1:28" x14ac:dyDescent="0.25">
      <c r="A962" t="s">
        <v>966</v>
      </c>
      <c r="B962">
        <v>0.99876560204751996</v>
      </c>
      <c r="C962">
        <v>1.1165991710818399</v>
      </c>
      <c r="D962">
        <v>0.97862657802082398</v>
      </c>
      <c r="E962">
        <v>1.0545075448232999</v>
      </c>
      <c r="F962">
        <v>0.59414783009773298</v>
      </c>
      <c r="G962">
        <v>0.12296147464506001</v>
      </c>
      <c r="H962">
        <v>5.54373744822882E-2</v>
      </c>
      <c r="I962">
        <v>3.8784181890883798E-2</v>
      </c>
      <c r="J962">
        <v>3.5908696575818098E-2</v>
      </c>
      <c r="K962">
        <v>2.9539104518479999E-2</v>
      </c>
      <c r="L962">
        <v>13264.901818668701</v>
      </c>
      <c r="M962">
        <v>250</v>
      </c>
      <c r="N962">
        <v>53.0850775378495</v>
      </c>
      <c r="O962">
        <v>53.056211689375601</v>
      </c>
      <c r="P962">
        <v>-1.11140832128461</v>
      </c>
      <c r="Q962">
        <v>5.6526156251176803E-2</v>
      </c>
      <c r="R962">
        <v>0.98941194719240799</v>
      </c>
      <c r="S962" t="s">
        <v>5258</v>
      </c>
      <c r="T962" t="s">
        <v>8590</v>
      </c>
      <c r="U962" t="s">
        <v>8590</v>
      </c>
      <c r="V962" t="s">
        <v>8590</v>
      </c>
      <c r="W962">
        <v>135</v>
      </c>
      <c r="X962" t="s">
        <v>9552</v>
      </c>
      <c r="Y962">
        <v>0.46732727383208161</v>
      </c>
      <c r="Z962" t="str">
        <f>HYPERLINK("Melting_Curves/meltCurve_sp_P31327_CPSM_HUMAN_.pdf", "Melting_Curves/meltCurve_sp_P31327_CPSM_HUMAN_.pdf")</f>
        <v>Melting_Curves/meltCurve_sp_P31327_CPSM_HUMAN_.pdf</v>
      </c>
      <c r="AA962" t="s">
        <v>13830</v>
      </c>
      <c r="AB962" t="s">
        <v>18047</v>
      </c>
    </row>
    <row r="963" spans="1:28" x14ac:dyDescent="0.25">
      <c r="A963" t="s">
        <v>967</v>
      </c>
      <c r="B963">
        <v>0.99876560204751996</v>
      </c>
      <c r="C963">
        <v>0.915311824818274</v>
      </c>
      <c r="D963">
        <v>0.84774387176912103</v>
      </c>
      <c r="E963">
        <v>0.851660392011929</v>
      </c>
      <c r="F963">
        <v>0.75930817252296501</v>
      </c>
      <c r="G963">
        <v>0.71005213100030395</v>
      </c>
      <c r="H963">
        <v>0.57246209044020802</v>
      </c>
      <c r="I963">
        <v>0.61021258375944598</v>
      </c>
      <c r="J963">
        <v>0.61807399522331197</v>
      </c>
      <c r="K963">
        <v>0.37304271333990002</v>
      </c>
      <c r="L963">
        <v>297.76060307916902</v>
      </c>
      <c r="M963">
        <v>4.3801667447393502</v>
      </c>
      <c r="N963">
        <v>67.979287310841698</v>
      </c>
      <c r="O963">
        <v>57.345274029381699</v>
      </c>
      <c r="P963">
        <v>-1.9278224407305301E-2</v>
      </c>
      <c r="Q963">
        <v>0</v>
      </c>
      <c r="R963">
        <v>0.90927945675037403</v>
      </c>
      <c r="S963" t="s">
        <v>5259</v>
      </c>
      <c r="T963" t="s">
        <v>8590</v>
      </c>
      <c r="U963" t="s">
        <v>8590</v>
      </c>
      <c r="V963" t="s">
        <v>8590</v>
      </c>
      <c r="W963">
        <v>8</v>
      </c>
      <c r="X963" t="s">
        <v>9553</v>
      </c>
      <c r="Y963">
        <v>0.72936744782249607</v>
      </c>
      <c r="Z963" t="str">
        <f>HYPERLINK("Melting_Curves/meltCurve_sp_P31350_RIR2_HUMAN_.pdf", "Melting_Curves/meltCurve_sp_P31350_RIR2_HUMAN_.pdf")</f>
        <v>Melting_Curves/meltCurve_sp_P31350_RIR2_HUMAN_.pdf</v>
      </c>
      <c r="AA963" t="s">
        <v>13831</v>
      </c>
      <c r="AB963" t="s">
        <v>18048</v>
      </c>
    </row>
    <row r="964" spans="1:28" x14ac:dyDescent="0.25">
      <c r="A964" t="s">
        <v>968</v>
      </c>
      <c r="B964">
        <v>0.99876560204751996</v>
      </c>
      <c r="C964">
        <v>1.18156739645109</v>
      </c>
      <c r="D964">
        <v>0.68540330572793795</v>
      </c>
      <c r="E964">
        <v>0.47061097830710003</v>
      </c>
      <c r="F964">
        <v>0.20896053247749599</v>
      </c>
      <c r="G964">
        <v>0.11526992023232301</v>
      </c>
      <c r="H964">
        <v>6.8351590426309602E-2</v>
      </c>
      <c r="I964">
        <v>4.9796357451535399E-2</v>
      </c>
      <c r="J964">
        <v>4.3385184850636901E-2</v>
      </c>
      <c r="K964">
        <v>4.0954101379315898E-2</v>
      </c>
      <c r="L964">
        <v>1018.08283726886</v>
      </c>
      <c r="M964">
        <v>20.755163280967199</v>
      </c>
      <c r="N964">
        <v>49.293907570367999</v>
      </c>
      <c r="O964">
        <v>48.603485128997903</v>
      </c>
      <c r="P964">
        <v>-0.101591843132444</v>
      </c>
      <c r="Q964">
        <v>4.84145042272804E-2</v>
      </c>
      <c r="R964">
        <v>0.95840147019048705</v>
      </c>
      <c r="S964" t="s">
        <v>5260</v>
      </c>
      <c r="T964" t="s">
        <v>8590</v>
      </c>
      <c r="U964" t="s">
        <v>8590</v>
      </c>
      <c r="V964" t="s">
        <v>8590</v>
      </c>
      <c r="W964">
        <v>6</v>
      </c>
      <c r="X964" t="s">
        <v>9554</v>
      </c>
      <c r="Y964">
        <v>0.34789645184051682</v>
      </c>
      <c r="Z964" t="str">
        <f>HYPERLINK("Melting_Curves/meltCurve_sp_P31513_FMO3_HUMAN_.pdf", "Melting_Curves/meltCurve_sp_P31513_FMO3_HUMAN_.pdf")</f>
        <v>Melting_Curves/meltCurve_sp_P31513_FMO3_HUMAN_.pdf</v>
      </c>
      <c r="AA964" t="s">
        <v>13832</v>
      </c>
      <c r="AB964" t="s">
        <v>18049</v>
      </c>
    </row>
    <row r="965" spans="1:28" x14ac:dyDescent="0.25">
      <c r="A965" t="s">
        <v>969</v>
      </c>
      <c r="B965">
        <v>0.99876560204751996</v>
      </c>
      <c r="C965">
        <v>0.99920179628485595</v>
      </c>
      <c r="D965">
        <v>0.92740470193787194</v>
      </c>
      <c r="E965">
        <v>0.86447836306847303</v>
      </c>
      <c r="F965">
        <v>0.72336909491322798</v>
      </c>
      <c r="G965">
        <v>0.22805114589606401</v>
      </c>
      <c r="H965">
        <v>8.9618802953740903E-2</v>
      </c>
      <c r="I965">
        <v>6.8529723733707595E-2</v>
      </c>
      <c r="J965">
        <v>6.3764440360947999E-2</v>
      </c>
      <c r="K965">
        <v>6.2477963262889999E-2</v>
      </c>
      <c r="L965">
        <v>1501.36211438446</v>
      </c>
      <c r="M965">
        <v>27.645291516991101</v>
      </c>
      <c r="N965">
        <v>54.524828564714397</v>
      </c>
      <c r="O965">
        <v>54.026276234351499</v>
      </c>
      <c r="P965">
        <v>-0.121268477351056</v>
      </c>
      <c r="Q965">
        <v>5.2044707874687797E-2</v>
      </c>
      <c r="R965">
        <v>0.99400989158036801</v>
      </c>
      <c r="S965" t="s">
        <v>5261</v>
      </c>
      <c r="T965" t="s">
        <v>8590</v>
      </c>
      <c r="U965" t="s">
        <v>8590</v>
      </c>
      <c r="V965" t="s">
        <v>8590</v>
      </c>
      <c r="W965">
        <v>11</v>
      </c>
      <c r="X965" t="s">
        <v>9555</v>
      </c>
      <c r="Y965">
        <v>0.51145348758541298</v>
      </c>
      <c r="Z965" t="str">
        <f>HYPERLINK("Melting_Curves/meltCurve_sp_P31689_DNJA1_HUMAN_.pdf", "Melting_Curves/meltCurve_sp_P31689_DNJA1_HUMAN_.pdf")</f>
        <v>Melting_Curves/meltCurve_sp_P31689_DNJA1_HUMAN_.pdf</v>
      </c>
      <c r="AA965" t="s">
        <v>13833</v>
      </c>
      <c r="AB965" t="s">
        <v>18050</v>
      </c>
    </row>
    <row r="966" spans="1:28" x14ac:dyDescent="0.25">
      <c r="A966" t="s">
        <v>970</v>
      </c>
      <c r="B966">
        <v>0.99876560204751996</v>
      </c>
      <c r="C966">
        <v>0.93589451303643501</v>
      </c>
      <c r="D966">
        <v>0.90293375165819301</v>
      </c>
      <c r="E966">
        <v>0.76069838081875596</v>
      </c>
      <c r="F966">
        <v>0.38246232569116101</v>
      </c>
      <c r="G966">
        <v>0.13390103850666801</v>
      </c>
      <c r="H966">
        <v>7.4242508027314302E-2</v>
      </c>
      <c r="I966">
        <v>5.4427474399793598E-2</v>
      </c>
      <c r="J966">
        <v>4.4731788838692103E-2</v>
      </c>
      <c r="K966">
        <v>3.7041572092849903E-2</v>
      </c>
      <c r="L966">
        <v>1251.5450175035901</v>
      </c>
      <c r="M966">
        <v>24.118653987534199</v>
      </c>
      <c r="N966">
        <v>52.0709464854773</v>
      </c>
      <c r="O966">
        <v>51.538381119771799</v>
      </c>
      <c r="P966">
        <v>-0.112321479857593</v>
      </c>
      <c r="Q966">
        <v>3.995015831129E-2</v>
      </c>
      <c r="R966">
        <v>0.99478343077276099</v>
      </c>
      <c r="S966" t="s">
        <v>5262</v>
      </c>
      <c r="T966" t="s">
        <v>8590</v>
      </c>
      <c r="U966" t="s">
        <v>8590</v>
      </c>
      <c r="V966" t="s">
        <v>8590</v>
      </c>
      <c r="W966">
        <v>13</v>
      </c>
      <c r="X966" t="s">
        <v>9556</v>
      </c>
      <c r="Y966">
        <v>0.42986720134914091</v>
      </c>
      <c r="Z966" t="str">
        <f>HYPERLINK("Melting_Curves/meltCurve_sp_P31749_AKT1_HUMAN_.pdf", "Melting_Curves/meltCurve_sp_P31749_AKT1_HUMAN_.pdf")</f>
        <v>Melting_Curves/meltCurve_sp_P31749_AKT1_HUMAN_.pdf</v>
      </c>
      <c r="AA966" t="s">
        <v>13834</v>
      </c>
      <c r="AB966" t="s">
        <v>18051</v>
      </c>
    </row>
    <row r="967" spans="1:28" x14ac:dyDescent="0.25">
      <c r="A967" t="s">
        <v>971</v>
      </c>
      <c r="B967">
        <v>0.99876560204751996</v>
      </c>
      <c r="C967">
        <v>0.91900858694764398</v>
      </c>
      <c r="D967">
        <v>0.98408038949791998</v>
      </c>
      <c r="E967">
        <v>0.85870515675557701</v>
      </c>
      <c r="F967">
        <v>0.61973985649684504</v>
      </c>
      <c r="G967">
        <v>0.206825603889642</v>
      </c>
      <c r="H967">
        <v>8.6002545842586806E-2</v>
      </c>
      <c r="I967">
        <v>6.4714638814552694E-2</v>
      </c>
      <c r="J967">
        <v>6.2903821922461897E-2</v>
      </c>
      <c r="K967">
        <v>4.9481776621239801E-2</v>
      </c>
      <c r="L967">
        <v>1385.4536757144799</v>
      </c>
      <c r="M967">
        <v>25.8104396574034</v>
      </c>
      <c r="N967">
        <v>53.889682678975198</v>
      </c>
      <c r="O967">
        <v>53.3589377775494</v>
      </c>
      <c r="P967">
        <v>-0.11510101988759</v>
      </c>
      <c r="Q967">
        <v>4.8200130519350098E-2</v>
      </c>
      <c r="R967">
        <v>0.99557353952509497</v>
      </c>
      <c r="S967" t="s">
        <v>5263</v>
      </c>
      <c r="T967" t="s">
        <v>8590</v>
      </c>
      <c r="U967" t="s">
        <v>8590</v>
      </c>
      <c r="V967" t="s">
        <v>8590</v>
      </c>
      <c r="W967">
        <v>18</v>
      </c>
      <c r="X967" t="s">
        <v>9557</v>
      </c>
      <c r="Y967">
        <v>0.49045158320581872</v>
      </c>
      <c r="Z967" t="str">
        <f>HYPERLINK("Melting_Curves/meltCurve_sp_P31751_AKT2_HUMAN_.pdf", "Melting_Curves/meltCurve_sp_P31751_AKT2_HUMAN_.pdf")</f>
        <v>Melting_Curves/meltCurve_sp_P31751_AKT2_HUMAN_.pdf</v>
      </c>
      <c r="AA967" t="s">
        <v>13835</v>
      </c>
      <c r="AB967" t="s">
        <v>18052</v>
      </c>
    </row>
    <row r="968" spans="1:28" x14ac:dyDescent="0.25">
      <c r="A968" t="s">
        <v>972</v>
      </c>
      <c r="B968">
        <v>0.99876560204751996</v>
      </c>
      <c r="C968">
        <v>0.672591744221814</v>
      </c>
      <c r="D968">
        <v>0.367380827376249</v>
      </c>
      <c r="E968">
        <v>0.24691045062601899</v>
      </c>
      <c r="F968">
        <v>0.14231765102842001</v>
      </c>
      <c r="G968">
        <v>9.2119724647074699E-2</v>
      </c>
      <c r="H968">
        <v>7.5028554829702596E-2</v>
      </c>
      <c r="I968">
        <v>6.3958895690018794E-2</v>
      </c>
      <c r="J968">
        <v>7.3782461810455405E-2</v>
      </c>
      <c r="K968">
        <v>6.3859373165907798E-2</v>
      </c>
      <c r="L968">
        <v>882.63861128069505</v>
      </c>
      <c r="M968">
        <v>19.8212334347743</v>
      </c>
      <c r="N968">
        <v>44.936374964138203</v>
      </c>
      <c r="O968">
        <v>44.084135245545298</v>
      </c>
      <c r="P968">
        <v>-0.103184768984558</v>
      </c>
      <c r="Q968">
        <v>8.2063678778657598E-2</v>
      </c>
      <c r="R968">
        <v>0.98217735602960898</v>
      </c>
      <c r="S968" t="s">
        <v>5264</v>
      </c>
      <c r="T968" t="s">
        <v>8590</v>
      </c>
      <c r="U968" t="s">
        <v>8590</v>
      </c>
      <c r="V968" t="s">
        <v>8590</v>
      </c>
      <c r="W968">
        <v>10</v>
      </c>
      <c r="X968" t="s">
        <v>9558</v>
      </c>
      <c r="Y968">
        <v>0.23749443154991329</v>
      </c>
      <c r="Z968" t="str">
        <f>HYPERLINK("Melting_Curves/meltCurve_sp_P31930_QCR1_HUMAN_.pdf", "Melting_Curves/meltCurve_sp_P31930_QCR1_HUMAN_.pdf")</f>
        <v>Melting_Curves/meltCurve_sp_P31930_QCR1_HUMAN_.pdf</v>
      </c>
      <c r="AA968" t="s">
        <v>13836</v>
      </c>
      <c r="AB968" t="s">
        <v>18053</v>
      </c>
    </row>
    <row r="969" spans="1:28" x14ac:dyDescent="0.25">
      <c r="A969" t="s">
        <v>973</v>
      </c>
      <c r="B969">
        <v>0.99876560204751996</v>
      </c>
      <c r="C969">
        <v>1.0431627375211701</v>
      </c>
      <c r="D969">
        <v>0.97285836317709296</v>
      </c>
      <c r="E969">
        <v>1.0798844188297001</v>
      </c>
      <c r="F969">
        <v>1.0598587727564599</v>
      </c>
      <c r="G969">
        <v>0.93812453839424004</v>
      </c>
      <c r="H969">
        <v>0.68221780904472895</v>
      </c>
      <c r="I969">
        <v>0.16941501691402999</v>
      </c>
      <c r="J969">
        <v>3.5083507700598801E-2</v>
      </c>
      <c r="K969">
        <v>3.3260314874498202E-2</v>
      </c>
      <c r="L969">
        <v>3093.04658911151</v>
      </c>
      <c r="M969">
        <v>50.0045238231029</v>
      </c>
      <c r="N969">
        <v>61.9080331880496</v>
      </c>
      <c r="O969">
        <v>61.756647791684898</v>
      </c>
      <c r="P969">
        <v>-0.19820855226624901</v>
      </c>
      <c r="Q969">
        <v>2.0833764749363201E-2</v>
      </c>
      <c r="R969">
        <v>0.99150058439154398</v>
      </c>
      <c r="S969" t="s">
        <v>5265</v>
      </c>
      <c r="T969" t="s">
        <v>8590</v>
      </c>
      <c r="U969" t="s">
        <v>8590</v>
      </c>
      <c r="V969" t="s">
        <v>8590</v>
      </c>
      <c r="W969">
        <v>15</v>
      </c>
      <c r="X969" t="s">
        <v>9559</v>
      </c>
      <c r="Y969">
        <v>0.73667747310887</v>
      </c>
      <c r="Z969" t="str">
        <f>HYPERLINK("Melting_Curves/meltCurve_sp_P31937_3HIDH_HUMAN_.pdf", "Melting_Curves/meltCurve_sp_P31937_3HIDH_HUMAN_.pdf")</f>
        <v>Melting_Curves/meltCurve_sp_P31937_3HIDH_HUMAN_.pdf</v>
      </c>
      <c r="AA969" t="s">
        <v>13837</v>
      </c>
      <c r="AB969" t="s">
        <v>18054</v>
      </c>
    </row>
    <row r="970" spans="1:28" x14ac:dyDescent="0.25">
      <c r="A970" t="s">
        <v>974</v>
      </c>
      <c r="B970">
        <v>0.99876560204751996</v>
      </c>
      <c r="C970">
        <v>0.92480314535476404</v>
      </c>
      <c r="D970">
        <v>0.60108267273151195</v>
      </c>
      <c r="E970">
        <v>0.28017918150211801</v>
      </c>
      <c r="F970">
        <v>0.136300781613415</v>
      </c>
      <c r="G970">
        <v>7.2515885262629698E-2</v>
      </c>
      <c r="H970">
        <v>5.8360168895131202E-2</v>
      </c>
      <c r="I970">
        <v>3.9076583177486197E-2</v>
      </c>
      <c r="J970">
        <v>3.7652126030855097E-2</v>
      </c>
      <c r="K970">
        <v>3.1203489581718698E-2</v>
      </c>
      <c r="L970">
        <v>974.88442762606496</v>
      </c>
      <c r="M970">
        <v>20.703188945683099</v>
      </c>
      <c r="N970">
        <v>47.2886619972953</v>
      </c>
      <c r="O970">
        <v>46.655884740184298</v>
      </c>
      <c r="P970">
        <v>-0.106286720981942</v>
      </c>
      <c r="Q970">
        <v>4.1933061682237399E-2</v>
      </c>
      <c r="R970">
        <v>0.99712668767216905</v>
      </c>
      <c r="S970" t="s">
        <v>5266</v>
      </c>
      <c r="T970" t="s">
        <v>8590</v>
      </c>
      <c r="U970" t="s">
        <v>8590</v>
      </c>
      <c r="V970" t="s">
        <v>8590</v>
      </c>
      <c r="W970">
        <v>22</v>
      </c>
      <c r="X970" t="s">
        <v>9560</v>
      </c>
      <c r="Y970">
        <v>0.2812630836350386</v>
      </c>
      <c r="Z970" t="str">
        <f>HYPERLINK("Melting_Curves/meltCurve_sp_P31939_PUR9_HUMAN_.pdf", "Melting_Curves/meltCurve_sp_P31939_PUR9_HUMAN_.pdf")</f>
        <v>Melting_Curves/meltCurve_sp_P31939_PUR9_HUMAN_.pdf</v>
      </c>
      <c r="AA970" t="s">
        <v>13838</v>
      </c>
      <c r="AB970" t="s">
        <v>18055</v>
      </c>
    </row>
    <row r="971" spans="1:28" x14ac:dyDescent="0.25">
      <c r="A971" t="s">
        <v>975</v>
      </c>
      <c r="B971">
        <v>0.99876560204751996</v>
      </c>
      <c r="C971">
        <v>0.99940368139221303</v>
      </c>
      <c r="D971">
        <v>1.0681416133950901</v>
      </c>
      <c r="E971">
        <v>0.90704144548712295</v>
      </c>
      <c r="F971">
        <v>0.78845602077239696</v>
      </c>
      <c r="G971">
        <v>0.486914940783365</v>
      </c>
      <c r="H971">
        <v>0.31188950149679101</v>
      </c>
      <c r="I971">
        <v>0.26304372175552698</v>
      </c>
      <c r="J971">
        <v>0.28772524205719502</v>
      </c>
      <c r="K971">
        <v>0.288001346057428</v>
      </c>
      <c r="L971">
        <v>1345.93968679824</v>
      </c>
      <c r="M971">
        <v>24.527355000399002</v>
      </c>
      <c r="N971">
        <v>56.637606485269501</v>
      </c>
      <c r="O971">
        <v>54.514175448491201</v>
      </c>
      <c r="P971">
        <v>-8.2457474228540106E-2</v>
      </c>
      <c r="Q971">
        <v>0.26693512511170497</v>
      </c>
      <c r="R971">
        <v>0.99247707797082196</v>
      </c>
      <c r="S971" t="s">
        <v>5267</v>
      </c>
      <c r="T971" t="s">
        <v>8590</v>
      </c>
      <c r="U971" t="s">
        <v>8590</v>
      </c>
      <c r="V971" t="s">
        <v>8590</v>
      </c>
      <c r="W971">
        <v>8</v>
      </c>
      <c r="X971" t="s">
        <v>9561</v>
      </c>
      <c r="Y971">
        <v>0.63742966262019851</v>
      </c>
      <c r="Z971" t="str">
        <f>HYPERLINK("Melting_Curves/meltCurve_sp_P31942_2_HNRH3_HUMAN_.pdf", "Melting_Curves/meltCurve_sp_P31942_2_HNRH3_HUMAN_.pdf")</f>
        <v>Melting_Curves/meltCurve_sp_P31942_2_HNRH3_HUMAN_.pdf</v>
      </c>
      <c r="AA971" t="s">
        <v>13839</v>
      </c>
      <c r="AB971" t="s">
        <v>18056</v>
      </c>
    </row>
    <row r="972" spans="1:28" x14ac:dyDescent="0.25">
      <c r="A972" t="s">
        <v>976</v>
      </c>
      <c r="B972">
        <v>0.99876560204751996</v>
      </c>
      <c r="C972">
        <v>0.93586768813843701</v>
      </c>
      <c r="D972">
        <v>1.0669548243828499</v>
      </c>
      <c r="E972">
        <v>0.98822500321125395</v>
      </c>
      <c r="F972">
        <v>1.01727714220166</v>
      </c>
      <c r="G972">
        <v>0.79515901715707105</v>
      </c>
      <c r="H972">
        <v>0.26212713989904601</v>
      </c>
      <c r="I972">
        <v>9.2297578232110905E-2</v>
      </c>
      <c r="J972">
        <v>6.3031630623773705E-2</v>
      </c>
      <c r="K972">
        <v>5.3952883054261401E-2</v>
      </c>
      <c r="L972">
        <v>2262.7554095394798</v>
      </c>
      <c r="M972">
        <v>38.374881615778698</v>
      </c>
      <c r="N972">
        <v>59.133735901567697</v>
      </c>
      <c r="O972">
        <v>58.805052560954401</v>
      </c>
      <c r="P972">
        <v>-0.15466036653616</v>
      </c>
      <c r="Q972">
        <v>5.2006062967445303E-2</v>
      </c>
      <c r="R972">
        <v>0.994642648804128</v>
      </c>
      <c r="S972" t="s">
        <v>5268</v>
      </c>
      <c r="T972" t="s">
        <v>8590</v>
      </c>
      <c r="U972" t="s">
        <v>8590</v>
      </c>
      <c r="V972" t="s">
        <v>8590</v>
      </c>
      <c r="W972">
        <v>14</v>
      </c>
      <c r="X972" t="s">
        <v>9562</v>
      </c>
      <c r="Y972">
        <v>0.65531042152663954</v>
      </c>
      <c r="Z972" t="str">
        <f>HYPERLINK("Melting_Curves/meltCurve_sp_P31946_2_1433B_HUMAN_.pdf", "Melting_Curves/meltCurve_sp_P31946_2_1433B_HUMAN_.pdf")</f>
        <v>Melting_Curves/meltCurve_sp_P31946_2_1433B_HUMAN_.pdf</v>
      </c>
      <c r="AA972" t="s">
        <v>13840</v>
      </c>
      <c r="AB972" t="s">
        <v>18057</v>
      </c>
    </row>
    <row r="973" spans="1:28" x14ac:dyDescent="0.25">
      <c r="A973" t="s">
        <v>977</v>
      </c>
      <c r="B973">
        <v>0.99876560204751996</v>
      </c>
      <c r="C973">
        <v>0.94040778127168301</v>
      </c>
      <c r="D973">
        <v>0.99987378687863204</v>
      </c>
      <c r="E973">
        <v>1.0519286609102001</v>
      </c>
      <c r="F973">
        <v>1.2120222147259501</v>
      </c>
      <c r="G973">
        <v>0.87335220518602996</v>
      </c>
      <c r="H973">
        <v>0.35562952160042699</v>
      </c>
      <c r="I973">
        <v>0.13215003830427599</v>
      </c>
      <c r="J973">
        <v>5.4388890218646402E-2</v>
      </c>
      <c r="K973">
        <v>3.6352981669821503E-2</v>
      </c>
      <c r="L973">
        <v>2406.5523154592402</v>
      </c>
      <c r="M973">
        <v>40.169293805762003</v>
      </c>
      <c r="N973">
        <v>60.050861451755303</v>
      </c>
      <c r="O973">
        <v>59.762341086931897</v>
      </c>
      <c r="P973">
        <v>-0.160494955115147</v>
      </c>
      <c r="Q973">
        <v>4.48888744842348E-2</v>
      </c>
      <c r="R973">
        <v>0.97203266630570795</v>
      </c>
      <c r="S973" t="s">
        <v>5269</v>
      </c>
      <c r="T973" t="s">
        <v>8590</v>
      </c>
      <c r="U973" t="s">
        <v>8590</v>
      </c>
      <c r="V973" t="s">
        <v>8590</v>
      </c>
      <c r="W973">
        <v>6</v>
      </c>
      <c r="X973" t="s">
        <v>9563</v>
      </c>
      <c r="Y973">
        <v>0.68248440107442698</v>
      </c>
      <c r="Z973" t="str">
        <f>HYPERLINK("Melting_Curves/meltCurve_sp_P31947_2_1433S_HUMAN_.pdf", "Melting_Curves/meltCurve_sp_P31947_2_1433S_HUMAN_.pdf")</f>
        <v>Melting_Curves/meltCurve_sp_P31947_2_1433S_HUMAN_.pdf</v>
      </c>
      <c r="AA973" t="s">
        <v>13841</v>
      </c>
      <c r="AB973" t="s">
        <v>18058</v>
      </c>
    </row>
    <row r="974" spans="1:28" x14ac:dyDescent="0.25">
      <c r="A974" t="s">
        <v>978</v>
      </c>
      <c r="B974">
        <v>0.99876560204751996</v>
      </c>
      <c r="C974">
        <v>1.0336233696582999</v>
      </c>
      <c r="D974">
        <v>0.98060356703031204</v>
      </c>
      <c r="E974">
        <v>1.0732733787497299</v>
      </c>
      <c r="F974">
        <v>1.01394249982961</v>
      </c>
      <c r="G974">
        <v>0.82015593445546398</v>
      </c>
      <c r="H974">
        <v>0.67630446084795803</v>
      </c>
      <c r="I974">
        <v>0.680713647288549</v>
      </c>
      <c r="J974">
        <v>0.85447821634551202</v>
      </c>
      <c r="K974">
        <v>0.83837073711118704</v>
      </c>
      <c r="L974">
        <v>14185.189804891699</v>
      </c>
      <c r="M974">
        <v>250</v>
      </c>
      <c r="O974">
        <v>56.737128215794797</v>
      </c>
      <c r="P974">
        <v>-0.26165982652754299</v>
      </c>
      <c r="Q974">
        <v>0.76246676637173705</v>
      </c>
      <c r="R974">
        <v>0.81105989974749204</v>
      </c>
      <c r="S974" t="s">
        <v>5270</v>
      </c>
      <c r="T974" t="s">
        <v>8590</v>
      </c>
      <c r="U974" t="s">
        <v>8590</v>
      </c>
      <c r="V974" t="s">
        <v>8590</v>
      </c>
      <c r="W974">
        <v>52</v>
      </c>
      <c r="X974" t="s">
        <v>9564</v>
      </c>
      <c r="Y974">
        <v>0.89503997542294589</v>
      </c>
      <c r="Z974" t="str">
        <f>HYPERLINK("Melting_Curves/meltCurve_sp_P31948_STIP1_HUMAN_.pdf", "Melting_Curves/meltCurve_sp_P31948_STIP1_HUMAN_.pdf")</f>
        <v>Melting_Curves/meltCurve_sp_P31948_STIP1_HUMAN_.pdf</v>
      </c>
      <c r="AA974" t="s">
        <v>13842</v>
      </c>
      <c r="AB974" t="s">
        <v>18059</v>
      </c>
    </row>
    <row r="975" spans="1:28" x14ac:dyDescent="0.25">
      <c r="A975" t="s">
        <v>979</v>
      </c>
      <c r="B975">
        <v>0.99876560204751996</v>
      </c>
      <c r="C975">
        <v>0.950097920094085</v>
      </c>
      <c r="D975">
        <v>0.98548201217616704</v>
      </c>
      <c r="E975">
        <v>0.93101197545120695</v>
      </c>
      <c r="F975">
        <v>0.87623303047541901</v>
      </c>
      <c r="G975">
        <v>0.72947165095487398</v>
      </c>
      <c r="H975">
        <v>0.56913130607713103</v>
      </c>
      <c r="I975">
        <v>0.50508591763904997</v>
      </c>
      <c r="J975">
        <v>0.54622016813768004</v>
      </c>
      <c r="K975">
        <v>0.54724929117982901</v>
      </c>
      <c r="L975">
        <v>1110.7093888153199</v>
      </c>
      <c r="M975">
        <v>19.914948276543001</v>
      </c>
      <c r="O975">
        <v>55.2194228253056</v>
      </c>
      <c r="P975">
        <v>-4.3934984144792598E-2</v>
      </c>
      <c r="Q975">
        <v>0.51273101525813203</v>
      </c>
      <c r="R975">
        <v>0.98219461440522304</v>
      </c>
      <c r="S975" t="s">
        <v>5271</v>
      </c>
      <c r="T975" t="s">
        <v>8590</v>
      </c>
      <c r="U975" t="s">
        <v>8590</v>
      </c>
      <c r="V975" t="s">
        <v>8590</v>
      </c>
      <c r="W975">
        <v>5</v>
      </c>
      <c r="X975" t="s">
        <v>9565</v>
      </c>
      <c r="Y975">
        <v>0.7752853300580973</v>
      </c>
      <c r="Z975" t="str">
        <f>HYPERLINK("Melting_Curves/meltCurve_sp_P31949_S10AB_HUMAN_.pdf", "Melting_Curves/meltCurve_sp_P31949_S10AB_HUMAN_.pdf")</f>
        <v>Melting_Curves/meltCurve_sp_P31949_S10AB_HUMAN_.pdf</v>
      </c>
      <c r="AA975" t="s">
        <v>13843</v>
      </c>
      <c r="AB975" t="s">
        <v>18060</v>
      </c>
    </row>
    <row r="976" spans="1:28" x14ac:dyDescent="0.25">
      <c r="A976" t="s">
        <v>980</v>
      </c>
      <c r="B976">
        <v>0.99876560204751996</v>
      </c>
      <c r="C976">
        <v>1.0212139801601099</v>
      </c>
      <c r="D976">
        <v>1.1348773637991201</v>
      </c>
      <c r="E976">
        <v>1.0556617088346101</v>
      </c>
      <c r="F976">
        <v>1.01164567635964</v>
      </c>
      <c r="G976">
        <v>0.76592964621879001</v>
      </c>
      <c r="H976">
        <v>0.60644409183944104</v>
      </c>
      <c r="I976">
        <v>0.54555899590776602</v>
      </c>
      <c r="J976">
        <v>0.47642551659626098</v>
      </c>
      <c r="K976">
        <v>0.33147212232537798</v>
      </c>
      <c r="L976">
        <v>1126.6008219453099</v>
      </c>
      <c r="M976">
        <v>18.776471153574199</v>
      </c>
      <c r="N976">
        <v>64.080457359309605</v>
      </c>
      <c r="O976">
        <v>59.332519066633701</v>
      </c>
      <c r="P976">
        <v>-5.1528935853391501E-2</v>
      </c>
      <c r="Q976">
        <v>0.348713885612078</v>
      </c>
      <c r="R976">
        <v>0.94681102676589102</v>
      </c>
      <c r="S976" t="s">
        <v>5272</v>
      </c>
      <c r="T976" t="s">
        <v>8590</v>
      </c>
      <c r="U976" t="s">
        <v>8590</v>
      </c>
      <c r="V976" t="s">
        <v>8590</v>
      </c>
      <c r="W976">
        <v>14</v>
      </c>
      <c r="X976" t="s">
        <v>9566</v>
      </c>
      <c r="Y976">
        <v>0.78836149167213654</v>
      </c>
      <c r="Z976" t="str">
        <f>HYPERLINK("Melting_Curves/meltCurve_sp_P32119_PRDX2_HUMAN_.pdf", "Melting_Curves/meltCurve_sp_P32119_PRDX2_HUMAN_.pdf")</f>
        <v>Melting_Curves/meltCurve_sp_P32119_PRDX2_HUMAN_.pdf</v>
      </c>
      <c r="AA976" t="s">
        <v>13844</v>
      </c>
      <c r="AB976" t="s">
        <v>18061</v>
      </c>
    </row>
    <row r="977" spans="1:28" x14ac:dyDescent="0.25">
      <c r="A977" t="s">
        <v>981</v>
      </c>
      <c r="B977">
        <v>0.99876560204751996</v>
      </c>
      <c r="C977">
        <v>0.97204772658142302</v>
      </c>
      <c r="D977">
        <v>0.92633842434922398</v>
      </c>
      <c r="E977">
        <v>0.84234649770868897</v>
      </c>
      <c r="F977">
        <v>0.61991182998931804</v>
      </c>
      <c r="G977">
        <v>0.447243655385896</v>
      </c>
      <c r="H977">
        <v>0.28975458024044698</v>
      </c>
      <c r="I977">
        <v>0.23601099238555001</v>
      </c>
      <c r="J977">
        <v>0.183383049978289</v>
      </c>
      <c r="K977">
        <v>0.10637007671896</v>
      </c>
      <c r="L977">
        <v>694.33175010299499</v>
      </c>
      <c r="M977">
        <v>12.5761092084021</v>
      </c>
      <c r="N977">
        <v>55.934152412840497</v>
      </c>
      <c r="O977">
        <v>53.870187480242599</v>
      </c>
      <c r="P977">
        <v>-5.39913708183846E-2</v>
      </c>
      <c r="Q977">
        <v>7.5090431975919802E-2</v>
      </c>
      <c r="R977">
        <v>0.99597519909212295</v>
      </c>
      <c r="S977" t="s">
        <v>5273</v>
      </c>
      <c r="T977" t="s">
        <v>8590</v>
      </c>
      <c r="U977" t="s">
        <v>8590</v>
      </c>
      <c r="V977" t="s">
        <v>8590</v>
      </c>
      <c r="W977">
        <v>23</v>
      </c>
      <c r="X977" t="s">
        <v>9567</v>
      </c>
      <c r="Y977">
        <v>0.56450039269662267</v>
      </c>
      <c r="Z977" t="str">
        <f>HYPERLINK("Melting_Curves/meltCurve_sp_P32189_1_GLPK_HUMAN_.pdf", "Melting_Curves/meltCurve_sp_P32189_1_GLPK_HUMAN_.pdf")</f>
        <v>Melting_Curves/meltCurve_sp_P32189_1_GLPK_HUMAN_.pdf</v>
      </c>
      <c r="AA977" t="s">
        <v>13845</v>
      </c>
      <c r="AB977" t="s">
        <v>18062</v>
      </c>
    </row>
    <row r="978" spans="1:28" x14ac:dyDescent="0.25">
      <c r="A978" t="s">
        <v>982</v>
      </c>
      <c r="B978">
        <v>0.99876560204751996</v>
      </c>
      <c r="C978">
        <v>1.02420973359664</v>
      </c>
      <c r="D978">
        <v>1.04510208031109</v>
      </c>
      <c r="E978">
        <v>0.96257814063493996</v>
      </c>
      <c r="F978">
        <v>0.95027021945197399</v>
      </c>
      <c r="G978">
        <v>0.71289969817675702</v>
      </c>
      <c r="H978">
        <v>0.65540115393433396</v>
      </c>
      <c r="I978">
        <v>0.69249580838593106</v>
      </c>
      <c r="J978">
        <v>0.88147077027932796</v>
      </c>
      <c r="K978">
        <v>0.78175451263734896</v>
      </c>
      <c r="L978">
        <v>13325.189772244699</v>
      </c>
      <c r="M978">
        <v>250</v>
      </c>
      <c r="O978">
        <v>53.297348195467798</v>
      </c>
      <c r="P978">
        <v>-0.29925927774592798</v>
      </c>
      <c r="Q978">
        <v>0.74480438547848904</v>
      </c>
      <c r="R978">
        <v>0.81746431829681498</v>
      </c>
      <c r="S978" t="s">
        <v>5274</v>
      </c>
      <c r="T978" t="s">
        <v>8590</v>
      </c>
      <c r="U978" t="s">
        <v>8590</v>
      </c>
      <c r="V978" t="s">
        <v>8590</v>
      </c>
      <c r="W978">
        <v>8</v>
      </c>
      <c r="X978" t="s">
        <v>9568</v>
      </c>
      <c r="Y978">
        <v>0.85797143663115782</v>
      </c>
      <c r="Z978" t="str">
        <f>HYPERLINK("Melting_Curves/meltCurve_sp_P32320_CDD_HUMAN_.pdf", "Melting_Curves/meltCurve_sp_P32320_CDD_HUMAN_.pdf")</f>
        <v>Melting_Curves/meltCurve_sp_P32320_CDD_HUMAN_.pdf</v>
      </c>
      <c r="AA978" t="s">
        <v>13846</v>
      </c>
      <c r="AB978" t="s">
        <v>18063</v>
      </c>
    </row>
    <row r="979" spans="1:28" x14ac:dyDescent="0.25">
      <c r="A979" t="s">
        <v>983</v>
      </c>
      <c r="B979">
        <v>0.99876560204751996</v>
      </c>
      <c r="C979">
        <v>0.88815125134015205</v>
      </c>
      <c r="D979">
        <v>1.0187404215904701</v>
      </c>
      <c r="E979">
        <v>0.91023088373247796</v>
      </c>
      <c r="F979">
        <v>0.91012171464927405</v>
      </c>
      <c r="G979">
        <v>0.82610756189170997</v>
      </c>
      <c r="H979">
        <v>0.51984604431963999</v>
      </c>
      <c r="I979">
        <v>0.36731186307219799</v>
      </c>
      <c r="J979">
        <v>0.237768681884129</v>
      </c>
      <c r="K979">
        <v>0.13835542666067999</v>
      </c>
      <c r="L979">
        <v>938.62965771543895</v>
      </c>
      <c r="M979">
        <v>15.2088358869552</v>
      </c>
      <c r="N979">
        <v>61.716075104510097</v>
      </c>
      <c r="O979">
        <v>60.6785762428811</v>
      </c>
      <c r="P979">
        <v>-6.2667447229644901E-2</v>
      </c>
      <c r="Q979">
        <v>0</v>
      </c>
      <c r="R979">
        <v>0.98019676453495796</v>
      </c>
      <c r="S979" t="s">
        <v>5275</v>
      </c>
      <c r="T979" t="s">
        <v>8590</v>
      </c>
      <c r="U979" t="s">
        <v>8590</v>
      </c>
      <c r="V979" t="s">
        <v>8590</v>
      </c>
      <c r="W979">
        <v>5</v>
      </c>
      <c r="X979" t="s">
        <v>9569</v>
      </c>
      <c r="Y979">
        <v>0.72302877204460125</v>
      </c>
      <c r="Z979" t="str">
        <f>HYPERLINK("Melting_Curves/meltCurve_sp_P32321_DCTD_HUMAN_.pdf", "Melting_Curves/meltCurve_sp_P32321_DCTD_HUMAN_.pdf")</f>
        <v>Melting_Curves/meltCurve_sp_P32321_DCTD_HUMAN_.pdf</v>
      </c>
      <c r="AA979" t="s">
        <v>13847</v>
      </c>
      <c r="AB979" t="s">
        <v>18064</v>
      </c>
    </row>
    <row r="980" spans="1:28" x14ac:dyDescent="0.25">
      <c r="A980" t="s">
        <v>984</v>
      </c>
      <c r="B980">
        <v>0.99876560204751996</v>
      </c>
      <c r="C980">
        <v>0.92582428460335098</v>
      </c>
      <c r="D980">
        <v>0.95788805055150505</v>
      </c>
      <c r="E980">
        <v>0.82671669825960303</v>
      </c>
      <c r="F980">
        <v>0.19943651962480299</v>
      </c>
      <c r="G980">
        <v>0.10368098860896</v>
      </c>
      <c r="H980">
        <v>5.9460811376280197E-2</v>
      </c>
      <c r="I980">
        <v>4.7192539965584202E-2</v>
      </c>
      <c r="J980">
        <v>4.3775480181883701E-2</v>
      </c>
      <c r="K980">
        <v>4.2318320929405399E-2</v>
      </c>
      <c r="L980">
        <v>2801.0722327837402</v>
      </c>
      <c r="M980">
        <v>54.550003019012003</v>
      </c>
      <c r="N980">
        <v>51.464581641580402</v>
      </c>
      <c r="O980">
        <v>51.279839862215198</v>
      </c>
      <c r="P980">
        <v>-0.25057460870083198</v>
      </c>
      <c r="Q980">
        <v>5.7787919984518897E-2</v>
      </c>
      <c r="R980">
        <v>0.99459276673666097</v>
      </c>
      <c r="S980" t="s">
        <v>5276</v>
      </c>
      <c r="T980" t="s">
        <v>8590</v>
      </c>
      <c r="U980" t="s">
        <v>8590</v>
      </c>
      <c r="V980" t="s">
        <v>8590</v>
      </c>
      <c r="W980">
        <v>22</v>
      </c>
      <c r="X980" t="s">
        <v>9570</v>
      </c>
      <c r="Y980">
        <v>0.41600893177660059</v>
      </c>
      <c r="Z980" t="str">
        <f>HYPERLINK("Melting_Curves/meltCurve_sp_P32455_GBP1_HUMAN_.pdf", "Melting_Curves/meltCurve_sp_P32455_GBP1_HUMAN_.pdf")</f>
        <v>Melting_Curves/meltCurve_sp_P32455_GBP1_HUMAN_.pdf</v>
      </c>
      <c r="AA980" t="s">
        <v>13848</v>
      </c>
      <c r="AB980" t="s">
        <v>18065</v>
      </c>
    </row>
    <row r="981" spans="1:28" x14ac:dyDescent="0.25">
      <c r="A981" t="s">
        <v>985</v>
      </c>
      <c r="B981">
        <v>0.99876560204751996</v>
      </c>
      <c r="C981">
        <v>0.98984597116482698</v>
      </c>
      <c r="D981">
        <v>0.918748286191307</v>
      </c>
      <c r="E981">
        <v>0.71079363649182403</v>
      </c>
      <c r="F981">
        <v>0.33342976438923999</v>
      </c>
      <c r="G981">
        <v>0.19824301413086501</v>
      </c>
      <c r="H981">
        <v>0.17087750696085099</v>
      </c>
      <c r="I981">
        <v>0.114594738647588</v>
      </c>
      <c r="J981">
        <v>0.113195231267866</v>
      </c>
      <c r="K981">
        <v>6.6773911896484003E-2</v>
      </c>
      <c r="L981">
        <v>1277.13053656837</v>
      </c>
      <c r="M981">
        <v>24.9742753562853</v>
      </c>
      <c r="N981">
        <v>51.657951664126998</v>
      </c>
      <c r="O981">
        <v>50.813347623993003</v>
      </c>
      <c r="P981">
        <v>-0.10921513921921799</v>
      </c>
      <c r="Q981">
        <v>0.111163494791069</v>
      </c>
      <c r="R981">
        <v>0.99428479885148002</v>
      </c>
      <c r="S981" t="s">
        <v>5277</v>
      </c>
      <c r="T981" t="s">
        <v>8590</v>
      </c>
      <c r="U981" t="s">
        <v>8590</v>
      </c>
      <c r="V981" t="s">
        <v>8590</v>
      </c>
      <c r="W981">
        <v>4</v>
      </c>
      <c r="X981" t="s">
        <v>9571</v>
      </c>
      <c r="Y981">
        <v>0.44921218516686978</v>
      </c>
      <c r="Z981" t="str">
        <f>HYPERLINK("Melting_Curves/meltCurve_sp_P32456_GBP2_HUMAN_.pdf", "Melting_Curves/meltCurve_sp_P32456_GBP2_HUMAN_.pdf")</f>
        <v>Melting_Curves/meltCurve_sp_P32456_GBP2_HUMAN_.pdf</v>
      </c>
      <c r="AA981" t="s">
        <v>13849</v>
      </c>
      <c r="AB981" t="s">
        <v>18066</v>
      </c>
    </row>
    <row r="982" spans="1:28" x14ac:dyDescent="0.25">
      <c r="A982" t="s">
        <v>986</v>
      </c>
      <c r="B982">
        <v>0.99876560204751996</v>
      </c>
      <c r="C982">
        <v>0.96928115680807503</v>
      </c>
      <c r="D982">
        <v>0.91085427490136694</v>
      </c>
      <c r="E982">
        <v>0.87712320016477097</v>
      </c>
      <c r="F982">
        <v>0.83357219524408499</v>
      </c>
      <c r="G982">
        <v>0.68022732653099105</v>
      </c>
      <c r="H982">
        <v>0.62635224137798895</v>
      </c>
      <c r="I982">
        <v>0.53653539839429698</v>
      </c>
      <c r="J982">
        <v>0.61328548006085504</v>
      </c>
      <c r="K982">
        <v>0.61771291338877099</v>
      </c>
      <c r="L982">
        <v>710.69459735405496</v>
      </c>
      <c r="M982">
        <v>13.3110573123748</v>
      </c>
      <c r="O982">
        <v>52.229450237550303</v>
      </c>
      <c r="P982">
        <v>-2.7939179593880599E-2</v>
      </c>
      <c r="Q982">
        <v>0.56156371904473801</v>
      </c>
      <c r="R982">
        <v>0.95819618357216596</v>
      </c>
      <c r="S982" t="s">
        <v>5278</v>
      </c>
      <c r="T982" t="s">
        <v>8590</v>
      </c>
      <c r="U982" t="s">
        <v>8590</v>
      </c>
      <c r="V982" t="s">
        <v>8590</v>
      </c>
      <c r="W982">
        <v>4</v>
      </c>
      <c r="X982" t="s">
        <v>9572</v>
      </c>
      <c r="Y982">
        <v>0.76804720232911972</v>
      </c>
      <c r="Z982" t="str">
        <f>HYPERLINK("Melting_Curves/meltCurve_sp_P32519_2_ELF1_HUMAN_.pdf", "Melting_Curves/meltCurve_sp_P32519_2_ELF1_HUMAN_.pdf")</f>
        <v>Melting_Curves/meltCurve_sp_P32519_2_ELF1_HUMAN_.pdf</v>
      </c>
      <c r="AA982" t="s">
        <v>13850</v>
      </c>
      <c r="AB982" t="s">
        <v>18067</v>
      </c>
    </row>
    <row r="983" spans="1:28" x14ac:dyDescent="0.25">
      <c r="A983" t="s">
        <v>987</v>
      </c>
      <c r="B983">
        <v>0.99876560204751996</v>
      </c>
      <c r="C983">
        <v>1.30940381707446</v>
      </c>
      <c r="D983">
        <v>0.78392644076359796</v>
      </c>
      <c r="E983">
        <v>0.95659685705060304</v>
      </c>
      <c r="F983">
        <v>0.51125290104633603</v>
      </c>
      <c r="G983">
        <v>0.197875339822946</v>
      </c>
      <c r="H983">
        <v>0.100229276175915</v>
      </c>
      <c r="I983">
        <v>6.2443446349896202E-2</v>
      </c>
      <c r="J983">
        <v>4.0419326383872599E-2</v>
      </c>
      <c r="K983">
        <v>2.4523203319465E-2</v>
      </c>
      <c r="L983">
        <v>1587.50559387526</v>
      </c>
      <c r="M983">
        <v>29.8337368014829</v>
      </c>
      <c r="N983">
        <v>53.412456016575803</v>
      </c>
      <c r="O983">
        <v>52.974395162384901</v>
      </c>
      <c r="P983">
        <v>-0.13332881080238301</v>
      </c>
      <c r="Q983">
        <v>5.3022960046762199E-2</v>
      </c>
      <c r="R983">
        <v>0.92770627999033495</v>
      </c>
      <c r="S983" t="s">
        <v>5279</v>
      </c>
      <c r="T983" t="s">
        <v>8590</v>
      </c>
      <c r="U983" t="s">
        <v>8590</v>
      </c>
      <c r="V983" t="s">
        <v>8590</v>
      </c>
      <c r="W983">
        <v>32</v>
      </c>
      <c r="X983" t="s">
        <v>9573</v>
      </c>
      <c r="Y983">
        <v>0.47629029876961593</v>
      </c>
      <c r="Z983" t="str">
        <f>HYPERLINK("Melting_Curves/meltCurve_sp_P32754_2_HPPD_HUMAN_.pdf", "Melting_Curves/meltCurve_sp_P32754_2_HPPD_HUMAN_.pdf")</f>
        <v>Melting_Curves/meltCurve_sp_P32754_2_HPPD_HUMAN_.pdf</v>
      </c>
      <c r="AA983" t="s">
        <v>13851</v>
      </c>
      <c r="AB983" t="s">
        <v>18068</v>
      </c>
    </row>
    <row r="984" spans="1:28" x14ac:dyDescent="0.25">
      <c r="A984" t="s">
        <v>988</v>
      </c>
      <c r="B984">
        <v>0.99876560204751996</v>
      </c>
      <c r="C984">
        <v>1.0210518158131101</v>
      </c>
      <c r="D984">
        <v>1.0548760732854101</v>
      </c>
      <c r="E984">
        <v>0.99432360820370602</v>
      </c>
      <c r="F984">
        <v>0.64379106581914103</v>
      </c>
      <c r="G984">
        <v>0.33066397885615301</v>
      </c>
      <c r="H984">
        <v>0.18005095045231101</v>
      </c>
      <c r="I984">
        <v>0.100017055654397</v>
      </c>
      <c r="J984">
        <v>5.84027076894457E-2</v>
      </c>
      <c r="K984">
        <v>4.1743234928109101E-2</v>
      </c>
      <c r="L984">
        <v>1326.0502445007201</v>
      </c>
      <c r="M984">
        <v>24.2544327908636</v>
      </c>
      <c r="N984">
        <v>54.992875568021802</v>
      </c>
      <c r="O984">
        <v>54.304902707702198</v>
      </c>
      <c r="P984">
        <v>-0.104303247014686</v>
      </c>
      <c r="Q984">
        <v>6.5887568316860295E-2</v>
      </c>
      <c r="R984">
        <v>0.98969237557628698</v>
      </c>
      <c r="S984" t="s">
        <v>5280</v>
      </c>
      <c r="T984" t="s">
        <v>8590</v>
      </c>
      <c r="U984" t="s">
        <v>8590</v>
      </c>
      <c r="V984" t="s">
        <v>8590</v>
      </c>
      <c r="W984">
        <v>33</v>
      </c>
      <c r="X984" t="s">
        <v>9574</v>
      </c>
      <c r="Y984">
        <v>0.5318689956405146</v>
      </c>
      <c r="Z984" t="str">
        <f>HYPERLINK("Melting_Curves/meltCurve_sp_P32754_HPPD_HUMAN_.pdf", "Melting_Curves/meltCurve_sp_P32754_HPPD_HUMAN_.pdf")</f>
        <v>Melting_Curves/meltCurve_sp_P32754_HPPD_HUMAN_.pdf</v>
      </c>
      <c r="AA984" t="s">
        <v>13851</v>
      </c>
      <c r="AB984" t="s">
        <v>18069</v>
      </c>
    </row>
    <row r="985" spans="1:28" x14ac:dyDescent="0.25">
      <c r="A985" t="s">
        <v>989</v>
      </c>
      <c r="B985">
        <v>0.99876560204751996</v>
      </c>
      <c r="C985">
        <v>1.05536756838009</v>
      </c>
      <c r="D985">
        <v>0.92998484548006599</v>
      </c>
      <c r="E985">
        <v>1.0684195752790799</v>
      </c>
      <c r="F985">
        <v>0.97968352421615801</v>
      </c>
      <c r="G985">
        <v>0.83290668588253902</v>
      </c>
      <c r="H985">
        <v>0.70453831928919097</v>
      </c>
      <c r="I985">
        <v>0.63782370037347802</v>
      </c>
      <c r="J985">
        <v>0.67422052239004104</v>
      </c>
      <c r="K985">
        <v>0.52480862394230898</v>
      </c>
      <c r="L985">
        <v>1285.93664823637</v>
      </c>
      <c r="M985">
        <v>21.904716758644899</v>
      </c>
      <c r="O985">
        <v>58.223218289689498</v>
      </c>
      <c r="P985">
        <v>-3.9799821620763599E-2</v>
      </c>
      <c r="Q985">
        <v>0.57685443839696404</v>
      </c>
      <c r="R985">
        <v>0.92954178810259502</v>
      </c>
      <c r="S985" t="s">
        <v>5281</v>
      </c>
      <c r="T985" t="s">
        <v>8590</v>
      </c>
      <c r="U985" t="s">
        <v>8590</v>
      </c>
      <c r="V985" t="s">
        <v>8590</v>
      </c>
      <c r="W985">
        <v>22</v>
      </c>
      <c r="X985" t="s">
        <v>9575</v>
      </c>
      <c r="Y985">
        <v>0.84480057282761967</v>
      </c>
      <c r="Z985" t="str">
        <f>HYPERLINK("Melting_Curves/meltCurve_sp_P32929_CGL_HUMAN_.pdf", "Melting_Curves/meltCurve_sp_P32929_CGL_HUMAN_.pdf")</f>
        <v>Melting_Curves/meltCurve_sp_P32929_CGL_HUMAN_.pdf</v>
      </c>
      <c r="AA985" t="s">
        <v>13852</v>
      </c>
      <c r="AB985" t="s">
        <v>18070</v>
      </c>
    </row>
    <row r="986" spans="1:28" x14ac:dyDescent="0.25">
      <c r="A986" t="s">
        <v>990</v>
      </c>
      <c r="B986">
        <v>0.99876560204751996</v>
      </c>
      <c r="C986">
        <v>0.78213704690353003</v>
      </c>
      <c r="D986">
        <v>0.49034165348356401</v>
      </c>
      <c r="E986">
        <v>0.30088355589934901</v>
      </c>
      <c r="F986">
        <v>0.12762690217879699</v>
      </c>
      <c r="G986">
        <v>5.7650146928293698E-2</v>
      </c>
      <c r="H986">
        <v>3.3539098789283399E-2</v>
      </c>
      <c r="I986">
        <v>2.59373479257748E-2</v>
      </c>
      <c r="J986">
        <v>2.4230113135550301E-2</v>
      </c>
      <c r="K986">
        <v>1.96078366454309E-2</v>
      </c>
      <c r="L986">
        <v>749.19012870212202</v>
      </c>
      <c r="M986">
        <v>16.1673974966169</v>
      </c>
      <c r="N986">
        <v>46.446386639438998</v>
      </c>
      <c r="O986">
        <v>45.647994657119902</v>
      </c>
      <c r="P986">
        <v>-8.6934418369313801E-2</v>
      </c>
      <c r="Q986">
        <v>1.8250624568479899E-2</v>
      </c>
      <c r="R986">
        <v>0.99127794181999895</v>
      </c>
      <c r="S986" t="s">
        <v>5282</v>
      </c>
      <c r="T986" t="s">
        <v>8590</v>
      </c>
      <c r="U986" t="s">
        <v>8590</v>
      </c>
      <c r="V986" t="s">
        <v>8590</v>
      </c>
      <c r="W986">
        <v>30</v>
      </c>
      <c r="X986" t="s">
        <v>9576</v>
      </c>
      <c r="Y986">
        <v>0.24951592192935049</v>
      </c>
      <c r="Z986" t="str">
        <f>HYPERLINK("Melting_Curves/meltCurve_sp_P33121_ACSL1_HUMAN_.pdf", "Melting_Curves/meltCurve_sp_P33121_ACSL1_HUMAN_.pdf")</f>
        <v>Melting_Curves/meltCurve_sp_P33121_ACSL1_HUMAN_.pdf</v>
      </c>
      <c r="AA986" t="s">
        <v>13853</v>
      </c>
      <c r="AB986" t="s">
        <v>18071</v>
      </c>
    </row>
    <row r="987" spans="1:28" x14ac:dyDescent="0.25">
      <c r="A987" t="s">
        <v>991</v>
      </c>
      <c r="B987">
        <v>0.99876560204751996</v>
      </c>
      <c r="C987">
        <v>1.0116265236947599</v>
      </c>
      <c r="D987">
        <v>0.837269945541536</v>
      </c>
      <c r="E987">
        <v>0.60573531907453304</v>
      </c>
      <c r="F987">
        <v>0.32296983904167698</v>
      </c>
      <c r="G987">
        <v>0.15223540477214101</v>
      </c>
      <c r="H987">
        <v>8.3626030192941403E-2</v>
      </c>
      <c r="I987">
        <v>6.1251653883674803E-2</v>
      </c>
      <c r="J987">
        <v>6.1027457584852403E-2</v>
      </c>
      <c r="K987">
        <v>4.9835137245270701E-2</v>
      </c>
      <c r="L987">
        <v>949.40139027035104</v>
      </c>
      <c r="M987">
        <v>18.737085372829299</v>
      </c>
      <c r="N987">
        <v>50.928089255590201</v>
      </c>
      <c r="O987">
        <v>50.103066261141102</v>
      </c>
      <c r="P987">
        <v>-8.9256055813993096E-2</v>
      </c>
      <c r="Q987">
        <v>4.5355528364472597E-2</v>
      </c>
      <c r="R987">
        <v>0.99721687261841896</v>
      </c>
      <c r="S987" t="s">
        <v>5283</v>
      </c>
      <c r="T987" t="s">
        <v>8590</v>
      </c>
      <c r="U987" t="s">
        <v>8590</v>
      </c>
      <c r="V987" t="s">
        <v>8590</v>
      </c>
      <c r="W987">
        <v>25</v>
      </c>
      <c r="X987" t="s">
        <v>9577</v>
      </c>
      <c r="Y987">
        <v>0.39987216520873942</v>
      </c>
      <c r="Z987" t="str">
        <f>HYPERLINK("Melting_Curves/meltCurve_sp_P33176_KINH_HUMAN_.pdf", "Melting_Curves/meltCurve_sp_P33176_KINH_HUMAN_.pdf")</f>
        <v>Melting_Curves/meltCurve_sp_P33176_KINH_HUMAN_.pdf</v>
      </c>
      <c r="AA987" t="s">
        <v>13854</v>
      </c>
      <c r="AB987" t="s">
        <v>18072</v>
      </c>
    </row>
    <row r="988" spans="1:28" x14ac:dyDescent="0.25">
      <c r="A988" t="s">
        <v>992</v>
      </c>
      <c r="B988">
        <v>0.99876560204751996</v>
      </c>
      <c r="C988">
        <v>1.0452121707858599</v>
      </c>
      <c r="D988">
        <v>1.0563815090886699</v>
      </c>
      <c r="E988">
        <v>0.91121585325903798</v>
      </c>
      <c r="F988">
        <v>0.73950536215639795</v>
      </c>
      <c r="G988">
        <v>0.59837382381783599</v>
      </c>
      <c r="H988">
        <v>0.56518896500851101</v>
      </c>
      <c r="I988">
        <v>0.45345947801305803</v>
      </c>
      <c r="J988">
        <v>0.63818815238922399</v>
      </c>
      <c r="K988">
        <v>0.50237980303309604</v>
      </c>
      <c r="L988">
        <v>1554.909372994</v>
      </c>
      <c r="M988">
        <v>29.561562136056398</v>
      </c>
      <c r="O988">
        <v>52.360086974966997</v>
      </c>
      <c r="P988">
        <v>-6.4946099711710406E-2</v>
      </c>
      <c r="Q988">
        <v>0.53986735193420299</v>
      </c>
      <c r="R988">
        <v>0.94770630697235703</v>
      </c>
      <c r="S988" t="s">
        <v>5284</v>
      </c>
      <c r="T988" t="s">
        <v>8590</v>
      </c>
      <c r="U988" t="s">
        <v>8590</v>
      </c>
      <c r="V988" t="s">
        <v>8590</v>
      </c>
      <c r="W988">
        <v>11</v>
      </c>
      <c r="X988" t="s">
        <v>9578</v>
      </c>
      <c r="Y988">
        <v>0.73616211197512338</v>
      </c>
      <c r="Z988" t="str">
        <f>HYPERLINK("Melting_Curves/meltCurve_sp_P33240_2_CSTF2_HUMAN_.pdf", "Melting_Curves/meltCurve_sp_P33240_2_CSTF2_HUMAN_.pdf")</f>
        <v>Melting_Curves/meltCurve_sp_P33240_2_CSTF2_HUMAN_.pdf</v>
      </c>
      <c r="AA988" t="s">
        <v>13855</v>
      </c>
      <c r="AB988" t="s">
        <v>18073</v>
      </c>
    </row>
    <row r="989" spans="1:28" x14ac:dyDescent="0.25">
      <c r="A989" t="s">
        <v>993</v>
      </c>
      <c r="B989">
        <v>0.99876560204751996</v>
      </c>
      <c r="C989">
        <v>0.99866465866508902</v>
      </c>
      <c r="D989">
        <v>0.98096268127094799</v>
      </c>
      <c r="E989">
        <v>0.86684542896267702</v>
      </c>
      <c r="F989">
        <v>0.84492556017397802</v>
      </c>
      <c r="G989">
        <v>0.55308183609213402</v>
      </c>
      <c r="H989">
        <v>0.45012846022396902</v>
      </c>
      <c r="I989">
        <v>0.46565060634441102</v>
      </c>
      <c r="J989">
        <v>0.57289596942043297</v>
      </c>
      <c r="K989">
        <v>0.58772645832188397</v>
      </c>
      <c r="L989">
        <v>1599.67702933494</v>
      </c>
      <c r="M989">
        <v>29.894125029898699</v>
      </c>
      <c r="O989">
        <v>53.2736923379139</v>
      </c>
      <c r="P989">
        <v>-6.8327601747717306E-2</v>
      </c>
      <c r="Q989">
        <v>0.51294265216118595</v>
      </c>
      <c r="R989">
        <v>0.94084108976722602</v>
      </c>
      <c r="S989" t="s">
        <v>5285</v>
      </c>
      <c r="T989" t="s">
        <v>8590</v>
      </c>
      <c r="U989" t="s">
        <v>8590</v>
      </c>
      <c r="V989" t="s">
        <v>8590</v>
      </c>
      <c r="W989">
        <v>3</v>
      </c>
      <c r="X989" t="s">
        <v>9579</v>
      </c>
      <c r="Y989">
        <v>0.73550612137190441</v>
      </c>
      <c r="Z989" t="str">
        <f>HYPERLINK("Melting_Curves/meltCurve_sp_P33241_LSP1_HUMAN_.pdf", "Melting_Curves/meltCurve_sp_P33241_LSP1_HUMAN_.pdf")</f>
        <v>Melting_Curves/meltCurve_sp_P33241_LSP1_HUMAN_.pdf</v>
      </c>
      <c r="AA989" t="s">
        <v>13856</v>
      </c>
      <c r="AB989" t="s">
        <v>18074</v>
      </c>
    </row>
    <row r="990" spans="1:28" x14ac:dyDescent="0.25">
      <c r="A990" t="s">
        <v>994</v>
      </c>
      <c r="B990">
        <v>0.99876560204751996</v>
      </c>
      <c r="C990">
        <v>1.0312412547701899</v>
      </c>
      <c r="D990">
        <v>0.85404492840884105</v>
      </c>
      <c r="E990">
        <v>0.73297086376628495</v>
      </c>
      <c r="F990">
        <v>0.51744697576800802</v>
      </c>
      <c r="G990">
        <v>0.23952712881396299</v>
      </c>
      <c r="H990">
        <v>0.17247395042671601</v>
      </c>
      <c r="I990">
        <v>0.10866454095901799</v>
      </c>
      <c r="J990">
        <v>8.7006715591309E-2</v>
      </c>
      <c r="K990">
        <v>8.2219116620626906E-2</v>
      </c>
      <c r="L990">
        <v>844.51150843478797</v>
      </c>
      <c r="M990">
        <v>16.057634557852499</v>
      </c>
      <c r="N990">
        <v>53.022938118211798</v>
      </c>
      <c r="O990">
        <v>51.797138594618303</v>
      </c>
      <c r="P990">
        <v>-7.2772337561368E-2</v>
      </c>
      <c r="Q990">
        <v>6.1105210714450499E-2</v>
      </c>
      <c r="R990">
        <v>0.99367063096337405</v>
      </c>
      <c r="S990" t="s">
        <v>5286</v>
      </c>
      <c r="T990" t="s">
        <v>8590</v>
      </c>
      <c r="U990" t="s">
        <v>8590</v>
      </c>
      <c r="V990" t="s">
        <v>8590</v>
      </c>
      <c r="W990">
        <v>7</v>
      </c>
      <c r="X990" t="s">
        <v>9580</v>
      </c>
      <c r="Y990">
        <v>0.47376664978441152</v>
      </c>
      <c r="Z990" t="str">
        <f>HYPERLINK("Melting_Curves/meltCurve_sp_P33261_CP2CJ_HUMAN_.pdf", "Melting_Curves/meltCurve_sp_P33261_CP2CJ_HUMAN_.pdf")</f>
        <v>Melting_Curves/meltCurve_sp_P33261_CP2CJ_HUMAN_.pdf</v>
      </c>
      <c r="AA990" t="s">
        <v>13857</v>
      </c>
      <c r="AB990" t="s">
        <v>18075</v>
      </c>
    </row>
    <row r="991" spans="1:28" x14ac:dyDescent="0.25">
      <c r="A991" t="s">
        <v>995</v>
      </c>
      <c r="B991">
        <v>0.99876560204751996</v>
      </c>
      <c r="C991">
        <v>0.89271497781654596</v>
      </c>
      <c r="D991">
        <v>1.0352477075544899</v>
      </c>
      <c r="E991">
        <v>0.78123677816978399</v>
      </c>
      <c r="F991">
        <v>0.68948720338678204</v>
      </c>
      <c r="G991">
        <v>0.463899235208248</v>
      </c>
      <c r="H991">
        <v>0.34384772151781401</v>
      </c>
      <c r="I991">
        <v>0.38208125959272699</v>
      </c>
      <c r="J991">
        <v>0.50158239591616305</v>
      </c>
      <c r="K991">
        <v>0.48221559510314599</v>
      </c>
      <c r="L991">
        <v>1261.3725559345301</v>
      </c>
      <c r="M991">
        <v>24.338687157898999</v>
      </c>
      <c r="N991">
        <v>56.162691998804803</v>
      </c>
      <c r="O991">
        <v>51.479758815129102</v>
      </c>
      <c r="P991">
        <v>-6.8121631735850799E-2</v>
      </c>
      <c r="Q991">
        <v>0.42366115194391402</v>
      </c>
      <c r="R991">
        <v>0.93260599821099099</v>
      </c>
      <c r="S991" t="s">
        <v>5287</v>
      </c>
      <c r="T991" t="s">
        <v>8590</v>
      </c>
      <c r="U991" t="s">
        <v>8590</v>
      </c>
      <c r="V991" t="s">
        <v>8590</v>
      </c>
      <c r="W991">
        <v>6</v>
      </c>
      <c r="X991" t="s">
        <v>9581</v>
      </c>
      <c r="Y991">
        <v>0.65638132978738262</v>
      </c>
      <c r="Z991" t="str">
        <f>HYPERLINK("Melting_Curves/meltCurve_sp_P33316_DUT_HUMAN_.pdf", "Melting_Curves/meltCurve_sp_P33316_DUT_HUMAN_.pdf")</f>
        <v>Melting_Curves/meltCurve_sp_P33316_DUT_HUMAN_.pdf</v>
      </c>
      <c r="AA991" t="s">
        <v>13858</v>
      </c>
      <c r="AB991" t="s">
        <v>18076</v>
      </c>
    </row>
    <row r="992" spans="1:28" x14ac:dyDescent="0.25">
      <c r="A992" t="s">
        <v>996</v>
      </c>
      <c r="B992">
        <v>0.99876560204751996</v>
      </c>
      <c r="C992">
        <v>3.2788786815867801</v>
      </c>
      <c r="D992">
        <v>2.76253014549247</v>
      </c>
      <c r="E992">
        <v>2.6258457190900102</v>
      </c>
      <c r="F992">
        <v>2.2504542380181598</v>
      </c>
      <c r="G992">
        <v>0.63283723254465696</v>
      </c>
      <c r="H992">
        <v>0.49683475073845701</v>
      </c>
      <c r="I992">
        <v>0.143706899862794</v>
      </c>
      <c r="J992">
        <v>0</v>
      </c>
      <c r="K992">
        <v>0</v>
      </c>
      <c r="L992">
        <v>2082.6820114625898</v>
      </c>
      <c r="M992">
        <v>34.3933494418797</v>
      </c>
      <c r="N992">
        <v>60.554788746789903</v>
      </c>
      <c r="O992">
        <v>60.351178593461299</v>
      </c>
      <c r="P992">
        <v>-0.142472301197199</v>
      </c>
      <c r="Q992">
        <v>0</v>
      </c>
      <c r="R992">
        <v>0.13751152723735099</v>
      </c>
      <c r="S992" t="s">
        <v>5288</v>
      </c>
      <c r="T992" t="s">
        <v>8590</v>
      </c>
      <c r="U992" t="s">
        <v>8590</v>
      </c>
      <c r="V992" t="s">
        <v>8590</v>
      </c>
      <c r="W992">
        <v>4</v>
      </c>
      <c r="X992" t="s">
        <v>9582</v>
      </c>
      <c r="Y992">
        <v>0.69003090332422734</v>
      </c>
      <c r="Z992" t="str">
        <f>HYPERLINK("Melting_Curves/meltCurve_sp_P33908_MA1A1_HUMAN_.pdf", "Melting_Curves/meltCurve_sp_P33908_MA1A1_HUMAN_.pdf")</f>
        <v>Melting_Curves/meltCurve_sp_P33908_MA1A1_HUMAN_.pdf</v>
      </c>
      <c r="AA992" t="s">
        <v>13859</v>
      </c>
      <c r="AB992" t="s">
        <v>18077</v>
      </c>
    </row>
    <row r="993" spans="1:28" x14ac:dyDescent="0.25">
      <c r="A993" t="s">
        <v>997</v>
      </c>
      <c r="B993">
        <v>0.99876560204751996</v>
      </c>
      <c r="C993">
        <v>1.06759264342507</v>
      </c>
      <c r="D993">
        <v>0.73663667196141602</v>
      </c>
      <c r="E993">
        <v>0.59543485952596498</v>
      </c>
      <c r="F993">
        <v>0.38890275910333399</v>
      </c>
      <c r="G993">
        <v>0.242320116566625</v>
      </c>
      <c r="H993">
        <v>0.112364341176291</v>
      </c>
      <c r="I993">
        <v>5.8943014935056201E-2</v>
      </c>
      <c r="J993">
        <v>6.8749275096085694E-2</v>
      </c>
      <c r="K993">
        <v>7.9748879067933098E-2</v>
      </c>
      <c r="L993">
        <v>732.49861306971604</v>
      </c>
      <c r="M993">
        <v>14.389263029880199</v>
      </c>
      <c r="N993">
        <v>51.218720299647501</v>
      </c>
      <c r="O993">
        <v>49.953003900101997</v>
      </c>
      <c r="P993">
        <v>-6.8993011442680899E-2</v>
      </c>
      <c r="Q993">
        <v>4.20639334348464E-2</v>
      </c>
      <c r="R993">
        <v>0.97957587878865104</v>
      </c>
      <c r="S993" t="s">
        <v>5289</v>
      </c>
      <c r="T993" t="s">
        <v>8590</v>
      </c>
      <c r="U993" t="s">
        <v>8590</v>
      </c>
      <c r="V993" t="s">
        <v>8590</v>
      </c>
      <c r="W993">
        <v>2</v>
      </c>
      <c r="X993" t="s">
        <v>9583</v>
      </c>
      <c r="Y993">
        <v>0.41407356602002132</v>
      </c>
      <c r="Z993" t="str">
        <f>HYPERLINK("Melting_Curves/meltCurve_sp_P33991_MCM4_HUMAN_.pdf", "Melting_Curves/meltCurve_sp_P33991_MCM4_HUMAN_.pdf")</f>
        <v>Melting_Curves/meltCurve_sp_P33991_MCM4_HUMAN_.pdf</v>
      </c>
      <c r="AA993" t="s">
        <v>13860</v>
      </c>
      <c r="AB993" t="s">
        <v>18078</v>
      </c>
    </row>
    <row r="994" spans="1:28" x14ac:dyDescent="0.25">
      <c r="A994" t="s">
        <v>998</v>
      </c>
      <c r="B994">
        <v>0.99876560204751996</v>
      </c>
      <c r="C994">
        <v>1.04782014001329</v>
      </c>
      <c r="D994">
        <v>0.79465982882889596</v>
      </c>
      <c r="E994">
        <v>0.79401787290411996</v>
      </c>
      <c r="F994">
        <v>0.45739130385593901</v>
      </c>
      <c r="G994">
        <v>0.27145693572713703</v>
      </c>
      <c r="H994">
        <v>0.153176265954103</v>
      </c>
      <c r="I994">
        <v>0.13831285908115901</v>
      </c>
      <c r="J994">
        <v>0.11901224646075199</v>
      </c>
      <c r="K994">
        <v>0.106719077496309</v>
      </c>
      <c r="L994">
        <v>875.05751336206902</v>
      </c>
      <c r="M994">
        <v>16.738152814226101</v>
      </c>
      <c r="N994">
        <v>52.9101679574987</v>
      </c>
      <c r="O994">
        <v>51.550078445420603</v>
      </c>
      <c r="P994">
        <v>-7.3835109895087306E-2</v>
      </c>
      <c r="Q994">
        <v>9.0471368910751193E-2</v>
      </c>
      <c r="R994">
        <v>0.97868664445786802</v>
      </c>
      <c r="S994" t="s">
        <v>5290</v>
      </c>
      <c r="T994" t="s">
        <v>8590</v>
      </c>
      <c r="U994" t="s">
        <v>8590</v>
      </c>
      <c r="V994" t="s">
        <v>8590</v>
      </c>
      <c r="W994">
        <v>7</v>
      </c>
      <c r="X994" t="s">
        <v>9584</v>
      </c>
      <c r="Y994">
        <v>0.47973432005132471</v>
      </c>
      <c r="Z994" t="str">
        <f>HYPERLINK("Melting_Curves/meltCurve_sp_P33992_MCM5_HUMAN_.pdf", "Melting_Curves/meltCurve_sp_P33992_MCM5_HUMAN_.pdf")</f>
        <v>Melting_Curves/meltCurve_sp_P33992_MCM5_HUMAN_.pdf</v>
      </c>
      <c r="AA994" t="s">
        <v>13861</v>
      </c>
      <c r="AB994" t="s">
        <v>18079</v>
      </c>
    </row>
    <row r="995" spans="1:28" x14ac:dyDescent="0.25">
      <c r="A995" t="s">
        <v>999</v>
      </c>
      <c r="B995">
        <v>0.99876560204751996</v>
      </c>
      <c r="C995">
        <v>0.93850098777311097</v>
      </c>
      <c r="D995">
        <v>0.70626395811222897</v>
      </c>
      <c r="E995">
        <v>0.57444937792079098</v>
      </c>
      <c r="F995">
        <v>0.437904493829399</v>
      </c>
      <c r="G995">
        <v>0.25118545667098002</v>
      </c>
      <c r="H995">
        <v>0.17030355129564501</v>
      </c>
      <c r="I995">
        <v>0.15953866724038401</v>
      </c>
      <c r="J995">
        <v>0.158655597842428</v>
      </c>
      <c r="K995">
        <v>0.12511156886376301</v>
      </c>
      <c r="L995">
        <v>614.51515998346599</v>
      </c>
      <c r="M995">
        <v>12.258411533374</v>
      </c>
      <c r="N995">
        <v>51.068094120551102</v>
      </c>
      <c r="O995">
        <v>48.852001298075002</v>
      </c>
      <c r="P995">
        <v>-5.6421098406333602E-2</v>
      </c>
      <c r="Q995">
        <v>0.100806209334</v>
      </c>
      <c r="R995">
        <v>0.99000436315014595</v>
      </c>
      <c r="S995" t="s">
        <v>5291</v>
      </c>
      <c r="T995" t="s">
        <v>8590</v>
      </c>
      <c r="U995" t="s">
        <v>8590</v>
      </c>
      <c r="V995" t="s">
        <v>8590</v>
      </c>
      <c r="W995">
        <v>4</v>
      </c>
      <c r="X995" t="s">
        <v>9585</v>
      </c>
      <c r="Y995">
        <v>0.43431821831065343</v>
      </c>
      <c r="Z995" t="str">
        <f>HYPERLINK("Melting_Curves/meltCurve_sp_P33993_MCM7_HUMAN_.pdf", "Melting_Curves/meltCurve_sp_P33993_MCM7_HUMAN_.pdf")</f>
        <v>Melting_Curves/meltCurve_sp_P33993_MCM7_HUMAN_.pdf</v>
      </c>
      <c r="AA995" t="s">
        <v>13862</v>
      </c>
      <c r="AB995" t="s">
        <v>18080</v>
      </c>
    </row>
    <row r="996" spans="1:28" x14ac:dyDescent="0.25">
      <c r="A996" t="s">
        <v>1000</v>
      </c>
      <c r="B996">
        <v>0.99876560204751996</v>
      </c>
      <c r="C996">
        <v>1.0012130967781101</v>
      </c>
      <c r="D996">
        <v>0.94703954721669104</v>
      </c>
      <c r="E996">
        <v>0.97993090879974898</v>
      </c>
      <c r="F996">
        <v>0.93110243876849996</v>
      </c>
      <c r="G996">
        <v>0.793668308352803</v>
      </c>
      <c r="H996">
        <v>0.67990805889060002</v>
      </c>
      <c r="I996">
        <v>0.64880943210073205</v>
      </c>
      <c r="J996">
        <v>0.67447981862903295</v>
      </c>
      <c r="K996">
        <v>0.50905957978043304</v>
      </c>
      <c r="L996">
        <v>729.19834104595702</v>
      </c>
      <c r="M996">
        <v>12.2597407800393</v>
      </c>
      <c r="O996">
        <v>57.962972573138103</v>
      </c>
      <c r="P996">
        <v>-2.67333524860657E-2</v>
      </c>
      <c r="Q996">
        <v>0.49454036666893503</v>
      </c>
      <c r="R996">
        <v>0.95434069863211801</v>
      </c>
      <c r="S996" t="s">
        <v>5292</v>
      </c>
      <c r="T996" t="s">
        <v>8590</v>
      </c>
      <c r="U996" t="s">
        <v>8590</v>
      </c>
      <c r="V996" t="s">
        <v>8590</v>
      </c>
      <c r="W996">
        <v>14</v>
      </c>
      <c r="X996" t="s">
        <v>9586</v>
      </c>
      <c r="Y996">
        <v>0.82568744374082348</v>
      </c>
      <c r="Z996" t="str">
        <f>HYPERLINK("Melting_Curves/meltCurve_sp_P34059_GALNS_HUMAN_.pdf", "Melting_Curves/meltCurve_sp_P34059_GALNS_HUMAN_.pdf")</f>
        <v>Melting_Curves/meltCurve_sp_P34059_GALNS_HUMAN_.pdf</v>
      </c>
      <c r="AA996" t="s">
        <v>13863</v>
      </c>
      <c r="AB996" t="s">
        <v>18081</v>
      </c>
    </row>
    <row r="997" spans="1:28" x14ac:dyDescent="0.25">
      <c r="A997" t="s">
        <v>1001</v>
      </c>
      <c r="B997">
        <v>0.99876560204751996</v>
      </c>
      <c r="C997">
        <v>0.97128427396711503</v>
      </c>
      <c r="D997">
        <v>0.91439007826640495</v>
      </c>
      <c r="E997">
        <v>0.91504337282794701</v>
      </c>
      <c r="F997">
        <v>0.74395304741299495</v>
      </c>
      <c r="G997">
        <v>0.66087425073237605</v>
      </c>
      <c r="H997">
        <v>0.56366979330395595</v>
      </c>
      <c r="I997">
        <v>0.64075063969776302</v>
      </c>
      <c r="J997">
        <v>0.728294808410481</v>
      </c>
      <c r="K997">
        <v>0.52994202274400604</v>
      </c>
      <c r="L997">
        <v>1080.8393748747501</v>
      </c>
      <c r="M997">
        <v>20.8662963684631</v>
      </c>
      <c r="O997">
        <v>51.329627094564998</v>
      </c>
      <c r="P997">
        <v>-3.9737023091650898E-2</v>
      </c>
      <c r="Q997">
        <v>0.60900959189827197</v>
      </c>
      <c r="R997">
        <v>0.88611880897336204</v>
      </c>
      <c r="S997" t="s">
        <v>5293</v>
      </c>
      <c r="T997" t="s">
        <v>8590</v>
      </c>
      <c r="U997" t="s">
        <v>8590</v>
      </c>
      <c r="V997" t="s">
        <v>8590</v>
      </c>
      <c r="W997">
        <v>3</v>
      </c>
      <c r="X997" t="s">
        <v>9587</v>
      </c>
      <c r="Y997">
        <v>0.7677896230499528</v>
      </c>
      <c r="Z997" t="str">
        <f>HYPERLINK("Melting_Curves/meltCurve_sp_P34096_RNAS4_HUMAN_.pdf", "Melting_Curves/meltCurve_sp_P34096_RNAS4_HUMAN_.pdf")</f>
        <v>Melting_Curves/meltCurve_sp_P34096_RNAS4_HUMAN_.pdf</v>
      </c>
      <c r="AA997" t="s">
        <v>13864</v>
      </c>
      <c r="AB997" t="s">
        <v>18082</v>
      </c>
    </row>
    <row r="998" spans="1:28" x14ac:dyDescent="0.25">
      <c r="A998" t="s">
        <v>1002</v>
      </c>
      <c r="B998">
        <v>0.99876560204751996</v>
      </c>
      <c r="C998">
        <v>1.0588017111850601</v>
      </c>
      <c r="D998">
        <v>0.99503828857106802</v>
      </c>
      <c r="E998">
        <v>1.1035529357604901</v>
      </c>
      <c r="F998">
        <v>1.02220734844698</v>
      </c>
      <c r="G998">
        <v>0.84203257545439703</v>
      </c>
      <c r="H998">
        <v>0.45099283415054398</v>
      </c>
      <c r="I998">
        <v>0.19234870659058001</v>
      </c>
      <c r="J998">
        <v>0.13747236311096001</v>
      </c>
      <c r="K998">
        <v>0.11977320233486299</v>
      </c>
      <c r="L998">
        <v>1939.01118961059</v>
      </c>
      <c r="M998">
        <v>32.322254201151402</v>
      </c>
      <c r="N998">
        <v>60.432776216248698</v>
      </c>
      <c r="O998">
        <v>59.761746039871298</v>
      </c>
      <c r="P998">
        <v>-0.120957077176216</v>
      </c>
      <c r="Q998">
        <v>0.105437305037556</v>
      </c>
      <c r="R998">
        <v>0.98936107593487499</v>
      </c>
      <c r="S998" t="s">
        <v>5294</v>
      </c>
      <c r="T998" t="s">
        <v>8590</v>
      </c>
      <c r="U998" t="s">
        <v>8590</v>
      </c>
      <c r="V998" t="s">
        <v>8590</v>
      </c>
      <c r="W998">
        <v>38</v>
      </c>
      <c r="X998" t="s">
        <v>9588</v>
      </c>
      <c r="Y998">
        <v>0.70642592853291053</v>
      </c>
      <c r="Z998" t="str">
        <f>HYPERLINK("Melting_Curves/meltCurve_sp_P34896_GLYC_HUMAN_.pdf", "Melting_Curves/meltCurve_sp_P34896_GLYC_HUMAN_.pdf")</f>
        <v>Melting_Curves/meltCurve_sp_P34896_GLYC_HUMAN_.pdf</v>
      </c>
      <c r="AA998" t="s">
        <v>13865</v>
      </c>
      <c r="AB998" t="s">
        <v>18083</v>
      </c>
    </row>
    <row r="999" spans="1:28" x14ac:dyDescent="0.25">
      <c r="A999" t="s">
        <v>1003</v>
      </c>
      <c r="B999">
        <v>0.99876560204751996</v>
      </c>
      <c r="C999">
        <v>1.0360314808561999</v>
      </c>
      <c r="D999">
        <v>0.987955166039027</v>
      </c>
      <c r="E999">
        <v>1.0280107335902899</v>
      </c>
      <c r="F999">
        <v>0.90923563535492902</v>
      </c>
      <c r="G999">
        <v>0.70703033686389505</v>
      </c>
      <c r="H999">
        <v>0.36552944432856499</v>
      </c>
      <c r="I999">
        <v>0.14452506634631301</v>
      </c>
      <c r="J999">
        <v>5.29641938411793E-2</v>
      </c>
      <c r="K999">
        <v>4.1968911151752303E-2</v>
      </c>
      <c r="L999">
        <v>1333.90948300385</v>
      </c>
      <c r="M999">
        <v>22.503781274308899</v>
      </c>
      <c r="N999">
        <v>59.274905888629497</v>
      </c>
      <c r="O999">
        <v>58.812777756180601</v>
      </c>
      <c r="P999">
        <v>-9.5660489964049994E-2</v>
      </c>
      <c r="Q999">
        <v>0</v>
      </c>
      <c r="R999">
        <v>0.99700411754734197</v>
      </c>
      <c r="S999" t="s">
        <v>5295</v>
      </c>
      <c r="T999" t="s">
        <v>8590</v>
      </c>
      <c r="U999" t="s">
        <v>8590</v>
      </c>
      <c r="V999" t="s">
        <v>8590</v>
      </c>
      <c r="W999">
        <v>38</v>
      </c>
      <c r="X999" t="s">
        <v>9589</v>
      </c>
      <c r="Y999">
        <v>0.65138483695197158</v>
      </c>
      <c r="Z999" t="str">
        <f>HYPERLINK("Melting_Curves/meltCurve_sp_P34897_3_GLYM_HUMAN_.pdf", "Melting_Curves/meltCurve_sp_P34897_3_GLYM_HUMAN_.pdf")</f>
        <v>Melting_Curves/meltCurve_sp_P34897_3_GLYM_HUMAN_.pdf</v>
      </c>
      <c r="AA999" t="s">
        <v>13866</v>
      </c>
      <c r="AB999" t="s">
        <v>18084</v>
      </c>
    </row>
    <row r="1000" spans="1:28" x14ac:dyDescent="0.25">
      <c r="A1000" t="s">
        <v>1004</v>
      </c>
      <c r="B1000">
        <v>0.99876560204751996</v>
      </c>
      <c r="C1000">
        <v>1.0064941056555099</v>
      </c>
      <c r="D1000">
        <v>0.96139585078625001</v>
      </c>
      <c r="E1000">
        <v>0.99838784861692398</v>
      </c>
      <c r="F1000">
        <v>0.93967675496152103</v>
      </c>
      <c r="G1000">
        <v>0.80869882126614201</v>
      </c>
      <c r="H1000">
        <v>0.39484305018348897</v>
      </c>
      <c r="I1000">
        <v>0.109152793926253</v>
      </c>
      <c r="J1000">
        <v>6.7132436278977706E-2</v>
      </c>
      <c r="K1000">
        <v>5.8434649468516002E-2</v>
      </c>
      <c r="L1000">
        <v>1758.1909071580999</v>
      </c>
      <c r="M1000">
        <v>29.418866970639598</v>
      </c>
      <c r="N1000">
        <v>59.873954869523601</v>
      </c>
      <c r="O1000">
        <v>59.489953480513499</v>
      </c>
      <c r="P1000">
        <v>-0.120381119533538</v>
      </c>
      <c r="Q1000">
        <v>2.6282464554208702E-2</v>
      </c>
      <c r="R1000">
        <v>0.99669206001702604</v>
      </c>
      <c r="S1000" t="s">
        <v>5296</v>
      </c>
      <c r="T1000" t="s">
        <v>8590</v>
      </c>
      <c r="U1000" t="s">
        <v>8590</v>
      </c>
      <c r="V1000" t="s">
        <v>8590</v>
      </c>
      <c r="W1000">
        <v>37</v>
      </c>
      <c r="X1000" t="s">
        <v>9590</v>
      </c>
      <c r="Y1000">
        <v>0.67393729444678663</v>
      </c>
      <c r="Z1000" t="str">
        <f>HYPERLINK("Melting_Curves/meltCurve_sp_P34913_HYES_HUMAN_.pdf", "Melting_Curves/meltCurve_sp_P34913_HYES_HUMAN_.pdf")</f>
        <v>Melting_Curves/meltCurve_sp_P34913_HYES_HUMAN_.pdf</v>
      </c>
      <c r="AA1000" t="s">
        <v>13867</v>
      </c>
      <c r="AB1000" t="s">
        <v>18085</v>
      </c>
    </row>
    <row r="1001" spans="1:28" x14ac:dyDescent="0.25">
      <c r="A1001" t="s">
        <v>1005</v>
      </c>
      <c r="B1001">
        <v>0.99876560204751996</v>
      </c>
      <c r="C1001">
        <v>1.0611875066305601</v>
      </c>
      <c r="D1001">
        <v>0.94075125487684297</v>
      </c>
      <c r="E1001">
        <v>0.97518108414345595</v>
      </c>
      <c r="F1001">
        <v>0.31547040537651699</v>
      </c>
      <c r="G1001">
        <v>0.14937601901936101</v>
      </c>
      <c r="H1001">
        <v>8.7975193521814501E-2</v>
      </c>
      <c r="I1001">
        <v>7.7249780738278401E-2</v>
      </c>
      <c r="J1001">
        <v>7.0724071101042202E-2</v>
      </c>
      <c r="K1001">
        <v>6.2070713713337701E-2</v>
      </c>
      <c r="L1001">
        <v>3995.8793903172</v>
      </c>
      <c r="M1001">
        <v>76.493309432923994</v>
      </c>
      <c r="N1001">
        <v>52.372495021186502</v>
      </c>
      <c r="O1001">
        <v>52.202617715274798</v>
      </c>
      <c r="P1001">
        <v>-0.333724866781475</v>
      </c>
      <c r="Q1001">
        <v>8.9002244309512701E-2</v>
      </c>
      <c r="R1001">
        <v>0.99358026001783795</v>
      </c>
      <c r="S1001" t="s">
        <v>5297</v>
      </c>
      <c r="T1001" t="s">
        <v>8590</v>
      </c>
      <c r="U1001" t="s">
        <v>8590</v>
      </c>
      <c r="V1001" t="s">
        <v>8590</v>
      </c>
      <c r="W1001">
        <v>47</v>
      </c>
      <c r="X1001" t="s">
        <v>9591</v>
      </c>
      <c r="Y1001">
        <v>0.46153130448893848</v>
      </c>
      <c r="Z1001" t="str">
        <f>HYPERLINK("Melting_Curves/meltCurve_sp_P34932_HSP74_HUMAN_.pdf", "Melting_Curves/meltCurve_sp_P34932_HSP74_HUMAN_.pdf")</f>
        <v>Melting_Curves/meltCurve_sp_P34932_HSP74_HUMAN_.pdf</v>
      </c>
      <c r="AA1001" t="s">
        <v>13868</v>
      </c>
      <c r="AB1001" t="s">
        <v>18086</v>
      </c>
    </row>
    <row r="1002" spans="1:28" x14ac:dyDescent="0.25">
      <c r="A1002" t="s">
        <v>1006</v>
      </c>
      <c r="B1002">
        <v>0.99876560204751996</v>
      </c>
      <c r="C1002">
        <v>1.14743424188708</v>
      </c>
      <c r="D1002">
        <v>1.0296140131503899</v>
      </c>
      <c r="E1002">
        <v>1.17918303763766</v>
      </c>
      <c r="F1002">
        <v>0.786412405835614</v>
      </c>
      <c r="G1002">
        <v>0.55831568286086997</v>
      </c>
      <c r="H1002">
        <v>0.43549113500168002</v>
      </c>
      <c r="I1002">
        <v>0.37936859312661197</v>
      </c>
      <c r="J1002">
        <v>0.43429678180712</v>
      </c>
      <c r="K1002">
        <v>0.40313040602736899</v>
      </c>
      <c r="L1002">
        <v>1984.04007938525</v>
      </c>
      <c r="M1002">
        <v>36.345064813199301</v>
      </c>
      <c r="N1002">
        <v>57.382710521959702</v>
      </c>
      <c r="O1002">
        <v>54.424511925737498</v>
      </c>
      <c r="P1002">
        <v>-9.7702087400399706E-2</v>
      </c>
      <c r="Q1002">
        <v>0.41479018485434799</v>
      </c>
      <c r="R1002">
        <v>0.92775171335110995</v>
      </c>
      <c r="S1002" t="s">
        <v>5298</v>
      </c>
      <c r="T1002" t="s">
        <v>8590</v>
      </c>
      <c r="U1002" t="s">
        <v>8590</v>
      </c>
      <c r="V1002" t="s">
        <v>8590</v>
      </c>
      <c r="W1002">
        <v>1</v>
      </c>
      <c r="X1002" t="s">
        <v>9592</v>
      </c>
      <c r="Y1002">
        <v>0.70204046030135414</v>
      </c>
      <c r="Z1002" t="str">
        <f>HYPERLINK("Melting_Curves/meltCurve_sp_P35030_2_TRY3_HUMAN_.pdf", "Melting_Curves/meltCurve_sp_P35030_2_TRY3_HUMAN_.pdf")</f>
        <v>Melting_Curves/meltCurve_sp_P35030_2_TRY3_HUMAN_.pdf</v>
      </c>
      <c r="AA1002" t="s">
        <v>13869</v>
      </c>
      <c r="AB1002" t="s">
        <v>18087</v>
      </c>
    </row>
    <row r="1003" spans="1:28" x14ac:dyDescent="0.25">
      <c r="A1003" t="s">
        <v>1007</v>
      </c>
      <c r="B1003">
        <v>0.99876560204751996</v>
      </c>
      <c r="C1003">
        <v>0.942993334349429</v>
      </c>
      <c r="D1003">
        <v>0.98947543607999</v>
      </c>
      <c r="E1003">
        <v>0.81196538525004602</v>
      </c>
      <c r="F1003">
        <v>0.61922185008164898</v>
      </c>
      <c r="G1003">
        <v>0.40427335240636397</v>
      </c>
      <c r="H1003">
        <v>0.209300838189728</v>
      </c>
      <c r="I1003">
        <v>8.1983196366223796E-2</v>
      </c>
      <c r="J1003">
        <v>3.8005577794238403E-2</v>
      </c>
      <c r="K1003">
        <v>2.15395465524502E-2</v>
      </c>
      <c r="L1003">
        <v>832.241983066682</v>
      </c>
      <c r="M1003">
        <v>15.1141573589071</v>
      </c>
      <c r="N1003">
        <v>55.063728542269097</v>
      </c>
      <c r="O1003">
        <v>54.126787925521697</v>
      </c>
      <c r="P1003">
        <v>-6.9815897420474296E-2</v>
      </c>
      <c r="Q1003">
        <v>0</v>
      </c>
      <c r="R1003">
        <v>0.99534994630588103</v>
      </c>
      <c r="S1003" t="s">
        <v>5299</v>
      </c>
      <c r="T1003" t="s">
        <v>8590</v>
      </c>
      <c r="U1003" t="s">
        <v>8590</v>
      </c>
      <c r="V1003" t="s">
        <v>8590</v>
      </c>
      <c r="W1003">
        <v>3</v>
      </c>
      <c r="X1003" t="s">
        <v>9593</v>
      </c>
      <c r="Y1003">
        <v>0.5211656868352289</v>
      </c>
      <c r="Z1003" t="str">
        <f>HYPERLINK("Melting_Curves/meltCurve_sp_P35218_CAH5A_HUMAN_.pdf", "Melting_Curves/meltCurve_sp_P35218_CAH5A_HUMAN_.pdf")</f>
        <v>Melting_Curves/meltCurve_sp_P35218_CAH5A_HUMAN_.pdf</v>
      </c>
      <c r="AA1003" t="s">
        <v>13870</v>
      </c>
      <c r="AB1003" t="s">
        <v>18088</v>
      </c>
    </row>
    <row r="1004" spans="1:28" x14ac:dyDescent="0.25">
      <c r="A1004" t="s">
        <v>1008</v>
      </c>
      <c r="B1004">
        <v>0.99876560204751996</v>
      </c>
      <c r="C1004">
        <v>1.04749848516411</v>
      </c>
      <c r="D1004">
        <v>0.96083955084602501</v>
      </c>
      <c r="E1004">
        <v>0.97625955104525297</v>
      </c>
      <c r="F1004">
        <v>0.87574065411968105</v>
      </c>
      <c r="G1004">
        <v>0.61923584862172398</v>
      </c>
      <c r="H1004">
        <v>0.22937631132109099</v>
      </c>
      <c r="I1004">
        <v>0.118920564054392</v>
      </c>
      <c r="J1004">
        <v>8.5280253933659997E-2</v>
      </c>
      <c r="K1004">
        <v>6.8362647715280597E-2</v>
      </c>
      <c r="L1004">
        <v>1415.8347683730101</v>
      </c>
      <c r="M1004">
        <v>24.538209576683801</v>
      </c>
      <c r="N1004">
        <v>57.9385298014356</v>
      </c>
      <c r="O1004">
        <v>57.320073692999301</v>
      </c>
      <c r="P1004">
        <v>-0.101865832485141</v>
      </c>
      <c r="Q1004">
        <v>4.8199095964857303E-2</v>
      </c>
      <c r="R1004">
        <v>0.99662507480144502</v>
      </c>
      <c r="S1004" t="s">
        <v>5300</v>
      </c>
      <c r="T1004" t="s">
        <v>8590</v>
      </c>
      <c r="U1004" t="s">
        <v>8590</v>
      </c>
      <c r="V1004" t="s">
        <v>8590</v>
      </c>
      <c r="W1004">
        <v>25</v>
      </c>
      <c r="X1004" t="s">
        <v>9594</v>
      </c>
      <c r="Y1004">
        <v>0.61834654465017991</v>
      </c>
      <c r="Z1004" t="str">
        <f>HYPERLINK("Melting_Curves/meltCurve_sp_P35221_CTNA1_HUMAN_.pdf", "Melting_Curves/meltCurve_sp_P35221_CTNA1_HUMAN_.pdf")</f>
        <v>Melting_Curves/meltCurve_sp_P35221_CTNA1_HUMAN_.pdf</v>
      </c>
      <c r="AA1004" t="s">
        <v>13871</v>
      </c>
      <c r="AB1004" t="s">
        <v>18089</v>
      </c>
    </row>
    <row r="1005" spans="1:28" x14ac:dyDescent="0.25">
      <c r="A1005" t="s">
        <v>1009</v>
      </c>
      <c r="B1005">
        <v>0.99876560204751996</v>
      </c>
      <c r="C1005">
        <v>1.1136201973026101</v>
      </c>
      <c r="D1005">
        <v>0.81489634651331</v>
      </c>
      <c r="E1005">
        <v>0.68650523183443501</v>
      </c>
      <c r="F1005">
        <v>0.30831927467174602</v>
      </c>
      <c r="G1005">
        <v>0.11830318758384201</v>
      </c>
      <c r="H1005">
        <v>0.104648582732753</v>
      </c>
      <c r="I1005">
        <v>5.5232168233203101E-2</v>
      </c>
      <c r="J1005">
        <v>6.34651835819868E-2</v>
      </c>
      <c r="K1005">
        <v>3.40032037153193E-2</v>
      </c>
      <c r="L1005">
        <v>1127.7408946462899</v>
      </c>
      <c r="M1005">
        <v>22.098413016758901</v>
      </c>
      <c r="N1005">
        <v>51.267715636133602</v>
      </c>
      <c r="O1005">
        <v>50.620265461491798</v>
      </c>
      <c r="P1005">
        <v>-0.103882552292673</v>
      </c>
      <c r="Q1005">
        <v>4.8176383374511203E-2</v>
      </c>
      <c r="R1005">
        <v>0.97974259035838795</v>
      </c>
      <c r="S1005" t="s">
        <v>5301</v>
      </c>
      <c r="T1005" t="s">
        <v>8590</v>
      </c>
      <c r="U1005" t="s">
        <v>8590</v>
      </c>
      <c r="V1005" t="s">
        <v>8590</v>
      </c>
      <c r="W1005">
        <v>1</v>
      </c>
      <c r="X1005" t="s">
        <v>9595</v>
      </c>
      <c r="Y1005">
        <v>0.40914927101664189</v>
      </c>
      <c r="Z1005" t="str">
        <f>HYPERLINK("Melting_Curves/meltCurve_sp_P35232_PHB_HUMAN_.pdf", "Melting_Curves/meltCurve_sp_P35232_PHB_HUMAN_.pdf")</f>
        <v>Melting_Curves/meltCurve_sp_P35232_PHB_HUMAN_.pdf</v>
      </c>
      <c r="AA1005" t="s">
        <v>13872</v>
      </c>
      <c r="AB1005" t="s">
        <v>18090</v>
      </c>
    </row>
    <row r="1006" spans="1:28" x14ac:dyDescent="0.25">
      <c r="A1006" t="s">
        <v>1010</v>
      </c>
      <c r="B1006">
        <v>0.99876560204751996</v>
      </c>
      <c r="C1006">
        <v>0.964247108941089</v>
      </c>
      <c r="D1006">
        <v>1.0450641527397799</v>
      </c>
      <c r="E1006">
        <v>0.95258675016170502</v>
      </c>
      <c r="F1006">
        <v>0.93796485362059501</v>
      </c>
      <c r="G1006">
        <v>0.69497938921993296</v>
      </c>
      <c r="H1006">
        <v>0.206614936812103</v>
      </c>
      <c r="I1006">
        <v>9.8165003647154997E-2</v>
      </c>
      <c r="J1006">
        <v>8.1160997188194903E-2</v>
      </c>
      <c r="K1006">
        <v>7.5333022757863605E-2</v>
      </c>
      <c r="L1006">
        <v>2022.6191819053599</v>
      </c>
      <c r="M1006">
        <v>34.818214106417003</v>
      </c>
      <c r="N1006">
        <v>58.333027889404001</v>
      </c>
      <c r="O1006">
        <v>57.900213679748902</v>
      </c>
      <c r="P1006">
        <v>-0.14022014512539899</v>
      </c>
      <c r="Q1006">
        <v>6.7298844810952399E-2</v>
      </c>
      <c r="R1006">
        <v>0.99615942282495795</v>
      </c>
      <c r="S1006" t="s">
        <v>5302</v>
      </c>
      <c r="T1006" t="s">
        <v>8590</v>
      </c>
      <c r="U1006" t="s">
        <v>8590</v>
      </c>
      <c r="V1006" t="s">
        <v>8590</v>
      </c>
      <c r="W1006">
        <v>13</v>
      </c>
      <c r="X1006" t="s">
        <v>9596</v>
      </c>
      <c r="Y1006">
        <v>0.63448526249966741</v>
      </c>
      <c r="Z1006" t="str">
        <f>HYPERLINK("Melting_Curves/meltCurve_sp_P35237_SPB6_HUMAN_.pdf", "Melting_Curves/meltCurve_sp_P35237_SPB6_HUMAN_.pdf")</f>
        <v>Melting_Curves/meltCurve_sp_P35237_SPB6_HUMAN_.pdf</v>
      </c>
      <c r="AA1006" t="s">
        <v>13873</v>
      </c>
      <c r="AB1006" t="s">
        <v>18091</v>
      </c>
    </row>
    <row r="1007" spans="1:28" x14ac:dyDescent="0.25">
      <c r="A1007" t="s">
        <v>1011</v>
      </c>
      <c r="B1007">
        <v>0.99876560204751996</v>
      </c>
      <c r="C1007">
        <v>0.98483190310118496</v>
      </c>
      <c r="D1007">
        <v>0.94927107602433303</v>
      </c>
      <c r="E1007">
        <v>0.96253205652072304</v>
      </c>
      <c r="F1007">
        <v>0.91562070541956098</v>
      </c>
      <c r="G1007">
        <v>0.67988464363650802</v>
      </c>
      <c r="H1007">
        <v>0.47461099806375301</v>
      </c>
      <c r="I1007">
        <v>0.103304061139113</v>
      </c>
      <c r="J1007">
        <v>8.3684908475118794E-2</v>
      </c>
      <c r="K1007">
        <v>7.8551642391430407E-2</v>
      </c>
      <c r="L1007">
        <v>1195.13471974452</v>
      </c>
      <c r="M1007">
        <v>20.073261369036999</v>
      </c>
      <c r="N1007">
        <v>59.538642186025001</v>
      </c>
      <c r="O1007">
        <v>58.957183705363398</v>
      </c>
      <c r="P1007">
        <v>-8.5120684395771501E-2</v>
      </c>
      <c r="Q1007">
        <v>0</v>
      </c>
      <c r="R1007">
        <v>0.98469108851954201</v>
      </c>
      <c r="S1007" t="s">
        <v>5303</v>
      </c>
      <c r="T1007" t="s">
        <v>8590</v>
      </c>
      <c r="U1007" t="s">
        <v>8590</v>
      </c>
      <c r="V1007" t="s">
        <v>8590</v>
      </c>
      <c r="W1007">
        <v>47</v>
      </c>
      <c r="X1007" t="s">
        <v>9597</v>
      </c>
      <c r="Y1007">
        <v>0.66048518404071821</v>
      </c>
      <c r="Z1007" t="str">
        <f>HYPERLINK("Melting_Curves/meltCurve_sp_P35241_RADI_HUMAN_.pdf", "Melting_Curves/meltCurve_sp_P35241_RADI_HUMAN_.pdf")</f>
        <v>Melting_Curves/meltCurve_sp_P35241_RADI_HUMAN_.pdf</v>
      </c>
      <c r="AA1007" t="s">
        <v>13874</v>
      </c>
      <c r="AB1007" t="s">
        <v>18092</v>
      </c>
    </row>
    <row r="1008" spans="1:28" x14ac:dyDescent="0.25">
      <c r="A1008" t="s">
        <v>1012</v>
      </c>
      <c r="B1008">
        <v>0.99876560204751996</v>
      </c>
      <c r="C1008">
        <v>1.01460621181096</v>
      </c>
      <c r="D1008">
        <v>0.98289883022579205</v>
      </c>
      <c r="E1008">
        <v>0.89218154654317305</v>
      </c>
      <c r="F1008">
        <v>0.83549133450991697</v>
      </c>
      <c r="G1008">
        <v>0.70875498265807602</v>
      </c>
      <c r="H1008">
        <v>0.506446225801917</v>
      </c>
      <c r="I1008">
        <v>0.44863319325614398</v>
      </c>
      <c r="J1008">
        <v>0.39864499117583002</v>
      </c>
      <c r="K1008">
        <v>0.21853263581899701</v>
      </c>
      <c r="L1008">
        <v>579.67408918035801</v>
      </c>
      <c r="M1008">
        <v>9.3178299766343304</v>
      </c>
      <c r="N1008">
        <v>62.2112605068478</v>
      </c>
      <c r="O1008">
        <v>59.547409214421499</v>
      </c>
      <c r="P1008">
        <v>-3.9144282080758798E-2</v>
      </c>
      <c r="Q1008">
        <v>0</v>
      </c>
      <c r="R1008">
        <v>0.98840707247978099</v>
      </c>
      <c r="S1008" t="s">
        <v>5304</v>
      </c>
      <c r="T1008" t="s">
        <v>8590</v>
      </c>
      <c r="U1008" t="s">
        <v>8590</v>
      </c>
      <c r="V1008" t="s">
        <v>8590</v>
      </c>
      <c r="W1008">
        <v>2</v>
      </c>
      <c r="X1008" t="s">
        <v>9598</v>
      </c>
      <c r="Y1008">
        <v>0.71246692142750623</v>
      </c>
      <c r="Z1008" t="str">
        <f>HYPERLINK("Melting_Curves/meltCurve_sp_P35268_RL22_HUMAN_.pdf", "Melting_Curves/meltCurve_sp_P35268_RL22_HUMAN_.pdf")</f>
        <v>Melting_Curves/meltCurve_sp_P35268_RL22_HUMAN_.pdf</v>
      </c>
      <c r="AA1008" t="s">
        <v>13875</v>
      </c>
      <c r="AB1008" t="s">
        <v>18093</v>
      </c>
    </row>
    <row r="1009" spans="1:28" x14ac:dyDescent="0.25">
      <c r="A1009" t="s">
        <v>1013</v>
      </c>
      <c r="B1009">
        <v>0.99876560204751996</v>
      </c>
      <c r="C1009">
        <v>1.0222484507996601</v>
      </c>
      <c r="D1009">
        <v>1.04072717531759</v>
      </c>
      <c r="E1009">
        <v>0.93001856589207799</v>
      </c>
      <c r="F1009">
        <v>0.71744198929238301</v>
      </c>
      <c r="G1009">
        <v>0.49162015172345902</v>
      </c>
      <c r="H1009">
        <v>0.331792593759968</v>
      </c>
      <c r="I1009">
        <v>0.32672610337520702</v>
      </c>
      <c r="J1009">
        <v>0.37955588284734898</v>
      </c>
      <c r="K1009">
        <v>0.330051243536017</v>
      </c>
      <c r="L1009">
        <v>1415.34936961523</v>
      </c>
      <c r="M1009">
        <v>26.286861625077499</v>
      </c>
      <c r="N1009">
        <v>56.2256342112901</v>
      </c>
      <c r="O1009">
        <v>53.5337580709676</v>
      </c>
      <c r="P1009">
        <v>-8.1523563007029606E-2</v>
      </c>
      <c r="Q1009">
        <v>0.33590937267036203</v>
      </c>
      <c r="R1009">
        <v>0.99190964465041198</v>
      </c>
      <c r="S1009" t="s">
        <v>5305</v>
      </c>
      <c r="T1009" t="s">
        <v>8590</v>
      </c>
      <c r="U1009" t="s">
        <v>8590</v>
      </c>
      <c r="V1009" t="s">
        <v>8590</v>
      </c>
      <c r="W1009">
        <v>6</v>
      </c>
      <c r="X1009" t="s">
        <v>9599</v>
      </c>
      <c r="Y1009">
        <v>0.64792912882163567</v>
      </c>
      <c r="Z1009" t="str">
        <f>HYPERLINK("Melting_Curves/meltCurve_sp_P35269_T2FA_HUMAN_.pdf", "Melting_Curves/meltCurve_sp_P35269_T2FA_HUMAN_.pdf")</f>
        <v>Melting_Curves/meltCurve_sp_P35269_T2FA_HUMAN_.pdf</v>
      </c>
      <c r="AA1009" t="s">
        <v>13876</v>
      </c>
      <c r="AB1009" t="s">
        <v>18094</v>
      </c>
    </row>
    <row r="1010" spans="1:28" x14ac:dyDescent="0.25">
      <c r="A1010" t="s">
        <v>1014</v>
      </c>
      <c r="B1010">
        <v>0.99876560204751996</v>
      </c>
      <c r="C1010">
        <v>0.92560603678906705</v>
      </c>
      <c r="D1010">
        <v>0.94859443279386202</v>
      </c>
      <c r="E1010">
        <v>0.58490805085000197</v>
      </c>
      <c r="F1010">
        <v>0.32232477642163898</v>
      </c>
      <c r="G1010">
        <v>0.231719782280979</v>
      </c>
      <c r="H1010">
        <v>0.15722150249946201</v>
      </c>
      <c r="I1010">
        <v>0.12886099304516499</v>
      </c>
      <c r="J1010">
        <v>0.108081347215225</v>
      </c>
      <c r="K1010">
        <v>7.2185646685742205E-2</v>
      </c>
      <c r="L1010">
        <v>1074.49198277746</v>
      </c>
      <c r="M1010">
        <v>21.305720128779299</v>
      </c>
      <c r="N1010">
        <v>51.048143206833203</v>
      </c>
      <c r="O1010">
        <v>49.994107351009099</v>
      </c>
      <c r="P1010">
        <v>-9.4465943926574494E-2</v>
      </c>
      <c r="Q1010">
        <v>0.11336095799755801</v>
      </c>
      <c r="R1010">
        <v>0.99164045760591601</v>
      </c>
      <c r="S1010" t="s">
        <v>5306</v>
      </c>
      <c r="T1010" t="s">
        <v>8590</v>
      </c>
      <c r="U1010" t="s">
        <v>8590</v>
      </c>
      <c r="V1010" t="s">
        <v>8590</v>
      </c>
      <c r="W1010">
        <v>12</v>
      </c>
      <c r="X1010" t="s">
        <v>9600</v>
      </c>
      <c r="Y1010">
        <v>0.43258648385741749</v>
      </c>
      <c r="Z1010" t="str">
        <f>HYPERLINK("Melting_Curves/meltCurve_sp_P35270_SPRE_HUMAN_.pdf", "Melting_Curves/meltCurve_sp_P35270_SPRE_HUMAN_.pdf")</f>
        <v>Melting_Curves/meltCurve_sp_P35270_SPRE_HUMAN_.pdf</v>
      </c>
      <c r="AA1010" t="s">
        <v>13877</v>
      </c>
      <c r="AB1010" t="s">
        <v>18095</v>
      </c>
    </row>
    <row r="1011" spans="1:28" x14ac:dyDescent="0.25">
      <c r="A1011" t="s">
        <v>1015</v>
      </c>
      <c r="B1011">
        <v>0.99876560204751996</v>
      </c>
      <c r="C1011">
        <v>1.07746894980205</v>
      </c>
      <c r="D1011">
        <v>1.0533590450733099</v>
      </c>
      <c r="E1011">
        <v>0.96937791280710806</v>
      </c>
      <c r="F1011">
        <v>0.56735413471549101</v>
      </c>
      <c r="G1011">
        <v>0.18103672460308501</v>
      </c>
      <c r="H1011">
        <v>8.9169150060418007E-2</v>
      </c>
      <c r="I1011">
        <v>6.8084946856224807E-2</v>
      </c>
      <c r="J1011">
        <v>6.8937753459766299E-2</v>
      </c>
      <c r="K1011">
        <v>5.7752418713996903E-2</v>
      </c>
      <c r="L1011">
        <v>2037.36907940215</v>
      </c>
      <c r="M1011">
        <v>38.219479532135701</v>
      </c>
      <c r="N1011">
        <v>53.534481913318302</v>
      </c>
      <c r="O1011">
        <v>53.161763469013003</v>
      </c>
      <c r="P1011">
        <v>-0.16626538222058301</v>
      </c>
      <c r="Q1011">
        <v>7.4928183381171395E-2</v>
      </c>
      <c r="R1011">
        <v>0.99353585139945699</v>
      </c>
      <c r="S1011" t="s">
        <v>5307</v>
      </c>
      <c r="T1011" t="s">
        <v>8590</v>
      </c>
      <c r="U1011" t="s">
        <v>8590</v>
      </c>
      <c r="V1011" t="s">
        <v>8590</v>
      </c>
      <c r="W1011">
        <v>24</v>
      </c>
      <c r="X1011" t="s">
        <v>9601</v>
      </c>
      <c r="Y1011">
        <v>0.48899103073036659</v>
      </c>
      <c r="Z1011" t="str">
        <f>HYPERLINK("Melting_Curves/meltCurve_sp_P35520_CBS_HUMAN_.pdf", "Melting_Curves/meltCurve_sp_P35520_CBS_HUMAN_.pdf")</f>
        <v>Melting_Curves/meltCurve_sp_P35520_CBS_HUMAN_.pdf</v>
      </c>
      <c r="AA1011" t="s">
        <v>13878</v>
      </c>
      <c r="AB1011" t="s">
        <v>18096</v>
      </c>
    </row>
    <row r="1012" spans="1:28" x14ac:dyDescent="0.25">
      <c r="A1012" t="s">
        <v>1016</v>
      </c>
      <c r="B1012">
        <v>0.99876560204751996</v>
      </c>
      <c r="C1012">
        <v>0.97570550745264495</v>
      </c>
      <c r="D1012">
        <v>1.0255230197987899</v>
      </c>
      <c r="E1012">
        <v>0.85903295926662604</v>
      </c>
      <c r="F1012">
        <v>0.73677200372827001</v>
      </c>
      <c r="G1012">
        <v>0.59918161262348402</v>
      </c>
      <c r="H1012">
        <v>0.445501785916261</v>
      </c>
      <c r="I1012">
        <v>0.53155625219099101</v>
      </c>
      <c r="J1012">
        <v>0.61656959996368699</v>
      </c>
      <c r="K1012">
        <v>0.59079324299332003</v>
      </c>
      <c r="L1012">
        <v>1417.6608760079901</v>
      </c>
      <c r="M1012">
        <v>27.275259891268</v>
      </c>
      <c r="O1012">
        <v>51.699086070010203</v>
      </c>
      <c r="P1012">
        <v>-5.9554872393368201E-2</v>
      </c>
      <c r="Q1012">
        <v>0.54846945485670195</v>
      </c>
      <c r="R1012">
        <v>0.94526007130961898</v>
      </c>
      <c r="S1012" t="s">
        <v>5308</v>
      </c>
      <c r="T1012" t="s">
        <v>8590</v>
      </c>
      <c r="U1012" t="s">
        <v>8590</v>
      </c>
      <c r="V1012" t="s">
        <v>8590</v>
      </c>
      <c r="W1012">
        <v>2</v>
      </c>
      <c r="X1012" t="s">
        <v>9602</v>
      </c>
      <c r="Y1012">
        <v>0.73220098909124565</v>
      </c>
      <c r="Z1012" t="str">
        <f>HYPERLINK("Melting_Curves/meltCurve_sp_P35555_FBN1_HUMAN_.pdf", "Melting_Curves/meltCurve_sp_P35555_FBN1_HUMAN_.pdf")</f>
        <v>Melting_Curves/meltCurve_sp_P35555_FBN1_HUMAN_.pdf</v>
      </c>
      <c r="AA1012" t="s">
        <v>13879</v>
      </c>
      <c r="AB1012" t="s">
        <v>18097</v>
      </c>
    </row>
    <row r="1013" spans="1:28" x14ac:dyDescent="0.25">
      <c r="A1013" t="s">
        <v>1017</v>
      </c>
      <c r="B1013">
        <v>0.99876560204751996</v>
      </c>
      <c r="C1013">
        <v>0.90811635783721301</v>
      </c>
      <c r="D1013">
        <v>0.85258664493110403</v>
      </c>
      <c r="E1013">
        <v>0.54973936504672505</v>
      </c>
      <c r="F1013">
        <v>0.27242412786140202</v>
      </c>
      <c r="G1013">
        <v>0.116507522133961</v>
      </c>
      <c r="H1013">
        <v>6.5797911274595999E-2</v>
      </c>
      <c r="I1013">
        <v>4.6622925511977803E-2</v>
      </c>
      <c r="J1013">
        <v>4.7078821705612797E-2</v>
      </c>
      <c r="K1013">
        <v>3.57552155052593E-2</v>
      </c>
      <c r="L1013">
        <v>930.25960055609698</v>
      </c>
      <c r="M1013">
        <v>18.549769419658801</v>
      </c>
      <c r="N1013">
        <v>50.314914303117298</v>
      </c>
      <c r="O1013">
        <v>49.577452566087501</v>
      </c>
      <c r="P1013">
        <v>-9.07747524081398E-2</v>
      </c>
      <c r="Q1013">
        <v>2.9597674160105999E-2</v>
      </c>
      <c r="R1013">
        <v>0.99743863460447202</v>
      </c>
      <c r="S1013" t="s">
        <v>5309</v>
      </c>
      <c r="T1013" t="s">
        <v>8590</v>
      </c>
      <c r="U1013" t="s">
        <v>8590</v>
      </c>
      <c r="V1013" t="s">
        <v>8590</v>
      </c>
      <c r="W1013">
        <v>34</v>
      </c>
      <c r="X1013" t="s">
        <v>9603</v>
      </c>
      <c r="Y1013">
        <v>0.37349992862027848</v>
      </c>
      <c r="Z1013" t="str">
        <f>HYPERLINK("Melting_Curves/meltCurve_sp_P35558_PCKGC_HUMAN_.pdf", "Melting_Curves/meltCurve_sp_P35558_PCKGC_HUMAN_.pdf")</f>
        <v>Melting_Curves/meltCurve_sp_P35558_PCKGC_HUMAN_.pdf</v>
      </c>
      <c r="AA1013" t="s">
        <v>13880</v>
      </c>
      <c r="AB1013" t="s">
        <v>18098</v>
      </c>
    </row>
    <row r="1014" spans="1:28" x14ac:dyDescent="0.25">
      <c r="A1014" t="s">
        <v>1018</v>
      </c>
      <c r="B1014">
        <v>0.99876560204751996</v>
      </c>
      <c r="C1014">
        <v>1.00838811142711</v>
      </c>
      <c r="D1014">
        <v>0.95571042693099095</v>
      </c>
      <c r="E1014">
        <v>0.84334916920846004</v>
      </c>
      <c r="F1014">
        <v>0.73677398725105003</v>
      </c>
      <c r="G1014">
        <v>0.60524967812116603</v>
      </c>
      <c r="H1014">
        <v>0.47044683298204898</v>
      </c>
      <c r="I1014">
        <v>0.48900433015455902</v>
      </c>
      <c r="J1014">
        <v>0.57554598089464704</v>
      </c>
      <c r="K1014">
        <v>0.55051932493665001</v>
      </c>
      <c r="L1014">
        <v>1067.45945174335</v>
      </c>
      <c r="M1014">
        <v>20.4844092786815</v>
      </c>
      <c r="O1014">
        <v>51.621820911903598</v>
      </c>
      <c r="P1014">
        <v>-4.7899331946293401E-2</v>
      </c>
      <c r="Q1014">
        <v>0.51717865052980305</v>
      </c>
      <c r="R1014">
        <v>0.97211193878065305</v>
      </c>
      <c r="S1014" t="s">
        <v>5310</v>
      </c>
      <c r="T1014" t="s">
        <v>8590</v>
      </c>
      <c r="U1014" t="s">
        <v>8590</v>
      </c>
      <c r="V1014" t="s">
        <v>8590</v>
      </c>
      <c r="W1014">
        <v>8</v>
      </c>
      <c r="X1014" t="s">
        <v>9604</v>
      </c>
      <c r="Y1014">
        <v>0.718488848919695</v>
      </c>
      <c r="Z1014" t="str">
        <f>HYPERLINK("Melting_Curves/meltCurve_sp_P35568_IRS1_HUMAN_.pdf", "Melting_Curves/meltCurve_sp_P35568_IRS1_HUMAN_.pdf")</f>
        <v>Melting_Curves/meltCurve_sp_P35568_IRS1_HUMAN_.pdf</v>
      </c>
      <c r="AA1014" t="s">
        <v>13881</v>
      </c>
      <c r="AB1014" t="s">
        <v>18099</v>
      </c>
    </row>
    <row r="1015" spans="1:28" x14ac:dyDescent="0.25">
      <c r="A1015" t="s">
        <v>1019</v>
      </c>
      <c r="B1015">
        <v>0.99876560204751996</v>
      </c>
      <c r="C1015">
        <v>1.02351243333317</v>
      </c>
      <c r="D1015">
        <v>0.90757862991386395</v>
      </c>
      <c r="E1015">
        <v>0.42231348747145497</v>
      </c>
      <c r="F1015">
        <v>0.16114659507819501</v>
      </c>
      <c r="G1015">
        <v>9.7273579780540603E-2</v>
      </c>
      <c r="H1015">
        <v>6.3352041873705495E-2</v>
      </c>
      <c r="I1015">
        <v>5.4120894481899003E-2</v>
      </c>
      <c r="J1015">
        <v>5.2164427259670403E-2</v>
      </c>
      <c r="K1015">
        <v>4.96385563845494E-2</v>
      </c>
      <c r="L1015">
        <v>1520.93750064804</v>
      </c>
      <c r="M1015">
        <v>30.862766695709698</v>
      </c>
      <c r="N1015">
        <v>49.485512271390199</v>
      </c>
      <c r="O1015">
        <v>49.075127773737201</v>
      </c>
      <c r="P1015">
        <v>-0.14779481091799099</v>
      </c>
      <c r="Q1015">
        <v>5.9966364793895402E-2</v>
      </c>
      <c r="R1015">
        <v>0.99884079634365897</v>
      </c>
      <c r="S1015" t="s">
        <v>5311</v>
      </c>
      <c r="T1015" t="s">
        <v>8590</v>
      </c>
      <c r="U1015" t="s">
        <v>8590</v>
      </c>
      <c r="V1015" t="s">
        <v>8590</v>
      </c>
      <c r="W1015">
        <v>46</v>
      </c>
      <c r="X1015" t="s">
        <v>9605</v>
      </c>
      <c r="Y1015">
        <v>0.35619656394112698</v>
      </c>
      <c r="Z1015" t="str">
        <f>HYPERLINK("Melting_Curves/meltCurve_sp_P35573_GDE_HUMAN_.pdf", "Melting_Curves/meltCurve_sp_P35573_GDE_HUMAN_.pdf")</f>
        <v>Melting_Curves/meltCurve_sp_P35573_GDE_HUMAN_.pdf</v>
      </c>
      <c r="AA1015" t="s">
        <v>13882</v>
      </c>
      <c r="AB1015" t="s">
        <v>18100</v>
      </c>
    </row>
    <row r="1016" spans="1:28" x14ac:dyDescent="0.25">
      <c r="A1016" t="s">
        <v>1020</v>
      </c>
      <c r="B1016">
        <v>0.99876560204751996</v>
      </c>
      <c r="C1016">
        <v>1.0056071655285701</v>
      </c>
      <c r="D1016">
        <v>0.81354637933945695</v>
      </c>
      <c r="E1016">
        <v>0.72421185482165196</v>
      </c>
      <c r="F1016">
        <v>0.46148463804168699</v>
      </c>
      <c r="G1016">
        <v>0.29986223268261603</v>
      </c>
      <c r="H1016">
        <v>0.25523216236660501</v>
      </c>
      <c r="I1016">
        <v>0.24494093309119899</v>
      </c>
      <c r="J1016">
        <v>0.30515299170255999</v>
      </c>
      <c r="K1016">
        <v>0.28503108800967297</v>
      </c>
      <c r="L1016">
        <v>939.56231679214</v>
      </c>
      <c r="M1016">
        <v>18.601772736156299</v>
      </c>
      <c r="N1016">
        <v>52.508108670778199</v>
      </c>
      <c r="O1016">
        <v>49.936418469356198</v>
      </c>
      <c r="P1016">
        <v>-6.9502688348639097E-2</v>
      </c>
      <c r="Q1016">
        <v>0.25371312008353902</v>
      </c>
      <c r="R1016">
        <v>0.980839203739032</v>
      </c>
      <c r="S1016" t="s">
        <v>5312</v>
      </c>
      <c r="T1016" t="s">
        <v>8590</v>
      </c>
      <c r="U1016" t="s">
        <v>8590</v>
      </c>
      <c r="V1016" t="s">
        <v>8590</v>
      </c>
      <c r="W1016">
        <v>54</v>
      </c>
      <c r="X1016" t="s">
        <v>9606</v>
      </c>
      <c r="Y1016">
        <v>0.52704075745693046</v>
      </c>
      <c r="Z1016" t="str">
        <f>HYPERLINK("Melting_Curves/meltCurve_sp_P35579_MYH9_HUMAN_.pdf", "Melting_Curves/meltCurve_sp_P35579_MYH9_HUMAN_.pdf")</f>
        <v>Melting_Curves/meltCurve_sp_P35579_MYH9_HUMAN_.pdf</v>
      </c>
      <c r="AA1016" t="s">
        <v>13883</v>
      </c>
      <c r="AB1016" t="s">
        <v>18101</v>
      </c>
    </row>
    <row r="1017" spans="1:28" x14ac:dyDescent="0.25">
      <c r="A1017" t="s">
        <v>1021</v>
      </c>
      <c r="B1017">
        <v>0.99876560204751996</v>
      </c>
      <c r="C1017">
        <v>1.12993112666066</v>
      </c>
      <c r="D1017">
        <v>1.0080059943662101</v>
      </c>
      <c r="E1017">
        <v>0.70256625263908501</v>
      </c>
      <c r="F1017">
        <v>0.47048771439480702</v>
      </c>
      <c r="G1017">
        <v>0.19545255065391601</v>
      </c>
      <c r="H1017">
        <v>0.14264189206004599</v>
      </c>
      <c r="I1017">
        <v>0.136719449837338</v>
      </c>
      <c r="J1017">
        <v>0.148081050966581</v>
      </c>
      <c r="K1017">
        <v>0.10261624972068099</v>
      </c>
      <c r="L1017">
        <v>1285.7248495190299</v>
      </c>
      <c r="M1017">
        <v>24.829418481107201</v>
      </c>
      <c r="N1017">
        <v>52.386096637163398</v>
      </c>
      <c r="O1017">
        <v>51.449926566698302</v>
      </c>
      <c r="P1017">
        <v>-0.1056372006098</v>
      </c>
      <c r="Q1017">
        <v>0.124433533952575</v>
      </c>
      <c r="R1017">
        <v>0.98481615984663695</v>
      </c>
      <c r="S1017" t="s">
        <v>5313</v>
      </c>
      <c r="T1017" t="s">
        <v>8590</v>
      </c>
      <c r="U1017" t="s">
        <v>8590</v>
      </c>
      <c r="V1017" t="s">
        <v>8590</v>
      </c>
      <c r="W1017">
        <v>18</v>
      </c>
      <c r="X1017" t="s">
        <v>9607</v>
      </c>
      <c r="Y1017">
        <v>0.47638896685465387</v>
      </c>
      <c r="Z1017" t="str">
        <f>HYPERLINK("Melting_Curves/meltCurve_sp_P35580_MYH10_HUMAN_.pdf", "Melting_Curves/meltCurve_sp_P35580_MYH10_HUMAN_.pdf")</f>
        <v>Melting_Curves/meltCurve_sp_P35580_MYH10_HUMAN_.pdf</v>
      </c>
      <c r="AA1017" t="s">
        <v>13884</v>
      </c>
      <c r="AB1017" t="s">
        <v>18102</v>
      </c>
    </row>
    <row r="1018" spans="1:28" x14ac:dyDescent="0.25">
      <c r="A1018" t="s">
        <v>1022</v>
      </c>
      <c r="B1018">
        <v>0.99876560204751996</v>
      </c>
      <c r="C1018">
        <v>0.96306007077743205</v>
      </c>
      <c r="D1018">
        <v>0.94806043878481805</v>
      </c>
      <c r="E1018">
        <v>0.899462950530038</v>
      </c>
      <c r="F1018">
        <v>0.47363591674731598</v>
      </c>
      <c r="G1018">
        <v>0.193110352701786</v>
      </c>
      <c r="H1018">
        <v>0.104900921364151</v>
      </c>
      <c r="I1018">
        <v>8.7117384551650898E-2</v>
      </c>
      <c r="J1018">
        <v>8.4521050772810899E-2</v>
      </c>
      <c r="K1018">
        <v>7.2399192982685698E-2</v>
      </c>
      <c r="L1018">
        <v>1751.25369776806</v>
      </c>
      <c r="M1018">
        <v>33.250173829494798</v>
      </c>
      <c r="N1018">
        <v>52.984997851381301</v>
      </c>
      <c r="O1018">
        <v>52.479591704616404</v>
      </c>
      <c r="P1018">
        <v>-0.144150852316973</v>
      </c>
      <c r="Q1018">
        <v>8.9936165113928698E-2</v>
      </c>
      <c r="R1018">
        <v>0.99587351880800101</v>
      </c>
      <c r="S1018" t="s">
        <v>5314</v>
      </c>
      <c r="T1018" t="s">
        <v>8590</v>
      </c>
      <c r="U1018" t="s">
        <v>8590</v>
      </c>
      <c r="V1018" t="s">
        <v>8590</v>
      </c>
      <c r="W1018">
        <v>39</v>
      </c>
      <c r="X1018" t="s">
        <v>9608</v>
      </c>
      <c r="Y1018">
        <v>0.47904806361144908</v>
      </c>
      <c r="Z1018" t="str">
        <f>HYPERLINK("Melting_Curves/meltCurve_sp_P35606_COPB2_HUMAN_.pdf", "Melting_Curves/meltCurve_sp_P35606_COPB2_HUMAN_.pdf")</f>
        <v>Melting_Curves/meltCurve_sp_P35606_COPB2_HUMAN_.pdf</v>
      </c>
      <c r="AA1018" t="s">
        <v>13885</v>
      </c>
      <c r="AB1018" t="s">
        <v>18103</v>
      </c>
    </row>
    <row r="1019" spans="1:28" x14ac:dyDescent="0.25">
      <c r="A1019" t="s">
        <v>1023</v>
      </c>
      <c r="B1019">
        <v>0.99876560204751996</v>
      </c>
      <c r="C1019">
        <v>0.987681930629005</v>
      </c>
      <c r="D1019">
        <v>0.91897950534847594</v>
      </c>
      <c r="E1019">
        <v>0.889792439031592</v>
      </c>
      <c r="F1019">
        <v>0.76270798365024695</v>
      </c>
      <c r="G1019">
        <v>0.60404165891539097</v>
      </c>
      <c r="H1019">
        <v>0.45622251040626399</v>
      </c>
      <c r="I1019">
        <v>0.37463193215881202</v>
      </c>
      <c r="J1019">
        <v>0.36144831685920298</v>
      </c>
      <c r="K1019">
        <v>0.25632928200777499</v>
      </c>
      <c r="L1019">
        <v>623.960544070369</v>
      </c>
      <c r="M1019">
        <v>10.8491125440417</v>
      </c>
      <c r="N1019">
        <v>59.914529148840998</v>
      </c>
      <c r="O1019">
        <v>55.662036095710903</v>
      </c>
      <c r="P1019">
        <v>-4.0148938226133399E-2</v>
      </c>
      <c r="Q1019">
        <v>0.17634662963972</v>
      </c>
      <c r="R1019">
        <v>0.99471715704888797</v>
      </c>
      <c r="S1019" t="s">
        <v>5315</v>
      </c>
      <c r="T1019" t="s">
        <v>8590</v>
      </c>
      <c r="U1019" t="s">
        <v>8590</v>
      </c>
      <c r="V1019" t="s">
        <v>8590</v>
      </c>
      <c r="W1019">
        <v>15</v>
      </c>
      <c r="X1019" t="s">
        <v>9609</v>
      </c>
      <c r="Y1019">
        <v>0.668667673074126</v>
      </c>
      <c r="Z1019" t="str">
        <f>HYPERLINK("Melting_Curves/meltCurve_sp_P35611_2_ADDA_HUMAN_.pdf", "Melting_Curves/meltCurve_sp_P35611_2_ADDA_HUMAN_.pdf")</f>
        <v>Melting_Curves/meltCurve_sp_P35611_2_ADDA_HUMAN_.pdf</v>
      </c>
      <c r="AA1019" t="s">
        <v>13886</v>
      </c>
      <c r="AB1019" t="s">
        <v>18104</v>
      </c>
    </row>
    <row r="1020" spans="1:28" x14ac:dyDescent="0.25">
      <c r="A1020" t="s">
        <v>1024</v>
      </c>
      <c r="B1020">
        <v>0.99876560204751996</v>
      </c>
      <c r="C1020">
        <v>0.88259947473154199</v>
      </c>
      <c r="D1020">
        <v>0.91208727093259001</v>
      </c>
      <c r="E1020">
        <v>0.81904683990923899</v>
      </c>
      <c r="F1020">
        <v>0.78926029786306295</v>
      </c>
      <c r="G1020">
        <v>0.65443947205606401</v>
      </c>
      <c r="H1020">
        <v>0.567017874648722</v>
      </c>
      <c r="I1020">
        <v>0.55371935920179305</v>
      </c>
      <c r="J1020">
        <v>0.65083089575697595</v>
      </c>
      <c r="K1020">
        <v>0.65367742392450801</v>
      </c>
      <c r="L1020">
        <v>586.11073977512501</v>
      </c>
      <c r="M1020">
        <v>11.5634903754448</v>
      </c>
      <c r="O1020">
        <v>49.241542314250196</v>
      </c>
      <c r="P1020">
        <v>-2.4586615395620199E-2</v>
      </c>
      <c r="Q1020">
        <v>0.58132133690899801</v>
      </c>
      <c r="R1020">
        <v>0.89630425481827403</v>
      </c>
      <c r="S1020" t="s">
        <v>5316</v>
      </c>
      <c r="T1020" t="s">
        <v>8590</v>
      </c>
      <c r="U1020" t="s">
        <v>8590</v>
      </c>
      <c r="V1020" t="s">
        <v>8590</v>
      </c>
      <c r="W1020">
        <v>8</v>
      </c>
      <c r="X1020" t="s">
        <v>9610</v>
      </c>
      <c r="Y1020">
        <v>0.74514541746662555</v>
      </c>
      <c r="Z1020" t="str">
        <f>HYPERLINK("Melting_Curves/meltCurve_sp_P35637_2_FUS_HUMAN_.pdf", "Melting_Curves/meltCurve_sp_P35637_2_FUS_HUMAN_.pdf")</f>
        <v>Melting_Curves/meltCurve_sp_P35637_2_FUS_HUMAN_.pdf</v>
      </c>
      <c r="AA1020" t="s">
        <v>13887</v>
      </c>
      <c r="AB1020" t="s">
        <v>18105</v>
      </c>
    </row>
    <row r="1021" spans="1:28" x14ac:dyDescent="0.25">
      <c r="A1021" t="s">
        <v>1025</v>
      </c>
      <c r="B1021">
        <v>0.99876560204751996</v>
      </c>
      <c r="C1021">
        <v>0.936918066966686</v>
      </c>
      <c r="D1021">
        <v>0.953096788691567</v>
      </c>
      <c r="E1021">
        <v>0.801342365770083</v>
      </c>
      <c r="F1021">
        <v>0.48027880584275601</v>
      </c>
      <c r="G1021">
        <v>0.25788204942214699</v>
      </c>
      <c r="H1021">
        <v>0.200598653725717</v>
      </c>
      <c r="I1021">
        <v>0.17675943856107901</v>
      </c>
      <c r="J1021">
        <v>0.21258867192015499</v>
      </c>
      <c r="K1021">
        <v>0.213252259087332</v>
      </c>
      <c r="L1021">
        <v>1439.2789709638801</v>
      </c>
      <c r="M1021">
        <v>27.7378924630172</v>
      </c>
      <c r="N1021">
        <v>52.836205948950401</v>
      </c>
      <c r="O1021">
        <v>51.621098676057997</v>
      </c>
      <c r="P1021">
        <v>-0.108009268256857</v>
      </c>
      <c r="Q1021">
        <v>0.195972449277827</v>
      </c>
      <c r="R1021">
        <v>0.99519596469134397</v>
      </c>
      <c r="S1021" t="s">
        <v>5317</v>
      </c>
      <c r="T1021" t="s">
        <v>8590</v>
      </c>
      <c r="U1021" t="s">
        <v>8590</v>
      </c>
      <c r="V1021" t="s">
        <v>8590</v>
      </c>
      <c r="W1021">
        <v>16</v>
      </c>
      <c r="X1021" t="s">
        <v>9611</v>
      </c>
      <c r="Y1021">
        <v>0.52058403008730858</v>
      </c>
      <c r="Z1021" t="str">
        <f>HYPERLINK("Melting_Curves/meltCurve_sp_P35658_2_NU214_HUMAN_.pdf", "Melting_Curves/meltCurve_sp_P35658_2_NU214_HUMAN_.pdf")</f>
        <v>Melting_Curves/meltCurve_sp_P35658_2_NU214_HUMAN_.pdf</v>
      </c>
      <c r="AA1021" t="s">
        <v>13888</v>
      </c>
      <c r="AB1021" t="s">
        <v>18106</v>
      </c>
    </row>
    <row r="1022" spans="1:28" x14ac:dyDescent="0.25">
      <c r="A1022" t="s">
        <v>1026</v>
      </c>
      <c r="B1022">
        <v>0.99876560204751996</v>
      </c>
      <c r="C1022">
        <v>0.90240449490334596</v>
      </c>
      <c r="D1022">
        <v>1.0015444985259501</v>
      </c>
      <c r="E1022">
        <v>0.91557495377238496</v>
      </c>
      <c r="F1022">
        <v>0.884916343467546</v>
      </c>
      <c r="G1022">
        <v>0.803629026692677</v>
      </c>
      <c r="H1022">
        <v>0.77136880451724099</v>
      </c>
      <c r="I1022">
        <v>0.77360314759952797</v>
      </c>
      <c r="J1022">
        <v>0.95042752091554294</v>
      </c>
      <c r="K1022">
        <v>0.97023023043068501</v>
      </c>
      <c r="L1022">
        <v>1765.2755648469899</v>
      </c>
      <c r="M1022">
        <v>35.562825728020897</v>
      </c>
      <c r="O1022">
        <v>49.482057153299301</v>
      </c>
      <c r="P1022">
        <v>-2.5861350336331398E-2</v>
      </c>
      <c r="Q1022">
        <v>0.85606672474245304</v>
      </c>
      <c r="R1022">
        <v>0.30311523657092299</v>
      </c>
      <c r="S1022" t="s">
        <v>5318</v>
      </c>
      <c r="T1022" t="s">
        <v>8590</v>
      </c>
      <c r="U1022" t="s">
        <v>8590</v>
      </c>
      <c r="V1022" t="s">
        <v>8590</v>
      </c>
      <c r="W1022">
        <v>6</v>
      </c>
      <c r="X1022" t="s">
        <v>9612</v>
      </c>
      <c r="Y1022">
        <v>0.90293553851630282</v>
      </c>
      <c r="Z1022" t="str">
        <f>HYPERLINK("Melting_Curves/meltCurve_sp_P35659_DEK_HUMAN_.pdf", "Melting_Curves/meltCurve_sp_P35659_DEK_HUMAN_.pdf")</f>
        <v>Melting_Curves/meltCurve_sp_P35659_DEK_HUMAN_.pdf</v>
      </c>
      <c r="AA1022" t="s">
        <v>13889</v>
      </c>
      <c r="AB1022" t="s">
        <v>18107</v>
      </c>
    </row>
    <row r="1023" spans="1:28" x14ac:dyDescent="0.25">
      <c r="A1023" t="s">
        <v>1027</v>
      </c>
      <c r="B1023">
        <v>0.99876560204751996</v>
      </c>
      <c r="C1023">
        <v>0.84496128532752002</v>
      </c>
      <c r="D1023">
        <v>0.86373221951399703</v>
      </c>
      <c r="E1023">
        <v>0.81861417309885398</v>
      </c>
      <c r="F1023">
        <v>0.72878417307443</v>
      </c>
      <c r="G1023">
        <v>0.66136528852519705</v>
      </c>
      <c r="H1023">
        <v>0.54477711222486402</v>
      </c>
      <c r="I1023">
        <v>0.50217715628168902</v>
      </c>
      <c r="J1023">
        <v>0.51453878368294903</v>
      </c>
      <c r="K1023">
        <v>0.50587705623896095</v>
      </c>
      <c r="L1023">
        <v>373.80630209896901</v>
      </c>
      <c r="M1023">
        <v>6.7937496631902299</v>
      </c>
      <c r="N1023">
        <v>67.625469457670704</v>
      </c>
      <c r="O1023">
        <v>50.845000447486498</v>
      </c>
      <c r="P1023">
        <v>-2.14549490400055E-2</v>
      </c>
      <c r="Q1023">
        <v>0.35904298520597</v>
      </c>
      <c r="R1023">
        <v>0.95864221636232905</v>
      </c>
      <c r="S1023" t="s">
        <v>5319</v>
      </c>
      <c r="T1023" t="s">
        <v>8590</v>
      </c>
      <c r="U1023" t="s">
        <v>8590</v>
      </c>
      <c r="V1023" t="s">
        <v>8590</v>
      </c>
      <c r="W1023">
        <v>5</v>
      </c>
      <c r="X1023" t="s">
        <v>9613</v>
      </c>
      <c r="Y1023">
        <v>0.69711285822204594</v>
      </c>
      <c r="Z1023" t="str">
        <f>HYPERLINK("Melting_Curves/meltCurve_sp_P35754_GLRX1_HUMAN_.pdf", "Melting_Curves/meltCurve_sp_P35754_GLRX1_HUMAN_.pdf")</f>
        <v>Melting_Curves/meltCurve_sp_P35754_GLRX1_HUMAN_.pdf</v>
      </c>
      <c r="AA1023" t="s">
        <v>13890</v>
      </c>
      <c r="AB1023" t="s">
        <v>18108</v>
      </c>
    </row>
    <row r="1024" spans="1:28" x14ac:dyDescent="0.25">
      <c r="A1024" t="s">
        <v>1028</v>
      </c>
      <c r="B1024">
        <v>0.99876560204751996</v>
      </c>
      <c r="C1024">
        <v>0.97025609965433102</v>
      </c>
      <c r="D1024">
        <v>0.94098012779777396</v>
      </c>
      <c r="E1024">
        <v>0.77707158113463903</v>
      </c>
      <c r="F1024">
        <v>0.34929740709826101</v>
      </c>
      <c r="G1024">
        <v>0.15902634042943101</v>
      </c>
      <c r="H1024">
        <v>8.83109982147669E-2</v>
      </c>
      <c r="I1024">
        <v>7.0414982851449204E-2</v>
      </c>
      <c r="J1024">
        <v>6.6323507728429806E-2</v>
      </c>
      <c r="K1024">
        <v>4.6296640996727E-2</v>
      </c>
      <c r="L1024">
        <v>1522.2502327099801</v>
      </c>
      <c r="M1024">
        <v>29.430043669053202</v>
      </c>
      <c r="N1024">
        <v>51.985291024936402</v>
      </c>
      <c r="O1024">
        <v>51.487307182016004</v>
      </c>
      <c r="P1024">
        <v>-0.13308770841964501</v>
      </c>
      <c r="Q1024">
        <v>6.8668774027088805E-2</v>
      </c>
      <c r="R1024">
        <v>0.99682982360318795</v>
      </c>
      <c r="S1024" t="s">
        <v>5320</v>
      </c>
      <c r="T1024" t="s">
        <v>8590</v>
      </c>
      <c r="U1024" t="s">
        <v>8590</v>
      </c>
      <c r="V1024" t="s">
        <v>8590</v>
      </c>
      <c r="W1024">
        <v>18</v>
      </c>
      <c r="X1024" t="s">
        <v>9614</v>
      </c>
      <c r="Y1024">
        <v>0.4387991705433042</v>
      </c>
      <c r="Z1024" t="str">
        <f>HYPERLINK("Melting_Curves/meltCurve_sp_P35813_PPM1A_HUMAN_.pdf", "Melting_Curves/meltCurve_sp_P35813_PPM1A_HUMAN_.pdf")</f>
        <v>Melting_Curves/meltCurve_sp_P35813_PPM1A_HUMAN_.pdf</v>
      </c>
      <c r="AA1024" t="s">
        <v>13891</v>
      </c>
      <c r="AB1024" t="s">
        <v>18109</v>
      </c>
    </row>
    <row r="1025" spans="1:28" x14ac:dyDescent="0.25">
      <c r="A1025" t="s">
        <v>1029</v>
      </c>
      <c r="B1025">
        <v>0.99876560204751996</v>
      </c>
      <c r="C1025">
        <v>0.98484840427215203</v>
      </c>
      <c r="D1025">
        <v>0.84917807602322404</v>
      </c>
      <c r="E1025">
        <v>0.67003241818335302</v>
      </c>
      <c r="F1025">
        <v>0.48609095791201301</v>
      </c>
      <c r="G1025">
        <v>0.36737815986292399</v>
      </c>
      <c r="H1025">
        <v>0.22185880643633801</v>
      </c>
      <c r="I1025">
        <v>0.222998562459329</v>
      </c>
      <c r="J1025">
        <v>0.188238984616209</v>
      </c>
      <c r="K1025">
        <v>0.18730077689275901</v>
      </c>
      <c r="L1025">
        <v>723.33227557036105</v>
      </c>
      <c r="M1025">
        <v>14.0479457364347</v>
      </c>
      <c r="N1025">
        <v>52.986150164711802</v>
      </c>
      <c r="O1025">
        <v>50.480531391118198</v>
      </c>
      <c r="P1025">
        <v>-5.8189949614967602E-2</v>
      </c>
      <c r="Q1025">
        <v>0.16369948557529901</v>
      </c>
      <c r="R1025">
        <v>0.99636415716360105</v>
      </c>
      <c r="S1025" t="s">
        <v>5321</v>
      </c>
      <c r="T1025" t="s">
        <v>8590</v>
      </c>
      <c r="U1025" t="s">
        <v>8590</v>
      </c>
      <c r="V1025" t="s">
        <v>8590</v>
      </c>
      <c r="W1025">
        <v>3</v>
      </c>
      <c r="X1025" t="s">
        <v>9615</v>
      </c>
      <c r="Y1025">
        <v>0.50508028893822543</v>
      </c>
      <c r="Z1025" t="str">
        <f>HYPERLINK("Melting_Curves/meltCurve_sp_P35858_ALS_HUMAN_.pdf", "Melting_Curves/meltCurve_sp_P35858_ALS_HUMAN_.pdf")</f>
        <v>Melting_Curves/meltCurve_sp_P35858_ALS_HUMAN_.pdf</v>
      </c>
      <c r="AA1025" t="s">
        <v>13892</v>
      </c>
      <c r="AB1025" t="s">
        <v>18110</v>
      </c>
    </row>
    <row r="1026" spans="1:28" x14ac:dyDescent="0.25">
      <c r="A1026" t="s">
        <v>1030</v>
      </c>
      <c r="B1026">
        <v>0.99876560204751996</v>
      </c>
      <c r="C1026">
        <v>0.94813031726032104</v>
      </c>
      <c r="D1026">
        <v>0.95900330269020995</v>
      </c>
      <c r="E1026">
        <v>0.76451140984932697</v>
      </c>
      <c r="F1026">
        <v>0.40188530355867402</v>
      </c>
      <c r="G1026">
        <v>0.21307830315017701</v>
      </c>
      <c r="H1026">
        <v>0.101813922177184</v>
      </c>
      <c r="I1026">
        <v>5.88712317448968E-2</v>
      </c>
      <c r="J1026">
        <v>4.18866045208168E-2</v>
      </c>
      <c r="K1026">
        <v>3.3547138999860802E-2</v>
      </c>
      <c r="L1026">
        <v>1125.30350375897</v>
      </c>
      <c r="M1026">
        <v>21.553271578530101</v>
      </c>
      <c r="N1026">
        <v>52.436251219569399</v>
      </c>
      <c r="O1026">
        <v>51.767123212042698</v>
      </c>
      <c r="P1026">
        <v>-9.9474846666474007E-2</v>
      </c>
      <c r="Q1026">
        <v>4.4339706449872798E-2</v>
      </c>
      <c r="R1026">
        <v>0.99581633900106903</v>
      </c>
      <c r="S1026" t="s">
        <v>5322</v>
      </c>
      <c r="T1026" t="s">
        <v>8590</v>
      </c>
      <c r="U1026" t="s">
        <v>8590</v>
      </c>
      <c r="V1026" t="s">
        <v>8590</v>
      </c>
      <c r="W1026">
        <v>24</v>
      </c>
      <c r="X1026" t="s">
        <v>9616</v>
      </c>
      <c r="Y1026">
        <v>0.44484976689374789</v>
      </c>
      <c r="Z1026" t="str">
        <f>HYPERLINK("Melting_Curves/meltCurve_sp_P35914_HMGCL_HUMAN_.pdf", "Melting_Curves/meltCurve_sp_P35914_HMGCL_HUMAN_.pdf")</f>
        <v>Melting_Curves/meltCurve_sp_P35914_HMGCL_HUMAN_.pdf</v>
      </c>
      <c r="AA1026" t="s">
        <v>13893</v>
      </c>
      <c r="AB1026" t="s">
        <v>18111</v>
      </c>
    </row>
    <row r="1027" spans="1:28" x14ac:dyDescent="0.25">
      <c r="A1027" t="s">
        <v>1031</v>
      </c>
      <c r="B1027">
        <v>0.99876560204751996</v>
      </c>
      <c r="C1027">
        <v>1.0130894280299001</v>
      </c>
      <c r="D1027">
        <v>0.82451167606492404</v>
      </c>
      <c r="E1027">
        <v>0.50438855938613902</v>
      </c>
      <c r="F1027">
        <v>0.24414666288547099</v>
      </c>
      <c r="G1027">
        <v>0.107848075174966</v>
      </c>
      <c r="H1027">
        <v>6.5752053726817403E-2</v>
      </c>
      <c r="I1027">
        <v>5.0931989594112999E-2</v>
      </c>
      <c r="J1027">
        <v>5.6156881941336202E-2</v>
      </c>
      <c r="K1027">
        <v>4.8658928322632002E-2</v>
      </c>
      <c r="L1027">
        <v>1045.08757878029</v>
      </c>
      <c r="M1027">
        <v>21.029689700858299</v>
      </c>
      <c r="N1027">
        <v>49.9297803507868</v>
      </c>
      <c r="O1027">
        <v>49.253009203357699</v>
      </c>
      <c r="P1027">
        <v>-0.10173738320029101</v>
      </c>
      <c r="Q1027">
        <v>4.6921405587864402E-2</v>
      </c>
      <c r="R1027">
        <v>0.99796941959403296</v>
      </c>
      <c r="S1027" t="s">
        <v>5323</v>
      </c>
      <c r="T1027" t="s">
        <v>8590</v>
      </c>
      <c r="U1027" t="s">
        <v>8590</v>
      </c>
      <c r="V1027" t="s">
        <v>8590</v>
      </c>
      <c r="W1027">
        <v>18</v>
      </c>
      <c r="X1027" t="s">
        <v>9617</v>
      </c>
      <c r="Y1027">
        <v>0.36697693137614712</v>
      </c>
      <c r="Z1027" t="str">
        <f>HYPERLINK("Melting_Curves/meltCurve_sp_P35998_PRS7_HUMAN_.pdf", "Melting_Curves/meltCurve_sp_P35998_PRS7_HUMAN_.pdf")</f>
        <v>Melting_Curves/meltCurve_sp_P35998_PRS7_HUMAN_.pdf</v>
      </c>
      <c r="AA1027" t="s">
        <v>13894</v>
      </c>
      <c r="AB1027" t="s">
        <v>18112</v>
      </c>
    </row>
    <row r="1028" spans="1:28" x14ac:dyDescent="0.25">
      <c r="A1028" t="s">
        <v>1032</v>
      </c>
      <c r="B1028">
        <v>0.99876560204751996</v>
      </c>
      <c r="C1028">
        <v>1.0014822312046801</v>
      </c>
      <c r="D1028">
        <v>0.97212803343471899</v>
      </c>
      <c r="E1028">
        <v>0.86824883474077597</v>
      </c>
      <c r="F1028">
        <v>0.66631372318605897</v>
      </c>
      <c r="G1028">
        <v>0.40142158982134801</v>
      </c>
      <c r="H1028">
        <v>0.280202582415913</v>
      </c>
      <c r="I1028">
        <v>0.197386360127767</v>
      </c>
      <c r="J1028">
        <v>0.182180413181075</v>
      </c>
      <c r="K1028">
        <v>0.14159024954285401</v>
      </c>
      <c r="L1028">
        <v>966.44737095431401</v>
      </c>
      <c r="M1028">
        <v>17.7381040435227</v>
      </c>
      <c r="N1028">
        <v>55.543711675412602</v>
      </c>
      <c r="O1028">
        <v>53.805926865885198</v>
      </c>
      <c r="P1028">
        <v>-7.0591899620067997E-2</v>
      </c>
      <c r="Q1028">
        <v>0.143524238457438</v>
      </c>
      <c r="R1028">
        <v>0.99876181358632898</v>
      </c>
      <c r="S1028" t="s">
        <v>5324</v>
      </c>
      <c r="T1028" t="s">
        <v>8590</v>
      </c>
      <c r="U1028" t="s">
        <v>8590</v>
      </c>
      <c r="V1028" t="s">
        <v>8590</v>
      </c>
      <c r="W1028">
        <v>6</v>
      </c>
      <c r="X1028" t="s">
        <v>9618</v>
      </c>
      <c r="Y1028">
        <v>0.57082337168180852</v>
      </c>
      <c r="Z1028" t="str">
        <f>HYPERLINK("Melting_Curves/meltCurve_sp_P36405_ARL3_HUMAN_.pdf", "Melting_Curves/meltCurve_sp_P36405_ARL3_HUMAN_.pdf")</f>
        <v>Melting_Curves/meltCurve_sp_P36405_ARL3_HUMAN_.pdf</v>
      </c>
      <c r="AA1028" t="s">
        <v>13895</v>
      </c>
      <c r="AB1028" t="s">
        <v>18113</v>
      </c>
    </row>
    <row r="1029" spans="1:28" x14ac:dyDescent="0.25">
      <c r="A1029" t="s">
        <v>1033</v>
      </c>
      <c r="B1029">
        <v>0.99876560204751996</v>
      </c>
      <c r="C1029">
        <v>0.95430356390294502</v>
      </c>
      <c r="D1029">
        <v>0.95095594344622802</v>
      </c>
      <c r="E1029">
        <v>0.60135231664782296</v>
      </c>
      <c r="F1029">
        <v>0.21564239030520299</v>
      </c>
      <c r="G1029">
        <v>0.100205389045705</v>
      </c>
      <c r="H1029">
        <v>9.8791433164544099E-2</v>
      </c>
      <c r="I1029">
        <v>4.36815257673163E-2</v>
      </c>
      <c r="J1029">
        <v>7.3314364954097502E-2</v>
      </c>
      <c r="K1029">
        <v>5.2756565837865199E-2</v>
      </c>
      <c r="L1029">
        <v>1613.54910560862</v>
      </c>
      <c r="M1029">
        <v>32.010934416752498</v>
      </c>
      <c r="N1029">
        <v>50.632716769820902</v>
      </c>
      <c r="O1029">
        <v>50.210699499134201</v>
      </c>
      <c r="P1029">
        <v>-0.14875030235035799</v>
      </c>
      <c r="Q1029">
        <v>6.6716655235469199E-2</v>
      </c>
      <c r="R1029">
        <v>0.99759004177215405</v>
      </c>
      <c r="S1029" t="s">
        <v>5325</v>
      </c>
      <c r="T1029" t="s">
        <v>8590</v>
      </c>
      <c r="U1029" t="s">
        <v>8590</v>
      </c>
      <c r="V1029" t="s">
        <v>8590</v>
      </c>
      <c r="W1029">
        <v>7</v>
      </c>
      <c r="X1029" t="s">
        <v>9619</v>
      </c>
      <c r="Y1029">
        <v>0.39554567465979468</v>
      </c>
      <c r="Z1029" t="str">
        <f>HYPERLINK("Melting_Curves/meltCurve_sp_P36507_MP2K2_HUMAN_.pdf", "Melting_Curves/meltCurve_sp_P36507_MP2K2_HUMAN_.pdf")</f>
        <v>Melting_Curves/meltCurve_sp_P36507_MP2K2_HUMAN_.pdf</v>
      </c>
      <c r="AA1029" t="s">
        <v>13896</v>
      </c>
      <c r="AB1029" t="s">
        <v>18114</v>
      </c>
    </row>
    <row r="1030" spans="1:28" x14ac:dyDescent="0.25">
      <c r="A1030" t="s">
        <v>1034</v>
      </c>
      <c r="B1030">
        <v>0.99876560204751996</v>
      </c>
      <c r="C1030">
        <v>1.02454266187024</v>
      </c>
      <c r="D1030">
        <v>0.98300920769717304</v>
      </c>
      <c r="E1030">
        <v>0.87829552813030298</v>
      </c>
      <c r="F1030">
        <v>0.614573293137609</v>
      </c>
      <c r="G1030">
        <v>0.17600175501485699</v>
      </c>
      <c r="H1030">
        <v>0.1212687968732</v>
      </c>
      <c r="I1030">
        <v>8.3439414654558494E-2</v>
      </c>
      <c r="J1030">
        <v>8.4380007889155895E-2</v>
      </c>
      <c r="K1030">
        <v>8.0725769972771394E-2</v>
      </c>
      <c r="L1030">
        <v>1633.38055248093</v>
      </c>
      <c r="M1030">
        <v>30.5721536389755</v>
      </c>
      <c r="N1030">
        <v>53.739700205064501</v>
      </c>
      <c r="O1030">
        <v>53.2000214536979</v>
      </c>
      <c r="P1030">
        <v>-0.13196266840902501</v>
      </c>
      <c r="Q1030">
        <v>8.1467855633880801E-2</v>
      </c>
      <c r="R1030">
        <v>0.99855336204575196</v>
      </c>
      <c r="S1030" t="s">
        <v>5326</v>
      </c>
      <c r="T1030" t="s">
        <v>8590</v>
      </c>
      <c r="U1030" t="s">
        <v>8590</v>
      </c>
      <c r="V1030" t="s">
        <v>8590</v>
      </c>
      <c r="W1030">
        <v>10</v>
      </c>
      <c r="X1030" t="s">
        <v>9620</v>
      </c>
      <c r="Y1030">
        <v>0.4983488119082381</v>
      </c>
      <c r="Z1030" t="str">
        <f>HYPERLINK("Melting_Curves/meltCurve_sp_P36543_VATE1_HUMAN_.pdf", "Melting_Curves/meltCurve_sp_P36543_VATE1_HUMAN_.pdf")</f>
        <v>Melting_Curves/meltCurve_sp_P36543_VATE1_HUMAN_.pdf</v>
      </c>
      <c r="AA1030" t="s">
        <v>13897</v>
      </c>
      <c r="AB1030" t="s">
        <v>18115</v>
      </c>
    </row>
    <row r="1031" spans="1:28" x14ac:dyDescent="0.25">
      <c r="A1031" t="s">
        <v>1035</v>
      </c>
      <c r="B1031">
        <v>0.99876560204751996</v>
      </c>
      <c r="C1031">
        <v>0.97393225684664098</v>
      </c>
      <c r="D1031">
        <v>0.984186373965109</v>
      </c>
      <c r="E1031">
        <v>0.91415196670269205</v>
      </c>
      <c r="F1031">
        <v>0.80456630244919602</v>
      </c>
      <c r="G1031">
        <v>0.61264488117677296</v>
      </c>
      <c r="H1031">
        <v>0.32398211566086699</v>
      </c>
      <c r="I1031">
        <v>0.18275324020872699</v>
      </c>
      <c r="J1031">
        <v>0.13798776783286501</v>
      </c>
      <c r="K1031">
        <v>0.14156678236201101</v>
      </c>
      <c r="L1031">
        <v>959.93765854316405</v>
      </c>
      <c r="M1031">
        <v>16.656239711531899</v>
      </c>
      <c r="N1031">
        <v>58.115228777492497</v>
      </c>
      <c r="O1031">
        <v>56.820801322953699</v>
      </c>
      <c r="P1031">
        <v>-6.8552492232326706E-2</v>
      </c>
      <c r="Q1031">
        <v>6.4627608659274305E-2</v>
      </c>
      <c r="R1031">
        <v>0.99632580544345295</v>
      </c>
      <c r="S1031" t="s">
        <v>5327</v>
      </c>
      <c r="T1031" t="s">
        <v>8590</v>
      </c>
      <c r="U1031" t="s">
        <v>8590</v>
      </c>
      <c r="V1031" t="s">
        <v>8590</v>
      </c>
      <c r="W1031">
        <v>21</v>
      </c>
      <c r="X1031" t="s">
        <v>9621</v>
      </c>
      <c r="Y1031">
        <v>0.62716072443685555</v>
      </c>
      <c r="Z1031" t="str">
        <f>HYPERLINK("Melting_Curves/meltCurve_sp_P36551_HEM6_HUMAN_.pdf", "Melting_Curves/meltCurve_sp_P36551_HEM6_HUMAN_.pdf")</f>
        <v>Melting_Curves/meltCurve_sp_P36551_HEM6_HUMAN_.pdf</v>
      </c>
      <c r="AA1031" t="s">
        <v>13898</v>
      </c>
      <c r="AB1031" t="s">
        <v>18116</v>
      </c>
    </row>
    <row r="1032" spans="1:28" x14ac:dyDescent="0.25">
      <c r="A1032" t="s">
        <v>1036</v>
      </c>
      <c r="B1032">
        <v>0.99876560204751996</v>
      </c>
      <c r="C1032">
        <v>1.07680374032797</v>
      </c>
      <c r="D1032">
        <v>0.96172452560425004</v>
      </c>
      <c r="E1032">
        <v>0.612415851917682</v>
      </c>
      <c r="F1032">
        <v>0.70296499261499101</v>
      </c>
      <c r="G1032">
        <v>0.52120205549777898</v>
      </c>
      <c r="H1032">
        <v>0.52270621386303895</v>
      </c>
      <c r="I1032">
        <v>0.587701314416054</v>
      </c>
      <c r="J1032">
        <v>0.76525883675812101</v>
      </c>
      <c r="K1032">
        <v>0.57869316880975996</v>
      </c>
      <c r="L1032">
        <v>11601.638247995101</v>
      </c>
      <c r="M1032">
        <v>250</v>
      </c>
      <c r="O1032">
        <v>46.403583293761201</v>
      </c>
      <c r="P1032">
        <v>-0.52125317132760296</v>
      </c>
      <c r="Q1032">
        <v>0.61299176131968403</v>
      </c>
      <c r="R1032">
        <v>0.85809738183112505</v>
      </c>
      <c r="S1032" t="s">
        <v>5328</v>
      </c>
      <c r="T1032" t="s">
        <v>8590</v>
      </c>
      <c r="U1032" t="s">
        <v>8590</v>
      </c>
      <c r="V1032" t="s">
        <v>8590</v>
      </c>
      <c r="W1032">
        <v>2</v>
      </c>
      <c r="X1032" t="s">
        <v>9622</v>
      </c>
      <c r="Y1032">
        <v>0.69566957332713142</v>
      </c>
      <c r="Z1032" t="str">
        <f>HYPERLINK("Melting_Curves/meltCurve_sp_P36578_RL4_HUMAN_.pdf", "Melting_Curves/meltCurve_sp_P36578_RL4_HUMAN_.pdf")</f>
        <v>Melting_Curves/meltCurve_sp_P36578_RL4_HUMAN_.pdf</v>
      </c>
      <c r="AA1032" t="s">
        <v>13899</v>
      </c>
      <c r="AB1032" t="s">
        <v>18117</v>
      </c>
    </row>
    <row r="1033" spans="1:28" x14ac:dyDescent="0.25">
      <c r="A1033" t="s">
        <v>1037</v>
      </c>
      <c r="B1033">
        <v>0.99876560204751996</v>
      </c>
      <c r="C1033">
        <v>1.00903686755428</v>
      </c>
      <c r="D1033">
        <v>0.974907034682853</v>
      </c>
      <c r="E1033">
        <v>1.02181887661646</v>
      </c>
      <c r="F1033">
        <v>0.73601244779247099</v>
      </c>
      <c r="G1033">
        <v>0.31144027501905502</v>
      </c>
      <c r="H1033">
        <v>0.128324832686839</v>
      </c>
      <c r="I1033">
        <v>9.7727566902744104E-2</v>
      </c>
      <c r="J1033">
        <v>9.3836207399950605E-2</v>
      </c>
      <c r="K1033">
        <v>0.106004324608305</v>
      </c>
      <c r="L1033">
        <v>1740.11872418283</v>
      </c>
      <c r="M1033">
        <v>31.794484596956099</v>
      </c>
      <c r="N1033">
        <v>55.104463880178599</v>
      </c>
      <c r="O1033">
        <v>54.515061816897401</v>
      </c>
      <c r="P1033">
        <v>-0.13164758235346999</v>
      </c>
      <c r="Q1033">
        <v>9.71089382020493E-2</v>
      </c>
      <c r="R1033">
        <v>0.99649149304824003</v>
      </c>
      <c r="S1033" t="s">
        <v>5329</v>
      </c>
      <c r="T1033" t="s">
        <v>8590</v>
      </c>
      <c r="U1033" t="s">
        <v>8590</v>
      </c>
      <c r="V1033" t="s">
        <v>8590</v>
      </c>
      <c r="W1033">
        <v>1</v>
      </c>
      <c r="X1033" t="s">
        <v>9623</v>
      </c>
      <c r="Y1033">
        <v>0.54578123624226627</v>
      </c>
      <c r="Z1033" t="str">
        <f>HYPERLINK("Melting_Curves/meltCurve_sp_P36639_4_8ODP_HUMAN_.pdf", "Melting_Curves/meltCurve_sp_P36639_4_8ODP_HUMAN_.pdf")</f>
        <v>Melting_Curves/meltCurve_sp_P36639_4_8ODP_HUMAN_.pdf</v>
      </c>
      <c r="AA1033" t="s">
        <v>13900</v>
      </c>
      <c r="AB1033" t="s">
        <v>18118</v>
      </c>
    </row>
    <row r="1034" spans="1:28" x14ac:dyDescent="0.25">
      <c r="A1034" t="s">
        <v>1038</v>
      </c>
      <c r="B1034">
        <v>0.99876560204751996</v>
      </c>
      <c r="C1034">
        <v>0.97241709523268705</v>
      </c>
      <c r="D1034">
        <v>1.04773332344263</v>
      </c>
      <c r="E1034">
        <v>0.94457010536638897</v>
      </c>
      <c r="F1034">
        <v>0.64156822436356198</v>
      </c>
      <c r="G1034">
        <v>0.231214278094657</v>
      </c>
      <c r="H1034">
        <v>8.7497770069867406E-2</v>
      </c>
      <c r="I1034">
        <v>5.6615506560869902E-2</v>
      </c>
      <c r="J1034">
        <v>4.67212677724907E-2</v>
      </c>
      <c r="K1034">
        <v>3.55554653884377E-2</v>
      </c>
      <c r="L1034">
        <v>1585.32329239621</v>
      </c>
      <c r="M1034">
        <v>29.319844527244701</v>
      </c>
      <c r="N1034">
        <v>54.248901908531998</v>
      </c>
      <c r="O1034">
        <v>53.820341621866604</v>
      </c>
      <c r="P1034">
        <v>-0.12991730014662201</v>
      </c>
      <c r="Q1034">
        <v>4.6087603109465899E-2</v>
      </c>
      <c r="R1034">
        <v>0.99734727722028804</v>
      </c>
      <c r="S1034" t="s">
        <v>5330</v>
      </c>
      <c r="T1034" t="s">
        <v>8590</v>
      </c>
      <c r="U1034" t="s">
        <v>8590</v>
      </c>
      <c r="V1034" t="s">
        <v>8590</v>
      </c>
      <c r="W1034">
        <v>44</v>
      </c>
      <c r="X1034" t="s">
        <v>9624</v>
      </c>
      <c r="Y1034">
        <v>0.50002518451544187</v>
      </c>
      <c r="Z1034" t="str">
        <f>HYPERLINK("Melting_Curves/meltCurve_sp_P36871_PGM1_HUMAN_.pdf", "Melting_Curves/meltCurve_sp_P36871_PGM1_HUMAN_.pdf")</f>
        <v>Melting_Curves/meltCurve_sp_P36871_PGM1_HUMAN_.pdf</v>
      </c>
      <c r="AA1034" t="s">
        <v>13901</v>
      </c>
      <c r="AB1034" t="s">
        <v>18119</v>
      </c>
    </row>
    <row r="1035" spans="1:28" x14ac:dyDescent="0.25">
      <c r="A1035" t="s">
        <v>1039</v>
      </c>
      <c r="B1035">
        <v>0.99876560204751996</v>
      </c>
      <c r="C1035">
        <v>0.97102696473941497</v>
      </c>
      <c r="D1035">
        <v>0.96749426192732002</v>
      </c>
      <c r="E1035">
        <v>0.76908648139448499</v>
      </c>
      <c r="F1035">
        <v>0.237243295580123</v>
      </c>
      <c r="G1035">
        <v>0.13520821125903501</v>
      </c>
      <c r="H1035">
        <v>9.5370503085791203E-2</v>
      </c>
      <c r="I1035">
        <v>6.1313365733523501E-2</v>
      </c>
      <c r="J1035">
        <v>6.2447424786211597E-2</v>
      </c>
      <c r="K1035">
        <v>4.3590720369577299E-2</v>
      </c>
      <c r="L1035">
        <v>2246.20465293503</v>
      </c>
      <c r="M1035">
        <v>43.859260104854201</v>
      </c>
      <c r="N1035">
        <v>51.406509695459299</v>
      </c>
      <c r="O1035">
        <v>51.107793644753897</v>
      </c>
      <c r="P1035">
        <v>-0.19828949503858501</v>
      </c>
      <c r="Q1035">
        <v>7.5759683892550805E-2</v>
      </c>
      <c r="R1035">
        <v>0.996531189272433</v>
      </c>
      <c r="S1035" t="s">
        <v>5331</v>
      </c>
      <c r="T1035" t="s">
        <v>8590</v>
      </c>
      <c r="U1035" t="s">
        <v>8590</v>
      </c>
      <c r="V1035" t="s">
        <v>8590</v>
      </c>
      <c r="W1035">
        <v>10</v>
      </c>
      <c r="X1035" t="s">
        <v>9625</v>
      </c>
      <c r="Y1035">
        <v>0.423955915998595</v>
      </c>
      <c r="Z1035" t="str">
        <f>HYPERLINK("Melting_Curves/meltCurve_sp_P36915_GNL1_HUMAN_.pdf", "Melting_Curves/meltCurve_sp_P36915_GNL1_HUMAN_.pdf")</f>
        <v>Melting_Curves/meltCurve_sp_P36915_GNL1_HUMAN_.pdf</v>
      </c>
      <c r="AA1035" t="s">
        <v>13902</v>
      </c>
      <c r="AB1035" t="s">
        <v>18120</v>
      </c>
    </row>
    <row r="1036" spans="1:28" x14ac:dyDescent="0.25">
      <c r="A1036" t="s">
        <v>1040</v>
      </c>
      <c r="B1036">
        <v>0.99876560204751996</v>
      </c>
      <c r="C1036">
        <v>0.96884533160558395</v>
      </c>
      <c r="D1036">
        <v>0.98985256702526103</v>
      </c>
      <c r="E1036">
        <v>0.85710215018443703</v>
      </c>
      <c r="F1036">
        <v>0.80046824763145596</v>
      </c>
      <c r="G1036">
        <v>0.61438368525654297</v>
      </c>
      <c r="H1036">
        <v>0.59654312499150097</v>
      </c>
      <c r="I1036">
        <v>0.46598472662548301</v>
      </c>
      <c r="J1036">
        <v>0.609928275332974</v>
      </c>
      <c r="K1036">
        <v>0.55245357097751602</v>
      </c>
      <c r="L1036">
        <v>1010.68503628679</v>
      </c>
      <c r="M1036">
        <v>19.094398530276301</v>
      </c>
      <c r="O1036">
        <v>52.360662713759197</v>
      </c>
      <c r="P1036">
        <v>-4.1997268271382199E-2</v>
      </c>
      <c r="Q1036">
        <v>0.53935835438204105</v>
      </c>
      <c r="R1036">
        <v>0.95643989408492702</v>
      </c>
      <c r="S1036" t="s">
        <v>5332</v>
      </c>
      <c r="T1036" t="s">
        <v>8590</v>
      </c>
      <c r="U1036" t="s">
        <v>8590</v>
      </c>
      <c r="V1036" t="s">
        <v>8590</v>
      </c>
      <c r="W1036">
        <v>2</v>
      </c>
      <c r="X1036" t="s">
        <v>9626</v>
      </c>
      <c r="Y1036">
        <v>0.74476575353930008</v>
      </c>
      <c r="Z1036" t="str">
        <f>HYPERLINK("Melting_Curves/meltCurve_sp_P36954_RPB9_HUMAN_.pdf", "Melting_Curves/meltCurve_sp_P36954_RPB9_HUMAN_.pdf")</f>
        <v>Melting_Curves/meltCurve_sp_P36954_RPB9_HUMAN_.pdf</v>
      </c>
      <c r="AA1036" t="s">
        <v>13903</v>
      </c>
      <c r="AB1036" t="s">
        <v>18121</v>
      </c>
    </row>
    <row r="1037" spans="1:28" x14ac:dyDescent="0.25">
      <c r="A1037" t="s">
        <v>1041</v>
      </c>
      <c r="B1037">
        <v>0.99876560204751996</v>
      </c>
      <c r="C1037">
        <v>0.92251923805505898</v>
      </c>
      <c r="D1037">
        <v>0.99356163170198397</v>
      </c>
      <c r="E1037">
        <v>0.88259503965858799</v>
      </c>
      <c r="F1037">
        <v>0.73833453838081897</v>
      </c>
      <c r="G1037">
        <v>0.35906259561048098</v>
      </c>
      <c r="H1037">
        <v>0.10571292861561001</v>
      </c>
      <c r="I1037">
        <v>9.7344697137808897E-2</v>
      </c>
      <c r="J1037">
        <v>8.9249586681160301E-2</v>
      </c>
      <c r="K1037">
        <v>8.7496446664783206E-2</v>
      </c>
      <c r="L1037">
        <v>1293.20396875302</v>
      </c>
      <c r="M1037">
        <v>23.533833030185299</v>
      </c>
      <c r="N1037">
        <v>55.277479530693299</v>
      </c>
      <c r="O1037">
        <v>54.558692317034797</v>
      </c>
      <c r="P1037">
        <v>-0.10083893904741401</v>
      </c>
      <c r="Q1037">
        <v>6.4912915439966995E-2</v>
      </c>
      <c r="R1037">
        <v>0.99379837494973</v>
      </c>
      <c r="S1037" t="s">
        <v>5333</v>
      </c>
      <c r="T1037" t="s">
        <v>8590</v>
      </c>
      <c r="U1037" t="s">
        <v>8590</v>
      </c>
      <c r="V1037" t="s">
        <v>8590</v>
      </c>
      <c r="W1037">
        <v>5</v>
      </c>
      <c r="X1037" t="s">
        <v>9627</v>
      </c>
      <c r="Y1037">
        <v>0.54052813103761133</v>
      </c>
      <c r="Z1037" t="str">
        <f>HYPERLINK("Melting_Curves/meltCurve_sp_P36955_PEDF_HUMAN_.pdf", "Melting_Curves/meltCurve_sp_P36955_PEDF_HUMAN_.pdf")</f>
        <v>Melting_Curves/meltCurve_sp_P36955_PEDF_HUMAN_.pdf</v>
      </c>
      <c r="AA1037" t="s">
        <v>13904</v>
      </c>
      <c r="AB1037" t="s">
        <v>18122</v>
      </c>
    </row>
    <row r="1038" spans="1:28" x14ac:dyDescent="0.25">
      <c r="A1038" t="s">
        <v>1042</v>
      </c>
      <c r="B1038">
        <v>0.99876560204751996</v>
      </c>
      <c r="C1038">
        <v>1.05489238460113</v>
      </c>
      <c r="D1038">
        <v>1.0102465803410401</v>
      </c>
      <c r="E1038">
        <v>0.96406180450794698</v>
      </c>
      <c r="F1038">
        <v>0.87896610415532905</v>
      </c>
      <c r="G1038">
        <v>0.71567972977656702</v>
      </c>
      <c r="H1038">
        <v>0.60018638233842003</v>
      </c>
      <c r="I1038">
        <v>0.56510411147985595</v>
      </c>
      <c r="J1038">
        <v>0.71291188578157305</v>
      </c>
      <c r="K1038">
        <v>0.560125253052009</v>
      </c>
      <c r="L1038">
        <v>1500.7611192684101</v>
      </c>
      <c r="M1038">
        <v>27.456608074645999</v>
      </c>
      <c r="O1038">
        <v>54.3718955524484</v>
      </c>
      <c r="P1038">
        <v>-4.9947487198792703E-2</v>
      </c>
      <c r="Q1038">
        <v>0.60436273066072599</v>
      </c>
      <c r="R1038">
        <v>0.94389323815523696</v>
      </c>
      <c r="S1038" t="s">
        <v>5334</v>
      </c>
      <c r="T1038" t="s">
        <v>8590</v>
      </c>
      <c r="U1038" t="s">
        <v>8590</v>
      </c>
      <c r="V1038" t="s">
        <v>8590</v>
      </c>
      <c r="W1038">
        <v>15</v>
      </c>
      <c r="X1038" t="s">
        <v>9628</v>
      </c>
      <c r="Y1038">
        <v>0.80077957428494151</v>
      </c>
      <c r="Z1038" t="str">
        <f>HYPERLINK("Melting_Curves/meltCurve_sp_P36957_ODO2_HUMAN_.pdf", "Melting_Curves/meltCurve_sp_P36957_ODO2_HUMAN_.pdf")</f>
        <v>Melting_Curves/meltCurve_sp_P36957_ODO2_HUMAN_.pdf</v>
      </c>
      <c r="AA1038" t="s">
        <v>13905</v>
      </c>
      <c r="AB1038" t="s">
        <v>18123</v>
      </c>
    </row>
    <row r="1039" spans="1:28" x14ac:dyDescent="0.25">
      <c r="A1039" t="s">
        <v>1043</v>
      </c>
      <c r="B1039">
        <v>0.99876560204751996</v>
      </c>
      <c r="C1039">
        <v>1.09326519806656</v>
      </c>
      <c r="D1039">
        <v>0.94386314645853797</v>
      </c>
      <c r="E1039">
        <v>0.93344901700461402</v>
      </c>
      <c r="F1039">
        <v>0.91206626903795895</v>
      </c>
      <c r="G1039">
        <v>0.53280771394402604</v>
      </c>
      <c r="H1039">
        <v>0.44111483143883901</v>
      </c>
      <c r="I1039">
        <v>0.292993247132803</v>
      </c>
      <c r="J1039">
        <v>0.33563362920666701</v>
      </c>
      <c r="K1039">
        <v>0.21773045723769399</v>
      </c>
      <c r="L1039">
        <v>1219.06695813497</v>
      </c>
      <c r="M1039">
        <v>21.593452935527001</v>
      </c>
      <c r="N1039">
        <v>58.451751743860797</v>
      </c>
      <c r="O1039">
        <v>55.977907076862202</v>
      </c>
      <c r="P1039">
        <v>-7.1283832468195807E-2</v>
      </c>
      <c r="Q1039">
        <v>0.26084568696750499</v>
      </c>
      <c r="R1039">
        <v>0.97246778313766202</v>
      </c>
      <c r="S1039" t="s">
        <v>5335</v>
      </c>
      <c r="T1039" t="s">
        <v>8590</v>
      </c>
      <c r="U1039" t="s">
        <v>8590</v>
      </c>
      <c r="V1039" t="s">
        <v>8590</v>
      </c>
      <c r="W1039">
        <v>4</v>
      </c>
      <c r="X1039" t="s">
        <v>9629</v>
      </c>
      <c r="Y1039">
        <v>0.67469334706428397</v>
      </c>
      <c r="Z1039" t="str">
        <f>HYPERLINK("Melting_Curves/meltCurve_sp_P36959_GMPR1_HUMAN_.pdf", "Melting_Curves/meltCurve_sp_P36959_GMPR1_HUMAN_.pdf")</f>
        <v>Melting_Curves/meltCurve_sp_P36959_GMPR1_HUMAN_.pdf</v>
      </c>
      <c r="AA1039" t="s">
        <v>13906</v>
      </c>
      <c r="AB1039" t="s">
        <v>18124</v>
      </c>
    </row>
    <row r="1040" spans="1:28" x14ac:dyDescent="0.25">
      <c r="A1040" t="s">
        <v>1044</v>
      </c>
      <c r="B1040">
        <v>0.99876560204751996</v>
      </c>
      <c r="C1040">
        <v>0.82590538684590398</v>
      </c>
      <c r="D1040">
        <v>0.712526546055677</v>
      </c>
      <c r="E1040">
        <v>0.339282566898505</v>
      </c>
      <c r="F1040">
        <v>0.16861888019061599</v>
      </c>
      <c r="G1040">
        <v>9.2419862240138304E-2</v>
      </c>
      <c r="H1040">
        <v>6.2220048753245702E-2</v>
      </c>
      <c r="I1040">
        <v>4.8015943902191903E-2</v>
      </c>
      <c r="J1040">
        <v>4.1245056751997501E-2</v>
      </c>
      <c r="K1040">
        <v>3.87466850619302E-2</v>
      </c>
      <c r="L1040">
        <v>826.97304294042794</v>
      </c>
      <c r="M1040">
        <v>17.290325393710599</v>
      </c>
      <c r="N1040">
        <v>48.024121941365998</v>
      </c>
      <c r="O1040">
        <v>47.202621258468902</v>
      </c>
      <c r="P1040">
        <v>-8.8468573247480795E-2</v>
      </c>
      <c r="Q1040">
        <v>3.3978237273376698E-2</v>
      </c>
      <c r="R1040">
        <v>0.99529214542868605</v>
      </c>
      <c r="S1040" t="s">
        <v>5336</v>
      </c>
      <c r="T1040" t="s">
        <v>8590</v>
      </c>
      <c r="U1040" t="s">
        <v>8590</v>
      </c>
      <c r="V1040" t="s">
        <v>8590</v>
      </c>
      <c r="W1040">
        <v>11</v>
      </c>
      <c r="X1040" t="s">
        <v>9630</v>
      </c>
      <c r="Y1040">
        <v>0.30481503214139383</v>
      </c>
      <c r="Z1040" t="str">
        <f>HYPERLINK("Melting_Curves/meltCurve_sp_P36969_2_GPX4_HUMAN_.pdf", "Melting_Curves/meltCurve_sp_P36969_2_GPX4_HUMAN_.pdf")</f>
        <v>Melting_Curves/meltCurve_sp_P36969_2_GPX4_HUMAN_.pdf</v>
      </c>
      <c r="AA1040" t="s">
        <v>13907</v>
      </c>
      <c r="AB1040" t="s">
        <v>18125</v>
      </c>
    </row>
    <row r="1041" spans="1:28" x14ac:dyDescent="0.25">
      <c r="A1041" t="s">
        <v>1045</v>
      </c>
      <c r="B1041">
        <v>0.99876560204751996</v>
      </c>
      <c r="C1041">
        <v>0.96257117913714296</v>
      </c>
      <c r="D1041">
        <v>0.98344315804016103</v>
      </c>
      <c r="E1041">
        <v>0.78030195617701903</v>
      </c>
      <c r="F1041">
        <v>0.69680250955990197</v>
      </c>
      <c r="G1041">
        <v>0.497171484572343</v>
      </c>
      <c r="H1041">
        <v>0.41380844888128798</v>
      </c>
      <c r="I1041">
        <v>0.36875245511185001</v>
      </c>
      <c r="J1041">
        <v>0.443066815868908</v>
      </c>
      <c r="K1041">
        <v>0.42802124945022102</v>
      </c>
      <c r="L1041">
        <v>978.41691677660401</v>
      </c>
      <c r="M1041">
        <v>18.728773180743602</v>
      </c>
      <c r="N1041">
        <v>57.082870806152997</v>
      </c>
      <c r="O1041">
        <v>51.656719203965501</v>
      </c>
      <c r="P1041">
        <v>-5.4578548199007398E-2</v>
      </c>
      <c r="Q1041">
        <v>0.39788265396567801</v>
      </c>
      <c r="R1041">
        <v>0.98482183175429705</v>
      </c>
      <c r="S1041" t="s">
        <v>5337</v>
      </c>
      <c r="T1041" t="s">
        <v>8590</v>
      </c>
      <c r="U1041" t="s">
        <v>8590</v>
      </c>
      <c r="V1041" t="s">
        <v>8590</v>
      </c>
      <c r="W1041">
        <v>8</v>
      </c>
      <c r="X1041" t="s">
        <v>9631</v>
      </c>
      <c r="Y1041">
        <v>0.65290824125494995</v>
      </c>
      <c r="Z1041" t="str">
        <f>HYPERLINK("Melting_Curves/meltCurve_sp_P36980_2_FHR2_HUMAN_.pdf", "Melting_Curves/meltCurve_sp_P36980_2_FHR2_HUMAN_.pdf")</f>
        <v>Melting_Curves/meltCurve_sp_P36980_2_FHR2_HUMAN_.pdf</v>
      </c>
      <c r="AA1041" t="s">
        <v>13908</v>
      </c>
      <c r="AB1041" t="s">
        <v>18126</v>
      </c>
    </row>
    <row r="1042" spans="1:28" x14ac:dyDescent="0.25">
      <c r="A1042" t="s">
        <v>1046</v>
      </c>
      <c r="B1042">
        <v>0.99876560204751996</v>
      </c>
      <c r="C1042">
        <v>0.996912644405892</v>
      </c>
      <c r="D1042">
        <v>0.67643843746170496</v>
      </c>
      <c r="E1042">
        <v>0.49023967590661699</v>
      </c>
      <c r="F1042">
        <v>0.24109964037980899</v>
      </c>
      <c r="G1042">
        <v>0.116400499917077</v>
      </c>
      <c r="H1042">
        <v>4.7167881517628699E-2</v>
      </c>
      <c r="I1042">
        <v>4.68997275947498E-2</v>
      </c>
      <c r="J1042">
        <v>3.6394496218409601E-2</v>
      </c>
      <c r="K1042">
        <v>1.7285331590861999E-2</v>
      </c>
      <c r="L1042">
        <v>791.57389823843698</v>
      </c>
      <c r="M1042">
        <v>16.0825886718211</v>
      </c>
      <c r="N1042">
        <v>49.3201040287246</v>
      </c>
      <c r="O1042">
        <v>48.477188894355599</v>
      </c>
      <c r="P1042">
        <v>-8.1604362610464595E-2</v>
      </c>
      <c r="Q1042">
        <v>1.61668059267344E-2</v>
      </c>
      <c r="R1042">
        <v>0.98859756208261995</v>
      </c>
      <c r="S1042" t="s">
        <v>5338</v>
      </c>
      <c r="T1042" t="s">
        <v>8590</v>
      </c>
      <c r="U1042" t="s">
        <v>8590</v>
      </c>
      <c r="V1042" t="s">
        <v>8590</v>
      </c>
      <c r="W1042">
        <v>3</v>
      </c>
      <c r="X1042" t="s">
        <v>9632</v>
      </c>
      <c r="Y1042">
        <v>0.33963367960660862</v>
      </c>
      <c r="Z1042" t="str">
        <f>HYPERLINK("Melting_Curves/meltCurve_sp_P37059_DHB2_HUMAN_.pdf", "Melting_Curves/meltCurve_sp_P37059_DHB2_HUMAN_.pdf")</f>
        <v>Melting_Curves/meltCurve_sp_P37059_DHB2_HUMAN_.pdf</v>
      </c>
      <c r="AA1042" t="s">
        <v>13909</v>
      </c>
      <c r="AB1042" t="s">
        <v>18127</v>
      </c>
    </row>
    <row r="1043" spans="1:28" x14ac:dyDescent="0.25">
      <c r="A1043" t="s">
        <v>1047</v>
      </c>
      <c r="B1043">
        <v>0.99876560204751996</v>
      </c>
      <c r="C1043">
        <v>1.00688222147989</v>
      </c>
      <c r="D1043">
        <v>0.906435930732161</v>
      </c>
      <c r="E1043">
        <v>0.89015035315198299</v>
      </c>
      <c r="F1043">
        <v>0.825351172474866</v>
      </c>
      <c r="G1043">
        <v>0.72627603669591101</v>
      </c>
      <c r="H1043">
        <v>0.46576835591261001</v>
      </c>
      <c r="I1043">
        <v>0.26069828251476401</v>
      </c>
      <c r="J1043">
        <v>0.21992930352251</v>
      </c>
      <c r="K1043">
        <v>0.179844638541586</v>
      </c>
      <c r="L1043">
        <v>733.96922443212998</v>
      </c>
      <c r="M1043">
        <v>12.2031284632289</v>
      </c>
      <c r="N1043">
        <v>60.145988581617601</v>
      </c>
      <c r="O1043">
        <v>58.599214173884</v>
      </c>
      <c r="P1043">
        <v>-5.2073586527310298E-2</v>
      </c>
      <c r="Q1043">
        <v>0</v>
      </c>
      <c r="R1043">
        <v>0.98463798709490702</v>
      </c>
      <c r="S1043" t="s">
        <v>5339</v>
      </c>
      <c r="T1043" t="s">
        <v>8590</v>
      </c>
      <c r="U1043" t="s">
        <v>8590</v>
      </c>
      <c r="V1043" t="s">
        <v>8590</v>
      </c>
      <c r="W1043">
        <v>7</v>
      </c>
      <c r="X1043" t="s">
        <v>9633</v>
      </c>
      <c r="Y1043">
        <v>0.67350929448579455</v>
      </c>
      <c r="Z1043" t="str">
        <f>HYPERLINK("Melting_Curves/meltCurve_sp_P37108_SRP14_HUMAN_.pdf", "Melting_Curves/meltCurve_sp_P37108_SRP14_HUMAN_.pdf")</f>
        <v>Melting_Curves/meltCurve_sp_P37108_SRP14_HUMAN_.pdf</v>
      </c>
      <c r="AA1043" t="s">
        <v>13910</v>
      </c>
      <c r="AB1043" t="s">
        <v>18128</v>
      </c>
    </row>
    <row r="1044" spans="1:28" x14ac:dyDescent="0.25">
      <c r="A1044" t="s">
        <v>1048</v>
      </c>
      <c r="B1044">
        <v>0.99876560204751996</v>
      </c>
      <c r="C1044">
        <v>0.93038053838552404</v>
      </c>
      <c r="D1044">
        <v>1.06172917086428</v>
      </c>
      <c r="E1044">
        <v>0.85308683050154399</v>
      </c>
      <c r="F1044">
        <v>0.80784861585315704</v>
      </c>
      <c r="G1044">
        <v>0.17138511907635301</v>
      </c>
      <c r="H1044">
        <v>0.38514378829819701</v>
      </c>
      <c r="I1044">
        <v>0.26316304325000001</v>
      </c>
      <c r="J1044">
        <v>0.36484273075597401</v>
      </c>
      <c r="K1044">
        <v>0.351144129440976</v>
      </c>
      <c r="L1044">
        <v>10441.095076960401</v>
      </c>
      <c r="M1044">
        <v>196.04407209729399</v>
      </c>
      <c r="N1044">
        <v>53.518998006196298</v>
      </c>
      <c r="O1044">
        <v>53.253390143540202</v>
      </c>
      <c r="P1044">
        <v>-0.63766830207703296</v>
      </c>
      <c r="Q1044">
        <v>0.30713560278877999</v>
      </c>
      <c r="R1044">
        <v>0.94074914767658602</v>
      </c>
      <c r="S1044" t="s">
        <v>5340</v>
      </c>
      <c r="T1044" t="s">
        <v>8590</v>
      </c>
      <c r="U1044" t="s">
        <v>8590</v>
      </c>
      <c r="V1044" t="s">
        <v>8590</v>
      </c>
      <c r="W1044">
        <v>4</v>
      </c>
      <c r="X1044" t="s">
        <v>9634</v>
      </c>
      <c r="Y1044">
        <v>0.61346199591430373</v>
      </c>
      <c r="Z1044" t="str">
        <f>HYPERLINK("Melting_Curves/meltCurve_sp_P37198_NUP62_HUMAN_.pdf", "Melting_Curves/meltCurve_sp_P37198_NUP62_HUMAN_.pdf")</f>
        <v>Melting_Curves/meltCurve_sp_P37198_NUP62_HUMAN_.pdf</v>
      </c>
      <c r="AA1044" t="s">
        <v>13911</v>
      </c>
      <c r="AB1044" t="s">
        <v>18129</v>
      </c>
    </row>
    <row r="1045" spans="1:28" x14ac:dyDescent="0.25">
      <c r="A1045" t="s">
        <v>1049</v>
      </c>
      <c r="B1045">
        <v>0.99876560204751996</v>
      </c>
      <c r="C1045">
        <v>0.95054590994240895</v>
      </c>
      <c r="D1045">
        <v>0.92142018327775799</v>
      </c>
      <c r="E1045">
        <v>0.63317517073545404</v>
      </c>
      <c r="F1045">
        <v>0.31139477839554303</v>
      </c>
      <c r="G1045">
        <v>0.25843423562922402</v>
      </c>
      <c r="H1045">
        <v>0.13066049555585599</v>
      </c>
      <c r="I1045">
        <v>9.5828555934133294E-2</v>
      </c>
      <c r="J1045">
        <v>0.12058407048689</v>
      </c>
      <c r="K1045">
        <v>9.5464246153923599E-2</v>
      </c>
      <c r="L1045">
        <v>1062.13379989851</v>
      </c>
      <c r="M1045">
        <v>20.9626675501428</v>
      </c>
      <c r="N1045">
        <v>51.267757102689799</v>
      </c>
      <c r="O1045">
        <v>50.213540159008303</v>
      </c>
      <c r="P1045">
        <v>-9.3019288786725704E-2</v>
      </c>
      <c r="Q1045">
        <v>0.108758168671707</v>
      </c>
      <c r="R1045">
        <v>0.99252647411338601</v>
      </c>
      <c r="S1045" t="s">
        <v>5341</v>
      </c>
      <c r="T1045" t="s">
        <v>8590</v>
      </c>
      <c r="U1045" t="s">
        <v>8590</v>
      </c>
      <c r="V1045" t="s">
        <v>8590</v>
      </c>
      <c r="W1045">
        <v>3</v>
      </c>
      <c r="X1045" t="s">
        <v>9635</v>
      </c>
      <c r="Y1045">
        <v>0.43699885697654239</v>
      </c>
      <c r="Z1045" t="str">
        <f>HYPERLINK("Melting_Curves/meltCurve_sp_P37235_HPCL1_HUMAN_.pdf", "Melting_Curves/meltCurve_sp_P37235_HPCL1_HUMAN_.pdf")</f>
        <v>Melting_Curves/meltCurve_sp_P37235_HPCL1_HUMAN_.pdf</v>
      </c>
      <c r="AA1045" t="s">
        <v>13912</v>
      </c>
      <c r="AB1045" t="s">
        <v>18130</v>
      </c>
    </row>
    <row r="1046" spans="1:28" x14ac:dyDescent="0.25">
      <c r="A1046" t="s">
        <v>1050</v>
      </c>
      <c r="B1046">
        <v>0.99876560204751996</v>
      </c>
      <c r="C1046">
        <v>0.95832828719835605</v>
      </c>
      <c r="D1046">
        <v>1.0845786600943901</v>
      </c>
      <c r="E1046">
        <v>0.90211589674877701</v>
      </c>
      <c r="F1046">
        <v>0.88855898843443903</v>
      </c>
      <c r="G1046">
        <v>0.64515665922526899</v>
      </c>
      <c r="H1046">
        <v>0.42881213948399</v>
      </c>
      <c r="I1046">
        <v>0.39477289566262103</v>
      </c>
      <c r="J1046">
        <v>0.44283290409919301</v>
      </c>
      <c r="K1046">
        <v>0.41377294448671598</v>
      </c>
      <c r="L1046">
        <v>1417.6061284252501</v>
      </c>
      <c r="M1046">
        <v>25.379770509799599</v>
      </c>
      <c r="N1046">
        <v>59.623750056499603</v>
      </c>
      <c r="O1046">
        <v>55.512440988955603</v>
      </c>
      <c r="P1046">
        <v>-6.8642839351271703E-2</v>
      </c>
      <c r="Q1046">
        <v>0.39944560112405902</v>
      </c>
      <c r="R1046">
        <v>0.97444951699654003</v>
      </c>
      <c r="S1046" t="s">
        <v>5342</v>
      </c>
      <c r="T1046" t="s">
        <v>8590</v>
      </c>
      <c r="U1046" t="s">
        <v>8590</v>
      </c>
      <c r="V1046" t="s">
        <v>8590</v>
      </c>
      <c r="W1046">
        <v>17</v>
      </c>
      <c r="X1046" t="s">
        <v>9636</v>
      </c>
      <c r="Y1046">
        <v>0.72223751455789509</v>
      </c>
      <c r="Z1046" t="str">
        <f>HYPERLINK("Melting_Curves/meltCurve_sp_P37802_TAGL2_HUMAN_.pdf", "Melting_Curves/meltCurve_sp_P37802_TAGL2_HUMAN_.pdf")</f>
        <v>Melting_Curves/meltCurve_sp_P37802_TAGL2_HUMAN_.pdf</v>
      </c>
      <c r="AA1046" t="s">
        <v>13913</v>
      </c>
      <c r="AB1046" t="s">
        <v>18131</v>
      </c>
    </row>
    <row r="1047" spans="1:28" x14ac:dyDescent="0.25">
      <c r="A1047" t="s">
        <v>1051</v>
      </c>
      <c r="B1047">
        <v>0.99876560204751996</v>
      </c>
      <c r="C1047">
        <v>0.95329157292823896</v>
      </c>
      <c r="D1047">
        <v>0.99426360641509703</v>
      </c>
      <c r="E1047">
        <v>0.92558127678330604</v>
      </c>
      <c r="F1047">
        <v>0.58210283865212298</v>
      </c>
      <c r="G1047">
        <v>0.30844353677712699</v>
      </c>
      <c r="H1047">
        <v>0.214490195571164</v>
      </c>
      <c r="I1047">
        <v>0.15846280012266001</v>
      </c>
      <c r="J1047">
        <v>0.144750887401488</v>
      </c>
      <c r="K1047">
        <v>9.8304915143506894E-2</v>
      </c>
      <c r="L1047">
        <v>1354.8631657636499</v>
      </c>
      <c r="M1047">
        <v>25.314507916958998</v>
      </c>
      <c r="N1047">
        <v>54.224815684945398</v>
      </c>
      <c r="O1047">
        <v>53.190590762156397</v>
      </c>
      <c r="P1047">
        <v>-0.10232572831084701</v>
      </c>
      <c r="Q1047">
        <v>0.139988155357369</v>
      </c>
      <c r="R1047">
        <v>0.992910144253347</v>
      </c>
      <c r="S1047" t="s">
        <v>5343</v>
      </c>
      <c r="T1047" t="s">
        <v>8590</v>
      </c>
      <c r="U1047" t="s">
        <v>8590</v>
      </c>
      <c r="V1047" t="s">
        <v>8590</v>
      </c>
      <c r="W1047">
        <v>32</v>
      </c>
      <c r="X1047" t="s">
        <v>9637</v>
      </c>
      <c r="Y1047">
        <v>0.5353630296488322</v>
      </c>
      <c r="Z1047" t="str">
        <f>HYPERLINK("Melting_Curves/meltCurve_sp_P37837_TALDO_HUMAN_.pdf", "Melting_Curves/meltCurve_sp_P37837_TALDO_HUMAN_.pdf")</f>
        <v>Melting_Curves/meltCurve_sp_P37837_TALDO_HUMAN_.pdf</v>
      </c>
      <c r="AA1047" t="s">
        <v>13914</v>
      </c>
      <c r="AB1047" t="s">
        <v>18132</v>
      </c>
    </row>
    <row r="1048" spans="1:28" x14ac:dyDescent="0.25">
      <c r="A1048" t="s">
        <v>1052</v>
      </c>
      <c r="B1048">
        <v>0.99876560204751996</v>
      </c>
      <c r="C1048">
        <v>0.97363067882083398</v>
      </c>
      <c r="D1048">
        <v>1.0513114962848</v>
      </c>
      <c r="E1048">
        <v>0.89669923268179996</v>
      </c>
      <c r="F1048">
        <v>0.73036265935023503</v>
      </c>
      <c r="G1048">
        <v>0.30763463662861201</v>
      </c>
      <c r="H1048">
        <v>9.4850519173449804E-2</v>
      </c>
      <c r="I1048">
        <v>6.0219500805474897E-2</v>
      </c>
      <c r="J1048">
        <v>5.3083240737820198E-2</v>
      </c>
      <c r="K1048">
        <v>4.1388537625697198E-2</v>
      </c>
      <c r="L1048">
        <v>1390.8672606605801</v>
      </c>
      <c r="M1048">
        <v>25.345125918007302</v>
      </c>
      <c r="N1048">
        <v>55.038480666069802</v>
      </c>
      <c r="O1048">
        <v>54.538883905194197</v>
      </c>
      <c r="P1048">
        <v>-0.112020344817666</v>
      </c>
      <c r="Q1048">
        <v>3.5808511610539301E-2</v>
      </c>
      <c r="R1048">
        <v>0.99711684757827901</v>
      </c>
      <c r="S1048" t="s">
        <v>5344</v>
      </c>
      <c r="T1048" t="s">
        <v>8590</v>
      </c>
      <c r="U1048" t="s">
        <v>8590</v>
      </c>
      <c r="V1048" t="s">
        <v>8590</v>
      </c>
      <c r="W1048">
        <v>25</v>
      </c>
      <c r="X1048" t="s">
        <v>9638</v>
      </c>
      <c r="Y1048">
        <v>0.52266490076712691</v>
      </c>
      <c r="Z1048" t="str">
        <f>HYPERLINK("Melting_Curves/meltCurve_sp_P38117_ETFB_HUMAN_.pdf", "Melting_Curves/meltCurve_sp_P38117_ETFB_HUMAN_.pdf")</f>
        <v>Melting_Curves/meltCurve_sp_P38117_ETFB_HUMAN_.pdf</v>
      </c>
      <c r="AA1048" t="s">
        <v>13915</v>
      </c>
      <c r="AB1048" t="s">
        <v>18133</v>
      </c>
    </row>
    <row r="1049" spans="1:28" x14ac:dyDescent="0.25">
      <c r="A1049" t="s">
        <v>1053</v>
      </c>
      <c r="B1049">
        <v>0.99876560204751996</v>
      </c>
      <c r="C1049">
        <v>0.94413668143884599</v>
      </c>
      <c r="D1049">
        <v>1.1137805747949201</v>
      </c>
      <c r="E1049">
        <v>0.924661119558148</v>
      </c>
      <c r="F1049">
        <v>0.933901961184469</v>
      </c>
      <c r="G1049">
        <v>0.74388423014537297</v>
      </c>
      <c r="H1049">
        <v>0.64682074222242303</v>
      </c>
      <c r="I1049">
        <v>0.60865186791960302</v>
      </c>
      <c r="J1049">
        <v>0.76340302604546795</v>
      </c>
      <c r="K1049">
        <v>0.75575018669333405</v>
      </c>
      <c r="L1049">
        <v>2097.4699057542002</v>
      </c>
      <c r="M1049">
        <v>38.5141620161682</v>
      </c>
      <c r="O1049">
        <v>54.313508715359703</v>
      </c>
      <c r="P1049">
        <v>-5.4336405988441798E-2</v>
      </c>
      <c r="Q1049">
        <v>0.69349523529558299</v>
      </c>
      <c r="R1049">
        <v>0.83589576754728201</v>
      </c>
      <c r="S1049" t="s">
        <v>5345</v>
      </c>
      <c r="T1049" t="s">
        <v>8590</v>
      </c>
      <c r="U1049" t="s">
        <v>8590</v>
      </c>
      <c r="V1049" t="s">
        <v>8590</v>
      </c>
      <c r="W1049">
        <v>12</v>
      </c>
      <c r="X1049" t="s">
        <v>9639</v>
      </c>
      <c r="Y1049">
        <v>0.8424683498390787</v>
      </c>
      <c r="Z1049" t="str">
        <f>HYPERLINK("Melting_Curves/meltCurve_sp_P38159_RBMX_HUMAN_.pdf", "Melting_Curves/meltCurve_sp_P38159_RBMX_HUMAN_.pdf")</f>
        <v>Melting_Curves/meltCurve_sp_P38159_RBMX_HUMAN_.pdf</v>
      </c>
      <c r="AA1049" t="s">
        <v>13916</v>
      </c>
      <c r="AB1049" t="s">
        <v>18134</v>
      </c>
    </row>
    <row r="1050" spans="1:28" x14ac:dyDescent="0.25">
      <c r="A1050" t="s">
        <v>1054</v>
      </c>
      <c r="B1050">
        <v>0.99876560204751996</v>
      </c>
      <c r="C1050">
        <v>0.90606911542368096</v>
      </c>
      <c r="D1050">
        <v>1.06951039573954</v>
      </c>
      <c r="E1050">
        <v>0.88654751311267799</v>
      </c>
      <c r="F1050">
        <v>0.95526506164721903</v>
      </c>
      <c r="G1050">
        <v>0.71518459375545596</v>
      </c>
      <c r="H1050">
        <v>0.69040451313863904</v>
      </c>
      <c r="I1050">
        <v>0.63295378646913802</v>
      </c>
      <c r="J1050">
        <v>0.79944976077963004</v>
      </c>
      <c r="K1050">
        <v>0.853212417259547</v>
      </c>
      <c r="L1050">
        <v>8958.1402828989194</v>
      </c>
      <c r="M1050">
        <v>167.44257087199199</v>
      </c>
      <c r="O1050">
        <v>53.492145051946402</v>
      </c>
      <c r="P1050">
        <v>-0.20484238065604499</v>
      </c>
      <c r="Q1050">
        <v>0.73823960019361601</v>
      </c>
      <c r="R1050">
        <v>0.67968392191556803</v>
      </c>
      <c r="S1050" t="s">
        <v>5346</v>
      </c>
      <c r="T1050" t="s">
        <v>8590</v>
      </c>
      <c r="U1050" t="s">
        <v>8590</v>
      </c>
      <c r="V1050" t="s">
        <v>8590</v>
      </c>
      <c r="W1050">
        <v>2</v>
      </c>
      <c r="X1050" t="s">
        <v>9640</v>
      </c>
      <c r="Y1050">
        <v>0.85608464047107669</v>
      </c>
      <c r="Z1050" t="str">
        <f>HYPERLINK("Melting_Curves/meltCurve_sp_P38432_COIL_HUMAN_.pdf", "Melting_Curves/meltCurve_sp_P38432_COIL_HUMAN_.pdf")</f>
        <v>Melting_Curves/meltCurve_sp_P38432_COIL_HUMAN_.pdf</v>
      </c>
      <c r="AA1050" t="s">
        <v>13917</v>
      </c>
      <c r="AB1050" t="s">
        <v>18135</v>
      </c>
    </row>
    <row r="1051" spans="1:28" x14ac:dyDescent="0.25">
      <c r="A1051" t="s">
        <v>1055</v>
      </c>
      <c r="B1051">
        <v>0.99876560204751996</v>
      </c>
      <c r="C1051">
        <v>1.01411223411575</v>
      </c>
      <c r="D1051">
        <v>0.924318212381949</v>
      </c>
      <c r="E1051">
        <v>0.79745055118349795</v>
      </c>
      <c r="F1051">
        <v>0.63221027424894105</v>
      </c>
      <c r="G1051">
        <v>0.46160664646849803</v>
      </c>
      <c r="H1051">
        <v>0.240379105570347</v>
      </c>
      <c r="I1051">
        <v>0.139840231425027</v>
      </c>
      <c r="J1051">
        <v>0.10198438796252</v>
      </c>
      <c r="K1051">
        <v>7.14857635182614E-2</v>
      </c>
      <c r="L1051">
        <v>704.57456228906506</v>
      </c>
      <c r="M1051">
        <v>12.668376209858501</v>
      </c>
      <c r="N1051">
        <v>55.616814015068798</v>
      </c>
      <c r="O1051">
        <v>54.285567795484504</v>
      </c>
      <c r="P1051">
        <v>-5.8352760181434898E-2</v>
      </c>
      <c r="Q1051">
        <v>0</v>
      </c>
      <c r="R1051">
        <v>0.99712132536015496</v>
      </c>
      <c r="S1051" t="s">
        <v>5347</v>
      </c>
      <c r="T1051" t="s">
        <v>8590</v>
      </c>
      <c r="U1051" t="s">
        <v>8590</v>
      </c>
      <c r="V1051" t="s">
        <v>8590</v>
      </c>
      <c r="W1051">
        <v>17</v>
      </c>
      <c r="X1051" t="s">
        <v>9641</v>
      </c>
      <c r="Y1051">
        <v>0.54151816768278827</v>
      </c>
      <c r="Z1051" t="str">
        <f>HYPERLINK("Melting_Curves/meltCurve_sp_P38606_VATA_HUMAN_.pdf", "Melting_Curves/meltCurve_sp_P38606_VATA_HUMAN_.pdf")</f>
        <v>Melting_Curves/meltCurve_sp_P38606_VATA_HUMAN_.pdf</v>
      </c>
      <c r="AA1051" t="s">
        <v>13918</v>
      </c>
      <c r="AB1051" t="s">
        <v>18136</v>
      </c>
    </row>
    <row r="1052" spans="1:28" x14ac:dyDescent="0.25">
      <c r="A1052" t="s">
        <v>1056</v>
      </c>
      <c r="B1052">
        <v>0.99876560204751996</v>
      </c>
      <c r="C1052">
        <v>1.0381211210912999</v>
      </c>
      <c r="D1052">
        <v>1.00536490258915</v>
      </c>
      <c r="E1052">
        <v>0.879648598933924</v>
      </c>
      <c r="F1052">
        <v>0.54781568758132004</v>
      </c>
      <c r="G1052">
        <v>0.20282998264999699</v>
      </c>
      <c r="H1052">
        <v>9.5762185907944899E-2</v>
      </c>
      <c r="I1052">
        <v>6.6880859076708501E-2</v>
      </c>
      <c r="J1052">
        <v>6.2614576238280206E-2</v>
      </c>
      <c r="K1052">
        <v>5.2977530308540799E-2</v>
      </c>
      <c r="L1052">
        <v>1485.9733218323699</v>
      </c>
      <c r="M1052">
        <v>27.9076588337423</v>
      </c>
      <c r="N1052">
        <v>53.4971591119997</v>
      </c>
      <c r="O1052">
        <v>52.974930761137898</v>
      </c>
      <c r="P1052">
        <v>-0.123618982942583</v>
      </c>
      <c r="Q1052">
        <v>6.1383103556495899E-2</v>
      </c>
      <c r="R1052">
        <v>0.99861166174578997</v>
      </c>
      <c r="S1052" t="s">
        <v>5348</v>
      </c>
      <c r="T1052" t="s">
        <v>8590</v>
      </c>
      <c r="U1052" t="s">
        <v>8590</v>
      </c>
      <c r="V1052" t="s">
        <v>8590</v>
      </c>
      <c r="W1052">
        <v>64</v>
      </c>
      <c r="X1052" t="s">
        <v>9642</v>
      </c>
      <c r="Y1052">
        <v>0.48284255798491099</v>
      </c>
      <c r="Z1052" t="str">
        <f>HYPERLINK("Melting_Curves/meltCurve_sp_P38646_GRP75_HUMAN_.pdf", "Melting_Curves/meltCurve_sp_P38646_GRP75_HUMAN_.pdf")</f>
        <v>Melting_Curves/meltCurve_sp_P38646_GRP75_HUMAN_.pdf</v>
      </c>
      <c r="AA1052" t="s">
        <v>13919</v>
      </c>
      <c r="AB1052" t="s">
        <v>18137</v>
      </c>
    </row>
    <row r="1053" spans="1:28" x14ac:dyDescent="0.25">
      <c r="A1053" t="s">
        <v>1057</v>
      </c>
      <c r="B1053">
        <v>0.99876560204751996</v>
      </c>
      <c r="C1053">
        <v>0.81142965543730605</v>
      </c>
      <c r="D1053">
        <v>0.60401564055049695</v>
      </c>
      <c r="E1053">
        <v>0.31538013069239801</v>
      </c>
      <c r="F1053">
        <v>0.15781209887136899</v>
      </c>
      <c r="G1053">
        <v>8.0943986091500095E-2</v>
      </c>
      <c r="H1053">
        <v>5.2155634216236903E-2</v>
      </c>
      <c r="I1053">
        <v>4.7720501670309799E-2</v>
      </c>
      <c r="J1053">
        <v>5.2503434663504801E-2</v>
      </c>
      <c r="K1053">
        <v>3.1935823706424803E-2</v>
      </c>
      <c r="L1053">
        <v>776.27668520368002</v>
      </c>
      <c r="M1053">
        <v>16.497198678327099</v>
      </c>
      <c r="N1053">
        <v>47.257789224107</v>
      </c>
      <c r="O1053">
        <v>46.3799277752967</v>
      </c>
      <c r="P1053">
        <v>-8.5892325329014696E-2</v>
      </c>
      <c r="Q1053">
        <v>3.4162111223107798E-2</v>
      </c>
      <c r="R1053">
        <v>0.99693100636371301</v>
      </c>
      <c r="S1053" t="s">
        <v>5349</v>
      </c>
      <c r="T1053" t="s">
        <v>8590</v>
      </c>
      <c r="U1053" t="s">
        <v>8590</v>
      </c>
      <c r="V1053" t="s">
        <v>8590</v>
      </c>
      <c r="W1053">
        <v>9</v>
      </c>
      <c r="X1053" t="s">
        <v>9643</v>
      </c>
      <c r="Y1053">
        <v>0.28273154680952101</v>
      </c>
      <c r="Z1053" t="str">
        <f>HYPERLINK("Melting_Curves/meltCurve_sp_P38919_IF4A3_HUMAN_.pdf", "Melting_Curves/meltCurve_sp_P38919_IF4A3_HUMAN_.pdf")</f>
        <v>Melting_Curves/meltCurve_sp_P38919_IF4A3_HUMAN_.pdf</v>
      </c>
      <c r="AA1053" t="s">
        <v>13920</v>
      </c>
      <c r="AB1053" t="s">
        <v>18138</v>
      </c>
    </row>
    <row r="1054" spans="1:28" x14ac:dyDescent="0.25">
      <c r="A1054" t="s">
        <v>1058</v>
      </c>
      <c r="B1054">
        <v>0.99876560204751996</v>
      </c>
      <c r="C1054">
        <v>0.97503172837655105</v>
      </c>
      <c r="D1054">
        <v>1.01886538566535</v>
      </c>
      <c r="E1054">
        <v>0.87404424239596701</v>
      </c>
      <c r="F1054">
        <v>0.83127397681409199</v>
      </c>
      <c r="G1054">
        <v>0.66736198945574199</v>
      </c>
      <c r="H1054">
        <v>0.58645641217926803</v>
      </c>
      <c r="I1054">
        <v>0.56843067359750798</v>
      </c>
      <c r="J1054">
        <v>0.68389199686100899</v>
      </c>
      <c r="K1054">
        <v>0.67268300392538205</v>
      </c>
      <c r="L1054">
        <v>1270.78021106853</v>
      </c>
      <c r="M1054">
        <v>24.176739213801699</v>
      </c>
      <c r="O1054">
        <v>52.206453481356</v>
      </c>
      <c r="P1054">
        <v>-4.3444736468032701E-2</v>
      </c>
      <c r="Q1054">
        <v>0.62475323990420295</v>
      </c>
      <c r="R1054">
        <v>0.93877296306805202</v>
      </c>
      <c r="S1054" t="s">
        <v>5350</v>
      </c>
      <c r="T1054" t="s">
        <v>8590</v>
      </c>
      <c r="U1054" t="s">
        <v>8590</v>
      </c>
      <c r="V1054" t="s">
        <v>8590</v>
      </c>
      <c r="W1054">
        <v>12</v>
      </c>
      <c r="X1054" t="s">
        <v>9644</v>
      </c>
      <c r="Y1054">
        <v>0.78555103856412056</v>
      </c>
      <c r="Z1054" t="str">
        <f>HYPERLINK("Melting_Curves/meltCurve_sp_P39687_AN32A_HUMAN_.pdf", "Melting_Curves/meltCurve_sp_P39687_AN32A_HUMAN_.pdf")</f>
        <v>Melting_Curves/meltCurve_sp_P39687_AN32A_HUMAN_.pdf</v>
      </c>
      <c r="AA1054" t="s">
        <v>13921</v>
      </c>
      <c r="AB1054" t="s">
        <v>18139</v>
      </c>
    </row>
    <row r="1055" spans="1:28" x14ac:dyDescent="0.25">
      <c r="A1055" t="s">
        <v>1059</v>
      </c>
      <c r="B1055">
        <v>0.99876560204751996</v>
      </c>
      <c r="C1055">
        <v>0.90930865083969403</v>
      </c>
      <c r="D1055">
        <v>0.95211768034395505</v>
      </c>
      <c r="E1055">
        <v>0.34260096912424298</v>
      </c>
      <c r="F1055">
        <v>0.186216139189508</v>
      </c>
      <c r="G1055">
        <v>9.6857265894946795E-2</v>
      </c>
      <c r="H1055">
        <v>4.0139624250636698E-2</v>
      </c>
      <c r="I1055">
        <v>5.7278130725395303E-2</v>
      </c>
      <c r="J1055">
        <v>2.3010243748557899E-2</v>
      </c>
      <c r="K1055">
        <v>2.07058731768986E-2</v>
      </c>
      <c r="L1055">
        <v>1605.88568289726</v>
      </c>
      <c r="M1055">
        <v>32.752427655539897</v>
      </c>
      <c r="N1055">
        <v>49.195996480296898</v>
      </c>
      <c r="O1055">
        <v>48.849342602491603</v>
      </c>
      <c r="P1055">
        <v>-0.15890414258812899</v>
      </c>
      <c r="Q1055">
        <v>5.1999773399232299E-2</v>
      </c>
      <c r="R1055">
        <v>0.988974208376314</v>
      </c>
      <c r="S1055" t="s">
        <v>5351</v>
      </c>
      <c r="T1055" t="s">
        <v>8590</v>
      </c>
      <c r="U1055" t="s">
        <v>8590</v>
      </c>
      <c r="V1055" t="s">
        <v>8590</v>
      </c>
      <c r="W1055">
        <v>8</v>
      </c>
      <c r="X1055" t="s">
        <v>9645</v>
      </c>
      <c r="Y1055">
        <v>0.34220821446785898</v>
      </c>
      <c r="Z1055" t="str">
        <f>HYPERLINK("Melting_Curves/meltCurve_sp_P39748_FEN1_HUMAN_.pdf", "Melting_Curves/meltCurve_sp_P39748_FEN1_HUMAN_.pdf")</f>
        <v>Melting_Curves/meltCurve_sp_P39748_FEN1_HUMAN_.pdf</v>
      </c>
      <c r="AA1055" t="s">
        <v>13922</v>
      </c>
      <c r="AB1055" t="s">
        <v>18140</v>
      </c>
    </row>
    <row r="1056" spans="1:28" x14ac:dyDescent="0.25">
      <c r="A1056" t="s">
        <v>1060</v>
      </c>
      <c r="B1056">
        <v>0.99876560204751996</v>
      </c>
      <c r="C1056">
        <v>1.04335510210752</v>
      </c>
      <c r="D1056">
        <v>0.89104882671207997</v>
      </c>
      <c r="E1056">
        <v>0.71095140795885103</v>
      </c>
      <c r="F1056">
        <v>0.31848353585328798</v>
      </c>
      <c r="G1056">
        <v>0.20417785725313201</v>
      </c>
      <c r="H1056">
        <v>0.129894805135403</v>
      </c>
      <c r="I1056">
        <v>6.7121531605811302E-2</v>
      </c>
      <c r="J1056">
        <v>5.0922573240912199E-2</v>
      </c>
      <c r="K1056">
        <v>2.4193519443059201E-2</v>
      </c>
      <c r="L1056">
        <v>1099.51729421501</v>
      </c>
      <c r="M1056">
        <v>21.394875801720602</v>
      </c>
      <c r="N1056">
        <v>51.685873288964302</v>
      </c>
      <c r="O1056">
        <v>50.948964213961801</v>
      </c>
      <c r="P1056">
        <v>-9.8964916059659597E-2</v>
      </c>
      <c r="Q1056">
        <v>5.7338011079095898E-2</v>
      </c>
      <c r="R1056">
        <v>0.98999172152992798</v>
      </c>
      <c r="S1056" t="s">
        <v>5352</v>
      </c>
      <c r="T1056" t="s">
        <v>8590</v>
      </c>
      <c r="U1056" t="s">
        <v>8590</v>
      </c>
      <c r="V1056" t="s">
        <v>8590</v>
      </c>
      <c r="W1056">
        <v>5</v>
      </c>
      <c r="X1056" t="s">
        <v>9646</v>
      </c>
      <c r="Y1056">
        <v>0.42681659378028791</v>
      </c>
      <c r="Z1056" t="str">
        <f>HYPERLINK("Melting_Curves/meltCurve_sp_P40123_CAP2_HUMAN_.pdf", "Melting_Curves/meltCurve_sp_P40123_CAP2_HUMAN_.pdf")</f>
        <v>Melting_Curves/meltCurve_sp_P40123_CAP2_HUMAN_.pdf</v>
      </c>
      <c r="AA1056" t="s">
        <v>13923</v>
      </c>
      <c r="AB1056" t="s">
        <v>18141</v>
      </c>
    </row>
    <row r="1057" spans="1:28" x14ac:dyDescent="0.25">
      <c r="A1057" t="s">
        <v>1061</v>
      </c>
      <c r="B1057">
        <v>0.99876560204751996</v>
      </c>
      <c r="C1057">
        <v>0.96529363244909805</v>
      </c>
      <c r="D1057">
        <v>0.89289986010609601</v>
      </c>
      <c r="E1057">
        <v>0.79442977280238103</v>
      </c>
      <c r="F1057">
        <v>0.74201547485538499</v>
      </c>
      <c r="G1057">
        <v>0.52279615465271601</v>
      </c>
      <c r="H1057">
        <v>0.40393814016697699</v>
      </c>
      <c r="I1057">
        <v>0.40899253819397502</v>
      </c>
      <c r="J1057">
        <v>0.515835921487522</v>
      </c>
      <c r="K1057">
        <v>0.46423882011310402</v>
      </c>
      <c r="L1057">
        <v>815.79481580109996</v>
      </c>
      <c r="M1057">
        <v>15.654090439153499</v>
      </c>
      <c r="N1057">
        <v>59.314207243055201</v>
      </c>
      <c r="O1057">
        <v>51.285602773128097</v>
      </c>
      <c r="P1057">
        <v>-4.3862863272717899E-2</v>
      </c>
      <c r="Q1057">
        <v>0.42523854140634398</v>
      </c>
      <c r="R1057">
        <v>0.95725588659130201</v>
      </c>
      <c r="S1057" t="s">
        <v>5353</v>
      </c>
      <c r="T1057" t="s">
        <v>8590</v>
      </c>
      <c r="U1057" t="s">
        <v>8590</v>
      </c>
      <c r="V1057" t="s">
        <v>8590</v>
      </c>
      <c r="W1057">
        <v>21</v>
      </c>
      <c r="X1057" t="s">
        <v>9647</v>
      </c>
      <c r="Y1057">
        <v>0.6693105002516343</v>
      </c>
      <c r="Z1057" t="str">
        <f>HYPERLINK("Melting_Curves/meltCurve_sp_P40222_TXLNA_HUMAN_.pdf", "Melting_Curves/meltCurve_sp_P40222_TXLNA_HUMAN_.pdf")</f>
        <v>Melting_Curves/meltCurve_sp_P40222_TXLNA_HUMAN_.pdf</v>
      </c>
      <c r="AA1057" t="s">
        <v>13924</v>
      </c>
      <c r="AB1057" t="s">
        <v>18142</v>
      </c>
    </row>
    <row r="1058" spans="1:28" x14ac:dyDescent="0.25">
      <c r="A1058" t="s">
        <v>1062</v>
      </c>
      <c r="B1058">
        <v>0.99876560204751996</v>
      </c>
      <c r="C1058">
        <v>1.1257821607968099</v>
      </c>
      <c r="D1058">
        <v>1.1144293198797499</v>
      </c>
      <c r="E1058">
        <v>1.0463717477888299</v>
      </c>
      <c r="F1058">
        <v>0.79592731471979505</v>
      </c>
      <c r="G1058">
        <v>0.26588748059799799</v>
      </c>
      <c r="H1058">
        <v>0.11673868886323099</v>
      </c>
      <c r="I1058">
        <v>9.4109459705225093E-2</v>
      </c>
      <c r="J1058">
        <v>8.8431723808921406E-2</v>
      </c>
      <c r="K1058">
        <v>7.7833764187528603E-2</v>
      </c>
      <c r="L1058">
        <v>2137.8240651645701</v>
      </c>
      <c r="M1058">
        <v>38.983713010042599</v>
      </c>
      <c r="N1058">
        <v>55.118598765856902</v>
      </c>
      <c r="O1058">
        <v>54.695194728978102</v>
      </c>
      <c r="P1058">
        <v>-0.16219567507458499</v>
      </c>
      <c r="Q1058">
        <v>8.9742563741637596E-2</v>
      </c>
      <c r="R1058">
        <v>0.98349694910759899</v>
      </c>
      <c r="S1058" t="s">
        <v>5354</v>
      </c>
      <c r="T1058" t="s">
        <v>8590</v>
      </c>
      <c r="U1058" t="s">
        <v>8590</v>
      </c>
      <c r="V1058" t="s">
        <v>8590</v>
      </c>
      <c r="W1058">
        <v>19</v>
      </c>
      <c r="X1058" t="s">
        <v>9648</v>
      </c>
      <c r="Y1058">
        <v>0.54360269359066382</v>
      </c>
      <c r="Z1058" t="str">
        <f>HYPERLINK("Melting_Curves/meltCurve_sp_P40227_TCPZ_HUMAN_.pdf", "Melting_Curves/meltCurve_sp_P40227_TCPZ_HUMAN_.pdf")</f>
        <v>Melting_Curves/meltCurve_sp_P40227_TCPZ_HUMAN_.pdf</v>
      </c>
      <c r="AA1058" t="s">
        <v>13925</v>
      </c>
      <c r="AB1058" t="s">
        <v>18143</v>
      </c>
    </row>
    <row r="1059" spans="1:28" x14ac:dyDescent="0.25">
      <c r="A1059" t="s">
        <v>1063</v>
      </c>
      <c r="B1059">
        <v>0.99876560204751996</v>
      </c>
      <c r="C1059">
        <v>0.94225884640735502</v>
      </c>
      <c r="D1059">
        <v>1.1088458039725</v>
      </c>
      <c r="E1059">
        <v>0.91400451358440904</v>
      </c>
      <c r="F1059">
        <v>0.81012283253369299</v>
      </c>
      <c r="G1059">
        <v>0.26039842122741003</v>
      </c>
      <c r="H1059">
        <v>9.2142561281550794E-2</v>
      </c>
      <c r="I1059">
        <v>7.17944377430009E-2</v>
      </c>
      <c r="J1059">
        <v>6.6403475206391394E-2</v>
      </c>
      <c r="K1059">
        <v>4.9691638313067603E-2</v>
      </c>
      <c r="L1059">
        <v>1896.8029826278801</v>
      </c>
      <c r="M1059">
        <v>34.5238174767793</v>
      </c>
      <c r="N1059">
        <v>55.142585947609</v>
      </c>
      <c r="O1059">
        <v>54.758507081492503</v>
      </c>
      <c r="P1059">
        <v>-0.14831292312248601</v>
      </c>
      <c r="Q1059">
        <v>5.9042190515729003E-2</v>
      </c>
      <c r="R1059">
        <v>0.98978620943099405</v>
      </c>
      <c r="S1059" t="s">
        <v>5355</v>
      </c>
      <c r="T1059" t="s">
        <v>8590</v>
      </c>
      <c r="U1059" t="s">
        <v>8590</v>
      </c>
      <c r="V1059" t="s">
        <v>8590</v>
      </c>
      <c r="W1059">
        <v>15</v>
      </c>
      <c r="X1059" t="s">
        <v>9649</v>
      </c>
      <c r="Y1059">
        <v>0.53245878400515456</v>
      </c>
      <c r="Z1059" t="str">
        <f>HYPERLINK("Melting_Curves/meltCurve_sp_P40261_NNMT_HUMAN_.pdf", "Melting_Curves/meltCurve_sp_P40261_NNMT_HUMAN_.pdf")</f>
        <v>Melting_Curves/meltCurve_sp_P40261_NNMT_HUMAN_.pdf</v>
      </c>
      <c r="AA1059" t="s">
        <v>13926</v>
      </c>
      <c r="AB1059" t="s">
        <v>18144</v>
      </c>
    </row>
    <row r="1060" spans="1:28" x14ac:dyDescent="0.25">
      <c r="A1060" t="s">
        <v>1064</v>
      </c>
      <c r="B1060">
        <v>0.99876560204751996</v>
      </c>
      <c r="C1060">
        <v>1.0742503261451399</v>
      </c>
      <c r="D1060">
        <v>1.0252141382444699</v>
      </c>
      <c r="E1060">
        <v>1.1594576641769401</v>
      </c>
      <c r="F1060">
        <v>1.1803100894706</v>
      </c>
      <c r="G1060">
        <v>0.96311288004878604</v>
      </c>
      <c r="H1060">
        <v>0.87832801403812799</v>
      </c>
      <c r="I1060">
        <v>0.85156245208049597</v>
      </c>
      <c r="J1060">
        <v>1.04751386879623</v>
      </c>
      <c r="K1060">
        <v>0.65684910650266803</v>
      </c>
      <c r="L1060">
        <v>15000</v>
      </c>
      <c r="M1060">
        <v>213.636396957465</v>
      </c>
      <c r="Q1060">
        <v>0</v>
      </c>
      <c r="R1060">
        <v>0.52388669449642</v>
      </c>
      <c r="S1060" t="s">
        <v>5356</v>
      </c>
      <c r="T1060" t="s">
        <v>8590</v>
      </c>
      <c r="U1060" t="s">
        <v>8590</v>
      </c>
      <c r="V1060" t="s">
        <v>8590</v>
      </c>
      <c r="W1060">
        <v>5</v>
      </c>
      <c r="X1060" t="s">
        <v>9650</v>
      </c>
      <c r="Y1060">
        <v>0.99547023726879424</v>
      </c>
      <c r="Z1060" t="str">
        <f>HYPERLINK("Melting_Curves/meltCurve_sp_P40306_PSB10_HUMAN_.pdf", "Melting_Curves/meltCurve_sp_P40306_PSB10_HUMAN_.pdf")</f>
        <v>Melting_Curves/meltCurve_sp_P40306_PSB10_HUMAN_.pdf</v>
      </c>
      <c r="AA1060" t="s">
        <v>13927</v>
      </c>
      <c r="AB1060" t="s">
        <v>18145</v>
      </c>
    </row>
    <row r="1061" spans="1:28" x14ac:dyDescent="0.25">
      <c r="A1061" t="s">
        <v>1065</v>
      </c>
      <c r="B1061">
        <v>0.99876560204751996</v>
      </c>
      <c r="C1061">
        <v>0.94002102154927303</v>
      </c>
      <c r="D1061">
        <v>0.78296242907171498</v>
      </c>
      <c r="E1061">
        <v>0.83709304384053396</v>
      </c>
      <c r="F1061">
        <v>0.619809573836271</v>
      </c>
      <c r="G1061">
        <v>0.57610788273630098</v>
      </c>
      <c r="H1061">
        <v>0.451697543729906</v>
      </c>
      <c r="I1061">
        <v>0.33118934294920899</v>
      </c>
      <c r="J1061">
        <v>0.26615289534517</v>
      </c>
      <c r="K1061">
        <v>0.15597580239101</v>
      </c>
      <c r="L1061">
        <v>439.68839723634801</v>
      </c>
      <c r="M1061">
        <v>7.5707327061990304</v>
      </c>
      <c r="N1061">
        <v>58.077396917389102</v>
      </c>
      <c r="O1061">
        <v>54.440401664888803</v>
      </c>
      <c r="P1061">
        <v>-3.48144284903752E-2</v>
      </c>
      <c r="Q1061">
        <v>0</v>
      </c>
      <c r="R1061">
        <v>0.96838967562161304</v>
      </c>
      <c r="S1061" t="s">
        <v>5357</v>
      </c>
      <c r="T1061" t="s">
        <v>8590</v>
      </c>
      <c r="U1061" t="s">
        <v>8590</v>
      </c>
      <c r="V1061" t="s">
        <v>8590</v>
      </c>
      <c r="W1061">
        <v>2</v>
      </c>
      <c r="X1061" t="s">
        <v>9651</v>
      </c>
      <c r="Y1061">
        <v>0.60342247475655308</v>
      </c>
      <c r="Z1061" t="str">
        <f>HYPERLINK("Melting_Curves/meltCurve_sp_P40394_ADH7_HUMAN_.pdf", "Melting_Curves/meltCurve_sp_P40394_ADH7_HUMAN_.pdf")</f>
        <v>Melting_Curves/meltCurve_sp_P40394_ADH7_HUMAN_.pdf</v>
      </c>
      <c r="AA1061" t="s">
        <v>13928</v>
      </c>
      <c r="AB1061" t="s">
        <v>18146</v>
      </c>
    </row>
    <row r="1062" spans="1:28" x14ac:dyDescent="0.25">
      <c r="A1062" t="s">
        <v>1066</v>
      </c>
      <c r="B1062">
        <v>0.99876560204751996</v>
      </c>
      <c r="C1062">
        <v>1.03116050477397</v>
      </c>
      <c r="D1062">
        <v>0.92600822293304497</v>
      </c>
      <c r="E1062">
        <v>0.843889251178916</v>
      </c>
      <c r="F1062">
        <v>0.40770926582806399</v>
      </c>
      <c r="G1062">
        <v>0.122263728015384</v>
      </c>
      <c r="H1062">
        <v>6.6954035024973393E-2</v>
      </c>
      <c r="I1062">
        <v>5.023929970227E-2</v>
      </c>
      <c r="J1062">
        <v>4.6746769043946097E-2</v>
      </c>
      <c r="K1062">
        <v>3.05145019044883E-2</v>
      </c>
      <c r="L1062">
        <v>1701.65091479946</v>
      </c>
      <c r="M1062">
        <v>32.545184739981998</v>
      </c>
      <c r="N1062">
        <v>52.4467183925927</v>
      </c>
      <c r="O1062">
        <v>52.089593402422402</v>
      </c>
      <c r="P1062">
        <v>-0.148776794686729</v>
      </c>
      <c r="Q1062">
        <v>4.7517043363928702E-2</v>
      </c>
      <c r="R1062">
        <v>0.996534973993356</v>
      </c>
      <c r="S1062" t="s">
        <v>5358</v>
      </c>
      <c r="T1062" t="s">
        <v>8590</v>
      </c>
      <c r="U1062" t="s">
        <v>8590</v>
      </c>
      <c r="V1062" t="s">
        <v>8590</v>
      </c>
      <c r="W1062">
        <v>30</v>
      </c>
      <c r="X1062" t="s">
        <v>9652</v>
      </c>
      <c r="Y1062">
        <v>0.4427844015780541</v>
      </c>
      <c r="Z1062" t="str">
        <f>HYPERLINK("Melting_Curves/meltCurve_sp_P40763_2_STAT3_HUMAN_.pdf", "Melting_Curves/meltCurve_sp_P40763_2_STAT3_HUMAN_.pdf")</f>
        <v>Melting_Curves/meltCurve_sp_P40763_2_STAT3_HUMAN_.pdf</v>
      </c>
      <c r="AA1062" t="s">
        <v>13929</v>
      </c>
      <c r="AB1062" t="s">
        <v>18147</v>
      </c>
    </row>
    <row r="1063" spans="1:28" x14ac:dyDescent="0.25">
      <c r="A1063" t="s">
        <v>1067</v>
      </c>
      <c r="B1063">
        <v>0.99876560204751996</v>
      </c>
      <c r="C1063">
        <v>1.1363481140810101</v>
      </c>
      <c r="D1063">
        <v>1.11235687498132</v>
      </c>
      <c r="E1063">
        <v>0.94460287752943295</v>
      </c>
      <c r="F1063">
        <v>0.65939306085466698</v>
      </c>
      <c r="G1063">
        <v>0.26064283426047902</v>
      </c>
      <c r="H1063">
        <v>0.138693491230168</v>
      </c>
      <c r="I1063">
        <v>9.1979417623383602E-2</v>
      </c>
      <c r="J1063">
        <v>6.5445463085174793E-2</v>
      </c>
      <c r="K1063">
        <v>0.15482972316152099</v>
      </c>
      <c r="L1063">
        <v>1708.0372614155699</v>
      </c>
      <c r="M1063">
        <v>31.671072727082802</v>
      </c>
      <c r="N1063">
        <v>54.345561045457998</v>
      </c>
      <c r="O1063">
        <v>53.716868356150798</v>
      </c>
      <c r="P1063">
        <v>-0.13156474050535399</v>
      </c>
      <c r="Q1063">
        <v>0.107424132336273</v>
      </c>
      <c r="R1063">
        <v>0.98009727339466202</v>
      </c>
      <c r="S1063" t="s">
        <v>5359</v>
      </c>
      <c r="T1063" t="s">
        <v>8590</v>
      </c>
      <c r="U1063" t="s">
        <v>8590</v>
      </c>
      <c r="V1063" t="s">
        <v>8590</v>
      </c>
      <c r="W1063">
        <v>30</v>
      </c>
      <c r="X1063" t="s">
        <v>9653</v>
      </c>
      <c r="Y1063">
        <v>0.5271652869546436</v>
      </c>
      <c r="Z1063" t="str">
        <f>HYPERLINK("Melting_Curves/meltCurve_sp_P40763_STAT3_HUMAN_.pdf", "Melting_Curves/meltCurve_sp_P40763_STAT3_HUMAN_.pdf")</f>
        <v>Melting_Curves/meltCurve_sp_P40763_STAT3_HUMAN_.pdf</v>
      </c>
      <c r="AA1063" t="s">
        <v>13929</v>
      </c>
      <c r="AB1063" t="s">
        <v>18148</v>
      </c>
    </row>
    <row r="1064" spans="1:28" x14ac:dyDescent="0.25">
      <c r="A1064" t="s">
        <v>1068</v>
      </c>
      <c r="B1064">
        <v>0.99876560204751996</v>
      </c>
      <c r="C1064">
        <v>1.1501797830272</v>
      </c>
      <c r="D1064">
        <v>1.0020966896566801</v>
      </c>
      <c r="E1064">
        <v>0.64024242117096997</v>
      </c>
      <c r="F1064">
        <v>0.23981593173047699</v>
      </c>
      <c r="G1064">
        <v>0.13573753486613399</v>
      </c>
      <c r="H1064">
        <v>6.6368643906229902E-2</v>
      </c>
      <c r="I1064">
        <v>7.5595761154850297E-2</v>
      </c>
      <c r="J1064">
        <v>7.8366808055657905E-2</v>
      </c>
      <c r="K1064">
        <v>0.133814990006906</v>
      </c>
      <c r="L1064">
        <v>1899.48637101604</v>
      </c>
      <c r="M1064">
        <v>37.5418314698437</v>
      </c>
      <c r="N1064">
        <v>50.8832489755643</v>
      </c>
      <c r="O1064">
        <v>50.4536093096809</v>
      </c>
      <c r="P1064">
        <v>-0.16828835564498301</v>
      </c>
      <c r="Q1064">
        <v>9.5331105611450306E-2</v>
      </c>
      <c r="R1064">
        <v>0.98482767217239098</v>
      </c>
      <c r="S1064" t="s">
        <v>5360</v>
      </c>
      <c r="T1064" t="s">
        <v>8590</v>
      </c>
      <c r="U1064" t="s">
        <v>8590</v>
      </c>
      <c r="V1064" t="s">
        <v>8590</v>
      </c>
      <c r="W1064">
        <v>7</v>
      </c>
      <c r="X1064" t="s">
        <v>9654</v>
      </c>
      <c r="Y1064">
        <v>0.4184719920062091</v>
      </c>
      <c r="Z1064" t="str">
        <f>HYPERLINK("Melting_Curves/meltCurve_sp_P40818_UBP8_HUMAN_.pdf", "Melting_Curves/meltCurve_sp_P40818_UBP8_HUMAN_.pdf")</f>
        <v>Melting_Curves/meltCurve_sp_P40818_UBP8_HUMAN_.pdf</v>
      </c>
      <c r="AA1064" t="s">
        <v>13930</v>
      </c>
      <c r="AB1064" t="s">
        <v>18149</v>
      </c>
    </row>
    <row r="1065" spans="1:28" x14ac:dyDescent="0.25">
      <c r="A1065" t="s">
        <v>1069</v>
      </c>
      <c r="B1065">
        <v>0.99876560204751996</v>
      </c>
      <c r="C1065">
        <v>0.96636766016922604</v>
      </c>
      <c r="D1065">
        <v>1.04546938881184</v>
      </c>
      <c r="E1065">
        <v>1.0285230718907701</v>
      </c>
      <c r="F1065">
        <v>1.1037488343252599</v>
      </c>
      <c r="G1065">
        <v>0.84602793772630902</v>
      </c>
      <c r="H1065">
        <v>0.15619214187111599</v>
      </c>
      <c r="I1065">
        <v>5.7453099767031203E-2</v>
      </c>
      <c r="J1065">
        <v>3.7163466369150099E-2</v>
      </c>
      <c r="K1065">
        <v>3.64196250248447E-2</v>
      </c>
      <c r="L1065">
        <v>3209.7285805821002</v>
      </c>
      <c r="M1065">
        <v>54.622232010572802</v>
      </c>
      <c r="N1065">
        <v>58.852353132517599</v>
      </c>
      <c r="O1065">
        <v>58.683683812941297</v>
      </c>
      <c r="P1065">
        <v>-0.223372114414536</v>
      </c>
      <c r="Q1065">
        <v>4.0076164510414299E-2</v>
      </c>
      <c r="R1065">
        <v>0.99268996299957102</v>
      </c>
      <c r="S1065" t="s">
        <v>5361</v>
      </c>
      <c r="T1065" t="s">
        <v>8590</v>
      </c>
      <c r="U1065" t="s">
        <v>8590</v>
      </c>
      <c r="V1065" t="s">
        <v>8590</v>
      </c>
      <c r="W1065">
        <v>24</v>
      </c>
      <c r="X1065" t="s">
        <v>9655</v>
      </c>
      <c r="Y1065">
        <v>0.64249749548284352</v>
      </c>
      <c r="Z1065" t="str">
        <f>HYPERLINK("Melting_Curves/meltCurve_sp_P40925_MDHC_HUMAN_.pdf", "Melting_Curves/meltCurve_sp_P40925_MDHC_HUMAN_.pdf")</f>
        <v>Melting_Curves/meltCurve_sp_P40925_MDHC_HUMAN_.pdf</v>
      </c>
      <c r="AA1065" t="s">
        <v>13931</v>
      </c>
      <c r="AB1065" t="s">
        <v>18150</v>
      </c>
    </row>
    <row r="1066" spans="1:28" x14ac:dyDescent="0.25">
      <c r="A1066" t="s">
        <v>1070</v>
      </c>
      <c r="B1066">
        <v>0.99876560204751996</v>
      </c>
      <c r="C1066">
        <v>0.99493810984616704</v>
      </c>
      <c r="D1066">
        <v>1.0322713777241299</v>
      </c>
      <c r="E1066">
        <v>0.98950560283870803</v>
      </c>
      <c r="F1066">
        <v>0.99438114594663096</v>
      </c>
      <c r="G1066">
        <v>0.72807951674511395</v>
      </c>
      <c r="H1066">
        <v>0.302559561570164</v>
      </c>
      <c r="I1066">
        <v>7.5528503282918602E-2</v>
      </c>
      <c r="J1066">
        <v>4.5055669978833403E-2</v>
      </c>
      <c r="K1066">
        <v>3.84883520177609E-2</v>
      </c>
      <c r="L1066">
        <v>1774.99719763179</v>
      </c>
      <c r="M1066">
        <v>30.102100541544299</v>
      </c>
      <c r="N1066">
        <v>59.039187296445903</v>
      </c>
      <c r="O1066">
        <v>58.7074978755495</v>
      </c>
      <c r="P1066">
        <v>-0.12583662356226599</v>
      </c>
      <c r="Q1066">
        <v>1.8340208998607801E-2</v>
      </c>
      <c r="R1066">
        <v>0.99814808078112705</v>
      </c>
      <c r="S1066" t="s">
        <v>5362</v>
      </c>
      <c r="T1066" t="s">
        <v>8590</v>
      </c>
      <c r="U1066" t="s">
        <v>8590</v>
      </c>
      <c r="V1066" t="s">
        <v>8590</v>
      </c>
      <c r="W1066">
        <v>30</v>
      </c>
      <c r="X1066" t="s">
        <v>9656</v>
      </c>
      <c r="Y1066">
        <v>0.64520539921217968</v>
      </c>
      <c r="Z1066" t="str">
        <f>HYPERLINK("Melting_Curves/meltCurve_sp_P40926_MDHM_HUMAN_.pdf", "Melting_Curves/meltCurve_sp_P40926_MDHM_HUMAN_.pdf")</f>
        <v>Melting_Curves/meltCurve_sp_P40926_MDHM_HUMAN_.pdf</v>
      </c>
      <c r="AA1066" t="s">
        <v>13932</v>
      </c>
      <c r="AB1066" t="s">
        <v>18151</v>
      </c>
    </row>
    <row r="1067" spans="1:28" x14ac:dyDescent="0.25">
      <c r="A1067" t="s">
        <v>1071</v>
      </c>
      <c r="B1067">
        <v>0.99876560204751996</v>
      </c>
      <c r="C1067">
        <v>1.26710515322719</v>
      </c>
      <c r="D1067">
        <v>0.53954108892800701</v>
      </c>
      <c r="E1067">
        <v>0.61233440816837403</v>
      </c>
      <c r="F1067">
        <v>0.24852629539231599</v>
      </c>
      <c r="G1067">
        <v>0.12850278742186599</v>
      </c>
      <c r="H1067">
        <v>4.2178570127227803E-2</v>
      </c>
      <c r="I1067">
        <v>2.9734678070041699E-2</v>
      </c>
      <c r="J1067">
        <v>2.5484715630098301E-2</v>
      </c>
      <c r="K1067">
        <v>2.1184079995060001E-2</v>
      </c>
      <c r="L1067">
        <v>826.71191650206401</v>
      </c>
      <c r="M1067">
        <v>16.564804033515799</v>
      </c>
      <c r="N1067">
        <v>49.960854086911297</v>
      </c>
      <c r="O1067">
        <v>49.197379592801397</v>
      </c>
      <c r="P1067">
        <v>-8.3446487278458603E-2</v>
      </c>
      <c r="Q1067">
        <v>8.7249889402585198E-3</v>
      </c>
      <c r="R1067">
        <v>0.89349653863632394</v>
      </c>
      <c r="S1067" t="s">
        <v>5363</v>
      </c>
      <c r="T1067" t="s">
        <v>8590</v>
      </c>
      <c r="U1067" t="s">
        <v>8590</v>
      </c>
      <c r="V1067" t="s">
        <v>8590</v>
      </c>
      <c r="W1067">
        <v>60</v>
      </c>
      <c r="X1067" t="s">
        <v>9657</v>
      </c>
      <c r="Y1067">
        <v>0.35589295566589813</v>
      </c>
      <c r="Z1067" t="str">
        <f>HYPERLINK("Melting_Curves/meltCurve_sp_P40939_ECHA_HUMAN_.pdf", "Melting_Curves/meltCurve_sp_P40939_ECHA_HUMAN_.pdf")</f>
        <v>Melting_Curves/meltCurve_sp_P40939_ECHA_HUMAN_.pdf</v>
      </c>
      <c r="AA1067" t="s">
        <v>13933</v>
      </c>
      <c r="AB1067" t="s">
        <v>18152</v>
      </c>
    </row>
    <row r="1068" spans="1:28" x14ac:dyDescent="0.25">
      <c r="A1068" t="s">
        <v>1072</v>
      </c>
      <c r="B1068">
        <v>0.99876560204751996</v>
      </c>
      <c r="C1068">
        <v>1.02456172965591</v>
      </c>
      <c r="D1068">
        <v>1.00058264110586</v>
      </c>
      <c r="E1068">
        <v>0.99115077752200098</v>
      </c>
      <c r="F1068">
        <v>0.88208771140418796</v>
      </c>
      <c r="G1068">
        <v>0.47218426052437701</v>
      </c>
      <c r="H1068">
        <v>0.137614111579036</v>
      </c>
      <c r="I1068">
        <v>8.70907662360869E-2</v>
      </c>
      <c r="J1068">
        <v>7.2087851021910801E-2</v>
      </c>
      <c r="K1068">
        <v>6.4345002777205798E-2</v>
      </c>
      <c r="L1068">
        <v>1741.1229596789599</v>
      </c>
      <c r="M1068">
        <v>30.8225915807853</v>
      </c>
      <c r="N1068">
        <v>56.727107226280701</v>
      </c>
      <c r="O1068">
        <v>56.252349808114701</v>
      </c>
      <c r="P1068">
        <v>-0.12865712315919101</v>
      </c>
      <c r="Q1068">
        <v>6.0789797603032297E-2</v>
      </c>
      <c r="R1068">
        <v>0.99948554630737796</v>
      </c>
      <c r="S1068" t="s">
        <v>5364</v>
      </c>
      <c r="T1068" t="s">
        <v>8590</v>
      </c>
      <c r="U1068" t="s">
        <v>8590</v>
      </c>
      <c r="V1068" t="s">
        <v>8590</v>
      </c>
      <c r="W1068">
        <v>17</v>
      </c>
      <c r="X1068" t="s">
        <v>9658</v>
      </c>
      <c r="Y1068">
        <v>0.58296218897027752</v>
      </c>
      <c r="Z1068" t="str">
        <f>HYPERLINK("Melting_Curves/meltCurve_sp_P41091_IF2G_HUMAN_.pdf", "Melting_Curves/meltCurve_sp_P41091_IF2G_HUMAN_.pdf")</f>
        <v>Melting_Curves/meltCurve_sp_P41091_IF2G_HUMAN_.pdf</v>
      </c>
      <c r="AA1068" t="s">
        <v>13934</v>
      </c>
      <c r="AB1068" t="s">
        <v>18153</v>
      </c>
    </row>
    <row r="1069" spans="1:28" x14ac:dyDescent="0.25">
      <c r="A1069" t="s">
        <v>1073</v>
      </c>
      <c r="B1069">
        <v>0.99876560204751996</v>
      </c>
      <c r="C1069">
        <v>0.92715699286555397</v>
      </c>
      <c r="D1069">
        <v>1.03383278503825</v>
      </c>
      <c r="E1069">
        <v>0.919651030714839</v>
      </c>
      <c r="F1069">
        <v>0.84614820966048798</v>
      </c>
      <c r="G1069">
        <v>0.59146276648928497</v>
      </c>
      <c r="H1069">
        <v>0.50819439550368395</v>
      </c>
      <c r="I1069">
        <v>0.51249827947128701</v>
      </c>
      <c r="J1069">
        <v>0.77083549644707705</v>
      </c>
      <c r="K1069">
        <v>0.70606800699139405</v>
      </c>
      <c r="L1069">
        <v>2460.7998381637799</v>
      </c>
      <c r="M1069">
        <v>46.237727459987298</v>
      </c>
      <c r="O1069">
        <v>53.121343338459702</v>
      </c>
      <c r="P1069">
        <v>-8.3609359622031101E-2</v>
      </c>
      <c r="Q1069">
        <v>0.61577384217598197</v>
      </c>
      <c r="R1069">
        <v>0.80519231257690604</v>
      </c>
      <c r="S1069" t="s">
        <v>5365</v>
      </c>
      <c r="T1069" t="s">
        <v>8590</v>
      </c>
      <c r="U1069" t="s">
        <v>8590</v>
      </c>
      <c r="V1069" t="s">
        <v>8590</v>
      </c>
      <c r="W1069">
        <v>1</v>
      </c>
      <c r="X1069" t="s">
        <v>9659</v>
      </c>
      <c r="Y1069">
        <v>0.78615261231019018</v>
      </c>
      <c r="Z1069" t="str">
        <f>HYPERLINK("Melting_Curves/meltCurve_sp_P41208_CETN2_HUMAN_.pdf", "Melting_Curves/meltCurve_sp_P41208_CETN2_HUMAN_.pdf")</f>
        <v>Melting_Curves/meltCurve_sp_P41208_CETN2_HUMAN_.pdf</v>
      </c>
      <c r="AA1069" t="s">
        <v>13935</v>
      </c>
      <c r="AB1069" t="s">
        <v>18154</v>
      </c>
    </row>
    <row r="1070" spans="1:28" x14ac:dyDescent="0.25">
      <c r="A1070" t="s">
        <v>1074</v>
      </c>
      <c r="B1070">
        <v>0.99876560204751996</v>
      </c>
      <c r="C1070">
        <v>0.93980056561081404</v>
      </c>
      <c r="D1070">
        <v>0.99915658092909798</v>
      </c>
      <c r="E1070">
        <v>0.79518884149971403</v>
      </c>
      <c r="F1070">
        <v>0.69859667390645797</v>
      </c>
      <c r="G1070">
        <v>0.31325175622590901</v>
      </c>
      <c r="H1070">
        <v>0.168768620304515</v>
      </c>
      <c r="I1070">
        <v>0.13845343931474599</v>
      </c>
      <c r="J1070">
        <v>0.15083734092142501</v>
      </c>
      <c r="K1070">
        <v>0.13612729329188</v>
      </c>
      <c r="L1070">
        <v>1119.96839709558</v>
      </c>
      <c r="M1070">
        <v>20.750549014493998</v>
      </c>
      <c r="N1070">
        <v>54.665355627466298</v>
      </c>
      <c r="O1070">
        <v>53.479188291254196</v>
      </c>
      <c r="P1070">
        <v>-8.5795329041718799E-2</v>
      </c>
      <c r="Q1070">
        <v>0.115563557298419</v>
      </c>
      <c r="R1070">
        <v>0.99066462798045896</v>
      </c>
      <c r="S1070" t="s">
        <v>5366</v>
      </c>
      <c r="T1070" t="s">
        <v>8590</v>
      </c>
      <c r="U1070" t="s">
        <v>8590</v>
      </c>
      <c r="V1070" t="s">
        <v>8590</v>
      </c>
      <c r="W1070">
        <v>2</v>
      </c>
      <c r="X1070" t="s">
        <v>9660</v>
      </c>
      <c r="Y1070">
        <v>0.5388266434811313</v>
      </c>
      <c r="Z1070" t="str">
        <f>HYPERLINK("Melting_Curves/meltCurve_sp_P41223_BUD31_HUMAN_.pdf", "Melting_Curves/meltCurve_sp_P41223_BUD31_HUMAN_.pdf")</f>
        <v>Melting_Curves/meltCurve_sp_P41223_BUD31_HUMAN_.pdf</v>
      </c>
      <c r="AA1070" t="s">
        <v>13936</v>
      </c>
      <c r="AB1070" t="s">
        <v>18155</v>
      </c>
    </row>
    <row r="1071" spans="1:28" x14ac:dyDescent="0.25">
      <c r="A1071" t="s">
        <v>1075</v>
      </c>
      <c r="B1071">
        <v>0.99876560204751996</v>
      </c>
      <c r="C1071">
        <v>0.97275496563698705</v>
      </c>
      <c r="D1071">
        <v>0.88126942234104699</v>
      </c>
      <c r="E1071">
        <v>0.60394330949722796</v>
      </c>
      <c r="F1071">
        <v>0.33956373346928997</v>
      </c>
      <c r="G1071">
        <v>0.20344504871181701</v>
      </c>
      <c r="H1071">
        <v>0.114496191412473</v>
      </c>
      <c r="I1071">
        <v>8.7018105738136994E-2</v>
      </c>
      <c r="J1071">
        <v>9.2146310877620999E-2</v>
      </c>
      <c r="K1071">
        <v>8.1233784965616701E-2</v>
      </c>
      <c r="L1071">
        <v>957.63346426926296</v>
      </c>
      <c r="M1071">
        <v>18.9045292767217</v>
      </c>
      <c r="N1071">
        <v>51.126447397226002</v>
      </c>
      <c r="O1071">
        <v>50.099679866555199</v>
      </c>
      <c r="P1071">
        <v>-8.68115900896997E-2</v>
      </c>
      <c r="Q1071">
        <v>7.9785386357958496E-2</v>
      </c>
      <c r="R1071">
        <v>0.99918722419400097</v>
      </c>
      <c r="S1071" t="s">
        <v>5367</v>
      </c>
      <c r="T1071" t="s">
        <v>8590</v>
      </c>
      <c r="U1071" t="s">
        <v>8590</v>
      </c>
      <c r="V1071" t="s">
        <v>8590</v>
      </c>
      <c r="W1071">
        <v>11</v>
      </c>
      <c r="X1071" t="s">
        <v>9661</v>
      </c>
      <c r="Y1071">
        <v>0.42087060728660208</v>
      </c>
      <c r="Z1071" t="str">
        <f>HYPERLINK("Melting_Curves/meltCurve_sp_P41226_UBA7_HUMAN_.pdf", "Melting_Curves/meltCurve_sp_P41226_UBA7_HUMAN_.pdf")</f>
        <v>Melting_Curves/meltCurve_sp_P41226_UBA7_HUMAN_.pdf</v>
      </c>
      <c r="AA1071" t="s">
        <v>13937</v>
      </c>
      <c r="AB1071" t="s">
        <v>18156</v>
      </c>
    </row>
    <row r="1072" spans="1:28" x14ac:dyDescent="0.25">
      <c r="A1072" t="s">
        <v>1076</v>
      </c>
      <c r="B1072">
        <v>0.99876560204751996</v>
      </c>
      <c r="C1072">
        <v>0.98851252124330702</v>
      </c>
      <c r="D1072">
        <v>0.92716630726032701</v>
      </c>
      <c r="E1072">
        <v>0.88609351296838301</v>
      </c>
      <c r="F1072">
        <v>0.31876348651411202</v>
      </c>
      <c r="G1072">
        <v>0.14701483145233901</v>
      </c>
      <c r="H1072">
        <v>7.4651792643910003E-2</v>
      </c>
      <c r="I1072">
        <v>6.3180944565433203E-2</v>
      </c>
      <c r="J1072">
        <v>6.0233566303215601E-2</v>
      </c>
      <c r="K1072">
        <v>3.9850430605898199E-2</v>
      </c>
      <c r="L1072">
        <v>2488.85483721636</v>
      </c>
      <c r="M1072">
        <v>47.922493802919298</v>
      </c>
      <c r="N1072">
        <v>52.106232391066897</v>
      </c>
      <c r="O1072">
        <v>51.844824048458001</v>
      </c>
      <c r="P1072">
        <v>-0.21425101786335901</v>
      </c>
      <c r="Q1072">
        <v>7.2853627150343603E-2</v>
      </c>
      <c r="R1072">
        <v>0.99392793614548702</v>
      </c>
      <c r="S1072" t="s">
        <v>5368</v>
      </c>
      <c r="T1072" t="s">
        <v>8590</v>
      </c>
      <c r="U1072" t="s">
        <v>8590</v>
      </c>
      <c r="V1072" t="s">
        <v>8590</v>
      </c>
      <c r="W1072">
        <v>6</v>
      </c>
      <c r="X1072" t="s">
        <v>9662</v>
      </c>
      <c r="Y1072">
        <v>0.44401645469118611</v>
      </c>
      <c r="Z1072" t="str">
        <f>HYPERLINK("Melting_Curves/meltCurve_sp_P41227_2_NAA10_HUMAN_.pdf", "Melting_Curves/meltCurve_sp_P41227_2_NAA10_HUMAN_.pdf")</f>
        <v>Melting_Curves/meltCurve_sp_P41227_2_NAA10_HUMAN_.pdf</v>
      </c>
      <c r="AA1072" t="s">
        <v>13938</v>
      </c>
      <c r="AB1072" t="s">
        <v>18157</v>
      </c>
    </row>
    <row r="1073" spans="1:28" x14ac:dyDescent="0.25">
      <c r="A1073" t="s">
        <v>1077</v>
      </c>
      <c r="B1073">
        <v>0.99876560204751996</v>
      </c>
      <c r="C1073">
        <v>0.91586489744482003</v>
      </c>
      <c r="D1073">
        <v>1.0251200929531099</v>
      </c>
      <c r="E1073">
        <v>0.98652764290364403</v>
      </c>
      <c r="F1073">
        <v>1.1002591735492899</v>
      </c>
      <c r="G1073">
        <v>0.92944330031003197</v>
      </c>
      <c r="H1073">
        <v>0.83528993247510297</v>
      </c>
      <c r="I1073">
        <v>0.90829288276840703</v>
      </c>
      <c r="J1073">
        <v>1.12671559924025</v>
      </c>
      <c r="K1073">
        <v>1.17941548171335</v>
      </c>
      <c r="L1073">
        <v>15000</v>
      </c>
      <c r="M1073">
        <v>224.75676542571699</v>
      </c>
      <c r="O1073">
        <v>66.7335418962099</v>
      </c>
      <c r="P1073">
        <v>0.15108326609420999</v>
      </c>
      <c r="Q1073">
        <v>1.1794352160603701</v>
      </c>
      <c r="R1073">
        <v>0.452095591086144</v>
      </c>
      <c r="S1073" t="s">
        <v>5369</v>
      </c>
      <c r="T1073" t="s">
        <v>8590</v>
      </c>
      <c r="U1073" t="s">
        <v>8590</v>
      </c>
      <c r="V1073" t="s">
        <v>8590</v>
      </c>
      <c r="W1073">
        <v>7</v>
      </c>
      <c r="X1073" t="s">
        <v>9663</v>
      </c>
      <c r="Y1073">
        <v>1.019479771611673</v>
      </c>
      <c r="Z1073" t="str">
        <f>HYPERLINK("Melting_Curves/meltCurve_sp_P41236_IPP2_HUMAN_.pdf", "Melting_Curves/meltCurve_sp_P41236_IPP2_HUMAN_.pdf")</f>
        <v>Melting_Curves/meltCurve_sp_P41236_IPP2_HUMAN_.pdf</v>
      </c>
      <c r="AA1073" t="s">
        <v>13939</v>
      </c>
      <c r="AB1073" t="s">
        <v>18158</v>
      </c>
    </row>
    <row r="1074" spans="1:28" x14ac:dyDescent="0.25">
      <c r="A1074" t="s">
        <v>1078</v>
      </c>
      <c r="B1074">
        <v>0.99876560204751996</v>
      </c>
      <c r="C1074">
        <v>0.89021387109692396</v>
      </c>
      <c r="D1074">
        <v>0.86622104938493505</v>
      </c>
      <c r="E1074">
        <v>0.520385974887287</v>
      </c>
      <c r="F1074">
        <v>0.18557503000385001</v>
      </c>
      <c r="G1074">
        <v>0.11651909162634499</v>
      </c>
      <c r="H1074">
        <v>7.5137323356846003E-2</v>
      </c>
      <c r="I1074">
        <v>7.1781521094726797E-2</v>
      </c>
      <c r="J1074">
        <v>6.6073738005877097E-2</v>
      </c>
      <c r="K1074">
        <v>5.8165365297496399E-2</v>
      </c>
      <c r="L1074">
        <v>1129.7336736079301</v>
      </c>
      <c r="M1074">
        <v>22.7859203337661</v>
      </c>
      <c r="N1074">
        <v>49.856106287562802</v>
      </c>
      <c r="O1074">
        <v>49.203196887457302</v>
      </c>
      <c r="P1074">
        <v>-0.108921965896894</v>
      </c>
      <c r="Q1074">
        <v>5.9207659908876498E-2</v>
      </c>
      <c r="R1074">
        <v>0.99218798857378099</v>
      </c>
      <c r="S1074" t="s">
        <v>5370</v>
      </c>
      <c r="T1074" t="s">
        <v>8590</v>
      </c>
      <c r="U1074" t="s">
        <v>8590</v>
      </c>
      <c r="V1074" t="s">
        <v>8590</v>
      </c>
      <c r="W1074">
        <v>16</v>
      </c>
      <c r="X1074" t="s">
        <v>9664</v>
      </c>
      <c r="Y1074">
        <v>0.36974976095715018</v>
      </c>
      <c r="Z1074" t="str">
        <f>HYPERLINK("Melting_Curves/meltCurve_sp_P41240_CSK_HUMAN_.pdf", "Melting_Curves/meltCurve_sp_P41240_CSK_HUMAN_.pdf")</f>
        <v>Melting_Curves/meltCurve_sp_P41240_CSK_HUMAN_.pdf</v>
      </c>
      <c r="AA1074" t="s">
        <v>13940</v>
      </c>
      <c r="AB1074" t="s">
        <v>18159</v>
      </c>
    </row>
    <row r="1075" spans="1:28" x14ac:dyDescent="0.25">
      <c r="A1075" t="s">
        <v>1079</v>
      </c>
      <c r="B1075">
        <v>0.99876560204751996</v>
      </c>
      <c r="C1075">
        <v>0.96591144384721195</v>
      </c>
      <c r="D1075">
        <v>0.79599722343825796</v>
      </c>
      <c r="E1075">
        <v>0.75437868695075205</v>
      </c>
      <c r="F1075">
        <v>0.63667772424922897</v>
      </c>
      <c r="G1075">
        <v>0.52616214563300501</v>
      </c>
      <c r="H1075">
        <v>0.37934278298521701</v>
      </c>
      <c r="I1075">
        <v>0.176284894144455</v>
      </c>
      <c r="J1075">
        <v>5.2998219722592402E-2</v>
      </c>
      <c r="K1075">
        <v>4.6167163556690302E-2</v>
      </c>
      <c r="L1075">
        <v>580.67212039452795</v>
      </c>
      <c r="M1075">
        <v>10.392108043682899</v>
      </c>
      <c r="N1075">
        <v>55.876253110998</v>
      </c>
      <c r="O1075">
        <v>53.9260005387871</v>
      </c>
      <c r="P1075">
        <v>-4.8197855831935497E-2</v>
      </c>
      <c r="Q1075">
        <v>0</v>
      </c>
      <c r="R1075">
        <v>0.96524957692057101</v>
      </c>
      <c r="S1075" t="s">
        <v>5371</v>
      </c>
      <c r="T1075" t="s">
        <v>8590</v>
      </c>
      <c r="U1075" t="s">
        <v>8590</v>
      </c>
      <c r="V1075" t="s">
        <v>8590</v>
      </c>
      <c r="W1075">
        <v>27</v>
      </c>
      <c r="X1075" t="s">
        <v>9665</v>
      </c>
      <c r="Y1075">
        <v>0.55085294753267933</v>
      </c>
      <c r="Z1075" t="str">
        <f>HYPERLINK("Melting_Curves/meltCurve_sp_P41250_SYG_HUMAN_.pdf", "Melting_Curves/meltCurve_sp_P41250_SYG_HUMAN_.pdf")</f>
        <v>Melting_Curves/meltCurve_sp_P41250_SYG_HUMAN_.pdf</v>
      </c>
      <c r="AA1075" t="s">
        <v>13941</v>
      </c>
      <c r="AB1075" t="s">
        <v>18160</v>
      </c>
    </row>
    <row r="1076" spans="1:28" x14ac:dyDescent="0.25">
      <c r="A1076" t="s">
        <v>1080</v>
      </c>
      <c r="B1076">
        <v>0.99876560204751996</v>
      </c>
      <c r="C1076">
        <v>0.93378648967395605</v>
      </c>
      <c r="D1076">
        <v>0.57900468005196004</v>
      </c>
      <c r="E1076">
        <v>0.27502184860657303</v>
      </c>
      <c r="F1076">
        <v>0.17601703922136699</v>
      </c>
      <c r="G1076">
        <v>7.3368845097723207E-2</v>
      </c>
      <c r="H1076">
        <v>6.1125563642286197E-2</v>
      </c>
      <c r="I1076">
        <v>4.1517310277740999E-2</v>
      </c>
      <c r="J1076">
        <v>3.0525681725958102E-2</v>
      </c>
      <c r="K1076">
        <v>2.8476776320989099E-2</v>
      </c>
      <c r="L1076">
        <v>938.71938996856602</v>
      </c>
      <c r="M1076">
        <v>19.955652351516498</v>
      </c>
      <c r="N1076">
        <v>47.257063536106898</v>
      </c>
      <c r="O1076">
        <v>46.575540416069501</v>
      </c>
      <c r="P1076">
        <v>-0.10243220491369701</v>
      </c>
      <c r="Q1076">
        <v>4.3743885880643603E-2</v>
      </c>
      <c r="R1076">
        <v>0.993473285817837</v>
      </c>
      <c r="S1076" t="s">
        <v>5372</v>
      </c>
      <c r="T1076" t="s">
        <v>8590</v>
      </c>
      <c r="U1076" t="s">
        <v>8590</v>
      </c>
      <c r="V1076" t="s">
        <v>8590</v>
      </c>
      <c r="W1076">
        <v>10</v>
      </c>
      <c r="X1076" t="s">
        <v>9666</v>
      </c>
      <c r="Y1076">
        <v>0.28219936802055479</v>
      </c>
      <c r="Z1076" t="str">
        <f>HYPERLINK("Melting_Curves/meltCurve_sp_P41252_SYIC_HUMAN_.pdf", "Melting_Curves/meltCurve_sp_P41252_SYIC_HUMAN_.pdf")</f>
        <v>Melting_Curves/meltCurve_sp_P41252_SYIC_HUMAN_.pdf</v>
      </c>
      <c r="AA1076" t="s">
        <v>13942</v>
      </c>
      <c r="AB1076" t="s">
        <v>18161</v>
      </c>
    </row>
    <row r="1077" spans="1:28" x14ac:dyDescent="0.25">
      <c r="A1077" t="s">
        <v>1081</v>
      </c>
      <c r="B1077">
        <v>0.99876560204751996</v>
      </c>
      <c r="C1077">
        <v>0.92465846301875099</v>
      </c>
      <c r="D1077">
        <v>0.964568582418176</v>
      </c>
      <c r="E1077">
        <v>0.81235542399857497</v>
      </c>
      <c r="F1077">
        <v>0.69078148469810996</v>
      </c>
      <c r="G1077">
        <v>0.47156354987314902</v>
      </c>
      <c r="H1077">
        <v>0.38872987055269598</v>
      </c>
      <c r="I1077">
        <v>0.34390220077172001</v>
      </c>
      <c r="J1077">
        <v>0.40923463768123602</v>
      </c>
      <c r="K1077">
        <v>0.35383574253372002</v>
      </c>
      <c r="L1077">
        <v>943.63661138880002</v>
      </c>
      <c r="M1077">
        <v>17.867852763651701</v>
      </c>
      <c r="N1077">
        <v>56.579381269196702</v>
      </c>
      <c r="O1077">
        <v>52.1637894072867</v>
      </c>
      <c r="P1077">
        <v>-5.5848524345564303E-2</v>
      </c>
      <c r="Q1077">
        <v>0.34785164658967499</v>
      </c>
      <c r="R1077">
        <v>0.986736230333354</v>
      </c>
      <c r="S1077" t="s">
        <v>5373</v>
      </c>
      <c r="T1077" t="s">
        <v>8590</v>
      </c>
      <c r="U1077" t="s">
        <v>8590</v>
      </c>
      <c r="V1077" t="s">
        <v>8590</v>
      </c>
      <c r="W1077">
        <v>7</v>
      </c>
      <c r="X1077" t="s">
        <v>9667</v>
      </c>
      <c r="Y1077">
        <v>0.63720579080671347</v>
      </c>
      <c r="Z1077" t="str">
        <f>HYPERLINK("Melting_Curves/meltCurve_sp_P41567_EIF1_HUMAN_.pdf", "Melting_Curves/meltCurve_sp_P41567_EIF1_HUMAN_.pdf")</f>
        <v>Melting_Curves/meltCurve_sp_P41567_EIF1_HUMAN_.pdf</v>
      </c>
      <c r="AA1077" t="s">
        <v>13943</v>
      </c>
      <c r="AB1077" t="s">
        <v>18162</v>
      </c>
    </row>
    <row r="1078" spans="1:28" x14ac:dyDescent="0.25">
      <c r="A1078" t="s">
        <v>1082</v>
      </c>
      <c r="B1078">
        <v>0.99876560204751996</v>
      </c>
      <c r="C1078">
        <v>1.04200818134609</v>
      </c>
      <c r="D1078">
        <v>0.880601467952701</v>
      </c>
      <c r="E1078">
        <v>1.06680398596221</v>
      </c>
      <c r="F1078">
        <v>0.44881983703490602</v>
      </c>
      <c r="G1078">
        <v>0.121542897492629</v>
      </c>
      <c r="H1078">
        <v>8.89796376754734E-2</v>
      </c>
      <c r="I1078">
        <v>0</v>
      </c>
      <c r="J1078">
        <v>0</v>
      </c>
      <c r="K1078">
        <v>0</v>
      </c>
      <c r="L1078">
        <v>13233.890774529</v>
      </c>
      <c r="M1078">
        <v>250</v>
      </c>
      <c r="N1078">
        <v>52.954195951377599</v>
      </c>
      <c r="O1078">
        <v>52.932176769495697</v>
      </c>
      <c r="P1078">
        <v>-1.13104115664946</v>
      </c>
      <c r="Q1078">
        <v>4.2104495766869601E-2</v>
      </c>
      <c r="R1078">
        <v>0.98335240261732204</v>
      </c>
      <c r="S1078" t="s">
        <v>5374</v>
      </c>
      <c r="T1078" t="s">
        <v>8590</v>
      </c>
      <c r="U1078" t="s">
        <v>8590</v>
      </c>
      <c r="V1078" t="s">
        <v>8590</v>
      </c>
      <c r="W1078">
        <v>1</v>
      </c>
      <c r="X1078" t="s">
        <v>9668</v>
      </c>
      <c r="Y1078">
        <v>0.45522407651636809</v>
      </c>
      <c r="Z1078" t="str">
        <f>HYPERLINK("Melting_Curves/meltCurve_sp_P41743_KPCI_HUMAN_.pdf", "Melting_Curves/meltCurve_sp_P41743_KPCI_HUMAN_.pdf")</f>
        <v>Melting_Curves/meltCurve_sp_P41743_KPCI_HUMAN_.pdf</v>
      </c>
      <c r="AA1078" t="s">
        <v>13944</v>
      </c>
      <c r="AB1078" t="s">
        <v>18163</v>
      </c>
    </row>
    <row r="1079" spans="1:28" x14ac:dyDescent="0.25">
      <c r="A1079" t="s">
        <v>1083</v>
      </c>
      <c r="B1079">
        <v>0.99876560204751996</v>
      </c>
      <c r="C1079">
        <v>1.0628946156497101</v>
      </c>
      <c r="D1079">
        <v>1.0067412942829701</v>
      </c>
      <c r="E1079">
        <v>0.95389559882090402</v>
      </c>
      <c r="F1079">
        <v>0.77640839264547301</v>
      </c>
      <c r="G1079">
        <v>0.34603149837972502</v>
      </c>
      <c r="H1079">
        <v>0.17621899457604601</v>
      </c>
      <c r="I1079">
        <v>0.116372483804521</v>
      </c>
      <c r="J1079">
        <v>0.109935003065581</v>
      </c>
      <c r="K1079">
        <v>8.1115735402885594E-2</v>
      </c>
      <c r="L1079">
        <v>1523.7071939155701</v>
      </c>
      <c r="M1079">
        <v>27.649300763202401</v>
      </c>
      <c r="N1079">
        <v>55.5442074421291</v>
      </c>
      <c r="O1079">
        <v>54.822474083137898</v>
      </c>
      <c r="P1079">
        <v>-0.113790474976871</v>
      </c>
      <c r="Q1079">
        <v>9.7522044571012698E-2</v>
      </c>
      <c r="R1079">
        <v>0.99699204025907795</v>
      </c>
      <c r="S1079" t="s">
        <v>5375</v>
      </c>
      <c r="T1079" t="s">
        <v>8590</v>
      </c>
      <c r="U1079" t="s">
        <v>8590</v>
      </c>
      <c r="V1079" t="s">
        <v>8590</v>
      </c>
      <c r="W1079">
        <v>10</v>
      </c>
      <c r="X1079" t="s">
        <v>9669</v>
      </c>
      <c r="Y1079">
        <v>0.55899154082092062</v>
      </c>
      <c r="Z1079" t="str">
        <f>HYPERLINK("Melting_Curves/meltCurve_sp_P42025_ACTY_HUMAN_.pdf", "Melting_Curves/meltCurve_sp_P42025_ACTY_HUMAN_.pdf")</f>
        <v>Melting_Curves/meltCurve_sp_P42025_ACTY_HUMAN_.pdf</v>
      </c>
      <c r="AA1079" t="s">
        <v>13945</v>
      </c>
      <c r="AB1079" t="s">
        <v>18164</v>
      </c>
    </row>
    <row r="1080" spans="1:28" x14ac:dyDescent="0.25">
      <c r="A1080" t="s">
        <v>1084</v>
      </c>
      <c r="B1080">
        <v>0.99876560204751996</v>
      </c>
      <c r="C1080">
        <v>1.0412142820110999</v>
      </c>
      <c r="D1080">
        <v>1.02605937408234</v>
      </c>
      <c r="E1080">
        <v>1.01882883741227</v>
      </c>
      <c r="F1080">
        <v>0.92177593965069504</v>
      </c>
      <c r="G1080">
        <v>0.64158317025976797</v>
      </c>
      <c r="H1080">
        <v>0.52814072700097703</v>
      </c>
      <c r="I1080">
        <v>0.46645525810203797</v>
      </c>
      <c r="J1080">
        <v>0.52279487344917996</v>
      </c>
      <c r="K1080">
        <v>0.35976830138369598</v>
      </c>
      <c r="L1080">
        <v>1632.76433707977</v>
      </c>
      <c r="M1080">
        <v>29.106155624788201</v>
      </c>
      <c r="N1080">
        <v>60.848646065716899</v>
      </c>
      <c r="O1080">
        <v>55.834071728568702</v>
      </c>
      <c r="P1080">
        <v>-7.1874946177350005E-2</v>
      </c>
      <c r="Q1080">
        <v>0.44849584922207603</v>
      </c>
      <c r="R1080">
        <v>0.97305373410359397</v>
      </c>
      <c r="S1080" t="s">
        <v>5376</v>
      </c>
      <c r="T1080" t="s">
        <v>8590</v>
      </c>
      <c r="U1080" t="s">
        <v>8590</v>
      </c>
      <c r="V1080" t="s">
        <v>8590</v>
      </c>
      <c r="W1080">
        <v>13</v>
      </c>
      <c r="X1080" t="s">
        <v>9670</v>
      </c>
      <c r="Y1080">
        <v>0.74829820635918309</v>
      </c>
      <c r="Z1080" t="str">
        <f>HYPERLINK("Melting_Curves/meltCurve_sp_P42126_2_ECI1_HUMAN_.pdf", "Melting_Curves/meltCurve_sp_P42126_2_ECI1_HUMAN_.pdf")</f>
        <v>Melting_Curves/meltCurve_sp_P42126_2_ECI1_HUMAN_.pdf</v>
      </c>
      <c r="AA1080" t="s">
        <v>13946</v>
      </c>
      <c r="AB1080" t="s">
        <v>18165</v>
      </c>
    </row>
    <row r="1081" spans="1:28" x14ac:dyDescent="0.25">
      <c r="A1081" t="s">
        <v>1085</v>
      </c>
      <c r="B1081">
        <v>0.99876560204751996</v>
      </c>
      <c r="C1081">
        <v>0.96687118224403501</v>
      </c>
      <c r="D1081">
        <v>1.0488849443188799</v>
      </c>
      <c r="E1081">
        <v>0.86817640986113698</v>
      </c>
      <c r="F1081">
        <v>0.80082822532289999</v>
      </c>
      <c r="G1081">
        <v>0.609693945781417</v>
      </c>
      <c r="H1081">
        <v>0.48684829405666502</v>
      </c>
      <c r="I1081">
        <v>0.50371433171367797</v>
      </c>
      <c r="J1081">
        <v>0.62534569241050897</v>
      </c>
      <c r="K1081">
        <v>0.57667727833606997</v>
      </c>
      <c r="L1081">
        <v>1366.6933224730101</v>
      </c>
      <c r="M1081">
        <v>25.8349267284006</v>
      </c>
      <c r="O1081">
        <v>52.587093028157</v>
      </c>
      <c r="P1081">
        <v>-5.5755077122098901E-2</v>
      </c>
      <c r="Q1081">
        <v>0.54604669551971297</v>
      </c>
      <c r="R1081">
        <v>0.94530496335935099</v>
      </c>
      <c r="S1081" t="s">
        <v>5377</v>
      </c>
      <c r="T1081" t="s">
        <v>8590</v>
      </c>
      <c r="U1081" t="s">
        <v>8590</v>
      </c>
      <c r="V1081" t="s">
        <v>8590</v>
      </c>
      <c r="W1081">
        <v>14</v>
      </c>
      <c r="X1081" t="s">
        <v>9671</v>
      </c>
      <c r="Y1081">
        <v>0.7451866742921176</v>
      </c>
      <c r="Z1081" t="str">
        <f>HYPERLINK("Melting_Curves/meltCurve_sp_P42166_LAP2A_HUMAN_.pdf", "Melting_Curves/meltCurve_sp_P42166_LAP2A_HUMAN_.pdf")</f>
        <v>Melting_Curves/meltCurve_sp_P42166_LAP2A_HUMAN_.pdf</v>
      </c>
      <c r="AA1081" t="s">
        <v>13947</v>
      </c>
      <c r="AB1081" t="s">
        <v>18166</v>
      </c>
    </row>
    <row r="1082" spans="1:28" x14ac:dyDescent="0.25">
      <c r="A1082" t="s">
        <v>1086</v>
      </c>
      <c r="B1082">
        <v>0.99876560204751996</v>
      </c>
      <c r="C1082">
        <v>1.01657862385704</v>
      </c>
      <c r="D1082">
        <v>0.85655903976398995</v>
      </c>
      <c r="E1082">
        <v>0.347118589489815</v>
      </c>
      <c r="F1082">
        <v>0.130714649954594</v>
      </c>
      <c r="G1082">
        <v>7.6108657461355797E-2</v>
      </c>
      <c r="H1082">
        <v>4.3980904085269897E-2</v>
      </c>
      <c r="I1082">
        <v>3.6716407745725203E-2</v>
      </c>
      <c r="J1082">
        <v>3.3745065035449599E-2</v>
      </c>
      <c r="K1082">
        <v>2.7014919889328502E-2</v>
      </c>
      <c r="L1082">
        <v>1433.85716269046</v>
      </c>
      <c r="M1082">
        <v>29.409565555001301</v>
      </c>
      <c r="N1082">
        <v>48.895672398446301</v>
      </c>
      <c r="O1082">
        <v>48.5310420490515</v>
      </c>
      <c r="P1082">
        <v>-0.145345409453215</v>
      </c>
      <c r="Q1082">
        <v>4.0623226424649099E-2</v>
      </c>
      <c r="R1082">
        <v>0.99880495016341797</v>
      </c>
      <c r="S1082" t="s">
        <v>5378</v>
      </c>
      <c r="T1082" t="s">
        <v>8590</v>
      </c>
      <c r="U1082" t="s">
        <v>8590</v>
      </c>
      <c r="V1082" t="s">
        <v>8590</v>
      </c>
      <c r="W1082">
        <v>28</v>
      </c>
      <c r="X1082" t="s">
        <v>9672</v>
      </c>
      <c r="Y1082">
        <v>0.32666139656356069</v>
      </c>
      <c r="Z1082" t="str">
        <f>HYPERLINK("Melting_Curves/meltCurve_sp_P42224_STAT1_HUMAN_.pdf", "Melting_Curves/meltCurve_sp_P42224_STAT1_HUMAN_.pdf")</f>
        <v>Melting_Curves/meltCurve_sp_P42224_STAT1_HUMAN_.pdf</v>
      </c>
      <c r="AA1082" t="s">
        <v>13948</v>
      </c>
      <c r="AB1082" t="s">
        <v>18167</v>
      </c>
    </row>
    <row r="1083" spans="1:28" x14ac:dyDescent="0.25">
      <c r="A1083" t="s">
        <v>1087</v>
      </c>
      <c r="B1083">
        <v>0.99876560204751996</v>
      </c>
      <c r="C1083">
        <v>0.98878071565157</v>
      </c>
      <c r="D1083">
        <v>0.95470264537217198</v>
      </c>
      <c r="E1083">
        <v>0.80045325363690401</v>
      </c>
      <c r="F1083">
        <v>0.46127069065548199</v>
      </c>
      <c r="G1083">
        <v>0.20414622287819301</v>
      </c>
      <c r="H1083">
        <v>0.113388145890993</v>
      </c>
      <c r="I1083">
        <v>8.73556192135726E-2</v>
      </c>
      <c r="J1083">
        <v>9.8281741216161095E-2</v>
      </c>
      <c r="K1083">
        <v>8.7925234474021299E-2</v>
      </c>
      <c r="L1083">
        <v>1315.67445274838</v>
      </c>
      <c r="M1083">
        <v>25.132610171263099</v>
      </c>
      <c r="N1083">
        <v>52.757154781826003</v>
      </c>
      <c r="O1083">
        <v>52.021244657558</v>
      </c>
      <c r="P1083">
        <v>-0.110117966827204</v>
      </c>
      <c r="Q1083">
        <v>8.8292360977964404E-2</v>
      </c>
      <c r="R1083">
        <v>0.99930975368941699</v>
      </c>
      <c r="S1083" t="s">
        <v>5379</v>
      </c>
      <c r="T1083" t="s">
        <v>8590</v>
      </c>
      <c r="U1083" t="s">
        <v>8590</v>
      </c>
      <c r="V1083" t="s">
        <v>8590</v>
      </c>
      <c r="W1083">
        <v>6</v>
      </c>
      <c r="X1083" t="s">
        <v>9673</v>
      </c>
      <c r="Y1083">
        <v>0.47185696441695107</v>
      </c>
      <c r="Z1083" t="str">
        <f>HYPERLINK("Melting_Curves/meltCurve_sp_P42226_STAT6_HUMAN_.pdf", "Melting_Curves/meltCurve_sp_P42226_STAT6_HUMAN_.pdf")</f>
        <v>Melting_Curves/meltCurve_sp_P42226_STAT6_HUMAN_.pdf</v>
      </c>
      <c r="AA1083" t="s">
        <v>13949</v>
      </c>
      <c r="AB1083" t="s">
        <v>18168</v>
      </c>
    </row>
    <row r="1084" spans="1:28" x14ac:dyDescent="0.25">
      <c r="A1084" t="s">
        <v>1088</v>
      </c>
      <c r="B1084">
        <v>0.99876560204751996</v>
      </c>
      <c r="C1084">
        <v>1.01687318448901</v>
      </c>
      <c r="D1084">
        <v>0.94675573053557605</v>
      </c>
      <c r="E1084">
        <v>0.87864107215434795</v>
      </c>
      <c r="F1084">
        <v>0.44677159268934602</v>
      </c>
      <c r="G1084">
        <v>0.181021157357519</v>
      </c>
      <c r="H1084">
        <v>0.106627510110495</v>
      </c>
      <c r="I1084">
        <v>8.5796225346158606E-2</v>
      </c>
      <c r="J1084">
        <v>9.2976121769031E-2</v>
      </c>
      <c r="K1084">
        <v>7.1524145440572798E-2</v>
      </c>
      <c r="L1084">
        <v>1778.5030132212501</v>
      </c>
      <c r="M1084">
        <v>33.911465674174302</v>
      </c>
      <c r="N1084">
        <v>52.762375123894799</v>
      </c>
      <c r="O1084">
        <v>52.264120533851099</v>
      </c>
      <c r="P1084">
        <v>-0.14726739794184401</v>
      </c>
      <c r="Q1084">
        <v>9.2133811548155295E-2</v>
      </c>
      <c r="R1084">
        <v>0.99699908599151499</v>
      </c>
      <c r="S1084" t="s">
        <v>5380</v>
      </c>
      <c r="T1084" t="s">
        <v>8590</v>
      </c>
      <c r="U1084" t="s">
        <v>8590</v>
      </c>
      <c r="V1084" t="s">
        <v>8590</v>
      </c>
      <c r="W1084">
        <v>11</v>
      </c>
      <c r="X1084" t="s">
        <v>9674</v>
      </c>
      <c r="Y1084">
        <v>0.47334020949433497</v>
      </c>
      <c r="Z1084" t="str">
        <f>HYPERLINK("Melting_Curves/meltCurve_sp_P42285_SK2L2_HUMAN_.pdf", "Melting_Curves/meltCurve_sp_P42285_SK2L2_HUMAN_.pdf")</f>
        <v>Melting_Curves/meltCurve_sp_P42285_SK2L2_HUMAN_.pdf</v>
      </c>
      <c r="AA1084" t="s">
        <v>13950</v>
      </c>
      <c r="AB1084" t="s">
        <v>18169</v>
      </c>
    </row>
    <row r="1085" spans="1:28" x14ac:dyDescent="0.25">
      <c r="A1085" t="s">
        <v>1089</v>
      </c>
      <c r="B1085">
        <v>0.99876560204751996</v>
      </c>
      <c r="C1085">
        <v>0.95342878178165802</v>
      </c>
      <c r="D1085">
        <v>1.0458249817563401</v>
      </c>
      <c r="E1085">
        <v>0.58264341611791104</v>
      </c>
      <c r="F1085">
        <v>0.29728494948983097</v>
      </c>
      <c r="G1085">
        <v>0.20117776753135799</v>
      </c>
      <c r="H1085">
        <v>0.126901655889024</v>
      </c>
      <c r="I1085">
        <v>9.7245630522675305E-2</v>
      </c>
      <c r="J1085">
        <v>7.2355508956658904E-2</v>
      </c>
      <c r="K1085">
        <v>5.1408994692916501E-2</v>
      </c>
      <c r="L1085">
        <v>1449.99746532216</v>
      </c>
      <c r="M1085">
        <v>28.691161620674599</v>
      </c>
      <c r="N1085">
        <v>50.9345953047685</v>
      </c>
      <c r="O1085">
        <v>50.294522077704599</v>
      </c>
      <c r="P1085">
        <v>-0.12834476336464101</v>
      </c>
      <c r="Q1085">
        <v>0.10007296641758801</v>
      </c>
      <c r="R1085">
        <v>0.98669090076640797</v>
      </c>
      <c r="S1085" t="s">
        <v>5381</v>
      </c>
      <c r="T1085" t="s">
        <v>8590</v>
      </c>
      <c r="U1085" t="s">
        <v>8590</v>
      </c>
      <c r="V1085" t="s">
        <v>8590</v>
      </c>
      <c r="W1085">
        <v>28</v>
      </c>
      <c r="X1085" t="s">
        <v>9675</v>
      </c>
      <c r="Y1085">
        <v>0.42233331287500808</v>
      </c>
      <c r="Z1085" t="str">
        <f>HYPERLINK("Melting_Curves/meltCurve_sp_P42330_AK1C3_HUMAN_.pdf", "Melting_Curves/meltCurve_sp_P42330_AK1C3_HUMAN_.pdf")</f>
        <v>Melting_Curves/meltCurve_sp_P42330_AK1C3_HUMAN_.pdf</v>
      </c>
      <c r="AA1085" t="s">
        <v>13951</v>
      </c>
      <c r="AB1085" t="s">
        <v>18170</v>
      </c>
    </row>
    <row r="1086" spans="1:28" x14ac:dyDescent="0.25">
      <c r="A1086" t="s">
        <v>1090</v>
      </c>
      <c r="B1086">
        <v>0.99876560204751996</v>
      </c>
      <c r="C1086">
        <v>1.06796497240636</v>
      </c>
      <c r="D1086">
        <v>0.77684174881365398</v>
      </c>
      <c r="E1086">
        <v>0.79679413978798996</v>
      </c>
      <c r="F1086">
        <v>0.50321470524272804</v>
      </c>
      <c r="G1086">
        <v>0.21806145477267899</v>
      </c>
      <c r="H1086">
        <v>0.12838629336718799</v>
      </c>
      <c r="I1086">
        <v>6.6953114581345494E-2</v>
      </c>
      <c r="J1086">
        <v>7.4269854425489001E-2</v>
      </c>
      <c r="K1086">
        <v>6.9078551412860997E-2</v>
      </c>
      <c r="L1086">
        <v>892.74509307065102</v>
      </c>
      <c r="M1086">
        <v>16.918873811293199</v>
      </c>
      <c r="N1086">
        <v>53.006996560724602</v>
      </c>
      <c r="O1086">
        <v>52.045608315614899</v>
      </c>
      <c r="P1086">
        <v>-7.8268645415598498E-2</v>
      </c>
      <c r="Q1086">
        <v>3.6985046139470297E-2</v>
      </c>
      <c r="R1086">
        <v>0.97576298037822096</v>
      </c>
      <c r="S1086" t="s">
        <v>5382</v>
      </c>
      <c r="T1086" t="s">
        <v>8590</v>
      </c>
      <c r="U1086" t="s">
        <v>8590</v>
      </c>
      <c r="V1086" t="s">
        <v>8590</v>
      </c>
      <c r="W1086">
        <v>3</v>
      </c>
      <c r="X1086" t="s">
        <v>9676</v>
      </c>
      <c r="Y1086">
        <v>0.46426661740432779</v>
      </c>
      <c r="Z1086" t="str">
        <f>HYPERLINK("Melting_Curves/meltCurve_sp_P42336_PK3CA_HUMAN_.pdf", "Melting_Curves/meltCurve_sp_P42336_PK3CA_HUMAN_.pdf")</f>
        <v>Melting_Curves/meltCurve_sp_P42336_PK3CA_HUMAN_.pdf</v>
      </c>
      <c r="AA1086" t="s">
        <v>13952</v>
      </c>
      <c r="AB1086" t="s">
        <v>18171</v>
      </c>
    </row>
    <row r="1087" spans="1:28" x14ac:dyDescent="0.25">
      <c r="A1087" t="s">
        <v>1091</v>
      </c>
      <c r="B1087">
        <v>0.99876560204751996</v>
      </c>
      <c r="C1087">
        <v>1.09804887021271</v>
      </c>
      <c r="D1087">
        <v>0.98411734462559297</v>
      </c>
      <c r="E1087">
        <v>0.756093565241996</v>
      </c>
      <c r="F1087">
        <v>0.34159620223266202</v>
      </c>
      <c r="G1087">
        <v>0.14253247277700301</v>
      </c>
      <c r="H1087">
        <v>0.11181934434367601</v>
      </c>
      <c r="I1087">
        <v>6.68460909555708E-2</v>
      </c>
      <c r="J1087">
        <v>4.4627558347374301E-2</v>
      </c>
      <c r="K1087">
        <v>0.100212237719267</v>
      </c>
      <c r="L1087">
        <v>1671.3940919531001</v>
      </c>
      <c r="M1087">
        <v>32.426193162536599</v>
      </c>
      <c r="N1087">
        <v>51.832847183452103</v>
      </c>
      <c r="O1087">
        <v>51.349712819368598</v>
      </c>
      <c r="P1087">
        <v>-0.14484441289025499</v>
      </c>
      <c r="Q1087">
        <v>8.2509191509273799E-2</v>
      </c>
      <c r="R1087">
        <v>0.99257922040951896</v>
      </c>
      <c r="S1087" t="s">
        <v>5383</v>
      </c>
      <c r="T1087" t="s">
        <v>8590</v>
      </c>
      <c r="U1087" t="s">
        <v>8590</v>
      </c>
      <c r="V1087" t="s">
        <v>8590</v>
      </c>
      <c r="W1087">
        <v>2</v>
      </c>
      <c r="X1087" t="s">
        <v>9677</v>
      </c>
      <c r="Y1087">
        <v>0.44055952841069812</v>
      </c>
      <c r="Z1087" t="str">
        <f>HYPERLINK("Melting_Curves/meltCurve_sp_P42338_PK3CB_HUMAN_.pdf", "Melting_Curves/meltCurve_sp_P42338_PK3CB_HUMAN_.pdf")</f>
        <v>Melting_Curves/meltCurve_sp_P42338_PK3CB_HUMAN_.pdf</v>
      </c>
      <c r="AA1087" t="s">
        <v>13953</v>
      </c>
      <c r="AB1087" t="s">
        <v>18172</v>
      </c>
    </row>
    <row r="1088" spans="1:28" x14ac:dyDescent="0.25">
      <c r="A1088" t="s">
        <v>1092</v>
      </c>
      <c r="B1088">
        <v>0.99876560204751996</v>
      </c>
      <c r="C1088">
        <v>1.1178040126561</v>
      </c>
      <c r="D1088">
        <v>0.98684730536432697</v>
      </c>
      <c r="E1088">
        <v>1.0878595302880201</v>
      </c>
      <c r="F1088">
        <v>0.95794927123076301</v>
      </c>
      <c r="G1088">
        <v>0.73787670739315503</v>
      </c>
      <c r="H1088">
        <v>0.107901367490306</v>
      </c>
      <c r="I1088">
        <v>7.2468888382896501E-2</v>
      </c>
      <c r="J1088">
        <v>5.3781192168279902E-2</v>
      </c>
      <c r="K1088">
        <v>4.7322177541523798E-2</v>
      </c>
      <c r="L1088">
        <v>3172.56989920969</v>
      </c>
      <c r="M1088">
        <v>54.712291706785201</v>
      </c>
      <c r="N1088">
        <v>58.108144202614397</v>
      </c>
      <c r="O1088">
        <v>57.909108550211599</v>
      </c>
      <c r="P1088">
        <v>-0.22340848642143099</v>
      </c>
      <c r="Q1088">
        <v>5.4151977169942599E-2</v>
      </c>
      <c r="R1088">
        <v>0.98877455912116496</v>
      </c>
      <c r="S1088" t="s">
        <v>5384</v>
      </c>
      <c r="T1088" t="s">
        <v>8590</v>
      </c>
      <c r="U1088" t="s">
        <v>8590</v>
      </c>
      <c r="V1088" t="s">
        <v>8590</v>
      </c>
      <c r="W1088">
        <v>38</v>
      </c>
      <c r="X1088" t="s">
        <v>9678</v>
      </c>
      <c r="Y1088">
        <v>0.62324698802090939</v>
      </c>
      <c r="Z1088" t="str">
        <f>HYPERLINK("Melting_Curves/meltCurve_sp_P42357_HUTH_HUMAN_.pdf", "Melting_Curves/meltCurve_sp_P42357_HUTH_HUMAN_.pdf")</f>
        <v>Melting_Curves/meltCurve_sp_P42357_HUTH_HUMAN_.pdf</v>
      </c>
      <c r="AA1088" t="s">
        <v>13954</v>
      </c>
      <c r="AB1088" t="s">
        <v>18173</v>
      </c>
    </row>
    <row r="1089" spans="1:28" x14ac:dyDescent="0.25">
      <c r="A1089" t="s">
        <v>1093</v>
      </c>
      <c r="B1089">
        <v>0.99876560204751996</v>
      </c>
      <c r="C1089">
        <v>1.0003157104591101</v>
      </c>
      <c r="D1089">
        <v>0.96736414331931497</v>
      </c>
      <c r="E1089">
        <v>0.92397928140838603</v>
      </c>
      <c r="F1089">
        <v>0.86381740128074203</v>
      </c>
      <c r="G1089">
        <v>0.68844315531605904</v>
      </c>
      <c r="H1089">
        <v>0.52854813832119396</v>
      </c>
      <c r="I1089">
        <v>0.42674102314173901</v>
      </c>
      <c r="J1089">
        <v>0.40898450933534403</v>
      </c>
      <c r="K1089">
        <v>0.30929226405323001</v>
      </c>
      <c r="L1089">
        <v>760.40649540018001</v>
      </c>
      <c r="M1089">
        <v>12.9608211923806</v>
      </c>
      <c r="N1089">
        <v>61.939933030714798</v>
      </c>
      <c r="O1089">
        <v>57.3255906472126</v>
      </c>
      <c r="P1089">
        <v>-4.2525194279834998E-2</v>
      </c>
      <c r="Q1089">
        <v>0.24778004148558899</v>
      </c>
      <c r="R1089">
        <v>0.99651318798480204</v>
      </c>
      <c r="S1089" t="s">
        <v>5385</v>
      </c>
      <c r="T1089" t="s">
        <v>8590</v>
      </c>
      <c r="U1089" t="s">
        <v>8590</v>
      </c>
      <c r="V1089" t="s">
        <v>8590</v>
      </c>
      <c r="W1089">
        <v>18</v>
      </c>
      <c r="X1089" t="s">
        <v>9679</v>
      </c>
      <c r="Y1089">
        <v>0.72386584480683314</v>
      </c>
      <c r="Z1089" t="str">
        <f>HYPERLINK("Melting_Curves/meltCurve_sp_P42566_EPS15_HUMAN_.pdf", "Melting_Curves/meltCurve_sp_P42566_EPS15_HUMAN_.pdf")</f>
        <v>Melting_Curves/meltCurve_sp_P42566_EPS15_HUMAN_.pdf</v>
      </c>
      <c r="AA1089" t="s">
        <v>13955</v>
      </c>
      <c r="AB1089" t="s">
        <v>18174</v>
      </c>
    </row>
    <row r="1090" spans="1:28" x14ac:dyDescent="0.25">
      <c r="A1090" t="s">
        <v>1094</v>
      </c>
      <c r="B1090">
        <v>0.99876560204751996</v>
      </c>
      <c r="C1090">
        <v>0.95033282039393896</v>
      </c>
      <c r="D1090">
        <v>0.94064615056754897</v>
      </c>
      <c r="E1090">
        <v>0.94482955894389398</v>
      </c>
      <c r="F1090">
        <v>0.92154931743078905</v>
      </c>
      <c r="G1090">
        <v>0.84096866414202798</v>
      </c>
      <c r="H1090">
        <v>0.73142764994126197</v>
      </c>
      <c r="I1090">
        <v>0.73258742547068501</v>
      </c>
      <c r="J1090">
        <v>0.83619616882394798</v>
      </c>
      <c r="K1090">
        <v>0.71981033924728099</v>
      </c>
      <c r="L1090">
        <v>650.574661288995</v>
      </c>
      <c r="M1090">
        <v>11.864825909831501</v>
      </c>
      <c r="O1090">
        <v>53.344172619233802</v>
      </c>
      <c r="P1090">
        <v>-1.53938648931076E-2</v>
      </c>
      <c r="Q1090">
        <v>0.723226887310911</v>
      </c>
      <c r="R1090">
        <v>0.83873093554586997</v>
      </c>
      <c r="S1090" t="s">
        <v>5386</v>
      </c>
      <c r="T1090" t="s">
        <v>8590</v>
      </c>
      <c r="U1090" t="s">
        <v>8590</v>
      </c>
      <c r="V1090" t="s">
        <v>8590</v>
      </c>
      <c r="W1090">
        <v>8</v>
      </c>
      <c r="X1090" t="s">
        <v>9680</v>
      </c>
      <c r="Y1090">
        <v>0.86674157485317671</v>
      </c>
      <c r="Z1090" t="str">
        <f>HYPERLINK("Melting_Curves/meltCurve_sp_P42574_CASP3_HUMAN_.pdf", "Melting_Curves/meltCurve_sp_P42574_CASP3_HUMAN_.pdf")</f>
        <v>Melting_Curves/meltCurve_sp_P42574_CASP3_HUMAN_.pdf</v>
      </c>
      <c r="AA1090" t="s">
        <v>13956</v>
      </c>
      <c r="AB1090" t="s">
        <v>18175</v>
      </c>
    </row>
    <row r="1091" spans="1:28" x14ac:dyDescent="0.25">
      <c r="A1091" t="s">
        <v>1095</v>
      </c>
      <c r="B1091">
        <v>0.99876560204751996</v>
      </c>
      <c r="C1091">
        <v>1.0466326769345</v>
      </c>
      <c r="D1091">
        <v>0.93446884659200402</v>
      </c>
      <c r="E1091">
        <v>0.56086605576168003</v>
      </c>
      <c r="F1091">
        <v>0.14808136536111699</v>
      </c>
      <c r="G1091">
        <v>8.4727345196443399E-2</v>
      </c>
      <c r="H1091">
        <v>5.3627297649473701E-2</v>
      </c>
      <c r="I1091">
        <v>4.2217686506988997E-2</v>
      </c>
      <c r="J1091">
        <v>4.0285077579617398E-2</v>
      </c>
      <c r="K1091">
        <v>3.5400142799697998E-2</v>
      </c>
      <c r="L1091">
        <v>1803.1934859308501</v>
      </c>
      <c r="M1091">
        <v>35.950057440265397</v>
      </c>
      <c r="N1091">
        <v>50.292571330709798</v>
      </c>
      <c r="O1091">
        <v>50.003837876133801</v>
      </c>
      <c r="P1091">
        <v>-0.17151241961910499</v>
      </c>
      <c r="Q1091">
        <v>4.5759095979678803E-2</v>
      </c>
      <c r="R1091">
        <v>0.99736374228173097</v>
      </c>
      <c r="S1091" t="s">
        <v>5387</v>
      </c>
      <c r="T1091" t="s">
        <v>8590</v>
      </c>
      <c r="U1091" t="s">
        <v>8590</v>
      </c>
      <c r="V1091" t="s">
        <v>8590</v>
      </c>
      <c r="W1091">
        <v>74</v>
      </c>
      <c r="X1091" t="s">
        <v>9681</v>
      </c>
      <c r="Y1091">
        <v>0.37297952043034321</v>
      </c>
      <c r="Z1091" t="str">
        <f>HYPERLINK("Melting_Curves/meltCurve_sp_P42704_LPPRC_HUMAN_.pdf", "Melting_Curves/meltCurve_sp_P42704_LPPRC_HUMAN_.pdf")</f>
        <v>Melting_Curves/meltCurve_sp_P42704_LPPRC_HUMAN_.pdf</v>
      </c>
      <c r="AA1091" t="s">
        <v>13957</v>
      </c>
      <c r="AB1091" t="s">
        <v>18176</v>
      </c>
    </row>
    <row r="1092" spans="1:28" x14ac:dyDescent="0.25">
      <c r="A1092" t="s">
        <v>1096</v>
      </c>
      <c r="B1092">
        <v>0.99876560204751996</v>
      </c>
      <c r="C1092">
        <v>1.0486979963466601</v>
      </c>
      <c r="D1092">
        <v>0.96558465291977802</v>
      </c>
      <c r="E1092">
        <v>1.0619107748772501</v>
      </c>
      <c r="F1092">
        <v>1.01743837029315</v>
      </c>
      <c r="G1092">
        <v>0.86230562800831201</v>
      </c>
      <c r="H1092">
        <v>0.78578473174991703</v>
      </c>
      <c r="I1092">
        <v>0.72606316494997702</v>
      </c>
      <c r="J1092">
        <v>0.74251359866778899</v>
      </c>
      <c r="K1092">
        <v>0.13834616406961001</v>
      </c>
      <c r="L1092">
        <v>1394.3260558739801</v>
      </c>
      <c r="M1092">
        <v>20.706979082223601</v>
      </c>
      <c r="N1092">
        <v>67.336061327157907</v>
      </c>
      <c r="O1092">
        <v>66.717473610701902</v>
      </c>
      <c r="P1092">
        <v>-7.7594239844843801E-2</v>
      </c>
      <c r="Q1092">
        <v>0</v>
      </c>
      <c r="R1092">
        <v>0.83770915413227998</v>
      </c>
      <c r="S1092" t="s">
        <v>5388</v>
      </c>
      <c r="T1092" t="s">
        <v>8590</v>
      </c>
      <c r="U1092" t="s">
        <v>8590</v>
      </c>
      <c r="V1092" t="s">
        <v>8590</v>
      </c>
      <c r="W1092">
        <v>40</v>
      </c>
      <c r="X1092" t="s">
        <v>9682</v>
      </c>
      <c r="Y1092">
        <v>0.87929648213636757</v>
      </c>
      <c r="Z1092" t="str">
        <f>HYPERLINK("Melting_Curves/meltCurve_sp_P42765_THIM_HUMAN_.pdf", "Melting_Curves/meltCurve_sp_P42765_THIM_HUMAN_.pdf")</f>
        <v>Melting_Curves/meltCurve_sp_P42765_THIM_HUMAN_.pdf</v>
      </c>
      <c r="AA1092" t="s">
        <v>13958</v>
      </c>
      <c r="AB1092" t="s">
        <v>18177</v>
      </c>
    </row>
    <row r="1093" spans="1:28" x14ac:dyDescent="0.25">
      <c r="A1093" t="s">
        <v>1097</v>
      </c>
      <c r="B1093">
        <v>0.99876560204751996</v>
      </c>
      <c r="C1093">
        <v>0.95599322015723598</v>
      </c>
      <c r="D1093">
        <v>0.82033941175218195</v>
      </c>
      <c r="E1093">
        <v>0.72775339763911895</v>
      </c>
      <c r="F1093">
        <v>0.456933112812832</v>
      </c>
      <c r="G1093">
        <v>0.50049880198539898</v>
      </c>
      <c r="H1093">
        <v>0.37131948916237001</v>
      </c>
      <c r="I1093">
        <v>0.49333364780665001</v>
      </c>
      <c r="J1093">
        <v>0.46247855539933502</v>
      </c>
      <c r="K1093">
        <v>0.47097781914665698</v>
      </c>
      <c r="L1093">
        <v>929.53590660608802</v>
      </c>
      <c r="M1093">
        <v>19.130723806147302</v>
      </c>
      <c r="N1093">
        <v>54.8551816358043</v>
      </c>
      <c r="O1093">
        <v>48.067069228693398</v>
      </c>
      <c r="P1093">
        <v>-5.5345446024642399E-2</v>
      </c>
      <c r="Q1093">
        <v>0.44378679016623401</v>
      </c>
      <c r="R1093">
        <v>0.94756154138723303</v>
      </c>
      <c r="S1093" t="s">
        <v>5389</v>
      </c>
      <c r="T1093" t="s">
        <v>8590</v>
      </c>
      <c r="U1093" t="s">
        <v>8590</v>
      </c>
      <c r="V1093" t="s">
        <v>8590</v>
      </c>
      <c r="W1093">
        <v>1</v>
      </c>
      <c r="X1093" t="s">
        <v>9683</v>
      </c>
      <c r="Y1093">
        <v>0.61160238435285885</v>
      </c>
      <c r="Z1093" t="str">
        <f>HYPERLINK("Melting_Curves/meltCurve_sp_P42768_WASP_HUMAN_.pdf", "Melting_Curves/meltCurve_sp_P42768_WASP_HUMAN_.pdf")</f>
        <v>Melting_Curves/meltCurve_sp_P42768_WASP_HUMAN_.pdf</v>
      </c>
      <c r="AA1093" t="s">
        <v>13959</v>
      </c>
      <c r="AB1093" t="s">
        <v>18178</v>
      </c>
    </row>
    <row r="1094" spans="1:28" x14ac:dyDescent="0.25">
      <c r="A1094" t="s">
        <v>1098</v>
      </c>
      <c r="B1094">
        <v>0.99876560204751996</v>
      </c>
      <c r="C1094">
        <v>0.96266299237698305</v>
      </c>
      <c r="D1094">
        <v>0.96479564042627197</v>
      </c>
      <c r="E1094">
        <v>0.813778763354566</v>
      </c>
      <c r="F1094">
        <v>0.70005977065264002</v>
      </c>
      <c r="G1094">
        <v>0.59235398199655498</v>
      </c>
      <c r="H1094">
        <v>0.43620462915117603</v>
      </c>
      <c r="I1094">
        <v>0.46737835542171902</v>
      </c>
      <c r="J1094">
        <v>0.54405773753977804</v>
      </c>
      <c r="K1094">
        <v>0.53489374024830405</v>
      </c>
      <c r="L1094">
        <v>1009.50006520615</v>
      </c>
      <c r="M1094">
        <v>19.531466946383699</v>
      </c>
      <c r="N1094">
        <v>65.956878611820699</v>
      </c>
      <c r="O1094">
        <v>51.153160317006197</v>
      </c>
      <c r="P1094">
        <v>-4.8426970630421499E-2</v>
      </c>
      <c r="Q1094">
        <v>0.49269472536074299</v>
      </c>
      <c r="R1094">
        <v>0.96829994583666001</v>
      </c>
      <c r="S1094" t="s">
        <v>5390</v>
      </c>
      <c r="T1094" t="s">
        <v>8590</v>
      </c>
      <c r="U1094" t="s">
        <v>8590</v>
      </c>
      <c r="V1094" t="s">
        <v>8590</v>
      </c>
      <c r="W1094">
        <v>5</v>
      </c>
      <c r="X1094" t="s">
        <v>9684</v>
      </c>
      <c r="Y1094">
        <v>0.69764087014772547</v>
      </c>
      <c r="Z1094" t="str">
        <f>HYPERLINK("Melting_Curves/meltCurve_sp_P42773_CDN2C_HUMAN_.pdf", "Melting_Curves/meltCurve_sp_P42773_CDN2C_HUMAN_.pdf")</f>
        <v>Melting_Curves/meltCurve_sp_P42773_CDN2C_HUMAN_.pdf</v>
      </c>
      <c r="AA1094" t="s">
        <v>13960</v>
      </c>
      <c r="AB1094" t="s">
        <v>18179</v>
      </c>
    </row>
    <row r="1095" spans="1:28" x14ac:dyDescent="0.25">
      <c r="A1095" t="s">
        <v>1099</v>
      </c>
      <c r="B1095">
        <v>0.99876560204751996</v>
      </c>
      <c r="C1095">
        <v>0.97594544491608703</v>
      </c>
      <c r="D1095">
        <v>0.883448164324662</v>
      </c>
      <c r="E1095">
        <v>0.90808604731004605</v>
      </c>
      <c r="F1095">
        <v>0.65753919259330296</v>
      </c>
      <c r="G1095">
        <v>0.33158219455577498</v>
      </c>
      <c r="H1095">
        <v>0.109348498570014</v>
      </c>
      <c r="I1095">
        <v>8.3568522749451299E-2</v>
      </c>
      <c r="J1095">
        <v>7.8363938421383603E-2</v>
      </c>
      <c r="K1095">
        <v>5.3382938329268902E-2</v>
      </c>
      <c r="L1095">
        <v>1142.50273154664</v>
      </c>
      <c r="M1095">
        <v>20.936981312383399</v>
      </c>
      <c r="N1095">
        <v>54.799688600912603</v>
      </c>
      <c r="O1095">
        <v>54.078150660473298</v>
      </c>
      <c r="P1095">
        <v>-9.2704056912013902E-2</v>
      </c>
      <c r="Q1095">
        <v>4.22443836292088E-2</v>
      </c>
      <c r="R1095">
        <v>0.992122744308367</v>
      </c>
      <c r="S1095" t="s">
        <v>5391</v>
      </c>
      <c r="T1095" t="s">
        <v>8590</v>
      </c>
      <c r="U1095" t="s">
        <v>8590</v>
      </c>
      <c r="V1095" t="s">
        <v>8590</v>
      </c>
      <c r="W1095">
        <v>8</v>
      </c>
      <c r="X1095" t="s">
        <v>9685</v>
      </c>
      <c r="Y1095">
        <v>0.51933658039337949</v>
      </c>
      <c r="Z1095" t="str">
        <f>HYPERLINK("Melting_Curves/meltCurve_sp_P42785_PCP_HUMAN_.pdf", "Melting_Curves/meltCurve_sp_P42785_PCP_HUMAN_.pdf")</f>
        <v>Melting_Curves/meltCurve_sp_P42785_PCP_HUMAN_.pdf</v>
      </c>
      <c r="AA1095" t="s">
        <v>13961</v>
      </c>
      <c r="AB1095" t="s">
        <v>18180</v>
      </c>
    </row>
    <row r="1096" spans="1:28" x14ac:dyDescent="0.25">
      <c r="A1096" t="s">
        <v>1100</v>
      </c>
      <c r="B1096">
        <v>0.99876560204751996</v>
      </c>
      <c r="C1096">
        <v>1.0896491448869201</v>
      </c>
      <c r="D1096">
        <v>0.94835570321427098</v>
      </c>
      <c r="E1096">
        <v>0.78862126847895597</v>
      </c>
      <c r="F1096">
        <v>0.434873637942506</v>
      </c>
      <c r="G1096">
        <v>0.22570991056547701</v>
      </c>
      <c r="H1096">
        <v>0.159055056458064</v>
      </c>
      <c r="I1096">
        <v>0.14410662731441101</v>
      </c>
      <c r="J1096">
        <v>0.122079699515449</v>
      </c>
      <c r="K1096">
        <v>8.6872335130551398E-2</v>
      </c>
      <c r="L1096">
        <v>1350.9625111632699</v>
      </c>
      <c r="M1096">
        <v>25.9771664247125</v>
      </c>
      <c r="N1096">
        <v>52.577614650747897</v>
      </c>
      <c r="O1096">
        <v>51.700512377575002</v>
      </c>
      <c r="P1096">
        <v>-0.110156393261549</v>
      </c>
      <c r="Q1096">
        <v>0.123064292064889</v>
      </c>
      <c r="R1096">
        <v>0.99186116084224996</v>
      </c>
      <c r="S1096" t="s">
        <v>5392</v>
      </c>
      <c r="T1096" t="s">
        <v>8590</v>
      </c>
      <c r="U1096" t="s">
        <v>8590</v>
      </c>
      <c r="V1096" t="s">
        <v>8590</v>
      </c>
      <c r="W1096">
        <v>7</v>
      </c>
      <c r="X1096" t="s">
        <v>9686</v>
      </c>
      <c r="Y1096">
        <v>0.4814414354360233</v>
      </c>
      <c r="Z1096" t="str">
        <f>HYPERLINK("Melting_Curves/meltCurve_sp_P42858_HD_HUMAN_.pdf", "Melting_Curves/meltCurve_sp_P42858_HD_HUMAN_.pdf")</f>
        <v>Melting_Curves/meltCurve_sp_P42858_HD_HUMAN_.pdf</v>
      </c>
      <c r="AA1096" t="s">
        <v>13962</v>
      </c>
      <c r="AB1096" t="s">
        <v>18181</v>
      </c>
    </row>
    <row r="1097" spans="1:28" x14ac:dyDescent="0.25">
      <c r="A1097" t="s">
        <v>1101</v>
      </c>
      <c r="B1097">
        <v>0.99876560204751996</v>
      </c>
      <c r="C1097">
        <v>0.99873690732236797</v>
      </c>
      <c r="D1097">
        <v>0.92383119654256995</v>
      </c>
      <c r="E1097">
        <v>0.87619885412899201</v>
      </c>
      <c r="F1097">
        <v>0.87050467414426702</v>
      </c>
      <c r="G1097">
        <v>0.73448395868181404</v>
      </c>
      <c r="H1097">
        <v>0.43730779448579499</v>
      </c>
      <c r="I1097">
        <v>0.24044680297680801</v>
      </c>
      <c r="J1097">
        <v>8.8840869007237103E-2</v>
      </c>
      <c r="K1097">
        <v>7.5186398958212303E-2</v>
      </c>
      <c r="L1097">
        <v>1014.36659313773</v>
      </c>
      <c r="M1097">
        <v>16.9665377426326</v>
      </c>
      <c r="N1097">
        <v>59.786304662266303</v>
      </c>
      <c r="O1097">
        <v>58.9742834313844</v>
      </c>
      <c r="P1097">
        <v>-7.1927935189047804E-2</v>
      </c>
      <c r="Q1097">
        <v>0</v>
      </c>
      <c r="R1097">
        <v>0.98592034214056701</v>
      </c>
      <c r="S1097" t="s">
        <v>5393</v>
      </c>
      <c r="T1097" t="s">
        <v>8590</v>
      </c>
      <c r="U1097" t="s">
        <v>8590</v>
      </c>
      <c r="V1097" t="s">
        <v>8590</v>
      </c>
      <c r="W1097">
        <v>22</v>
      </c>
      <c r="X1097" t="s">
        <v>9687</v>
      </c>
      <c r="Y1097">
        <v>0.66818283104307385</v>
      </c>
      <c r="Z1097" t="str">
        <f>HYPERLINK("Melting_Curves/meltCurve_sp_P43034_LIS1_HUMAN_.pdf", "Melting_Curves/meltCurve_sp_P43034_LIS1_HUMAN_.pdf")</f>
        <v>Melting_Curves/meltCurve_sp_P43034_LIS1_HUMAN_.pdf</v>
      </c>
      <c r="AA1097" t="s">
        <v>13963</v>
      </c>
      <c r="AB1097" t="s">
        <v>18182</v>
      </c>
    </row>
    <row r="1098" spans="1:28" x14ac:dyDescent="0.25">
      <c r="A1098" t="s">
        <v>1102</v>
      </c>
      <c r="B1098">
        <v>0.99876560204751996</v>
      </c>
      <c r="C1098">
        <v>0.91803548600941898</v>
      </c>
      <c r="D1098">
        <v>0.75232265935070597</v>
      </c>
      <c r="E1098">
        <v>0.38361065994735899</v>
      </c>
      <c r="F1098">
        <v>0.22025286675524899</v>
      </c>
      <c r="G1098">
        <v>0.138880773744577</v>
      </c>
      <c r="H1098">
        <v>8.84869836167652E-2</v>
      </c>
      <c r="I1098">
        <v>6.2749311648073694E-2</v>
      </c>
      <c r="J1098">
        <v>5.3597907397735602E-2</v>
      </c>
      <c r="K1098">
        <v>3.9351839047952801E-2</v>
      </c>
      <c r="L1098">
        <v>888.75221935733896</v>
      </c>
      <c r="M1098">
        <v>18.331689702294099</v>
      </c>
      <c r="N1098">
        <v>48.792981992716399</v>
      </c>
      <c r="O1098">
        <v>47.915857084444902</v>
      </c>
      <c r="P1098">
        <v>-9.0371824407268597E-2</v>
      </c>
      <c r="Q1098">
        <v>5.5178291605080698E-2</v>
      </c>
      <c r="R1098">
        <v>0.99852774910738795</v>
      </c>
      <c r="S1098" t="s">
        <v>5394</v>
      </c>
      <c r="T1098" t="s">
        <v>8590</v>
      </c>
      <c r="U1098" t="s">
        <v>8590</v>
      </c>
      <c r="V1098" t="s">
        <v>8590</v>
      </c>
      <c r="W1098">
        <v>26</v>
      </c>
      <c r="X1098" t="s">
        <v>9688</v>
      </c>
      <c r="Y1098">
        <v>0.33824228846189491</v>
      </c>
      <c r="Z1098" t="str">
        <f>HYPERLINK("Melting_Curves/meltCurve_sp_P43155_2_CACP_HUMAN_.pdf", "Melting_Curves/meltCurve_sp_P43155_2_CACP_HUMAN_.pdf")</f>
        <v>Melting_Curves/meltCurve_sp_P43155_2_CACP_HUMAN_.pdf</v>
      </c>
      <c r="AA1098" t="s">
        <v>13964</v>
      </c>
      <c r="AB1098" t="s">
        <v>18183</v>
      </c>
    </row>
    <row r="1099" spans="1:28" x14ac:dyDescent="0.25">
      <c r="A1099" t="s">
        <v>1103</v>
      </c>
      <c r="B1099">
        <v>0.99876560204751996</v>
      </c>
      <c r="C1099">
        <v>0.82147960793453301</v>
      </c>
      <c r="D1099">
        <v>0.65037323582334905</v>
      </c>
      <c r="E1099">
        <v>0.37904493805279998</v>
      </c>
      <c r="F1099">
        <v>0.121380829563942</v>
      </c>
      <c r="G1099">
        <v>0.13720327666385099</v>
      </c>
      <c r="H1099">
        <v>4.5756113448922803E-2</v>
      </c>
      <c r="I1099">
        <v>5.9319443247852703E-2</v>
      </c>
      <c r="J1099">
        <v>0</v>
      </c>
      <c r="K1099">
        <v>0</v>
      </c>
      <c r="L1099">
        <v>734.44881050393894</v>
      </c>
      <c r="M1099">
        <v>15.369498382621201</v>
      </c>
      <c r="N1099">
        <v>47.854854442149097</v>
      </c>
      <c r="O1099">
        <v>46.9990582535874</v>
      </c>
      <c r="P1099">
        <v>-8.0869314350103097E-2</v>
      </c>
      <c r="Q1099">
        <v>1.09153638987587E-2</v>
      </c>
      <c r="R1099">
        <v>0.98934027865923202</v>
      </c>
      <c r="S1099" t="s">
        <v>5395</v>
      </c>
      <c r="T1099" t="s">
        <v>8590</v>
      </c>
      <c r="U1099" t="s">
        <v>8590</v>
      </c>
      <c r="V1099" t="s">
        <v>8590</v>
      </c>
      <c r="W1099">
        <v>6</v>
      </c>
      <c r="X1099" t="s">
        <v>9689</v>
      </c>
      <c r="Y1099">
        <v>0.29211195715687288</v>
      </c>
      <c r="Z1099" t="str">
        <f>HYPERLINK("Melting_Curves/meltCurve_sp_P43246_MSH2_HUMAN_.pdf", "Melting_Curves/meltCurve_sp_P43246_MSH2_HUMAN_.pdf")</f>
        <v>Melting_Curves/meltCurve_sp_P43246_MSH2_HUMAN_.pdf</v>
      </c>
      <c r="AA1099" t="s">
        <v>13965</v>
      </c>
      <c r="AB1099" t="s">
        <v>18184</v>
      </c>
    </row>
    <row r="1100" spans="1:28" x14ac:dyDescent="0.25">
      <c r="A1100" t="s">
        <v>1104</v>
      </c>
      <c r="B1100">
        <v>0.99876560204751996</v>
      </c>
      <c r="C1100">
        <v>0.97097373046426305</v>
      </c>
      <c r="D1100">
        <v>1.03142212621672</v>
      </c>
      <c r="E1100">
        <v>0.89869499338524905</v>
      </c>
      <c r="F1100">
        <v>0.82941784664403995</v>
      </c>
      <c r="G1100">
        <v>0.611349625415889</v>
      </c>
      <c r="H1100">
        <v>0.55978038367367</v>
      </c>
      <c r="I1100">
        <v>0.51594361103833597</v>
      </c>
      <c r="J1100">
        <v>0.61642302932563298</v>
      </c>
      <c r="K1100">
        <v>0.63175029073617495</v>
      </c>
      <c r="L1100">
        <v>1548.78912992336</v>
      </c>
      <c r="M1100">
        <v>29.119744409874102</v>
      </c>
      <c r="O1100">
        <v>52.937968010762702</v>
      </c>
      <c r="P1100">
        <v>-5.83108458198488E-2</v>
      </c>
      <c r="Q1100">
        <v>0.57598047509327699</v>
      </c>
      <c r="R1100">
        <v>0.95926451370122401</v>
      </c>
      <c r="S1100" t="s">
        <v>5396</v>
      </c>
      <c r="T1100" t="s">
        <v>8590</v>
      </c>
      <c r="U1100" t="s">
        <v>8590</v>
      </c>
      <c r="V1100" t="s">
        <v>8590</v>
      </c>
      <c r="W1100">
        <v>12</v>
      </c>
      <c r="X1100" t="s">
        <v>9690</v>
      </c>
      <c r="Y1100">
        <v>0.76528560209488417</v>
      </c>
      <c r="Z1100" t="str">
        <f>HYPERLINK("Melting_Curves/meltCurve_sp_P43487_RANG_HUMAN_.pdf", "Melting_Curves/meltCurve_sp_P43487_RANG_HUMAN_.pdf")</f>
        <v>Melting_Curves/meltCurve_sp_P43487_RANG_HUMAN_.pdf</v>
      </c>
      <c r="AA1100" t="s">
        <v>13966</v>
      </c>
      <c r="AB1100" t="s">
        <v>18185</v>
      </c>
    </row>
    <row r="1101" spans="1:28" x14ac:dyDescent="0.25">
      <c r="A1101" t="s">
        <v>1105</v>
      </c>
      <c r="B1101">
        <v>0.99876560204751996</v>
      </c>
      <c r="C1101">
        <v>0.98210412122965196</v>
      </c>
      <c r="D1101">
        <v>0.95797947449989895</v>
      </c>
      <c r="E1101">
        <v>1.0215317085017701</v>
      </c>
      <c r="F1101">
        <v>0.91502606932658204</v>
      </c>
      <c r="G1101">
        <v>0.550695400733764</v>
      </c>
      <c r="H1101">
        <v>0.16631277841081299</v>
      </c>
      <c r="I1101">
        <v>0.12326374318224501</v>
      </c>
      <c r="J1101">
        <v>9.5483188379955203E-2</v>
      </c>
      <c r="K1101">
        <v>6.3727039557801596E-2</v>
      </c>
      <c r="L1101">
        <v>1839.24204691514</v>
      </c>
      <c r="M1101">
        <v>32.241341510784899</v>
      </c>
      <c r="N1101">
        <v>57.349231029043402</v>
      </c>
      <c r="O1101">
        <v>56.8279618018978</v>
      </c>
      <c r="P1101">
        <v>-0.13072481215666801</v>
      </c>
      <c r="Q1101">
        <v>7.8352457750778801E-2</v>
      </c>
      <c r="R1101">
        <v>0.99754224321006901</v>
      </c>
      <c r="S1101" t="s">
        <v>5397</v>
      </c>
      <c r="T1101" t="s">
        <v>8590</v>
      </c>
      <c r="U1101" t="s">
        <v>8590</v>
      </c>
      <c r="V1101" t="s">
        <v>8590</v>
      </c>
      <c r="W1101">
        <v>30</v>
      </c>
      <c r="X1101" t="s">
        <v>9691</v>
      </c>
      <c r="Y1101">
        <v>0.60742992931610518</v>
      </c>
      <c r="Z1101" t="str">
        <f>HYPERLINK("Melting_Curves/meltCurve_sp_P43490_NAMPT_HUMAN_.pdf", "Melting_Curves/meltCurve_sp_P43490_NAMPT_HUMAN_.pdf")</f>
        <v>Melting_Curves/meltCurve_sp_P43490_NAMPT_HUMAN_.pdf</v>
      </c>
      <c r="AA1101" t="s">
        <v>13967</v>
      </c>
      <c r="AB1101" t="s">
        <v>18186</v>
      </c>
    </row>
    <row r="1102" spans="1:28" x14ac:dyDescent="0.25">
      <c r="A1102" t="s">
        <v>1106</v>
      </c>
      <c r="B1102">
        <v>0.99876560204751996</v>
      </c>
      <c r="C1102">
        <v>0.92980357621263998</v>
      </c>
      <c r="D1102">
        <v>0.97840899568079298</v>
      </c>
      <c r="E1102">
        <v>0.889101710102989</v>
      </c>
      <c r="F1102">
        <v>0.85982696890310095</v>
      </c>
      <c r="G1102">
        <v>0.66027154172748004</v>
      </c>
      <c r="H1102">
        <v>0.48569489117515502</v>
      </c>
      <c r="I1102">
        <v>0.46903966317211798</v>
      </c>
      <c r="J1102">
        <v>0.45435926867566701</v>
      </c>
      <c r="K1102">
        <v>0.42880646831406</v>
      </c>
      <c r="L1102">
        <v>931.84775555070701</v>
      </c>
      <c r="M1102">
        <v>16.695954589676099</v>
      </c>
      <c r="N1102">
        <v>61.987113274068903</v>
      </c>
      <c r="O1102">
        <v>55.030560703863401</v>
      </c>
      <c r="P1102">
        <v>-4.5116343541748899E-2</v>
      </c>
      <c r="Q1102">
        <v>0.405218293155443</v>
      </c>
      <c r="R1102">
        <v>0.98360407163871699</v>
      </c>
      <c r="S1102" t="s">
        <v>5398</v>
      </c>
      <c r="T1102" t="s">
        <v>8590</v>
      </c>
      <c r="U1102" t="s">
        <v>8590</v>
      </c>
      <c r="V1102" t="s">
        <v>8590</v>
      </c>
      <c r="W1102">
        <v>14</v>
      </c>
      <c r="X1102" t="s">
        <v>9692</v>
      </c>
      <c r="Y1102">
        <v>0.72838163865720629</v>
      </c>
      <c r="Z1102" t="str">
        <f>HYPERLINK("Melting_Curves/meltCurve_sp_P43652_AFAM_HUMAN_.pdf", "Melting_Curves/meltCurve_sp_P43652_AFAM_HUMAN_.pdf")</f>
        <v>Melting_Curves/meltCurve_sp_P43652_AFAM_HUMAN_.pdf</v>
      </c>
      <c r="AA1102" t="s">
        <v>13968</v>
      </c>
      <c r="AB1102" t="s">
        <v>18187</v>
      </c>
    </row>
    <row r="1103" spans="1:28" x14ac:dyDescent="0.25">
      <c r="A1103" t="s">
        <v>1107</v>
      </c>
      <c r="B1103">
        <v>0.99876560204751996</v>
      </c>
      <c r="C1103">
        <v>0.95226027035938898</v>
      </c>
      <c r="D1103">
        <v>0.73569813873805401</v>
      </c>
      <c r="E1103">
        <v>0.44820215525588097</v>
      </c>
      <c r="F1103">
        <v>0.236601617798224</v>
      </c>
      <c r="G1103">
        <v>0.11464127528544001</v>
      </c>
      <c r="H1103">
        <v>7.2966375849929502E-2</v>
      </c>
      <c r="I1103">
        <v>6.1010549775391998E-2</v>
      </c>
      <c r="J1103">
        <v>6.4881966588728496E-2</v>
      </c>
      <c r="K1103">
        <v>5.3957085779374803E-2</v>
      </c>
      <c r="L1103">
        <v>868.79599825403795</v>
      </c>
      <c r="M1103">
        <v>17.7760760291103</v>
      </c>
      <c r="N1103">
        <v>49.1630202166834</v>
      </c>
      <c r="O1103">
        <v>48.268508971030997</v>
      </c>
      <c r="P1103">
        <v>-8.7512173001084104E-2</v>
      </c>
      <c r="Q1103">
        <v>4.9539763004829998E-2</v>
      </c>
      <c r="R1103">
        <v>0.99834898704668795</v>
      </c>
      <c r="S1103" t="s">
        <v>5399</v>
      </c>
      <c r="T1103" t="s">
        <v>8590</v>
      </c>
      <c r="U1103" t="s">
        <v>8590</v>
      </c>
      <c r="V1103" t="s">
        <v>8590</v>
      </c>
      <c r="W1103">
        <v>17</v>
      </c>
      <c r="X1103" t="s">
        <v>9693</v>
      </c>
      <c r="Y1103">
        <v>0.34762216326013778</v>
      </c>
      <c r="Z1103" t="str">
        <f>HYPERLINK("Melting_Curves/meltCurve_sp_P43686_PRS6B_HUMAN_.pdf", "Melting_Curves/meltCurve_sp_P43686_PRS6B_HUMAN_.pdf")</f>
        <v>Melting_Curves/meltCurve_sp_P43686_PRS6B_HUMAN_.pdf</v>
      </c>
      <c r="AA1103" t="s">
        <v>13969</v>
      </c>
      <c r="AB1103" t="s">
        <v>18188</v>
      </c>
    </row>
    <row r="1104" spans="1:28" x14ac:dyDescent="0.25">
      <c r="A1104" t="s">
        <v>1108</v>
      </c>
      <c r="B1104">
        <v>0.99876560204751996</v>
      </c>
      <c r="C1104">
        <v>1.18649113683249</v>
      </c>
      <c r="D1104">
        <v>0.97654938115131995</v>
      </c>
      <c r="E1104">
        <v>0.90908247418673804</v>
      </c>
      <c r="F1104">
        <v>0.89565117911526104</v>
      </c>
      <c r="G1104">
        <v>0.54793520095567405</v>
      </c>
      <c r="H1104">
        <v>0.45483291576080098</v>
      </c>
      <c r="I1104">
        <v>0.43280253543658898</v>
      </c>
      <c r="J1104">
        <v>0.29923640357283599</v>
      </c>
      <c r="K1104">
        <v>0.60568497754407102</v>
      </c>
      <c r="L1104">
        <v>1971.08134046696</v>
      </c>
      <c r="M1104">
        <v>35.952946308188601</v>
      </c>
      <c r="N1104">
        <v>58.339452486375698</v>
      </c>
      <c r="O1104">
        <v>54.655135348006503</v>
      </c>
      <c r="P1104">
        <v>-9.1648156366100395E-2</v>
      </c>
      <c r="Q1104">
        <v>0.44271311245582701</v>
      </c>
      <c r="R1104">
        <v>0.88890503173203705</v>
      </c>
      <c r="S1104" t="s">
        <v>5400</v>
      </c>
      <c r="T1104" t="s">
        <v>8590</v>
      </c>
      <c r="U1104" t="s">
        <v>8590</v>
      </c>
      <c r="V1104" t="s">
        <v>8590</v>
      </c>
      <c r="W1104">
        <v>2</v>
      </c>
      <c r="X1104" t="s">
        <v>9694</v>
      </c>
      <c r="Y1104">
        <v>0.72068550159756428</v>
      </c>
      <c r="Z1104" t="str">
        <f>HYPERLINK("Melting_Curves/meltCurve_sp_P43694_GATA4_HUMAN_.pdf", "Melting_Curves/meltCurve_sp_P43694_GATA4_HUMAN_.pdf")</f>
        <v>Melting_Curves/meltCurve_sp_P43694_GATA4_HUMAN_.pdf</v>
      </c>
      <c r="AA1104" t="s">
        <v>13970</v>
      </c>
      <c r="AB1104" t="s">
        <v>18189</v>
      </c>
    </row>
    <row r="1105" spans="1:28" x14ac:dyDescent="0.25">
      <c r="A1105" t="s">
        <v>1109</v>
      </c>
      <c r="B1105">
        <v>0.99876560204751996</v>
      </c>
      <c r="C1105">
        <v>0.76385745008044004</v>
      </c>
      <c r="D1105">
        <v>0.49464929777780697</v>
      </c>
      <c r="E1105">
        <v>0.20877149071156101</v>
      </c>
      <c r="F1105">
        <v>9.9464202892122905E-2</v>
      </c>
      <c r="G1105">
        <v>5.2286899072281401E-2</v>
      </c>
      <c r="H1105">
        <v>4.0896803597994198E-2</v>
      </c>
      <c r="I1105">
        <v>3.2485131909675502E-2</v>
      </c>
      <c r="J1105">
        <v>3.4598624994559603E-2</v>
      </c>
      <c r="K1105">
        <v>2.72066917641542E-2</v>
      </c>
      <c r="L1105">
        <v>870.72414030725599</v>
      </c>
      <c r="M1105">
        <v>19.0073829956367</v>
      </c>
      <c r="N1105">
        <v>45.965862122404701</v>
      </c>
      <c r="O1105">
        <v>45.311758228358997</v>
      </c>
      <c r="P1105">
        <v>-0.101596841615214</v>
      </c>
      <c r="Q1105">
        <v>3.1250506340380298E-2</v>
      </c>
      <c r="R1105">
        <v>0.99632954242150895</v>
      </c>
      <c r="S1105" t="s">
        <v>5401</v>
      </c>
      <c r="T1105" t="s">
        <v>8590</v>
      </c>
      <c r="U1105" t="s">
        <v>8590</v>
      </c>
      <c r="V1105" t="s">
        <v>8590</v>
      </c>
      <c r="W1105">
        <v>15</v>
      </c>
      <c r="X1105" t="s">
        <v>9695</v>
      </c>
      <c r="Y1105">
        <v>0.2359258258660025</v>
      </c>
      <c r="Z1105" t="str">
        <f>HYPERLINK("Melting_Curves/meltCurve_sp_P43897_EFTS_HUMAN_.pdf", "Melting_Curves/meltCurve_sp_P43897_EFTS_HUMAN_.pdf")</f>
        <v>Melting_Curves/meltCurve_sp_P43897_EFTS_HUMAN_.pdf</v>
      </c>
      <c r="AA1105" t="s">
        <v>13971</v>
      </c>
      <c r="AB1105" t="s">
        <v>18190</v>
      </c>
    </row>
    <row r="1106" spans="1:28" x14ac:dyDescent="0.25">
      <c r="A1106" t="s">
        <v>1110</v>
      </c>
      <c r="B1106">
        <v>0.99876560204751996</v>
      </c>
      <c r="C1106">
        <v>0.98858883567448397</v>
      </c>
      <c r="D1106">
        <v>0.96027212656043703</v>
      </c>
      <c r="E1106">
        <v>0.84563263780184295</v>
      </c>
      <c r="F1106">
        <v>0.71526939272606405</v>
      </c>
      <c r="G1106">
        <v>0.34860898703018101</v>
      </c>
      <c r="H1106">
        <v>0.15915701263521501</v>
      </c>
      <c r="I1106">
        <v>7.9199273228793998E-2</v>
      </c>
      <c r="J1106">
        <v>0.13547949243113799</v>
      </c>
      <c r="K1106">
        <v>0.116307465208055</v>
      </c>
      <c r="L1106">
        <v>1159.6816237063999</v>
      </c>
      <c r="M1106">
        <v>21.250217287389098</v>
      </c>
      <c r="N1106">
        <v>55.064743893680401</v>
      </c>
      <c r="O1106">
        <v>54.096320253922002</v>
      </c>
      <c r="P1106">
        <v>-8.9715703466027905E-2</v>
      </c>
      <c r="Q1106">
        <v>8.6472546368104503E-2</v>
      </c>
      <c r="R1106">
        <v>0.99516158561706503</v>
      </c>
      <c r="S1106" t="s">
        <v>5402</v>
      </c>
      <c r="T1106" t="s">
        <v>8590</v>
      </c>
      <c r="U1106" t="s">
        <v>8590</v>
      </c>
      <c r="V1106" t="s">
        <v>8590</v>
      </c>
      <c r="W1106">
        <v>7</v>
      </c>
      <c r="X1106" t="s">
        <v>9696</v>
      </c>
      <c r="Y1106">
        <v>0.54138530415277586</v>
      </c>
      <c r="Z1106" t="str">
        <f>HYPERLINK("Melting_Curves/meltCurve_sp_P45381_ACY2_HUMAN_.pdf", "Melting_Curves/meltCurve_sp_P45381_ACY2_HUMAN_.pdf")</f>
        <v>Melting_Curves/meltCurve_sp_P45381_ACY2_HUMAN_.pdf</v>
      </c>
      <c r="AA1106" t="s">
        <v>13972</v>
      </c>
      <c r="AB1106" t="s">
        <v>18191</v>
      </c>
    </row>
    <row r="1107" spans="1:28" x14ac:dyDescent="0.25">
      <c r="A1107" t="s">
        <v>1111</v>
      </c>
      <c r="B1107">
        <v>0.99876560204751996</v>
      </c>
      <c r="C1107">
        <v>1.0328517163786399</v>
      </c>
      <c r="D1107">
        <v>0.86011599480735901</v>
      </c>
      <c r="E1107">
        <v>0.64365854751086604</v>
      </c>
      <c r="F1107">
        <v>0.38942349399814702</v>
      </c>
      <c r="G1107">
        <v>0.21203938172725201</v>
      </c>
      <c r="H1107">
        <v>0.117471871728015</v>
      </c>
      <c r="I1107">
        <v>6.4175924067932405E-2</v>
      </c>
      <c r="J1107">
        <v>4.56658983094037E-2</v>
      </c>
      <c r="K1107">
        <v>3.3372593937353603E-2</v>
      </c>
      <c r="L1107">
        <v>856.25110207486205</v>
      </c>
      <c r="M1107">
        <v>16.612962571207699</v>
      </c>
      <c r="N1107">
        <v>51.745339995321999</v>
      </c>
      <c r="O1107">
        <v>50.811684523774197</v>
      </c>
      <c r="P1107">
        <v>-7.9149904821853204E-2</v>
      </c>
      <c r="Q1107">
        <v>3.1727358286085097E-2</v>
      </c>
      <c r="R1107">
        <v>0.99596080539521203</v>
      </c>
      <c r="S1107" t="s">
        <v>5403</v>
      </c>
      <c r="T1107" t="s">
        <v>8590</v>
      </c>
      <c r="U1107" t="s">
        <v>8590</v>
      </c>
      <c r="V1107" t="s">
        <v>8590</v>
      </c>
      <c r="W1107">
        <v>25</v>
      </c>
      <c r="X1107" t="s">
        <v>9697</v>
      </c>
      <c r="Y1107">
        <v>0.42282990081378868</v>
      </c>
      <c r="Z1107" t="str">
        <f>HYPERLINK("Melting_Curves/meltCurve_sp_P45954_ACDSB_HUMAN_.pdf", "Melting_Curves/meltCurve_sp_P45954_ACDSB_HUMAN_.pdf")</f>
        <v>Melting_Curves/meltCurve_sp_P45954_ACDSB_HUMAN_.pdf</v>
      </c>
      <c r="AA1107" t="s">
        <v>13973</v>
      </c>
      <c r="AB1107" t="s">
        <v>18192</v>
      </c>
    </row>
    <row r="1108" spans="1:28" x14ac:dyDescent="0.25">
      <c r="A1108" t="s">
        <v>1112</v>
      </c>
      <c r="B1108">
        <v>0.99876560204751996</v>
      </c>
      <c r="C1108">
        <v>0.94785185498994295</v>
      </c>
      <c r="D1108">
        <v>0.79773244982381197</v>
      </c>
      <c r="E1108">
        <v>0.82892300071948699</v>
      </c>
      <c r="F1108">
        <v>0.82866339890841101</v>
      </c>
      <c r="G1108">
        <v>0.580433986207749</v>
      </c>
      <c r="H1108">
        <v>0.467619436349757</v>
      </c>
      <c r="I1108">
        <v>0.44221883657301497</v>
      </c>
      <c r="J1108">
        <v>0.53650031599998804</v>
      </c>
      <c r="K1108">
        <v>0.51242371721097901</v>
      </c>
      <c r="L1108">
        <v>541.53107377337005</v>
      </c>
      <c r="M1108">
        <v>10.1816427695251</v>
      </c>
      <c r="N1108">
        <v>64.837009724574898</v>
      </c>
      <c r="O1108">
        <v>51.257672800362499</v>
      </c>
      <c r="P1108">
        <v>-2.8827821524565599E-2</v>
      </c>
      <c r="Q1108">
        <v>0.41974924724384499</v>
      </c>
      <c r="R1108">
        <v>0.89443031105853599</v>
      </c>
      <c r="S1108" t="s">
        <v>5404</v>
      </c>
      <c r="T1108" t="s">
        <v>8590</v>
      </c>
      <c r="U1108" t="s">
        <v>8590</v>
      </c>
      <c r="V1108" t="s">
        <v>8590</v>
      </c>
      <c r="W1108">
        <v>6</v>
      </c>
      <c r="X1108" t="s">
        <v>9698</v>
      </c>
      <c r="Y1108">
        <v>0.69393404160680572</v>
      </c>
      <c r="Z1108" t="str">
        <f>HYPERLINK("Melting_Curves/meltCurve_sp_P45973_CBX5_HUMAN_.pdf", "Melting_Curves/meltCurve_sp_P45973_CBX5_HUMAN_.pdf")</f>
        <v>Melting_Curves/meltCurve_sp_P45973_CBX5_HUMAN_.pdf</v>
      </c>
      <c r="AA1108" t="s">
        <v>13974</v>
      </c>
      <c r="AB1108" t="s">
        <v>18193</v>
      </c>
    </row>
    <row r="1109" spans="1:28" x14ac:dyDescent="0.25">
      <c r="A1109" t="s">
        <v>1113</v>
      </c>
      <c r="B1109">
        <v>0.99876560204751996</v>
      </c>
      <c r="C1109">
        <v>0.999638327406977</v>
      </c>
      <c r="D1109">
        <v>0.97060126810552205</v>
      </c>
      <c r="E1109">
        <v>1.0022290478550899</v>
      </c>
      <c r="F1109">
        <v>0.91739332861203804</v>
      </c>
      <c r="G1109">
        <v>0.39783667158389302</v>
      </c>
      <c r="H1109">
        <v>0.109961498951245</v>
      </c>
      <c r="I1109">
        <v>7.2554523857960102E-2</v>
      </c>
      <c r="J1109">
        <v>6.26503666730302E-2</v>
      </c>
      <c r="K1109">
        <v>4.6507794087433899E-2</v>
      </c>
      <c r="L1109">
        <v>2164.7204069801101</v>
      </c>
      <c r="M1109">
        <v>38.5388054776069</v>
      </c>
      <c r="N1109">
        <v>56.353896305019298</v>
      </c>
      <c r="O1109">
        <v>56.019289362376803</v>
      </c>
      <c r="P1109">
        <v>-0.161821210473717</v>
      </c>
      <c r="Q1109">
        <v>5.91210828809327E-2</v>
      </c>
      <c r="R1109">
        <v>0.99932804644641704</v>
      </c>
      <c r="S1109" t="s">
        <v>5405</v>
      </c>
      <c r="T1109" t="s">
        <v>8590</v>
      </c>
      <c r="U1109" t="s">
        <v>8590</v>
      </c>
      <c r="V1109" t="s">
        <v>8590</v>
      </c>
      <c r="W1109">
        <v>27</v>
      </c>
      <c r="X1109" t="s">
        <v>9699</v>
      </c>
      <c r="Y1109">
        <v>0.57015298302943307</v>
      </c>
      <c r="Z1109" t="str">
        <f>HYPERLINK("Melting_Curves/meltCurve_sp_P45974_2_UBP5_HUMAN_.pdf", "Melting_Curves/meltCurve_sp_P45974_2_UBP5_HUMAN_.pdf")</f>
        <v>Melting_Curves/meltCurve_sp_P45974_2_UBP5_HUMAN_.pdf</v>
      </c>
      <c r="AA1109" t="s">
        <v>13975</v>
      </c>
      <c r="AB1109" t="s">
        <v>18194</v>
      </c>
    </row>
    <row r="1110" spans="1:28" x14ac:dyDescent="0.25">
      <c r="A1110" t="s">
        <v>1114</v>
      </c>
      <c r="B1110">
        <v>0.99876560204751996</v>
      </c>
      <c r="C1110">
        <v>0.84268751305209599</v>
      </c>
      <c r="D1110">
        <v>0.62696202129367895</v>
      </c>
      <c r="E1110">
        <v>0.43171579995536702</v>
      </c>
      <c r="F1110">
        <v>0.27859814542622002</v>
      </c>
      <c r="G1110">
        <v>0.155743760057651</v>
      </c>
      <c r="H1110">
        <v>0.10992327210812</v>
      </c>
      <c r="I1110">
        <v>8.1786216969516407E-2</v>
      </c>
      <c r="J1110">
        <v>7.4507224464003402E-2</v>
      </c>
      <c r="K1110">
        <v>6.7434466084672198E-2</v>
      </c>
      <c r="L1110">
        <v>641.10381631160305</v>
      </c>
      <c r="M1110">
        <v>13.3230746990425</v>
      </c>
      <c r="N1110">
        <v>48.537844399899299</v>
      </c>
      <c r="O1110">
        <v>47.074486572873099</v>
      </c>
      <c r="P1110">
        <v>-6.6930670503401901E-2</v>
      </c>
      <c r="Q1110">
        <v>5.4205938909153699E-2</v>
      </c>
      <c r="R1110">
        <v>0.99474847724665905</v>
      </c>
      <c r="S1110" t="s">
        <v>5406</v>
      </c>
      <c r="T1110" t="s">
        <v>8590</v>
      </c>
      <c r="U1110" t="s">
        <v>8590</v>
      </c>
      <c r="V1110" t="s">
        <v>8590</v>
      </c>
      <c r="W1110">
        <v>3</v>
      </c>
      <c r="X1110" t="s">
        <v>9700</v>
      </c>
      <c r="Y1110">
        <v>0.34057852520338128</v>
      </c>
      <c r="Z1110" t="str">
        <f>HYPERLINK("Melting_Curves/meltCurve_sp_P45983_3_MK08_HUMAN_.pdf", "Melting_Curves/meltCurve_sp_P45983_3_MK08_HUMAN_.pdf")</f>
        <v>Melting_Curves/meltCurve_sp_P45983_3_MK08_HUMAN_.pdf</v>
      </c>
      <c r="AA1110" t="s">
        <v>13976</v>
      </c>
      <c r="AB1110" t="s">
        <v>18195</v>
      </c>
    </row>
    <row r="1111" spans="1:28" x14ac:dyDescent="0.25">
      <c r="A1111" t="s">
        <v>1115</v>
      </c>
      <c r="B1111">
        <v>0.99876560204751996</v>
      </c>
      <c r="C1111">
        <v>0.92314809978656998</v>
      </c>
      <c r="D1111">
        <v>0.97682537246697099</v>
      </c>
      <c r="E1111">
        <v>0.886170801080992</v>
      </c>
      <c r="F1111">
        <v>0.67914492744525401</v>
      </c>
      <c r="G1111">
        <v>0.24583838561520399</v>
      </c>
      <c r="H1111">
        <v>0.117810698767407</v>
      </c>
      <c r="I1111">
        <v>9.3665993679152904E-2</v>
      </c>
      <c r="J1111">
        <v>8.3109518980414604E-2</v>
      </c>
      <c r="K1111">
        <v>7.8151926107121003E-2</v>
      </c>
      <c r="L1111">
        <v>1456.6747950237</v>
      </c>
      <c r="M1111">
        <v>26.941429859778601</v>
      </c>
      <c r="N1111">
        <v>54.399964124592103</v>
      </c>
      <c r="O1111">
        <v>53.7729599666119</v>
      </c>
      <c r="P1111">
        <v>-0.115767639511652</v>
      </c>
      <c r="Q1111">
        <v>7.5757203423798505E-2</v>
      </c>
      <c r="R1111">
        <v>0.99549483156721597</v>
      </c>
      <c r="S1111" t="s">
        <v>5407</v>
      </c>
      <c r="T1111" t="s">
        <v>8590</v>
      </c>
      <c r="U1111" t="s">
        <v>8590</v>
      </c>
      <c r="V1111" t="s">
        <v>8590</v>
      </c>
      <c r="W1111">
        <v>6</v>
      </c>
      <c r="X1111" t="s">
        <v>9701</v>
      </c>
      <c r="Y1111">
        <v>0.51662422406392883</v>
      </c>
      <c r="Z1111" t="str">
        <f>HYPERLINK("Melting_Curves/meltCurve_sp_P45984_2_MK09_HUMAN_.pdf", "Melting_Curves/meltCurve_sp_P45984_2_MK09_HUMAN_.pdf")</f>
        <v>Melting_Curves/meltCurve_sp_P45984_2_MK09_HUMAN_.pdf</v>
      </c>
      <c r="AA1111" t="s">
        <v>13977</v>
      </c>
      <c r="AB1111" t="s">
        <v>18196</v>
      </c>
    </row>
    <row r="1112" spans="1:28" x14ac:dyDescent="0.25">
      <c r="A1112" t="s">
        <v>1116</v>
      </c>
      <c r="B1112">
        <v>0.99876560204751996</v>
      </c>
      <c r="C1112">
        <v>0.77125170510776497</v>
      </c>
      <c r="D1112">
        <v>0.55416302710230902</v>
      </c>
      <c r="E1112">
        <v>0.28398722831173701</v>
      </c>
      <c r="F1112">
        <v>0.12293433561736</v>
      </c>
      <c r="G1112">
        <v>8.07710698882355E-2</v>
      </c>
      <c r="H1112">
        <v>4.4638147226677999E-2</v>
      </c>
      <c r="I1112">
        <v>3.6382068697438499E-2</v>
      </c>
      <c r="J1112">
        <v>3.1356936532755501E-2</v>
      </c>
      <c r="K1112">
        <v>2.73285250315701E-2</v>
      </c>
      <c r="L1112">
        <v>765.76412872698302</v>
      </c>
      <c r="M1112">
        <v>16.4630643030453</v>
      </c>
      <c r="N1112">
        <v>46.667972565079097</v>
      </c>
      <c r="O1112">
        <v>45.844039623767003</v>
      </c>
      <c r="P1112">
        <v>-8.7411597355151804E-2</v>
      </c>
      <c r="Q1112">
        <v>2.6422324145622001E-2</v>
      </c>
      <c r="R1112">
        <v>0.99482403316318702</v>
      </c>
      <c r="S1112" t="s">
        <v>5408</v>
      </c>
      <c r="T1112" t="s">
        <v>8590</v>
      </c>
      <c r="U1112" t="s">
        <v>8590</v>
      </c>
      <c r="V1112" t="s">
        <v>8590</v>
      </c>
      <c r="W1112">
        <v>4</v>
      </c>
      <c r="X1112" t="s">
        <v>9702</v>
      </c>
      <c r="Y1112">
        <v>0.26024709310669192</v>
      </c>
      <c r="Z1112" t="str">
        <f>HYPERLINK("Melting_Curves/meltCurve_sp_P45985_MP2K4_HUMAN_.pdf", "Melting_Curves/meltCurve_sp_P45985_MP2K4_HUMAN_.pdf")</f>
        <v>Melting_Curves/meltCurve_sp_P45985_MP2K4_HUMAN_.pdf</v>
      </c>
      <c r="AA1112" t="s">
        <v>13978</v>
      </c>
      <c r="AB1112" t="s">
        <v>18197</v>
      </c>
    </row>
    <row r="1113" spans="1:28" x14ac:dyDescent="0.25">
      <c r="A1113" t="s">
        <v>1117</v>
      </c>
      <c r="B1113">
        <v>0.99876560204751996</v>
      </c>
      <c r="C1113">
        <v>1.0081801648694</v>
      </c>
      <c r="D1113">
        <v>1.11103684479063</v>
      </c>
      <c r="E1113">
        <v>0.95360044344023798</v>
      </c>
      <c r="F1113">
        <v>0.91670997322245096</v>
      </c>
      <c r="G1113">
        <v>0.73701217438438804</v>
      </c>
      <c r="H1113">
        <v>0.66549956267125299</v>
      </c>
      <c r="I1113">
        <v>0.62945755527067804</v>
      </c>
      <c r="J1113">
        <v>0.66395827458203405</v>
      </c>
      <c r="K1113">
        <v>0.64078643826020698</v>
      </c>
      <c r="L1113">
        <v>1593.8009217443901</v>
      </c>
      <c r="M1113">
        <v>28.978284271066499</v>
      </c>
      <c r="O1113">
        <v>54.739913608782601</v>
      </c>
      <c r="P1113">
        <v>-4.7262141248305099E-2</v>
      </c>
      <c r="Q1113">
        <v>0.64289035750645096</v>
      </c>
      <c r="R1113">
        <v>0.95272387873641795</v>
      </c>
      <c r="S1113" t="s">
        <v>5409</v>
      </c>
      <c r="T1113" t="s">
        <v>8590</v>
      </c>
      <c r="U1113" t="s">
        <v>8590</v>
      </c>
      <c r="V1113" t="s">
        <v>8590</v>
      </c>
      <c r="W1113">
        <v>10</v>
      </c>
      <c r="X1113" t="s">
        <v>9703</v>
      </c>
      <c r="Y1113">
        <v>0.82397129529024649</v>
      </c>
      <c r="Z1113" t="str">
        <f>HYPERLINK("Melting_Curves/meltCurve_sp_P46013_2_KI67_HUMAN_.pdf", "Melting_Curves/meltCurve_sp_P46013_2_KI67_HUMAN_.pdf")</f>
        <v>Melting_Curves/meltCurve_sp_P46013_2_KI67_HUMAN_.pdf</v>
      </c>
      <c r="AA1113" t="s">
        <v>13979</v>
      </c>
      <c r="AB1113" t="s">
        <v>18198</v>
      </c>
    </row>
    <row r="1114" spans="1:28" x14ac:dyDescent="0.25">
      <c r="A1114" t="s">
        <v>1118</v>
      </c>
      <c r="B1114">
        <v>0.99876560204751996</v>
      </c>
      <c r="C1114">
        <v>1.0517788298986599</v>
      </c>
      <c r="D1114">
        <v>0.97424044138035404</v>
      </c>
      <c r="E1114">
        <v>0.57434676078982105</v>
      </c>
      <c r="F1114">
        <v>0.31039703300223997</v>
      </c>
      <c r="G1114">
        <v>0.180756788317297</v>
      </c>
      <c r="H1114">
        <v>0.11228297072896699</v>
      </c>
      <c r="I1114">
        <v>9.7164002198539698E-2</v>
      </c>
      <c r="J1114">
        <v>8.4529882998586298E-2</v>
      </c>
      <c r="K1114">
        <v>6.8240704910510694E-2</v>
      </c>
      <c r="L1114">
        <v>1313.9441550505401</v>
      </c>
      <c r="M1114">
        <v>26.031211792693</v>
      </c>
      <c r="N1114">
        <v>50.893475984198602</v>
      </c>
      <c r="O1114">
        <v>50.180661411834301</v>
      </c>
      <c r="P1114">
        <v>-0.117213661754138</v>
      </c>
      <c r="Q1114">
        <v>9.6193945646475404E-2</v>
      </c>
      <c r="R1114">
        <v>0.994207243271651</v>
      </c>
      <c r="S1114" t="s">
        <v>5410</v>
      </c>
      <c r="T1114" t="s">
        <v>8590</v>
      </c>
      <c r="U1114" t="s">
        <v>8590</v>
      </c>
      <c r="V1114" t="s">
        <v>8590</v>
      </c>
      <c r="W1114">
        <v>17</v>
      </c>
      <c r="X1114" t="s">
        <v>9704</v>
      </c>
      <c r="Y1114">
        <v>0.41928443606118532</v>
      </c>
      <c r="Z1114" t="str">
        <f>HYPERLINK("Melting_Curves/meltCurve_sp_P46019_KPB2_HUMAN_.pdf", "Melting_Curves/meltCurve_sp_P46019_KPB2_HUMAN_.pdf")</f>
        <v>Melting_Curves/meltCurve_sp_P46019_KPB2_HUMAN_.pdf</v>
      </c>
      <c r="AA1114" t="s">
        <v>13980</v>
      </c>
      <c r="AB1114" t="s">
        <v>18199</v>
      </c>
    </row>
    <row r="1115" spans="1:28" x14ac:dyDescent="0.25">
      <c r="A1115" t="s">
        <v>1119</v>
      </c>
      <c r="B1115">
        <v>0.99876560204751996</v>
      </c>
      <c r="C1115">
        <v>0.98384007211187496</v>
      </c>
      <c r="D1115">
        <v>0.98507491511092604</v>
      </c>
      <c r="E1115">
        <v>0.86991574297848395</v>
      </c>
      <c r="F1115">
        <v>0.45629795529529799</v>
      </c>
      <c r="G1115">
        <v>0.13712421355043899</v>
      </c>
      <c r="H1115">
        <v>6.3244701417809399E-2</v>
      </c>
      <c r="I1115">
        <v>4.5938829165728098E-2</v>
      </c>
      <c r="J1115">
        <v>4.6654885336322102E-2</v>
      </c>
      <c r="K1115">
        <v>3.4930565787201003E-2</v>
      </c>
      <c r="L1115">
        <v>1728.8613704139</v>
      </c>
      <c r="M1115">
        <v>32.851586312757902</v>
      </c>
      <c r="N1115">
        <v>52.786030890696502</v>
      </c>
      <c r="O1115">
        <v>52.432564264307899</v>
      </c>
      <c r="P1115">
        <v>-0.14923214588737699</v>
      </c>
      <c r="Q1115">
        <v>4.7280283835388098E-2</v>
      </c>
      <c r="R1115">
        <v>0.99932774316391304</v>
      </c>
      <c r="S1115" t="s">
        <v>5411</v>
      </c>
      <c r="T1115" t="s">
        <v>8590</v>
      </c>
      <c r="U1115" t="s">
        <v>8590</v>
      </c>
      <c r="V1115" t="s">
        <v>8590</v>
      </c>
      <c r="W1115">
        <v>16</v>
      </c>
      <c r="X1115" t="s">
        <v>9705</v>
      </c>
      <c r="Y1115">
        <v>0.45339603322277239</v>
      </c>
      <c r="Z1115" t="str">
        <f>HYPERLINK("Melting_Curves/meltCurve_sp_P46060_RAGP1_HUMAN_.pdf", "Melting_Curves/meltCurve_sp_P46060_RAGP1_HUMAN_.pdf")</f>
        <v>Melting_Curves/meltCurve_sp_P46060_RAGP1_HUMAN_.pdf</v>
      </c>
      <c r="AA1115" t="s">
        <v>13981</v>
      </c>
      <c r="AB1115" t="s">
        <v>18200</v>
      </c>
    </row>
    <row r="1116" spans="1:28" x14ac:dyDescent="0.25">
      <c r="A1116" t="s">
        <v>1120</v>
      </c>
      <c r="B1116">
        <v>0.99876560204751996</v>
      </c>
      <c r="C1116">
        <v>1.0124695646622199</v>
      </c>
      <c r="D1116">
        <v>0.95752520266205499</v>
      </c>
      <c r="E1116">
        <v>0.82633725119700996</v>
      </c>
      <c r="F1116">
        <v>0.3804806440447</v>
      </c>
      <c r="G1116">
        <v>0.178592518794816</v>
      </c>
      <c r="H1116">
        <v>0.10684740953002</v>
      </c>
      <c r="I1116">
        <v>8.5387947918738202E-2</v>
      </c>
      <c r="J1116">
        <v>7.6869591194904302E-2</v>
      </c>
      <c r="K1116">
        <v>8.0544214204091094E-2</v>
      </c>
      <c r="L1116">
        <v>1736.990319299</v>
      </c>
      <c r="M1116">
        <v>33.431656036842703</v>
      </c>
      <c r="N1116">
        <v>52.276134002258097</v>
      </c>
      <c r="O1116">
        <v>51.771611419734803</v>
      </c>
      <c r="P1116">
        <v>-0.14651402221680701</v>
      </c>
      <c r="Q1116">
        <v>9.2448795294241298E-2</v>
      </c>
      <c r="R1116">
        <v>0.99739304174680199</v>
      </c>
      <c r="S1116" t="s">
        <v>5412</v>
      </c>
      <c r="T1116" t="s">
        <v>8590</v>
      </c>
      <c r="U1116" t="s">
        <v>8590</v>
      </c>
      <c r="V1116" t="s">
        <v>8590</v>
      </c>
      <c r="W1116">
        <v>10</v>
      </c>
      <c r="X1116" t="s">
        <v>9706</v>
      </c>
      <c r="Y1116">
        <v>0.45882168756133651</v>
      </c>
      <c r="Z1116" t="str">
        <f>HYPERLINK("Melting_Curves/meltCurve_sp_P46063_RECQ1_HUMAN_.pdf", "Melting_Curves/meltCurve_sp_P46063_RECQ1_HUMAN_.pdf")</f>
        <v>Melting_Curves/meltCurve_sp_P46063_RECQ1_HUMAN_.pdf</v>
      </c>
      <c r="AA1116" t="s">
        <v>13982</v>
      </c>
      <c r="AB1116" t="s">
        <v>18201</v>
      </c>
    </row>
    <row r="1117" spans="1:28" x14ac:dyDescent="0.25">
      <c r="A1117" t="s">
        <v>1121</v>
      </c>
      <c r="B1117">
        <v>0.99876560204751996</v>
      </c>
      <c r="C1117">
        <v>0.95294940370511905</v>
      </c>
      <c r="D1117">
        <v>1.01521289348499</v>
      </c>
      <c r="E1117">
        <v>0.86946302313415702</v>
      </c>
      <c r="F1117">
        <v>0.92684122844249806</v>
      </c>
      <c r="G1117">
        <v>0.70444464609562596</v>
      </c>
      <c r="H1117">
        <v>0.64829376168100705</v>
      </c>
      <c r="I1117">
        <v>0.62756856185046594</v>
      </c>
      <c r="J1117">
        <v>0.86930433467663404</v>
      </c>
      <c r="K1117">
        <v>0.84590395733607104</v>
      </c>
      <c r="L1117">
        <v>1376.41675059608</v>
      </c>
      <c r="M1117">
        <v>26.3795374644777</v>
      </c>
      <c r="O1117">
        <v>51.880368061072303</v>
      </c>
      <c r="P1117">
        <v>-3.2950692468609197E-2</v>
      </c>
      <c r="Q1117">
        <v>0.74078768630617298</v>
      </c>
      <c r="R1117">
        <v>0.61724504930883395</v>
      </c>
      <c r="S1117" t="s">
        <v>5413</v>
      </c>
      <c r="T1117" t="s">
        <v>8590</v>
      </c>
      <c r="U1117" t="s">
        <v>8590</v>
      </c>
      <c r="V1117" t="s">
        <v>8590</v>
      </c>
      <c r="W1117">
        <v>6</v>
      </c>
      <c r="X1117" t="s">
        <v>9707</v>
      </c>
      <c r="Y1117">
        <v>0.84814289471381177</v>
      </c>
      <c r="Z1117" t="str">
        <f>HYPERLINK("Melting_Curves/meltCurve_sp_P46087_2_NOP2_HUMAN_.pdf", "Melting_Curves/meltCurve_sp_P46087_2_NOP2_HUMAN_.pdf")</f>
        <v>Melting_Curves/meltCurve_sp_P46087_2_NOP2_HUMAN_.pdf</v>
      </c>
      <c r="AA1117" t="s">
        <v>13983</v>
      </c>
      <c r="AB1117" t="s">
        <v>18202</v>
      </c>
    </row>
    <row r="1118" spans="1:28" x14ac:dyDescent="0.25">
      <c r="A1118" t="s">
        <v>1122</v>
      </c>
      <c r="B1118">
        <v>0.99876560204751996</v>
      </c>
      <c r="C1118">
        <v>1.0357991863789999</v>
      </c>
      <c r="D1118">
        <v>1.13359702329212</v>
      </c>
      <c r="E1118">
        <v>1.1373358160987701</v>
      </c>
      <c r="F1118">
        <v>1.17917385763381</v>
      </c>
      <c r="G1118">
        <v>0.99669476963893899</v>
      </c>
      <c r="H1118">
        <v>0.80914603884992298</v>
      </c>
      <c r="I1118">
        <v>0.78638207768479795</v>
      </c>
      <c r="J1118">
        <v>0.97348552633237395</v>
      </c>
      <c r="K1118">
        <v>1.0241232810145999</v>
      </c>
      <c r="L1118">
        <v>14443.352391279799</v>
      </c>
      <c r="M1118">
        <v>250</v>
      </c>
      <c r="O1118">
        <v>57.769709669135899</v>
      </c>
      <c r="P1118">
        <v>-0.110044402587577</v>
      </c>
      <c r="Q1118">
        <v>0.89828426420785701</v>
      </c>
      <c r="R1118">
        <v>0.26711397615439197</v>
      </c>
      <c r="S1118" t="s">
        <v>5414</v>
      </c>
      <c r="T1118" t="s">
        <v>8590</v>
      </c>
      <c r="U1118" t="s">
        <v>8590</v>
      </c>
      <c r="V1118" t="s">
        <v>8590</v>
      </c>
      <c r="W1118">
        <v>2</v>
      </c>
      <c r="X1118" t="s">
        <v>9708</v>
      </c>
      <c r="Y1118">
        <v>0.95855575836060503</v>
      </c>
      <c r="Z1118" t="str">
        <f>HYPERLINK("Melting_Curves/meltCurve_sp_P46100_2_ATRX_HUMAN_.pdf", "Melting_Curves/meltCurve_sp_P46100_2_ATRX_HUMAN_.pdf")</f>
        <v>Melting_Curves/meltCurve_sp_P46100_2_ATRX_HUMAN_.pdf</v>
      </c>
      <c r="AA1118" t="s">
        <v>13984</v>
      </c>
      <c r="AB1118" t="s">
        <v>18203</v>
      </c>
    </row>
    <row r="1119" spans="1:28" x14ac:dyDescent="0.25">
      <c r="A1119" t="s">
        <v>1123</v>
      </c>
      <c r="B1119">
        <v>0.99876560204751996</v>
      </c>
      <c r="C1119">
        <v>0.94096929469917001</v>
      </c>
      <c r="D1119">
        <v>1.03932225782875</v>
      </c>
      <c r="E1119">
        <v>0.90740719864074304</v>
      </c>
      <c r="F1119">
        <v>0.83355750066370304</v>
      </c>
      <c r="G1119">
        <v>0.45276594611264698</v>
      </c>
      <c r="H1119">
        <v>0.18658167253788899</v>
      </c>
      <c r="I1119">
        <v>0.13935848490363201</v>
      </c>
      <c r="J1119">
        <v>0.13382457446658</v>
      </c>
      <c r="K1119">
        <v>0.113881370542847</v>
      </c>
      <c r="L1119">
        <v>1397.97152559303</v>
      </c>
      <c r="M1119">
        <v>25.010239373397901</v>
      </c>
      <c r="N1119">
        <v>56.436402078289802</v>
      </c>
      <c r="O1119">
        <v>55.542290383561699</v>
      </c>
      <c r="P1119">
        <v>-0.100586580999647</v>
      </c>
      <c r="Q1119">
        <v>0.1064885193981</v>
      </c>
      <c r="R1119">
        <v>0.99427591930630599</v>
      </c>
      <c r="S1119" t="s">
        <v>5415</v>
      </c>
      <c r="T1119" t="s">
        <v>8590</v>
      </c>
      <c r="U1119" t="s">
        <v>8590</v>
      </c>
      <c r="V1119" t="s">
        <v>8590</v>
      </c>
      <c r="W1119">
        <v>11</v>
      </c>
      <c r="X1119" t="s">
        <v>9709</v>
      </c>
      <c r="Y1119">
        <v>0.58813633742979043</v>
      </c>
      <c r="Z1119" t="str">
        <f>HYPERLINK("Melting_Curves/meltCurve_sp_P46108_CRK_HUMAN_.pdf", "Melting_Curves/meltCurve_sp_P46108_CRK_HUMAN_.pdf")</f>
        <v>Melting_Curves/meltCurve_sp_P46108_CRK_HUMAN_.pdf</v>
      </c>
      <c r="AA1119" t="s">
        <v>13985</v>
      </c>
      <c r="AB1119" t="s">
        <v>18204</v>
      </c>
    </row>
    <row r="1120" spans="1:28" x14ac:dyDescent="0.25">
      <c r="A1120" t="s">
        <v>1124</v>
      </c>
      <c r="B1120">
        <v>0.99876560204751996</v>
      </c>
      <c r="C1120">
        <v>0.92815630509463398</v>
      </c>
      <c r="D1120">
        <v>1.0005942455703001</v>
      </c>
      <c r="E1120">
        <v>0.86234971886899703</v>
      </c>
      <c r="F1120">
        <v>0.75877835805897798</v>
      </c>
      <c r="G1120">
        <v>0.45612227485178197</v>
      </c>
      <c r="H1120">
        <v>0.28902357164520198</v>
      </c>
      <c r="I1120">
        <v>0.227554244654045</v>
      </c>
      <c r="J1120">
        <v>0.20637655552319301</v>
      </c>
      <c r="K1120">
        <v>0.18437809025568999</v>
      </c>
      <c r="L1120">
        <v>1003.25151225297</v>
      </c>
      <c r="M1120">
        <v>18.179210595732201</v>
      </c>
      <c r="N1120">
        <v>56.4489404366225</v>
      </c>
      <c r="O1120">
        <v>54.531968458501403</v>
      </c>
      <c r="P1120">
        <v>-6.9426628569871293E-2</v>
      </c>
      <c r="Q1120">
        <v>0.16700654399888501</v>
      </c>
      <c r="R1120">
        <v>0.99398470774386705</v>
      </c>
      <c r="S1120" t="s">
        <v>5416</v>
      </c>
      <c r="T1120" t="s">
        <v>8590</v>
      </c>
      <c r="U1120" t="s">
        <v>8590</v>
      </c>
      <c r="V1120" t="s">
        <v>8590</v>
      </c>
      <c r="W1120">
        <v>10</v>
      </c>
      <c r="X1120" t="s">
        <v>9710</v>
      </c>
      <c r="Y1120">
        <v>0.60130765267869746</v>
      </c>
      <c r="Z1120" t="str">
        <f>HYPERLINK("Melting_Curves/meltCurve_sp_P46109_CRKL_HUMAN_.pdf", "Melting_Curves/meltCurve_sp_P46109_CRKL_HUMAN_.pdf")</f>
        <v>Melting_Curves/meltCurve_sp_P46109_CRKL_HUMAN_.pdf</v>
      </c>
      <c r="AA1120" t="s">
        <v>13986</v>
      </c>
      <c r="AB1120" t="s">
        <v>18205</v>
      </c>
    </row>
    <row r="1121" spans="1:28" x14ac:dyDescent="0.25">
      <c r="A1121" t="s">
        <v>1125</v>
      </c>
      <c r="B1121">
        <v>0.99876560204751996</v>
      </c>
      <c r="C1121">
        <v>0.91926639002229904</v>
      </c>
      <c r="D1121">
        <v>0.86496918649116405</v>
      </c>
      <c r="E1121">
        <v>0.65809618713361195</v>
      </c>
      <c r="F1121">
        <v>0.40351884725140602</v>
      </c>
      <c r="G1121">
        <v>0.19516190246651999</v>
      </c>
      <c r="H1121">
        <v>0.110289710497307</v>
      </c>
      <c r="I1121">
        <v>7.7827240145565593E-2</v>
      </c>
      <c r="J1121">
        <v>9.3880418637082505E-2</v>
      </c>
      <c r="K1121">
        <v>6.3959359228844201E-2</v>
      </c>
      <c r="L1121">
        <v>834.57176345237997</v>
      </c>
      <c r="M1121">
        <v>16.241499162947299</v>
      </c>
      <c r="N1121">
        <v>51.7196822860802</v>
      </c>
      <c r="O1121">
        <v>50.625073552330598</v>
      </c>
      <c r="P1121">
        <v>-7.6211230133937505E-2</v>
      </c>
      <c r="Q1121">
        <v>4.98623862069952E-2</v>
      </c>
      <c r="R1121">
        <v>0.99712251086584103</v>
      </c>
      <c r="S1121" t="s">
        <v>5417</v>
      </c>
      <c r="T1121" t="s">
        <v>8590</v>
      </c>
      <c r="U1121" t="s">
        <v>8590</v>
      </c>
      <c r="V1121" t="s">
        <v>8590</v>
      </c>
      <c r="W1121">
        <v>4</v>
      </c>
      <c r="X1121" t="s">
        <v>9711</v>
      </c>
      <c r="Y1121">
        <v>0.42947143571505308</v>
      </c>
      <c r="Z1121" t="str">
        <f>HYPERLINK("Melting_Curves/meltCurve_sp_P46199_IF2M_HUMAN_.pdf", "Melting_Curves/meltCurve_sp_P46199_IF2M_HUMAN_.pdf")</f>
        <v>Melting_Curves/meltCurve_sp_P46199_IF2M_HUMAN_.pdf</v>
      </c>
      <c r="AA1121" t="s">
        <v>13987</v>
      </c>
      <c r="AB1121" t="s">
        <v>18206</v>
      </c>
    </row>
    <row r="1122" spans="1:28" x14ac:dyDescent="0.25">
      <c r="A1122" t="s">
        <v>1126</v>
      </c>
      <c r="B1122">
        <v>0.99876560204751996</v>
      </c>
      <c r="C1122">
        <v>1.38156449743123</v>
      </c>
      <c r="D1122">
        <v>1.5187718384044899</v>
      </c>
      <c r="E1122">
        <v>1.46689608952203</v>
      </c>
      <c r="F1122">
        <v>1.3048021324888699</v>
      </c>
      <c r="G1122">
        <v>0.962810974799719</v>
      </c>
      <c r="H1122">
        <v>0.84158929834306795</v>
      </c>
      <c r="I1122">
        <v>0.66117391526612601</v>
      </c>
      <c r="J1122">
        <v>0.62592630278494199</v>
      </c>
      <c r="K1122">
        <v>1.0082966426250699</v>
      </c>
      <c r="L1122">
        <v>15000</v>
      </c>
      <c r="M1122">
        <v>246.63014960801101</v>
      </c>
      <c r="O1122">
        <v>60.815825440054603</v>
      </c>
      <c r="P1122">
        <v>-0.23811809691017799</v>
      </c>
      <c r="Q1122">
        <v>0.76513258779323101</v>
      </c>
      <c r="R1122">
        <v>0.13846821071194401</v>
      </c>
      <c r="S1122" t="s">
        <v>5418</v>
      </c>
      <c r="T1122" t="s">
        <v>8590</v>
      </c>
      <c r="U1122" t="s">
        <v>8590</v>
      </c>
      <c r="V1122" t="s">
        <v>8590</v>
      </c>
      <c r="W1122">
        <v>1</v>
      </c>
      <c r="X1122" t="s">
        <v>9712</v>
      </c>
      <c r="Y1122">
        <v>0.92815488035725102</v>
      </c>
      <c r="Z1122" t="str">
        <f>HYPERLINK("Melting_Curves/meltCurve_sp_P46527_CDN1B_HUMAN_.pdf", "Melting_Curves/meltCurve_sp_P46527_CDN1B_HUMAN_.pdf")</f>
        <v>Melting_Curves/meltCurve_sp_P46527_CDN1B_HUMAN_.pdf</v>
      </c>
      <c r="AA1122" t="s">
        <v>13988</v>
      </c>
      <c r="AB1122" t="s">
        <v>18207</v>
      </c>
    </row>
    <row r="1123" spans="1:28" x14ac:dyDescent="0.25">
      <c r="A1123" t="s">
        <v>1127</v>
      </c>
      <c r="B1123">
        <v>0.99876560204751996</v>
      </c>
      <c r="C1123">
        <v>0.67485541692955897</v>
      </c>
      <c r="D1123">
        <v>0.49931040301306701</v>
      </c>
      <c r="E1123">
        <v>0.25710294000015999</v>
      </c>
      <c r="F1123">
        <v>0.12205703517149399</v>
      </c>
      <c r="G1123">
        <v>8.4982521873708403E-2</v>
      </c>
      <c r="H1123">
        <v>6.1914047224604397E-2</v>
      </c>
      <c r="I1123">
        <v>5.3715990882517502E-2</v>
      </c>
      <c r="J1123">
        <v>4.6669636864175003E-2</v>
      </c>
      <c r="K1123">
        <v>4.7109511587677497E-2</v>
      </c>
      <c r="L1123">
        <v>734.71022043381902</v>
      </c>
      <c r="M1123">
        <v>16.119917699922102</v>
      </c>
      <c r="N1123">
        <v>45.850817198615303</v>
      </c>
      <c r="O1123">
        <v>44.893694170292598</v>
      </c>
      <c r="P1123">
        <v>-8.5665693540176696E-2</v>
      </c>
      <c r="Q1123">
        <v>4.5763095384687501E-2</v>
      </c>
      <c r="R1123">
        <v>0.98586804277626805</v>
      </c>
      <c r="S1123" t="s">
        <v>5419</v>
      </c>
      <c r="T1123" t="s">
        <v>8590</v>
      </c>
      <c r="U1123" t="s">
        <v>8590</v>
      </c>
      <c r="V1123" t="s">
        <v>8590</v>
      </c>
      <c r="W1123">
        <v>2</v>
      </c>
      <c r="X1123" t="s">
        <v>9713</v>
      </c>
      <c r="Y1123">
        <v>0.24796913984548599</v>
      </c>
      <c r="Z1123" t="str">
        <f>HYPERLINK("Melting_Curves/meltCurve_sp_P46734_2_MP2K3_HUMAN_.pdf", "Melting_Curves/meltCurve_sp_P46734_2_MP2K3_HUMAN_.pdf")</f>
        <v>Melting_Curves/meltCurve_sp_P46734_2_MP2K3_HUMAN_.pdf</v>
      </c>
      <c r="AA1123" t="s">
        <v>13989</v>
      </c>
      <c r="AB1123" t="s">
        <v>18208</v>
      </c>
    </row>
    <row r="1124" spans="1:28" x14ac:dyDescent="0.25">
      <c r="A1124" t="s">
        <v>1128</v>
      </c>
      <c r="B1124">
        <v>0.99876560204751996</v>
      </c>
      <c r="C1124">
        <v>1.12856287446305</v>
      </c>
      <c r="D1124">
        <v>1.0387450568287799</v>
      </c>
      <c r="E1124">
        <v>1.04683487273117</v>
      </c>
      <c r="F1124">
        <v>0.86115349504110394</v>
      </c>
      <c r="G1124">
        <v>0.46119343973242899</v>
      </c>
      <c r="H1124">
        <v>0.30274904084953702</v>
      </c>
      <c r="I1124">
        <v>0.16930500787217101</v>
      </c>
      <c r="J1124">
        <v>7.8590414390419694E-2</v>
      </c>
      <c r="K1124">
        <v>4.9794432919254401E-2</v>
      </c>
      <c r="L1124">
        <v>1287.81632297639</v>
      </c>
      <c r="M1124">
        <v>22.642038586527601</v>
      </c>
      <c r="N1124">
        <v>57.264385843684202</v>
      </c>
      <c r="O1124">
        <v>56.439132886764199</v>
      </c>
      <c r="P1124">
        <v>-9.3178033909512598E-2</v>
      </c>
      <c r="Q1124">
        <v>7.0970131613779394E-2</v>
      </c>
      <c r="R1124">
        <v>0.97904593503988502</v>
      </c>
      <c r="S1124" t="s">
        <v>5420</v>
      </c>
      <c r="T1124" t="s">
        <v>8590</v>
      </c>
      <c r="U1124" t="s">
        <v>8590</v>
      </c>
      <c r="V1124" t="s">
        <v>8590</v>
      </c>
      <c r="W1124">
        <v>4</v>
      </c>
      <c r="X1124" t="s">
        <v>9714</v>
      </c>
      <c r="Y1124">
        <v>0.60334973187055729</v>
      </c>
      <c r="Z1124" t="str">
        <f>HYPERLINK("Melting_Curves/meltCurve_sp_P46736_2_BRCC3_HUMAN_.pdf", "Melting_Curves/meltCurve_sp_P46736_2_BRCC3_HUMAN_.pdf")</f>
        <v>Melting_Curves/meltCurve_sp_P46736_2_BRCC3_HUMAN_.pdf</v>
      </c>
      <c r="AA1124" t="s">
        <v>13990</v>
      </c>
      <c r="AB1124" t="s">
        <v>18209</v>
      </c>
    </row>
    <row r="1125" spans="1:28" x14ac:dyDescent="0.25">
      <c r="A1125" t="s">
        <v>1129</v>
      </c>
      <c r="B1125">
        <v>0.99876560204751996</v>
      </c>
      <c r="C1125">
        <v>1.13524408841325</v>
      </c>
      <c r="D1125">
        <v>1.0585378978865601</v>
      </c>
      <c r="E1125">
        <v>0.84842166700995303</v>
      </c>
      <c r="F1125">
        <v>0.53046648953106101</v>
      </c>
      <c r="G1125">
        <v>0.29542644356063302</v>
      </c>
      <c r="H1125">
        <v>0.16839661615740401</v>
      </c>
      <c r="I1125">
        <v>0.142635918908532</v>
      </c>
      <c r="J1125">
        <v>0.14960271015523499</v>
      </c>
      <c r="K1125">
        <v>0.148014956308121</v>
      </c>
      <c r="L1125">
        <v>1425.0088655137099</v>
      </c>
      <c r="M1125">
        <v>26.984083957185199</v>
      </c>
      <c r="N1125">
        <v>53.519129802835302</v>
      </c>
      <c r="O1125">
        <v>52.521763656389197</v>
      </c>
      <c r="P1125">
        <v>-0.10912096977715401</v>
      </c>
      <c r="Q1125">
        <v>0.150437196729099</v>
      </c>
      <c r="R1125">
        <v>0.98311103829882396</v>
      </c>
      <c r="S1125" t="s">
        <v>5421</v>
      </c>
      <c r="T1125" t="s">
        <v>8590</v>
      </c>
      <c r="U1125" t="s">
        <v>8590</v>
      </c>
      <c r="V1125" t="s">
        <v>8590</v>
      </c>
      <c r="W1125">
        <v>8</v>
      </c>
      <c r="X1125" t="s">
        <v>9715</v>
      </c>
      <c r="Y1125">
        <v>0.5199314115433169</v>
      </c>
      <c r="Z1125" t="str">
        <f>HYPERLINK("Melting_Curves/meltCurve_sp_P46777_RL5_HUMAN_.pdf", "Melting_Curves/meltCurve_sp_P46777_RL5_HUMAN_.pdf")</f>
        <v>Melting_Curves/meltCurve_sp_P46777_RL5_HUMAN_.pdf</v>
      </c>
      <c r="AA1125" t="s">
        <v>13991</v>
      </c>
      <c r="AB1125" t="s">
        <v>18210</v>
      </c>
    </row>
    <row r="1126" spans="1:28" x14ac:dyDescent="0.25">
      <c r="A1126" t="s">
        <v>1130</v>
      </c>
      <c r="B1126">
        <v>0.99876560204751996</v>
      </c>
      <c r="C1126">
        <v>1.08809963387852</v>
      </c>
      <c r="D1126">
        <v>0.91719893839548305</v>
      </c>
      <c r="E1126">
        <v>0.77270297325846304</v>
      </c>
      <c r="F1126">
        <v>0.48481156463616998</v>
      </c>
      <c r="G1126">
        <v>0.369099088415142</v>
      </c>
      <c r="H1126">
        <v>0.20548966834284199</v>
      </c>
      <c r="I1126">
        <v>0.20645783368161</v>
      </c>
      <c r="J1126">
        <v>0.17079923111679801</v>
      </c>
      <c r="K1126">
        <v>0.212359077840649</v>
      </c>
      <c r="L1126">
        <v>1029.88586737119</v>
      </c>
      <c r="M1126">
        <v>19.7706602321079</v>
      </c>
      <c r="N1126">
        <v>53.356991311686897</v>
      </c>
      <c r="O1126">
        <v>51.567472698037697</v>
      </c>
      <c r="P1126">
        <v>-7.7913768687608603E-2</v>
      </c>
      <c r="Q1126">
        <v>0.18714312750461201</v>
      </c>
      <c r="R1126">
        <v>0.98537050074103905</v>
      </c>
      <c r="S1126" t="s">
        <v>5422</v>
      </c>
      <c r="T1126" t="s">
        <v>8590</v>
      </c>
      <c r="U1126" t="s">
        <v>8590</v>
      </c>
      <c r="V1126" t="s">
        <v>8590</v>
      </c>
      <c r="W1126">
        <v>1</v>
      </c>
      <c r="X1126" t="s">
        <v>9716</v>
      </c>
      <c r="Y1126">
        <v>0.52624625010506243</v>
      </c>
      <c r="Z1126" t="str">
        <f>HYPERLINK("Melting_Curves/meltCurve_sp_P46779_4_RL28_HUMAN_.pdf", "Melting_Curves/meltCurve_sp_P46779_4_RL28_HUMAN_.pdf")</f>
        <v>Melting_Curves/meltCurve_sp_P46779_4_RL28_HUMAN_.pdf</v>
      </c>
      <c r="AA1126" t="s">
        <v>13992</v>
      </c>
      <c r="AB1126" t="s">
        <v>18211</v>
      </c>
    </row>
    <row r="1127" spans="1:28" x14ac:dyDescent="0.25">
      <c r="A1127" t="s">
        <v>1131</v>
      </c>
      <c r="B1127">
        <v>0.99876560204751996</v>
      </c>
      <c r="C1127">
        <v>0.94809725233954001</v>
      </c>
      <c r="D1127">
        <v>0.80856952168038498</v>
      </c>
      <c r="E1127">
        <v>0.63219639891941304</v>
      </c>
      <c r="F1127">
        <v>0.33666782261018002</v>
      </c>
      <c r="G1127">
        <v>0.18990867752974699</v>
      </c>
      <c r="H1127">
        <v>9.4745899798992797E-2</v>
      </c>
      <c r="I1127">
        <v>7.8817124632155303E-2</v>
      </c>
      <c r="J1127">
        <v>9.5694543842535201E-2</v>
      </c>
      <c r="K1127">
        <v>5.2401461408893901E-2</v>
      </c>
      <c r="L1127">
        <v>812.48303474615898</v>
      </c>
      <c r="M1127">
        <v>16.010119613229701</v>
      </c>
      <c r="N1127">
        <v>51.073684110742299</v>
      </c>
      <c r="O1127">
        <v>49.976155634122499</v>
      </c>
      <c r="P1127">
        <v>-7.6209336606177E-2</v>
      </c>
      <c r="Q1127">
        <v>4.8513874081391198E-2</v>
      </c>
      <c r="R1127">
        <v>0.995262436088719</v>
      </c>
      <c r="S1127" t="s">
        <v>5423</v>
      </c>
      <c r="T1127" t="s">
        <v>8590</v>
      </c>
      <c r="U1127" t="s">
        <v>8590</v>
      </c>
      <c r="V1127" t="s">
        <v>8590</v>
      </c>
      <c r="W1127">
        <v>4</v>
      </c>
      <c r="X1127" t="s">
        <v>9717</v>
      </c>
      <c r="Y1127">
        <v>0.40922173333391959</v>
      </c>
      <c r="Z1127" t="str">
        <f>HYPERLINK("Melting_Curves/meltCurve_sp_P46781_RS9_HUMAN_.pdf", "Melting_Curves/meltCurve_sp_P46781_RS9_HUMAN_.pdf")</f>
        <v>Melting_Curves/meltCurve_sp_P46781_RS9_HUMAN_.pdf</v>
      </c>
      <c r="AA1127" t="s">
        <v>13993</v>
      </c>
      <c r="AB1127" t="s">
        <v>18212</v>
      </c>
    </row>
    <row r="1128" spans="1:28" x14ac:dyDescent="0.25">
      <c r="A1128" t="s">
        <v>1132</v>
      </c>
      <c r="B1128">
        <v>0.99876560204751996</v>
      </c>
      <c r="C1128">
        <v>0.92167392384846203</v>
      </c>
      <c r="D1128">
        <v>1.0670575017384401</v>
      </c>
      <c r="E1128">
        <v>1.0107816419121201</v>
      </c>
      <c r="F1128">
        <v>1.1760090789892601</v>
      </c>
      <c r="G1128">
        <v>0.96796065449400104</v>
      </c>
      <c r="H1128">
        <v>0.95694353410884903</v>
      </c>
      <c r="I1128">
        <v>0.94801911920625004</v>
      </c>
      <c r="J1128">
        <v>1.2310066584516901</v>
      </c>
      <c r="K1128">
        <v>1.1698077451897899</v>
      </c>
      <c r="L1128">
        <v>9060.2104440451403</v>
      </c>
      <c r="M1128">
        <v>138.144839804285</v>
      </c>
      <c r="O1128">
        <v>65.571119933359995</v>
      </c>
      <c r="P1128">
        <v>0.107304887176475</v>
      </c>
      <c r="Q1128">
        <v>1.2037311480547399</v>
      </c>
      <c r="R1128">
        <v>0.53767982442223194</v>
      </c>
      <c r="S1128" t="s">
        <v>5424</v>
      </c>
      <c r="T1128" t="s">
        <v>8590</v>
      </c>
      <c r="U1128" t="s">
        <v>8590</v>
      </c>
      <c r="V1128" t="s">
        <v>8590</v>
      </c>
      <c r="W1128">
        <v>6</v>
      </c>
      <c r="X1128" t="s">
        <v>9718</v>
      </c>
      <c r="Y1128">
        <v>1.029907139246607</v>
      </c>
      <c r="Z1128" t="str">
        <f>HYPERLINK("Melting_Curves/meltCurve_sp_P46783_RS10_HUMAN_.pdf", "Melting_Curves/meltCurve_sp_P46783_RS10_HUMAN_.pdf")</f>
        <v>Melting_Curves/meltCurve_sp_P46783_RS10_HUMAN_.pdf</v>
      </c>
      <c r="AA1128" t="s">
        <v>13994</v>
      </c>
      <c r="AB1128" t="s">
        <v>18213</v>
      </c>
    </row>
    <row r="1129" spans="1:28" x14ac:dyDescent="0.25">
      <c r="A1129" t="s">
        <v>1133</v>
      </c>
      <c r="B1129">
        <v>0.99876560204751996</v>
      </c>
      <c r="C1129">
        <v>1.0388562609530101</v>
      </c>
      <c r="D1129">
        <v>0.92823667603072801</v>
      </c>
      <c r="E1129">
        <v>0.99306860956398701</v>
      </c>
      <c r="F1129">
        <v>0.88593858207006704</v>
      </c>
      <c r="G1129">
        <v>0.79250101042856502</v>
      </c>
      <c r="H1129">
        <v>0.65943232630431003</v>
      </c>
      <c r="I1129">
        <v>0.59184438865043099</v>
      </c>
      <c r="J1129">
        <v>0.27673909389277601</v>
      </c>
      <c r="K1129">
        <v>9.6862403830853705E-2</v>
      </c>
      <c r="L1129">
        <v>987.97644395868303</v>
      </c>
      <c r="M1129">
        <v>15.5593606145823</v>
      </c>
      <c r="N1129">
        <v>63.497239351046701</v>
      </c>
      <c r="O1129">
        <v>62.4761087519461</v>
      </c>
      <c r="P1129">
        <v>-6.2266691783344999E-2</v>
      </c>
      <c r="Q1129">
        <v>0</v>
      </c>
      <c r="R1129">
        <v>0.95726023307258701</v>
      </c>
      <c r="S1129" t="s">
        <v>5425</v>
      </c>
      <c r="T1129" t="s">
        <v>8590</v>
      </c>
      <c r="U1129" t="s">
        <v>8590</v>
      </c>
      <c r="V1129" t="s">
        <v>8590</v>
      </c>
      <c r="W1129">
        <v>12</v>
      </c>
      <c r="X1129" t="s">
        <v>9719</v>
      </c>
      <c r="Y1129">
        <v>0.77203832287957441</v>
      </c>
      <c r="Z1129" t="str">
        <f>HYPERLINK("Melting_Curves/meltCurve_sp_P46926_GNPI1_HUMAN_.pdf", "Melting_Curves/meltCurve_sp_P46926_GNPI1_HUMAN_.pdf")</f>
        <v>Melting_Curves/meltCurve_sp_P46926_GNPI1_HUMAN_.pdf</v>
      </c>
      <c r="AA1129" t="s">
        <v>13995</v>
      </c>
      <c r="AB1129" t="s">
        <v>18214</v>
      </c>
    </row>
    <row r="1130" spans="1:28" x14ac:dyDescent="0.25">
      <c r="A1130" t="s">
        <v>1134</v>
      </c>
      <c r="B1130">
        <v>0.99876560204751996</v>
      </c>
      <c r="C1130">
        <v>0.91865942469968098</v>
      </c>
      <c r="D1130">
        <v>0.90270716441717702</v>
      </c>
      <c r="E1130">
        <v>0.85137373259965599</v>
      </c>
      <c r="F1130">
        <v>0.55414995195964001</v>
      </c>
      <c r="G1130">
        <v>0.25567713886716797</v>
      </c>
      <c r="H1130">
        <v>0.15190028826277399</v>
      </c>
      <c r="I1130">
        <v>9.5342980041066894E-2</v>
      </c>
      <c r="J1130">
        <v>9.4012438794338293E-2</v>
      </c>
      <c r="K1130">
        <v>8.8908616459058801E-2</v>
      </c>
      <c r="L1130">
        <v>1105.8139277647199</v>
      </c>
      <c r="M1130">
        <v>20.756715600073601</v>
      </c>
      <c r="N1130">
        <v>53.714477481866901</v>
      </c>
      <c r="O1130">
        <v>52.787909836521898</v>
      </c>
      <c r="P1130">
        <v>-9.0628118396164206E-2</v>
      </c>
      <c r="Q1130">
        <v>7.8094279316167997E-2</v>
      </c>
      <c r="R1130">
        <v>0.99149079988767796</v>
      </c>
      <c r="S1130" t="s">
        <v>5426</v>
      </c>
      <c r="T1130" t="s">
        <v>8590</v>
      </c>
      <c r="U1130" t="s">
        <v>8590</v>
      </c>
      <c r="V1130" t="s">
        <v>8590</v>
      </c>
      <c r="W1130">
        <v>3</v>
      </c>
      <c r="X1130" t="s">
        <v>9720</v>
      </c>
      <c r="Y1130">
        <v>0.4979109381728673</v>
      </c>
      <c r="Z1130" t="str">
        <f>HYPERLINK("Melting_Curves/meltCurve_sp_P46934_4_NEDD4_HUMAN_.pdf", "Melting_Curves/meltCurve_sp_P46934_4_NEDD4_HUMAN_.pdf")</f>
        <v>Melting_Curves/meltCurve_sp_P46934_4_NEDD4_HUMAN_.pdf</v>
      </c>
      <c r="AA1130" t="s">
        <v>13996</v>
      </c>
      <c r="AB1130" t="s">
        <v>18215</v>
      </c>
    </row>
    <row r="1131" spans="1:28" x14ac:dyDescent="0.25">
      <c r="A1131" t="s">
        <v>1135</v>
      </c>
      <c r="B1131">
        <v>0.99876560204751996</v>
      </c>
      <c r="C1131">
        <v>0.98947935457250602</v>
      </c>
      <c r="D1131">
        <v>1.09975533449527</v>
      </c>
      <c r="E1131">
        <v>0.96791868115631297</v>
      </c>
      <c r="F1131">
        <v>0.91388627722507998</v>
      </c>
      <c r="G1131">
        <v>0.59238779943102904</v>
      </c>
      <c r="H1131">
        <v>0.68971896032288305</v>
      </c>
      <c r="I1131">
        <v>0.78595592819826998</v>
      </c>
      <c r="J1131">
        <v>0.975112595270197</v>
      </c>
      <c r="K1131">
        <v>0.91385075868210197</v>
      </c>
      <c r="L1131">
        <v>13268.671189098801</v>
      </c>
      <c r="M1131">
        <v>250</v>
      </c>
      <c r="O1131">
        <v>53.071288479932498</v>
      </c>
      <c r="P1131">
        <v>-0.245654000909343</v>
      </c>
      <c r="Q1131">
        <v>0.79140521126310603</v>
      </c>
      <c r="R1131">
        <v>0.49998593470166502</v>
      </c>
      <c r="S1131" t="s">
        <v>5427</v>
      </c>
      <c r="T1131" t="s">
        <v>8590</v>
      </c>
      <c r="U1131" t="s">
        <v>8590</v>
      </c>
      <c r="V1131" t="s">
        <v>8590</v>
      </c>
      <c r="W1131">
        <v>9</v>
      </c>
      <c r="X1131" t="s">
        <v>9721</v>
      </c>
      <c r="Y1131">
        <v>0.88233501102801748</v>
      </c>
      <c r="Z1131" t="str">
        <f>HYPERLINK("Melting_Curves/meltCurve_sp_P46937_YAP1_HUMAN_.pdf", "Melting_Curves/meltCurve_sp_P46937_YAP1_HUMAN_.pdf")</f>
        <v>Melting_Curves/meltCurve_sp_P46937_YAP1_HUMAN_.pdf</v>
      </c>
      <c r="AA1131" t="s">
        <v>13997</v>
      </c>
      <c r="AB1131" t="s">
        <v>18216</v>
      </c>
    </row>
    <row r="1132" spans="1:28" x14ac:dyDescent="0.25">
      <c r="A1132" t="s">
        <v>1136</v>
      </c>
      <c r="B1132">
        <v>0.99876560204751996</v>
      </c>
      <c r="C1132">
        <v>1.0240424158821899</v>
      </c>
      <c r="D1132">
        <v>0.95529353392682104</v>
      </c>
      <c r="E1132">
        <v>0.83288222556937297</v>
      </c>
      <c r="F1132">
        <v>0.50182868878812603</v>
      </c>
      <c r="G1132">
        <v>0.28252657541809401</v>
      </c>
      <c r="H1132">
        <v>0.14502239510127399</v>
      </c>
      <c r="I1132">
        <v>0.119225897987771</v>
      </c>
      <c r="J1132">
        <v>0.110321307895417</v>
      </c>
      <c r="K1132">
        <v>9.2429312021359497E-2</v>
      </c>
      <c r="L1132">
        <v>1169.7019735381</v>
      </c>
      <c r="M1132">
        <v>22.124936775132799</v>
      </c>
      <c r="N1132">
        <v>53.413693876082</v>
      </c>
      <c r="O1132">
        <v>52.441820624317401</v>
      </c>
      <c r="P1132">
        <v>-9.4807201159033905E-2</v>
      </c>
      <c r="Q1132">
        <v>0.10114924081240199</v>
      </c>
      <c r="R1132">
        <v>0.99704416875141599</v>
      </c>
      <c r="S1132" t="s">
        <v>5428</v>
      </c>
      <c r="T1132" t="s">
        <v>8590</v>
      </c>
      <c r="U1132" t="s">
        <v>8590</v>
      </c>
      <c r="V1132" t="s">
        <v>8590</v>
      </c>
      <c r="W1132">
        <v>20</v>
      </c>
      <c r="X1132" t="s">
        <v>9722</v>
      </c>
      <c r="Y1132">
        <v>0.49705636297915762</v>
      </c>
      <c r="Z1132" t="str">
        <f>HYPERLINK("Melting_Curves/meltCurve_sp_P46939_UTRO_HUMAN_.pdf", "Melting_Curves/meltCurve_sp_P46939_UTRO_HUMAN_.pdf")</f>
        <v>Melting_Curves/meltCurve_sp_P46939_UTRO_HUMAN_.pdf</v>
      </c>
      <c r="AA1132" t="s">
        <v>13998</v>
      </c>
      <c r="AB1132" t="s">
        <v>18217</v>
      </c>
    </row>
    <row r="1133" spans="1:28" x14ac:dyDescent="0.25">
      <c r="A1133" t="s">
        <v>1137</v>
      </c>
      <c r="B1133">
        <v>0.99876560204751996</v>
      </c>
      <c r="C1133">
        <v>1.0271297876366801</v>
      </c>
      <c r="D1133">
        <v>0.93634497450949095</v>
      </c>
      <c r="E1133">
        <v>0.926053275552292</v>
      </c>
      <c r="F1133">
        <v>0.49060773715490702</v>
      </c>
      <c r="G1133">
        <v>0.175508180420169</v>
      </c>
      <c r="H1133">
        <v>9.6214547881274398E-2</v>
      </c>
      <c r="I1133">
        <v>6.9756703057697295E-2</v>
      </c>
      <c r="J1133">
        <v>6.2943697626004894E-2</v>
      </c>
      <c r="K1133">
        <v>6.5169962127818407E-2</v>
      </c>
      <c r="L1133">
        <v>1889.6765076218601</v>
      </c>
      <c r="M1133">
        <v>35.767188993106799</v>
      </c>
      <c r="N1133">
        <v>53.081699831161998</v>
      </c>
      <c r="O1133">
        <v>52.6683438149932</v>
      </c>
      <c r="P1133">
        <v>-0.156663411337361</v>
      </c>
      <c r="Q1133">
        <v>7.7235203378382397E-2</v>
      </c>
      <c r="R1133">
        <v>0.99555672785385396</v>
      </c>
      <c r="S1133" t="s">
        <v>5429</v>
      </c>
      <c r="T1133" t="s">
        <v>8590</v>
      </c>
      <c r="U1133" t="s">
        <v>8590</v>
      </c>
      <c r="V1133" t="s">
        <v>8590</v>
      </c>
      <c r="W1133">
        <v>24</v>
      </c>
      <c r="X1133" t="s">
        <v>9723</v>
      </c>
      <c r="Y1133">
        <v>0.47616566652719</v>
      </c>
      <c r="Z1133" t="str">
        <f>HYPERLINK("Melting_Curves/meltCurve_sp_P46940_IQGA1_HUMAN_.pdf", "Melting_Curves/meltCurve_sp_P46940_IQGA1_HUMAN_.pdf")</f>
        <v>Melting_Curves/meltCurve_sp_P46940_IQGA1_HUMAN_.pdf</v>
      </c>
      <c r="AA1133" t="s">
        <v>13999</v>
      </c>
      <c r="AB1133" t="s">
        <v>18218</v>
      </c>
    </row>
    <row r="1134" spans="1:28" x14ac:dyDescent="0.25">
      <c r="A1134" t="s">
        <v>1138</v>
      </c>
      <c r="B1134">
        <v>0.99876560204751996</v>
      </c>
      <c r="C1134">
        <v>0.91733489567847404</v>
      </c>
      <c r="D1134">
        <v>1.0254390200390699</v>
      </c>
      <c r="E1134">
        <v>0.84387775002726195</v>
      </c>
      <c r="F1134">
        <v>0.69609568191622495</v>
      </c>
      <c r="G1134">
        <v>0.27472032480444603</v>
      </c>
      <c r="H1134">
        <v>8.5450124387086004E-2</v>
      </c>
      <c r="I1134">
        <v>6.1929203782553698E-2</v>
      </c>
      <c r="J1134">
        <v>5.6390214162497697E-2</v>
      </c>
      <c r="K1134">
        <v>4.4344239667462697E-2</v>
      </c>
      <c r="L1134">
        <v>1274.5636416749301</v>
      </c>
      <c r="M1134">
        <v>23.415231133338601</v>
      </c>
      <c r="N1134">
        <v>54.592120221733602</v>
      </c>
      <c r="O1134">
        <v>54.040754099833499</v>
      </c>
      <c r="P1134">
        <v>-0.10475304630116</v>
      </c>
      <c r="Q1134">
        <v>3.2965626320993098E-2</v>
      </c>
      <c r="R1134">
        <v>0.99285306158615805</v>
      </c>
      <c r="S1134" t="s">
        <v>5430</v>
      </c>
      <c r="T1134" t="s">
        <v>8590</v>
      </c>
      <c r="U1134" t="s">
        <v>8590</v>
      </c>
      <c r="V1134" t="s">
        <v>8590</v>
      </c>
      <c r="W1134">
        <v>24</v>
      </c>
      <c r="X1134" t="s">
        <v>9724</v>
      </c>
      <c r="Y1134">
        <v>0.50826063012225464</v>
      </c>
      <c r="Z1134" t="str">
        <f>HYPERLINK("Melting_Curves/meltCurve_sp_P46952_3HAO_HUMAN_.pdf", "Melting_Curves/meltCurve_sp_P46952_3HAO_HUMAN_.pdf")</f>
        <v>Melting_Curves/meltCurve_sp_P46952_3HAO_HUMAN_.pdf</v>
      </c>
      <c r="AA1134" t="s">
        <v>14000</v>
      </c>
      <c r="AB1134" t="s">
        <v>18219</v>
      </c>
    </row>
    <row r="1135" spans="1:28" x14ac:dyDescent="0.25">
      <c r="A1135" t="s">
        <v>1139</v>
      </c>
      <c r="B1135">
        <v>0.99876560204751996</v>
      </c>
      <c r="C1135">
        <v>0.94173779082611997</v>
      </c>
      <c r="D1135">
        <v>1.0085358033090399</v>
      </c>
      <c r="E1135">
        <v>0.94619873051014303</v>
      </c>
      <c r="F1135">
        <v>0.85545994883513699</v>
      </c>
      <c r="G1135">
        <v>0.60574678802960702</v>
      </c>
      <c r="H1135">
        <v>0.37420592373933298</v>
      </c>
      <c r="I1135">
        <v>0.29225065797393102</v>
      </c>
      <c r="J1135">
        <v>0.27713473581736903</v>
      </c>
      <c r="K1135">
        <v>0.19046346161156999</v>
      </c>
      <c r="L1135">
        <v>1072.6960946214599</v>
      </c>
      <c r="M1135">
        <v>18.766770492322099</v>
      </c>
      <c r="N1135">
        <v>58.697583253423701</v>
      </c>
      <c r="O1135">
        <v>56.522175763103903</v>
      </c>
      <c r="P1135">
        <v>-6.6885872348904404E-2</v>
      </c>
      <c r="Q1135">
        <v>0.194240306765388</v>
      </c>
      <c r="R1135">
        <v>0.99444846694797295</v>
      </c>
      <c r="S1135" t="s">
        <v>5431</v>
      </c>
      <c r="T1135" t="s">
        <v>8590</v>
      </c>
      <c r="U1135" t="s">
        <v>8590</v>
      </c>
      <c r="V1135" t="s">
        <v>8590</v>
      </c>
      <c r="W1135">
        <v>4</v>
      </c>
      <c r="X1135" t="s">
        <v>9725</v>
      </c>
      <c r="Y1135">
        <v>0.66558145510814704</v>
      </c>
      <c r="Z1135" t="str">
        <f>HYPERLINK("Melting_Curves/meltCurve_sp_P46976_2_GLYG_HUMAN_.pdf", "Melting_Curves/meltCurve_sp_P46976_2_GLYG_HUMAN_.pdf")</f>
        <v>Melting_Curves/meltCurve_sp_P46976_2_GLYG_HUMAN_.pdf</v>
      </c>
      <c r="AA1135" t="s">
        <v>14001</v>
      </c>
      <c r="AB1135" t="s">
        <v>18220</v>
      </c>
    </row>
    <row r="1136" spans="1:28" x14ac:dyDescent="0.25">
      <c r="A1136" t="s">
        <v>1140</v>
      </c>
      <c r="B1136">
        <v>0.99876560204751996</v>
      </c>
      <c r="C1136">
        <v>1.0345580917274599</v>
      </c>
      <c r="D1136">
        <v>1.0177983825421599</v>
      </c>
      <c r="E1136">
        <v>0.84795791835320899</v>
      </c>
      <c r="F1136">
        <v>0.67504235090277098</v>
      </c>
      <c r="G1136">
        <v>0.60558543252431196</v>
      </c>
      <c r="H1136">
        <v>0.46382631347595799</v>
      </c>
      <c r="I1136">
        <v>0.45159226492945198</v>
      </c>
      <c r="J1136">
        <v>0.48417616892286502</v>
      </c>
      <c r="K1136">
        <v>0.49494311221868198</v>
      </c>
      <c r="L1136">
        <v>1143.78197033074</v>
      </c>
      <c r="M1136">
        <v>21.879390292812101</v>
      </c>
      <c r="N1136">
        <v>60.413167376906699</v>
      </c>
      <c r="O1136">
        <v>51.845865061476999</v>
      </c>
      <c r="P1136">
        <v>-5.5522360747359098E-2</v>
      </c>
      <c r="Q1136">
        <v>0.47374426511441098</v>
      </c>
      <c r="R1136">
        <v>0.98184822977663</v>
      </c>
      <c r="S1136" t="s">
        <v>5432</v>
      </c>
      <c r="T1136" t="s">
        <v>8590</v>
      </c>
      <c r="U1136" t="s">
        <v>8590</v>
      </c>
      <c r="V1136" t="s">
        <v>8590</v>
      </c>
      <c r="W1136">
        <v>1</v>
      </c>
      <c r="X1136" t="s">
        <v>9726</v>
      </c>
      <c r="Y1136">
        <v>0.69528590334253648</v>
      </c>
      <c r="Z1136" t="str">
        <f>HYPERLINK("Melting_Curves/meltCurve_sp_P47224_MSS4_HUMAN_.pdf", "Melting_Curves/meltCurve_sp_P47224_MSS4_HUMAN_.pdf")</f>
        <v>Melting_Curves/meltCurve_sp_P47224_MSS4_HUMAN_.pdf</v>
      </c>
      <c r="AA1136" t="s">
        <v>14002</v>
      </c>
      <c r="AB1136" t="s">
        <v>18221</v>
      </c>
    </row>
    <row r="1137" spans="1:28" x14ac:dyDescent="0.25">
      <c r="A1137" t="s">
        <v>1141</v>
      </c>
      <c r="B1137">
        <v>0.99876560204751996</v>
      </c>
      <c r="C1137">
        <v>0.98722559005698496</v>
      </c>
      <c r="D1137">
        <v>0.97101159357496003</v>
      </c>
      <c r="E1137">
        <v>0.96771994808345196</v>
      </c>
      <c r="F1137">
        <v>0.76821045707699398</v>
      </c>
      <c r="G1137">
        <v>0.44098778391862098</v>
      </c>
      <c r="H1137">
        <v>0.15606968017678299</v>
      </c>
      <c r="I1137">
        <v>8.8710064694133894E-2</v>
      </c>
      <c r="J1137">
        <v>6.7717394049886803E-2</v>
      </c>
      <c r="K1137">
        <v>6.4433355087771593E-2</v>
      </c>
      <c r="L1137">
        <v>1279.76200321895</v>
      </c>
      <c r="M1137">
        <v>22.874295908351002</v>
      </c>
      <c r="N1137">
        <v>56.178601156921196</v>
      </c>
      <c r="O1137">
        <v>55.525266619264599</v>
      </c>
      <c r="P1137">
        <v>-9.8369582339569994E-2</v>
      </c>
      <c r="Q1137">
        <v>4.4885529801286898E-2</v>
      </c>
      <c r="R1137">
        <v>0.99846055689486601</v>
      </c>
      <c r="S1137" t="s">
        <v>5433</v>
      </c>
      <c r="T1137" t="s">
        <v>8590</v>
      </c>
      <c r="U1137" t="s">
        <v>8590</v>
      </c>
      <c r="V1137" t="s">
        <v>8590</v>
      </c>
      <c r="W1137">
        <v>12</v>
      </c>
      <c r="X1137" t="s">
        <v>9727</v>
      </c>
      <c r="Y1137">
        <v>0.56273827066108384</v>
      </c>
      <c r="Z1137" t="str">
        <f>HYPERLINK("Melting_Curves/meltCurve_sp_P47755_CAZA2_HUMAN_.pdf", "Melting_Curves/meltCurve_sp_P47755_CAZA2_HUMAN_.pdf")</f>
        <v>Melting_Curves/meltCurve_sp_P47755_CAZA2_HUMAN_.pdf</v>
      </c>
      <c r="AA1137" t="s">
        <v>14003</v>
      </c>
      <c r="AB1137" t="s">
        <v>18222</v>
      </c>
    </row>
    <row r="1138" spans="1:28" x14ac:dyDescent="0.25">
      <c r="A1138" t="s">
        <v>1142</v>
      </c>
      <c r="B1138">
        <v>0.99876560204751996</v>
      </c>
      <c r="C1138">
        <v>0.95904536704114696</v>
      </c>
      <c r="D1138">
        <v>1.1422885168213299</v>
      </c>
      <c r="E1138">
        <v>0.93123745408686698</v>
      </c>
      <c r="F1138">
        <v>1.0069970980013201</v>
      </c>
      <c r="G1138">
        <v>0.76488012729867005</v>
      </c>
      <c r="H1138">
        <v>0.63017120243370905</v>
      </c>
      <c r="I1138">
        <v>0.524261204344452</v>
      </c>
      <c r="J1138">
        <v>0.58023587704922797</v>
      </c>
      <c r="K1138">
        <v>0.55785661057118396</v>
      </c>
      <c r="L1138">
        <v>2064.3189145388501</v>
      </c>
      <c r="M1138">
        <v>36.224034888888298</v>
      </c>
      <c r="O1138">
        <v>56.814706651168102</v>
      </c>
      <c r="P1138">
        <v>-7.0244112271450804E-2</v>
      </c>
      <c r="Q1138">
        <v>0.55931067714442595</v>
      </c>
      <c r="R1138">
        <v>0.931698958299225</v>
      </c>
      <c r="S1138" t="s">
        <v>5434</v>
      </c>
      <c r="T1138" t="s">
        <v>8590</v>
      </c>
      <c r="U1138" t="s">
        <v>8590</v>
      </c>
      <c r="V1138" t="s">
        <v>8590</v>
      </c>
      <c r="W1138">
        <v>5</v>
      </c>
      <c r="X1138" t="s">
        <v>9728</v>
      </c>
      <c r="Y1138">
        <v>0.81092856718090001</v>
      </c>
      <c r="Z1138" t="str">
        <f>HYPERLINK("Melting_Curves/meltCurve_sp_P47813_IF1AX_HUMAN_.pdf", "Melting_Curves/meltCurve_sp_P47813_IF1AX_HUMAN_.pdf")</f>
        <v>Melting_Curves/meltCurve_sp_P47813_IF1AX_HUMAN_.pdf</v>
      </c>
      <c r="AA1138" t="s">
        <v>14004</v>
      </c>
      <c r="AB1138" t="s">
        <v>18223</v>
      </c>
    </row>
    <row r="1139" spans="1:28" x14ac:dyDescent="0.25">
      <c r="A1139" t="s">
        <v>1143</v>
      </c>
      <c r="B1139">
        <v>0.99876560204751996</v>
      </c>
      <c r="C1139">
        <v>0.92171084258579805</v>
      </c>
      <c r="D1139">
        <v>0.69433698088219098</v>
      </c>
      <c r="E1139">
        <v>0.40381926736583901</v>
      </c>
      <c r="F1139">
        <v>0.18916865454274401</v>
      </c>
      <c r="G1139">
        <v>9.5528438890909603E-2</v>
      </c>
      <c r="H1139">
        <v>7.3038221053985206E-2</v>
      </c>
      <c r="I1139">
        <v>6.07275846633493E-2</v>
      </c>
      <c r="J1139">
        <v>6.9321214224696504E-2</v>
      </c>
      <c r="K1139">
        <v>6.7961969473845502E-2</v>
      </c>
      <c r="L1139">
        <v>884.75698767732695</v>
      </c>
      <c r="M1139">
        <v>18.3696194245084</v>
      </c>
      <c r="N1139">
        <v>48.475592113464401</v>
      </c>
      <c r="O1139">
        <v>47.604241698107899</v>
      </c>
      <c r="P1139">
        <v>-9.1105250878579194E-2</v>
      </c>
      <c r="Q1139">
        <v>5.5658415009759397E-2</v>
      </c>
      <c r="R1139">
        <v>0.997937239472379</v>
      </c>
      <c r="S1139" t="s">
        <v>5435</v>
      </c>
      <c r="T1139" t="s">
        <v>8590</v>
      </c>
      <c r="U1139" t="s">
        <v>8590</v>
      </c>
      <c r="V1139" t="s">
        <v>8590</v>
      </c>
      <c r="W1139">
        <v>26</v>
      </c>
      <c r="X1139" t="s">
        <v>9729</v>
      </c>
      <c r="Y1139">
        <v>0.32863539510420342</v>
      </c>
      <c r="Z1139" t="str">
        <f>HYPERLINK("Melting_Curves/meltCurve_sp_P47897_SYQ_HUMAN_.pdf", "Melting_Curves/meltCurve_sp_P47897_SYQ_HUMAN_.pdf")</f>
        <v>Melting_Curves/meltCurve_sp_P47897_SYQ_HUMAN_.pdf</v>
      </c>
      <c r="AA1139" t="s">
        <v>14005</v>
      </c>
      <c r="AB1139" t="s">
        <v>18224</v>
      </c>
    </row>
    <row r="1140" spans="1:28" x14ac:dyDescent="0.25">
      <c r="A1140" t="s">
        <v>1144</v>
      </c>
      <c r="B1140">
        <v>0.99876560204751996</v>
      </c>
      <c r="C1140">
        <v>0.94995195687290701</v>
      </c>
      <c r="D1140">
        <v>1.0066451414398401</v>
      </c>
      <c r="E1140">
        <v>0.87340173372566499</v>
      </c>
      <c r="F1140">
        <v>0.77249134822348497</v>
      </c>
      <c r="G1140">
        <v>0.55647014640145898</v>
      </c>
      <c r="H1140">
        <v>0.53731255538093703</v>
      </c>
      <c r="I1140">
        <v>0.63357520736526296</v>
      </c>
      <c r="J1140">
        <v>0.72556981319860203</v>
      </c>
      <c r="K1140">
        <v>0.63859401293850304</v>
      </c>
      <c r="L1140">
        <v>1683.41382368377</v>
      </c>
      <c r="M1140">
        <v>32.644312209416903</v>
      </c>
      <c r="O1140">
        <v>51.376004768440403</v>
      </c>
      <c r="P1140">
        <v>-6.0414761799434002E-2</v>
      </c>
      <c r="Q1140">
        <v>0.61967592225706003</v>
      </c>
      <c r="R1140">
        <v>0.89534917208044396</v>
      </c>
      <c r="S1140" t="s">
        <v>5436</v>
      </c>
      <c r="T1140" t="s">
        <v>8590</v>
      </c>
      <c r="U1140" t="s">
        <v>8590</v>
      </c>
      <c r="V1140" t="s">
        <v>8590</v>
      </c>
      <c r="W1140">
        <v>2</v>
      </c>
      <c r="X1140" t="s">
        <v>9730</v>
      </c>
      <c r="Y1140">
        <v>0.76837220888363045</v>
      </c>
      <c r="Z1140" t="str">
        <f>HYPERLINK("Melting_Curves/meltCurve_sp_P47914_RL29_HUMAN_.pdf", "Melting_Curves/meltCurve_sp_P47914_RL29_HUMAN_.pdf")</f>
        <v>Melting_Curves/meltCurve_sp_P47914_RL29_HUMAN_.pdf</v>
      </c>
      <c r="AA1140" t="s">
        <v>14006</v>
      </c>
      <c r="AB1140" t="s">
        <v>18225</v>
      </c>
    </row>
    <row r="1141" spans="1:28" x14ac:dyDescent="0.25">
      <c r="A1141" t="s">
        <v>1145</v>
      </c>
      <c r="B1141">
        <v>0.99876560204751996</v>
      </c>
      <c r="C1141">
        <v>0.94378972104511305</v>
      </c>
      <c r="D1141">
        <v>0.885370071152215</v>
      </c>
      <c r="E1141">
        <v>0.67974421079056502</v>
      </c>
      <c r="F1141">
        <v>0.58851847360480702</v>
      </c>
      <c r="G1141">
        <v>0.37667287504548402</v>
      </c>
      <c r="H1141">
        <v>0.31582218316807198</v>
      </c>
      <c r="I1141">
        <v>0.26174247305845599</v>
      </c>
      <c r="J1141">
        <v>0.31238822160789498</v>
      </c>
      <c r="K1141">
        <v>0.23611484903413499</v>
      </c>
      <c r="L1141">
        <v>704.74926439363696</v>
      </c>
      <c r="M1141">
        <v>13.641996226720099</v>
      </c>
      <c r="N1141">
        <v>54.152052531343799</v>
      </c>
      <c r="O1141">
        <v>50.588123872623399</v>
      </c>
      <c r="P1141">
        <v>-5.1709743409409203E-2</v>
      </c>
      <c r="Q1141">
        <v>0.23309874446279999</v>
      </c>
      <c r="R1141">
        <v>0.99278456736839404</v>
      </c>
      <c r="S1141" t="s">
        <v>5437</v>
      </c>
      <c r="T1141" t="s">
        <v>8590</v>
      </c>
      <c r="U1141" t="s">
        <v>8590</v>
      </c>
      <c r="V1141" t="s">
        <v>8590</v>
      </c>
      <c r="W1141">
        <v>4</v>
      </c>
      <c r="X1141" t="s">
        <v>9731</v>
      </c>
      <c r="Y1141">
        <v>0.5512172359904608</v>
      </c>
      <c r="Z1141" t="str">
        <f>HYPERLINK("Melting_Curves/meltCurve_sp_P47985_UCRI_HUMAN_.pdf", "Melting_Curves/meltCurve_sp_P47985_UCRI_HUMAN_.pdf")</f>
        <v>Melting_Curves/meltCurve_sp_P47985_UCRI_HUMAN_.pdf</v>
      </c>
      <c r="AA1141" t="s">
        <v>14007</v>
      </c>
      <c r="AB1141" t="s">
        <v>18226</v>
      </c>
    </row>
    <row r="1142" spans="1:28" x14ac:dyDescent="0.25">
      <c r="A1142" t="s">
        <v>1146</v>
      </c>
      <c r="B1142">
        <v>0.99876560204751996</v>
      </c>
      <c r="C1142">
        <v>1.0702340660955301</v>
      </c>
      <c r="D1142">
        <v>0.945584233180772</v>
      </c>
      <c r="E1142">
        <v>1.0360717075229999</v>
      </c>
      <c r="F1142">
        <v>0.83929890242445804</v>
      </c>
      <c r="G1142">
        <v>0.56775948350661098</v>
      </c>
      <c r="H1142">
        <v>0.42522569260915599</v>
      </c>
      <c r="I1142">
        <v>0.27151202867840302</v>
      </c>
      <c r="J1142">
        <v>0.236628991566562</v>
      </c>
      <c r="K1142">
        <v>0.127133673540372</v>
      </c>
      <c r="L1142">
        <v>982.71731894705999</v>
      </c>
      <c r="M1142">
        <v>16.9717022608361</v>
      </c>
      <c r="N1142">
        <v>58.9009511590721</v>
      </c>
      <c r="O1142">
        <v>57.1173122093576</v>
      </c>
      <c r="P1142">
        <v>-6.5008890665764096E-2</v>
      </c>
      <c r="Q1142">
        <v>0.124919371721876</v>
      </c>
      <c r="R1142">
        <v>0.98105368721755304</v>
      </c>
      <c r="S1142" t="s">
        <v>5438</v>
      </c>
      <c r="T1142" t="s">
        <v>8590</v>
      </c>
      <c r="U1142" t="s">
        <v>8590</v>
      </c>
      <c r="V1142" t="s">
        <v>8590</v>
      </c>
      <c r="W1142">
        <v>61</v>
      </c>
      <c r="X1142" t="s">
        <v>9732</v>
      </c>
      <c r="Y1142">
        <v>0.65853438428400801</v>
      </c>
      <c r="Z1142" t="str">
        <f>HYPERLINK("Melting_Curves/meltCurve_sp_P47989_XDH_HUMAN_.pdf", "Melting_Curves/meltCurve_sp_P47989_XDH_HUMAN_.pdf")</f>
        <v>Melting_Curves/meltCurve_sp_P47989_XDH_HUMAN_.pdf</v>
      </c>
      <c r="AA1142" t="s">
        <v>14008</v>
      </c>
      <c r="AB1142" t="s">
        <v>18227</v>
      </c>
    </row>
    <row r="1143" spans="1:28" x14ac:dyDescent="0.25">
      <c r="A1143" t="s">
        <v>1147</v>
      </c>
      <c r="B1143">
        <v>0.99876560204751996</v>
      </c>
      <c r="C1143">
        <v>1.04293586554955</v>
      </c>
      <c r="D1143">
        <v>0.94711098439302799</v>
      </c>
      <c r="E1143">
        <v>0.93119889509031695</v>
      </c>
      <c r="F1143">
        <v>0.95431457181124701</v>
      </c>
      <c r="G1143">
        <v>0.81671809339008095</v>
      </c>
      <c r="H1143">
        <v>0.59767095356044797</v>
      </c>
      <c r="I1143">
        <v>0.42615238210581002</v>
      </c>
      <c r="J1143">
        <v>0.41022053556924998</v>
      </c>
      <c r="K1143">
        <v>0.29758348351137498</v>
      </c>
      <c r="L1143">
        <v>1030.50328408925</v>
      </c>
      <c r="M1143">
        <v>17.0334857934408</v>
      </c>
      <c r="N1143">
        <v>63.012320106847703</v>
      </c>
      <c r="O1143">
        <v>59.6832818228485</v>
      </c>
      <c r="P1143">
        <v>-5.3760712483804401E-2</v>
      </c>
      <c r="Q1143">
        <v>0.246561974545216</v>
      </c>
      <c r="R1143">
        <v>0.98553964038412201</v>
      </c>
      <c r="S1143" t="s">
        <v>5439</v>
      </c>
      <c r="T1143" t="s">
        <v>8590</v>
      </c>
      <c r="U1143" t="s">
        <v>8590</v>
      </c>
      <c r="V1143" t="s">
        <v>8590</v>
      </c>
      <c r="W1143">
        <v>11</v>
      </c>
      <c r="X1143" t="s">
        <v>9733</v>
      </c>
      <c r="Y1143">
        <v>0.7662297668382434</v>
      </c>
      <c r="Z1143" t="str">
        <f>HYPERLINK("Melting_Curves/meltCurve_sp_P48059_LIMS1_HUMAN_.pdf", "Melting_Curves/meltCurve_sp_P48059_LIMS1_HUMAN_.pdf")</f>
        <v>Melting_Curves/meltCurve_sp_P48059_LIMS1_HUMAN_.pdf</v>
      </c>
      <c r="AA1143" t="s">
        <v>14009</v>
      </c>
      <c r="AB1143" t="s">
        <v>18228</v>
      </c>
    </row>
    <row r="1144" spans="1:28" x14ac:dyDescent="0.25">
      <c r="A1144" t="s">
        <v>1148</v>
      </c>
      <c r="B1144">
        <v>0.99876560204751996</v>
      </c>
      <c r="C1144">
        <v>0.92976288329412804</v>
      </c>
      <c r="D1144">
        <v>0.87323293223653398</v>
      </c>
      <c r="E1144">
        <v>0.83394399943672903</v>
      </c>
      <c r="F1144">
        <v>0.42462443020142898</v>
      </c>
      <c r="G1144">
        <v>0.14715519813887401</v>
      </c>
      <c r="H1144">
        <v>9.4325572787612305E-2</v>
      </c>
      <c r="I1144">
        <v>7.4548430670093604E-2</v>
      </c>
      <c r="J1144">
        <v>7.3637123097758994E-2</v>
      </c>
      <c r="K1144">
        <v>6.6217067804640498E-2</v>
      </c>
      <c r="L1144">
        <v>1493.3828723255399</v>
      </c>
      <c r="M1144">
        <v>28.587555409481201</v>
      </c>
      <c r="N1144">
        <v>52.516908773955997</v>
      </c>
      <c r="O1144">
        <v>51.985299162537899</v>
      </c>
      <c r="P1144">
        <v>-0.12782683265630401</v>
      </c>
      <c r="Q1144">
        <v>7.0215889851773003E-2</v>
      </c>
      <c r="R1144">
        <v>0.98804601681500803</v>
      </c>
      <c r="S1144" t="s">
        <v>5440</v>
      </c>
      <c r="T1144" t="s">
        <v>8590</v>
      </c>
      <c r="U1144" t="s">
        <v>8590</v>
      </c>
      <c r="V1144" t="s">
        <v>8590</v>
      </c>
      <c r="W1144">
        <v>19</v>
      </c>
      <c r="X1144" t="s">
        <v>9734</v>
      </c>
      <c r="Y1144">
        <v>0.45609152690402871</v>
      </c>
      <c r="Z1144" t="str">
        <f>HYPERLINK("Melting_Curves/meltCurve_sp_P48147_PPCE_HUMAN_.pdf", "Melting_Curves/meltCurve_sp_P48147_PPCE_HUMAN_.pdf")</f>
        <v>Melting_Curves/meltCurve_sp_P48147_PPCE_HUMAN_.pdf</v>
      </c>
      <c r="AA1144" t="s">
        <v>14010</v>
      </c>
      <c r="AB1144" t="s">
        <v>18229</v>
      </c>
    </row>
    <row r="1145" spans="1:28" x14ac:dyDescent="0.25">
      <c r="A1145" t="s">
        <v>1149</v>
      </c>
      <c r="B1145">
        <v>0.99876560204751996</v>
      </c>
      <c r="C1145">
        <v>1.07207676969327</v>
      </c>
      <c r="D1145">
        <v>0.98488671522819105</v>
      </c>
      <c r="E1145">
        <v>1.0238783354535299</v>
      </c>
      <c r="F1145">
        <v>0.96051979952430899</v>
      </c>
      <c r="G1145">
        <v>0.53420475978943105</v>
      </c>
      <c r="H1145">
        <v>0.15484972894986801</v>
      </c>
      <c r="I1145">
        <v>8.7043128249302396E-2</v>
      </c>
      <c r="J1145">
        <v>6.7543355881113695E-2</v>
      </c>
      <c r="K1145">
        <v>6.9523803169567897E-2</v>
      </c>
      <c r="L1145">
        <v>2172.5418874061602</v>
      </c>
      <c r="M1145">
        <v>38.096943781250999</v>
      </c>
      <c r="N1145">
        <v>57.258473136290803</v>
      </c>
      <c r="O1145">
        <v>56.870225565922198</v>
      </c>
      <c r="P1145">
        <v>-0.15550596343783399</v>
      </c>
      <c r="Q1145">
        <v>7.1459723784473905E-2</v>
      </c>
      <c r="R1145">
        <v>0.99650560556694701</v>
      </c>
      <c r="S1145" t="s">
        <v>5441</v>
      </c>
      <c r="T1145" t="s">
        <v>8590</v>
      </c>
      <c r="U1145" t="s">
        <v>8590</v>
      </c>
      <c r="V1145" t="s">
        <v>8590</v>
      </c>
      <c r="W1145">
        <v>11</v>
      </c>
      <c r="X1145" t="s">
        <v>9735</v>
      </c>
      <c r="Y1145">
        <v>0.60243370637570737</v>
      </c>
      <c r="Z1145" t="str">
        <f>HYPERLINK("Melting_Curves/meltCurve_sp_P48163_MAOX_HUMAN_.pdf", "Melting_Curves/meltCurve_sp_P48163_MAOX_HUMAN_.pdf")</f>
        <v>Melting_Curves/meltCurve_sp_P48163_MAOX_HUMAN_.pdf</v>
      </c>
      <c r="AA1145" t="s">
        <v>14011</v>
      </c>
      <c r="AB1145" t="s">
        <v>18230</v>
      </c>
    </row>
    <row r="1146" spans="1:28" x14ac:dyDescent="0.25">
      <c r="A1146" t="s">
        <v>1150</v>
      </c>
      <c r="B1146">
        <v>0.99876560204751996</v>
      </c>
      <c r="C1146">
        <v>0.94489061787710005</v>
      </c>
      <c r="D1146">
        <v>0.70037145097933295</v>
      </c>
      <c r="E1146">
        <v>0.38185686310446498</v>
      </c>
      <c r="F1146">
        <v>0.24291717422034401</v>
      </c>
      <c r="G1146">
        <v>0.15684785299402401</v>
      </c>
      <c r="H1146">
        <v>8.7790685426505893E-2</v>
      </c>
      <c r="I1146">
        <v>9.7420191905670903E-2</v>
      </c>
      <c r="J1146">
        <v>9.6900017787067305E-2</v>
      </c>
      <c r="K1146">
        <v>9.8469276405357603E-2</v>
      </c>
      <c r="L1146">
        <v>901.423740314062</v>
      </c>
      <c r="M1146">
        <v>18.772930199975001</v>
      </c>
      <c r="N1146">
        <v>48.554404401446298</v>
      </c>
      <c r="O1146">
        <v>47.482305098486698</v>
      </c>
      <c r="P1146">
        <v>-8.9576490227265604E-2</v>
      </c>
      <c r="Q1146">
        <v>9.3775897999944499E-2</v>
      </c>
      <c r="R1146">
        <v>0.99741188289073401</v>
      </c>
      <c r="S1146" t="s">
        <v>5442</v>
      </c>
      <c r="T1146" t="s">
        <v>8590</v>
      </c>
      <c r="U1146" t="s">
        <v>8590</v>
      </c>
      <c r="V1146" t="s">
        <v>8590</v>
      </c>
      <c r="W1146">
        <v>4</v>
      </c>
      <c r="X1146" t="s">
        <v>9736</v>
      </c>
      <c r="Y1146">
        <v>0.35067100478789143</v>
      </c>
      <c r="Z1146" t="str">
        <f>HYPERLINK("Melting_Curves/meltCurve_sp_P48200_IREB2_HUMAN_.pdf", "Melting_Curves/meltCurve_sp_P48200_IREB2_HUMAN_.pdf")</f>
        <v>Melting_Curves/meltCurve_sp_P48200_IREB2_HUMAN_.pdf</v>
      </c>
      <c r="AA1146" t="s">
        <v>14012</v>
      </c>
      <c r="AB1146" t="s">
        <v>18231</v>
      </c>
    </row>
    <row r="1147" spans="1:28" x14ac:dyDescent="0.25">
      <c r="A1147" t="s">
        <v>1151</v>
      </c>
      <c r="B1147">
        <v>0.99876560204751996</v>
      </c>
      <c r="C1147">
        <v>0.98963166111021506</v>
      </c>
      <c r="D1147">
        <v>1.0425780355174501</v>
      </c>
      <c r="E1147">
        <v>0.944566711821482</v>
      </c>
      <c r="F1147">
        <v>0.74875493194927201</v>
      </c>
      <c r="G1147">
        <v>0.46739419975023599</v>
      </c>
      <c r="H1147">
        <v>0.17277105637524701</v>
      </c>
      <c r="I1147">
        <v>9.9395420560105502E-2</v>
      </c>
      <c r="J1147">
        <v>8.5710758431704601E-2</v>
      </c>
      <c r="K1147">
        <v>7.4598650381601697E-2</v>
      </c>
      <c r="L1147">
        <v>1191.8094522731501</v>
      </c>
      <c r="M1147">
        <v>21.283904253673601</v>
      </c>
      <c r="N1147">
        <v>56.279554450323801</v>
      </c>
      <c r="O1147">
        <v>55.508529279938401</v>
      </c>
      <c r="P1147">
        <v>-9.0984554896680503E-2</v>
      </c>
      <c r="Q1147">
        <v>5.0871509090897597E-2</v>
      </c>
      <c r="R1147">
        <v>0.99657718922946803</v>
      </c>
      <c r="S1147" t="s">
        <v>5443</v>
      </c>
      <c r="T1147" t="s">
        <v>8590</v>
      </c>
      <c r="U1147" t="s">
        <v>8590</v>
      </c>
      <c r="V1147" t="s">
        <v>8590</v>
      </c>
      <c r="W1147">
        <v>32</v>
      </c>
      <c r="X1147" t="s">
        <v>9737</v>
      </c>
      <c r="Y1147">
        <v>0.56814403318019158</v>
      </c>
      <c r="Z1147" t="str">
        <f>HYPERLINK("Melting_Curves/meltCurve_sp_P48444_COPD_HUMAN_.pdf", "Melting_Curves/meltCurve_sp_P48444_COPD_HUMAN_.pdf")</f>
        <v>Melting_Curves/meltCurve_sp_P48444_COPD_HUMAN_.pdf</v>
      </c>
      <c r="AA1147" t="s">
        <v>14013</v>
      </c>
      <c r="AB1147" t="s">
        <v>18232</v>
      </c>
    </row>
    <row r="1148" spans="1:28" x14ac:dyDescent="0.25">
      <c r="A1148" t="s">
        <v>1152</v>
      </c>
      <c r="B1148">
        <v>0.99876560204751996</v>
      </c>
      <c r="C1148">
        <v>1.0424861764856199</v>
      </c>
      <c r="D1148">
        <v>0.81063776969335499</v>
      </c>
      <c r="E1148">
        <v>0.59967826538503199</v>
      </c>
      <c r="F1148">
        <v>0.29453874511733502</v>
      </c>
      <c r="G1148">
        <v>0.16316968126376599</v>
      </c>
      <c r="H1148">
        <v>9.9363012710497398E-2</v>
      </c>
      <c r="I1148">
        <v>0.11287963243242401</v>
      </c>
      <c r="J1148">
        <v>0.116111676540933</v>
      </c>
      <c r="K1148">
        <v>0.108279713782986</v>
      </c>
      <c r="L1148">
        <v>1032.0949106097401</v>
      </c>
      <c r="M1148">
        <v>20.602851107042198</v>
      </c>
      <c r="N1148">
        <v>50.628339109827898</v>
      </c>
      <c r="O1148">
        <v>49.629983275736201</v>
      </c>
      <c r="P1148">
        <v>-9.3656967146641706E-2</v>
      </c>
      <c r="Q1148">
        <v>9.7589133314430296E-2</v>
      </c>
      <c r="R1148">
        <v>0.99113064214426105</v>
      </c>
      <c r="S1148" t="s">
        <v>5444</v>
      </c>
      <c r="T1148" t="s">
        <v>8590</v>
      </c>
      <c r="U1148" t="s">
        <v>8590</v>
      </c>
      <c r="V1148" t="s">
        <v>8590</v>
      </c>
      <c r="W1148">
        <v>10</v>
      </c>
      <c r="X1148" t="s">
        <v>9738</v>
      </c>
      <c r="Y1148">
        <v>0.41309521205729638</v>
      </c>
      <c r="Z1148" t="str">
        <f>HYPERLINK("Melting_Curves/meltCurve_sp_P48449_3_ERG7_HUMAN_.pdf", "Melting_Curves/meltCurve_sp_P48449_3_ERG7_HUMAN_.pdf")</f>
        <v>Melting_Curves/meltCurve_sp_P48449_3_ERG7_HUMAN_.pdf</v>
      </c>
      <c r="AA1148" t="s">
        <v>14014</v>
      </c>
      <c r="AB1148" t="s">
        <v>18233</v>
      </c>
    </row>
    <row r="1149" spans="1:28" x14ac:dyDescent="0.25">
      <c r="A1149" t="s">
        <v>1153</v>
      </c>
      <c r="B1149">
        <v>0.99876560204751996</v>
      </c>
      <c r="C1149">
        <v>0.97049239282468303</v>
      </c>
      <c r="D1149">
        <v>0.94426341551466597</v>
      </c>
      <c r="E1149">
        <v>0.78506899018393395</v>
      </c>
      <c r="F1149">
        <v>0.37636699426245901</v>
      </c>
      <c r="G1149">
        <v>0.17720179523704499</v>
      </c>
      <c r="H1149">
        <v>8.4492297981955899E-2</v>
      </c>
      <c r="I1149">
        <v>5.3399499032069198E-2</v>
      </c>
      <c r="J1149">
        <v>4.2972860034070401E-2</v>
      </c>
      <c r="K1149">
        <v>3.59884109304804E-2</v>
      </c>
      <c r="L1149">
        <v>1341.07608789352</v>
      </c>
      <c r="M1149">
        <v>25.781700329596799</v>
      </c>
      <c r="N1149">
        <v>52.232021322561003</v>
      </c>
      <c r="O1149">
        <v>51.706684993769102</v>
      </c>
      <c r="P1149">
        <v>-0.11836760501156</v>
      </c>
      <c r="Q1149">
        <v>5.0439430050775599E-2</v>
      </c>
      <c r="R1149">
        <v>0.99656416857637398</v>
      </c>
      <c r="S1149" t="s">
        <v>5445</v>
      </c>
      <c r="T1149" t="s">
        <v>8590</v>
      </c>
      <c r="U1149" t="s">
        <v>8590</v>
      </c>
      <c r="V1149" t="s">
        <v>8590</v>
      </c>
      <c r="W1149">
        <v>29</v>
      </c>
      <c r="X1149" t="s">
        <v>9739</v>
      </c>
      <c r="Y1149">
        <v>0.43895833579098342</v>
      </c>
      <c r="Z1149" t="str">
        <f>HYPERLINK("Melting_Curves/meltCurve_sp_P48506_GSH1_HUMAN_.pdf", "Melting_Curves/meltCurve_sp_P48506_GSH1_HUMAN_.pdf")</f>
        <v>Melting_Curves/meltCurve_sp_P48506_GSH1_HUMAN_.pdf</v>
      </c>
      <c r="AA1149" t="s">
        <v>14015</v>
      </c>
      <c r="AB1149" t="s">
        <v>18234</v>
      </c>
    </row>
    <row r="1150" spans="1:28" x14ac:dyDescent="0.25">
      <c r="A1150" t="s">
        <v>1154</v>
      </c>
      <c r="B1150">
        <v>0.99876560204751996</v>
      </c>
      <c r="C1150">
        <v>1.0103070449541001</v>
      </c>
      <c r="D1150">
        <v>1.00867889148664</v>
      </c>
      <c r="E1150">
        <v>0.92888060138761896</v>
      </c>
      <c r="F1150">
        <v>0.64440665459241098</v>
      </c>
      <c r="G1150">
        <v>0.32433743708162599</v>
      </c>
      <c r="H1150">
        <v>0.165107678535684</v>
      </c>
      <c r="I1150">
        <v>0.11235619915186</v>
      </c>
      <c r="J1150">
        <v>9.5802872109963494E-2</v>
      </c>
      <c r="K1150">
        <v>7.9162917979818795E-2</v>
      </c>
      <c r="L1150">
        <v>1287.92643628616</v>
      </c>
      <c r="M1150">
        <v>23.715450943247699</v>
      </c>
      <c r="N1150">
        <v>54.7548536391499</v>
      </c>
      <c r="O1150">
        <v>53.925759233121397</v>
      </c>
      <c r="P1150">
        <v>-0.100263294564665</v>
      </c>
      <c r="Q1150">
        <v>8.8073899315816204E-2</v>
      </c>
      <c r="R1150">
        <v>0.99805405776407896</v>
      </c>
      <c r="S1150" t="s">
        <v>5446</v>
      </c>
      <c r="T1150" t="s">
        <v>8590</v>
      </c>
      <c r="U1150" t="s">
        <v>8590</v>
      </c>
      <c r="V1150" t="s">
        <v>8590</v>
      </c>
      <c r="W1150">
        <v>11</v>
      </c>
      <c r="X1150" t="s">
        <v>9740</v>
      </c>
      <c r="Y1150">
        <v>0.53226061867419849</v>
      </c>
      <c r="Z1150" t="str">
        <f>HYPERLINK("Melting_Curves/meltCurve_sp_P48507_GSH0_HUMAN_.pdf", "Melting_Curves/meltCurve_sp_P48507_GSH0_HUMAN_.pdf")</f>
        <v>Melting_Curves/meltCurve_sp_P48507_GSH0_HUMAN_.pdf</v>
      </c>
      <c r="AA1150" t="s">
        <v>14016</v>
      </c>
      <c r="AB1150" t="s">
        <v>18235</v>
      </c>
    </row>
    <row r="1151" spans="1:28" x14ac:dyDescent="0.25">
      <c r="A1151" t="s">
        <v>1155</v>
      </c>
      <c r="B1151">
        <v>0.99876560204751996</v>
      </c>
      <c r="C1151">
        <v>1.19774874315198</v>
      </c>
      <c r="D1151">
        <v>0.95653308799391401</v>
      </c>
      <c r="E1151">
        <v>1.0606186941364799</v>
      </c>
      <c r="F1151">
        <v>0.42649641373872899</v>
      </c>
      <c r="G1151">
        <v>0.28188977617927602</v>
      </c>
      <c r="H1151">
        <v>0.14877435223827601</v>
      </c>
      <c r="I1151">
        <v>0.17719171245659901</v>
      </c>
      <c r="J1151">
        <v>0.110216452255663</v>
      </c>
      <c r="K1151">
        <v>3.7815690154267799E-2</v>
      </c>
      <c r="L1151">
        <v>13211.106837035801</v>
      </c>
      <c r="M1151">
        <v>250</v>
      </c>
      <c r="N1151">
        <v>52.920666660505098</v>
      </c>
      <c r="O1151">
        <v>52.841050270658002</v>
      </c>
      <c r="P1151">
        <v>-1.0039809200643699</v>
      </c>
      <c r="Q1151">
        <v>0.151177574747413</v>
      </c>
      <c r="R1151">
        <v>0.95924941951980303</v>
      </c>
      <c r="S1151" t="s">
        <v>5447</v>
      </c>
      <c r="T1151" t="s">
        <v>8590</v>
      </c>
      <c r="U1151" t="s">
        <v>8590</v>
      </c>
      <c r="V1151" t="s">
        <v>8590</v>
      </c>
      <c r="W1151">
        <v>3</v>
      </c>
      <c r="X1151" t="s">
        <v>9741</v>
      </c>
      <c r="Y1151">
        <v>0.51467756126758701</v>
      </c>
      <c r="Z1151" t="str">
        <f>HYPERLINK("Melting_Curves/meltCurve_sp_P48553_TPC10_HUMAN_.pdf", "Melting_Curves/meltCurve_sp_P48553_TPC10_HUMAN_.pdf")</f>
        <v>Melting_Curves/meltCurve_sp_P48553_TPC10_HUMAN_.pdf</v>
      </c>
      <c r="AA1151" t="s">
        <v>14017</v>
      </c>
      <c r="AB1151" t="s">
        <v>18236</v>
      </c>
    </row>
    <row r="1152" spans="1:28" x14ac:dyDescent="0.25">
      <c r="A1152" t="s">
        <v>1156</v>
      </c>
      <c r="B1152">
        <v>0.99876560204751996</v>
      </c>
      <c r="C1152">
        <v>0.937117650994304</v>
      </c>
      <c r="D1152">
        <v>1.0038096347726699</v>
      </c>
      <c r="E1152">
        <v>0.89691698657961105</v>
      </c>
      <c r="F1152">
        <v>0.88137306194435605</v>
      </c>
      <c r="G1152">
        <v>0.63645969089158405</v>
      </c>
      <c r="H1152">
        <v>0.58655044555665703</v>
      </c>
      <c r="I1152">
        <v>0.57457214441837101</v>
      </c>
      <c r="J1152">
        <v>0.70182903621346604</v>
      </c>
      <c r="K1152">
        <v>0.66751350468397597</v>
      </c>
      <c r="L1152">
        <v>1779.4278652722301</v>
      </c>
      <c r="M1152">
        <v>33.270298051508597</v>
      </c>
      <c r="O1152">
        <v>53.291873743233403</v>
      </c>
      <c r="P1152">
        <v>-5.8327399824019001E-2</v>
      </c>
      <c r="Q1152">
        <v>0.62628982191417104</v>
      </c>
      <c r="R1152">
        <v>0.91038750908076704</v>
      </c>
      <c r="S1152" t="s">
        <v>5448</v>
      </c>
      <c r="T1152" t="s">
        <v>8590</v>
      </c>
      <c r="U1152" t="s">
        <v>8590</v>
      </c>
      <c r="V1152" t="s">
        <v>8590</v>
      </c>
      <c r="W1152">
        <v>19</v>
      </c>
      <c r="X1152" t="s">
        <v>9742</v>
      </c>
      <c r="Y1152">
        <v>0.79625100681576677</v>
      </c>
      <c r="Z1152" t="str">
        <f>HYPERLINK("Melting_Curves/meltCurve_sp_P48634_PRC2A_HUMAN_.pdf", "Melting_Curves/meltCurve_sp_P48634_PRC2A_HUMAN_.pdf")</f>
        <v>Melting_Curves/meltCurve_sp_P48634_PRC2A_HUMAN_.pdf</v>
      </c>
      <c r="AA1152" t="s">
        <v>14018</v>
      </c>
      <c r="AB1152" t="s">
        <v>18237</v>
      </c>
    </row>
    <row r="1153" spans="1:28" x14ac:dyDescent="0.25">
      <c r="A1153" t="s">
        <v>1157</v>
      </c>
      <c r="B1153">
        <v>0.99876560204751996</v>
      </c>
      <c r="C1153">
        <v>0.982628981249557</v>
      </c>
      <c r="D1153">
        <v>0.90862668578476702</v>
      </c>
      <c r="E1153">
        <v>0.92989754979560801</v>
      </c>
      <c r="F1153">
        <v>0.86753817822144896</v>
      </c>
      <c r="G1153">
        <v>0.70926752495996503</v>
      </c>
      <c r="H1153">
        <v>0.39987585469709203</v>
      </c>
      <c r="I1153">
        <v>0.125452712848412</v>
      </c>
      <c r="J1153">
        <v>4.6377648554872503E-2</v>
      </c>
      <c r="K1153">
        <v>4.1117568570593503E-2</v>
      </c>
      <c r="L1153">
        <v>1221.9240508348901</v>
      </c>
      <c r="M1153">
        <v>20.639656962552401</v>
      </c>
      <c r="N1153">
        <v>59.202730607537198</v>
      </c>
      <c r="O1153">
        <v>58.655373158982599</v>
      </c>
      <c r="P1153">
        <v>-8.7972541878609395E-2</v>
      </c>
      <c r="Q1153">
        <v>0</v>
      </c>
      <c r="R1153">
        <v>0.98678793166720002</v>
      </c>
      <c r="S1153" t="s">
        <v>5449</v>
      </c>
      <c r="T1153" t="s">
        <v>8590</v>
      </c>
      <c r="U1153" t="s">
        <v>8590</v>
      </c>
      <c r="V1153" t="s">
        <v>8590</v>
      </c>
      <c r="W1153">
        <v>26</v>
      </c>
      <c r="X1153" t="s">
        <v>9743</v>
      </c>
      <c r="Y1153">
        <v>0.64967005026831381</v>
      </c>
      <c r="Z1153" t="str">
        <f>HYPERLINK("Melting_Curves/meltCurve_sp_P48637_GSHB_HUMAN_.pdf", "Melting_Curves/meltCurve_sp_P48637_GSHB_HUMAN_.pdf")</f>
        <v>Melting_Curves/meltCurve_sp_P48637_GSHB_HUMAN_.pdf</v>
      </c>
      <c r="AA1153" t="s">
        <v>14019</v>
      </c>
      <c r="AB1153" t="s">
        <v>18238</v>
      </c>
    </row>
    <row r="1154" spans="1:28" x14ac:dyDescent="0.25">
      <c r="A1154" t="s">
        <v>1158</v>
      </c>
      <c r="B1154">
        <v>0.99876560204751996</v>
      </c>
      <c r="C1154">
        <v>1.0788697934684099</v>
      </c>
      <c r="D1154">
        <v>1.11247069305437</v>
      </c>
      <c r="E1154">
        <v>1.0143901252535199</v>
      </c>
      <c r="F1154">
        <v>0.77325642502198599</v>
      </c>
      <c r="G1154">
        <v>0.27759964169000401</v>
      </c>
      <c r="H1154">
        <v>0.10049413207848901</v>
      </c>
      <c r="I1154">
        <v>7.37821278180988E-2</v>
      </c>
      <c r="J1154">
        <v>7.1790029896316998E-2</v>
      </c>
      <c r="K1154">
        <v>7.7164159086337697E-2</v>
      </c>
      <c r="L1154">
        <v>1927.2679782212199</v>
      </c>
      <c r="M1154">
        <v>35.133911761897998</v>
      </c>
      <c r="N1154">
        <v>55.104167549192098</v>
      </c>
      <c r="O1154">
        <v>54.678121646097402</v>
      </c>
      <c r="P1154">
        <v>-0.14883861816760299</v>
      </c>
      <c r="Q1154">
        <v>7.3466378228496804E-2</v>
      </c>
      <c r="R1154">
        <v>0.98935011704534104</v>
      </c>
      <c r="S1154" t="s">
        <v>5450</v>
      </c>
      <c r="T1154" t="s">
        <v>8590</v>
      </c>
      <c r="U1154" t="s">
        <v>8590</v>
      </c>
      <c r="V1154" t="s">
        <v>8590</v>
      </c>
      <c r="W1154">
        <v>23</v>
      </c>
      <c r="X1154" t="s">
        <v>9744</v>
      </c>
      <c r="Y1154">
        <v>0.53677725985148261</v>
      </c>
      <c r="Z1154" t="str">
        <f>HYPERLINK("Melting_Curves/meltCurve_sp_P48643_TCPE_HUMAN_.pdf", "Melting_Curves/meltCurve_sp_P48643_TCPE_HUMAN_.pdf")</f>
        <v>Melting_Curves/meltCurve_sp_P48643_TCPE_HUMAN_.pdf</v>
      </c>
      <c r="AA1154" t="s">
        <v>14020</v>
      </c>
      <c r="AB1154" t="s">
        <v>18239</v>
      </c>
    </row>
    <row r="1155" spans="1:28" x14ac:dyDescent="0.25">
      <c r="A1155" t="s">
        <v>1159</v>
      </c>
      <c r="B1155">
        <v>0.99876560204751996</v>
      </c>
      <c r="C1155">
        <v>0.91616045666476997</v>
      </c>
      <c r="D1155">
        <v>0.95534127939340296</v>
      </c>
      <c r="E1155">
        <v>0.68051970953021002</v>
      </c>
      <c r="F1155">
        <v>0.27710226001833099</v>
      </c>
      <c r="G1155">
        <v>0.102838811980023</v>
      </c>
      <c r="H1155">
        <v>5.6358896644663398E-2</v>
      </c>
      <c r="I1155">
        <v>3.84067497424357E-2</v>
      </c>
      <c r="J1155">
        <v>3.64964196425882E-2</v>
      </c>
      <c r="K1155">
        <v>3.1808807556078997E-2</v>
      </c>
      <c r="L1155">
        <v>1466.03089494491</v>
      </c>
      <c r="M1155">
        <v>28.683725160167299</v>
      </c>
      <c r="N1155">
        <v>51.256310660405703</v>
      </c>
      <c r="O1155">
        <v>50.863711044897897</v>
      </c>
      <c r="P1155">
        <v>-0.13545052291537099</v>
      </c>
      <c r="Q1155">
        <v>3.9251349220966E-2</v>
      </c>
      <c r="R1155">
        <v>0.99553606146693796</v>
      </c>
      <c r="S1155" t="s">
        <v>5451</v>
      </c>
      <c r="T1155" t="s">
        <v>8590</v>
      </c>
      <c r="U1155" t="s">
        <v>8590</v>
      </c>
      <c r="V1155" t="s">
        <v>8590</v>
      </c>
      <c r="W1155">
        <v>18</v>
      </c>
      <c r="X1155" t="s">
        <v>9745</v>
      </c>
      <c r="Y1155">
        <v>0.40167400307611179</v>
      </c>
      <c r="Z1155" t="str">
        <f>HYPERLINK("Melting_Curves/meltCurve_sp_P48728_GCST_HUMAN_.pdf", "Melting_Curves/meltCurve_sp_P48728_GCST_HUMAN_.pdf")</f>
        <v>Melting_Curves/meltCurve_sp_P48728_GCST_HUMAN_.pdf</v>
      </c>
      <c r="AA1155" t="s">
        <v>14021</v>
      </c>
      <c r="AB1155" t="s">
        <v>18240</v>
      </c>
    </row>
    <row r="1156" spans="1:28" x14ac:dyDescent="0.25">
      <c r="A1156" t="s">
        <v>1160</v>
      </c>
      <c r="B1156">
        <v>0.99876560204751996</v>
      </c>
      <c r="C1156">
        <v>0.60879508240079205</v>
      </c>
      <c r="D1156">
        <v>0.26879770609703602</v>
      </c>
      <c r="E1156">
        <v>0.15965253814283101</v>
      </c>
      <c r="F1156">
        <v>6.2673497879189605E-2</v>
      </c>
      <c r="G1156">
        <v>3.9800204534239998E-2</v>
      </c>
      <c r="H1156">
        <v>2.67429006827756E-2</v>
      </c>
      <c r="I1156">
        <v>2.1778399067762098E-2</v>
      </c>
      <c r="J1156">
        <v>1.8298240512855501E-2</v>
      </c>
      <c r="K1156">
        <v>1.35034562860817E-2</v>
      </c>
      <c r="L1156">
        <v>1071.3988496873501</v>
      </c>
      <c r="M1156">
        <v>24.420289568583101</v>
      </c>
      <c r="N1156">
        <v>44.013971246519503</v>
      </c>
      <c r="O1156">
        <v>43.582266837073902</v>
      </c>
      <c r="P1156">
        <v>-0.13482506410204101</v>
      </c>
      <c r="Q1156">
        <v>3.7538617324564399E-2</v>
      </c>
      <c r="R1156">
        <v>0.98416767812372996</v>
      </c>
      <c r="S1156" t="s">
        <v>5452</v>
      </c>
      <c r="T1156" t="s">
        <v>8590</v>
      </c>
      <c r="U1156" t="s">
        <v>8590</v>
      </c>
      <c r="V1156" t="s">
        <v>8590</v>
      </c>
      <c r="W1156">
        <v>35</v>
      </c>
      <c r="X1156" t="s">
        <v>9746</v>
      </c>
      <c r="Y1156">
        <v>0.17374602495874919</v>
      </c>
      <c r="Z1156" t="str">
        <f>HYPERLINK("Melting_Curves/meltCurve_sp_P48735_IDHP_HUMAN_.pdf", "Melting_Curves/meltCurve_sp_P48735_IDHP_HUMAN_.pdf")</f>
        <v>Melting_Curves/meltCurve_sp_P48735_IDHP_HUMAN_.pdf</v>
      </c>
      <c r="AA1156" t="s">
        <v>14022</v>
      </c>
      <c r="AB1156" t="s">
        <v>18241</v>
      </c>
    </row>
    <row r="1157" spans="1:28" x14ac:dyDescent="0.25">
      <c r="A1157" t="s">
        <v>1161</v>
      </c>
      <c r="B1157">
        <v>0.99876560204751996</v>
      </c>
      <c r="C1157">
        <v>0.89478325248212298</v>
      </c>
      <c r="D1157">
        <v>0.98209637156136298</v>
      </c>
      <c r="E1157">
        <v>0.88000970934094502</v>
      </c>
      <c r="F1157">
        <v>0.83057946639902103</v>
      </c>
      <c r="G1157">
        <v>0.54321328128463697</v>
      </c>
      <c r="H1157">
        <v>0.12796624324043099</v>
      </c>
      <c r="I1157">
        <v>7.2161634036399205E-2</v>
      </c>
      <c r="J1157">
        <v>5.0759050149032203E-2</v>
      </c>
      <c r="K1157">
        <v>3.91627660529714E-2</v>
      </c>
      <c r="L1157">
        <v>1246.03532856475</v>
      </c>
      <c r="M1157">
        <v>21.895265507907901</v>
      </c>
      <c r="N1157">
        <v>56.912869585132803</v>
      </c>
      <c r="O1157">
        <v>56.440549475134198</v>
      </c>
      <c r="P1157">
        <v>-9.6911822100711004E-2</v>
      </c>
      <c r="Q1157">
        <v>7.6422575301316202E-4</v>
      </c>
      <c r="R1157">
        <v>0.98538630006543804</v>
      </c>
      <c r="S1157" t="s">
        <v>5453</v>
      </c>
      <c r="T1157" t="s">
        <v>8590</v>
      </c>
      <c r="U1157" t="s">
        <v>8590</v>
      </c>
      <c r="V1157" t="s">
        <v>8590</v>
      </c>
      <c r="W1157">
        <v>23</v>
      </c>
      <c r="X1157" t="s">
        <v>9747</v>
      </c>
      <c r="Y1157">
        <v>0.5749149408491766</v>
      </c>
      <c r="Z1157" t="str">
        <f>HYPERLINK("Melting_Curves/meltCurve_sp_P48739_PIPNB_HUMAN_.pdf", "Melting_Curves/meltCurve_sp_P48739_PIPNB_HUMAN_.pdf")</f>
        <v>Melting_Curves/meltCurve_sp_P48739_PIPNB_HUMAN_.pdf</v>
      </c>
      <c r="AA1157" t="s">
        <v>14023</v>
      </c>
      <c r="AB1157" t="s">
        <v>18242</v>
      </c>
    </row>
    <row r="1158" spans="1:28" x14ac:dyDescent="0.25">
      <c r="A1158" t="s">
        <v>1162</v>
      </c>
      <c r="B1158">
        <v>0.99876560204751996</v>
      </c>
      <c r="C1158">
        <v>0.93053988912889496</v>
      </c>
      <c r="D1158">
        <v>0.99298099815719598</v>
      </c>
      <c r="E1158">
        <v>0.78013529500310397</v>
      </c>
      <c r="F1158">
        <v>0.50511467744980798</v>
      </c>
      <c r="G1158">
        <v>0.32518311751518197</v>
      </c>
      <c r="H1158">
        <v>0.215297450314341</v>
      </c>
      <c r="I1158">
        <v>0.15020968435024401</v>
      </c>
      <c r="J1158">
        <v>0.112054111580132</v>
      </c>
      <c r="K1158">
        <v>8.1632101455934497E-2</v>
      </c>
      <c r="L1158">
        <v>902.500689344904</v>
      </c>
      <c r="M1158">
        <v>17.010313481546198</v>
      </c>
      <c r="N1158">
        <v>53.717412307045898</v>
      </c>
      <c r="O1158">
        <v>52.339108353556099</v>
      </c>
      <c r="P1158">
        <v>-7.3579188369773896E-2</v>
      </c>
      <c r="Q1158">
        <v>9.4471450721756098E-2</v>
      </c>
      <c r="R1158">
        <v>0.99199642978482905</v>
      </c>
      <c r="S1158" t="s">
        <v>5454</v>
      </c>
      <c r="T1158" t="s">
        <v>8590</v>
      </c>
      <c r="U1158" t="s">
        <v>8590</v>
      </c>
      <c r="V1158" t="s">
        <v>8590</v>
      </c>
      <c r="W1158">
        <v>3</v>
      </c>
      <c r="X1158" t="s">
        <v>9748</v>
      </c>
      <c r="Y1158">
        <v>0.50474071541054233</v>
      </c>
      <c r="Z1158" t="str">
        <f>HYPERLINK("Melting_Curves/meltCurve_sp_P48775_T23O_HUMAN_.pdf", "Melting_Curves/meltCurve_sp_P48775_T23O_HUMAN_.pdf")</f>
        <v>Melting_Curves/meltCurve_sp_P48775_T23O_HUMAN_.pdf</v>
      </c>
      <c r="AA1158" t="s">
        <v>14024</v>
      </c>
      <c r="AB1158" t="s">
        <v>18243</v>
      </c>
    </row>
    <row r="1159" spans="1:28" x14ac:dyDescent="0.25">
      <c r="A1159" t="s">
        <v>1163</v>
      </c>
      <c r="B1159">
        <v>0.99876560204751996</v>
      </c>
      <c r="C1159">
        <v>1.00415868586581</v>
      </c>
      <c r="D1159">
        <v>0.95385397134457095</v>
      </c>
      <c r="E1159">
        <v>0.82020443890113104</v>
      </c>
      <c r="F1159">
        <v>0.87480896043071699</v>
      </c>
      <c r="G1159">
        <v>0.48541603735650601</v>
      </c>
      <c r="H1159">
        <v>0.31877201843233199</v>
      </c>
      <c r="I1159">
        <v>0.13988269117074401</v>
      </c>
      <c r="J1159">
        <v>0.15965241378495501</v>
      </c>
      <c r="K1159">
        <v>0.105176926235816</v>
      </c>
      <c r="L1159">
        <v>941.70376632166005</v>
      </c>
      <c r="M1159">
        <v>16.559896335476299</v>
      </c>
      <c r="N1159">
        <v>57.318914882238097</v>
      </c>
      <c r="O1159">
        <v>56.056678669047599</v>
      </c>
      <c r="P1159">
        <v>-6.9333933700760395E-2</v>
      </c>
      <c r="Q1159">
        <v>6.1259052375300001E-2</v>
      </c>
      <c r="R1159">
        <v>0.982609929499902</v>
      </c>
      <c r="S1159" t="s">
        <v>5455</v>
      </c>
      <c r="T1159" t="s">
        <v>8590</v>
      </c>
      <c r="U1159" t="s">
        <v>8590</v>
      </c>
      <c r="V1159" t="s">
        <v>8590</v>
      </c>
      <c r="W1159">
        <v>6</v>
      </c>
      <c r="X1159" t="s">
        <v>9749</v>
      </c>
      <c r="Y1159">
        <v>0.60310374816534884</v>
      </c>
      <c r="Z1159" t="str">
        <f>HYPERLINK("Melting_Curves/meltCurve_sp_P49005_DPOD2_HUMAN_.pdf", "Melting_Curves/meltCurve_sp_P49005_DPOD2_HUMAN_.pdf")</f>
        <v>Melting_Curves/meltCurve_sp_P49005_DPOD2_HUMAN_.pdf</v>
      </c>
      <c r="AA1159" t="s">
        <v>14025</v>
      </c>
      <c r="AB1159" t="s">
        <v>18244</v>
      </c>
    </row>
    <row r="1160" spans="1:28" x14ac:dyDescent="0.25">
      <c r="A1160" t="s">
        <v>1164</v>
      </c>
      <c r="B1160">
        <v>0.99876560204751996</v>
      </c>
      <c r="C1160">
        <v>0.943231587430442</v>
      </c>
      <c r="D1160">
        <v>1.06093760447543</v>
      </c>
      <c r="E1160">
        <v>1.05450553073662</v>
      </c>
      <c r="F1160">
        <v>1.00937131660477</v>
      </c>
      <c r="G1160">
        <v>0.83774188310497699</v>
      </c>
      <c r="H1160">
        <v>0.79771679987974398</v>
      </c>
      <c r="I1160">
        <v>0.73988947400425797</v>
      </c>
      <c r="J1160">
        <v>0.85399576332802796</v>
      </c>
      <c r="K1160">
        <v>0.85382479745254902</v>
      </c>
      <c r="L1160">
        <v>14146.466000087899</v>
      </c>
      <c r="M1160">
        <v>250</v>
      </c>
      <c r="O1160">
        <v>56.582242878219297</v>
      </c>
      <c r="P1160">
        <v>-0.208372895566137</v>
      </c>
      <c r="Q1160">
        <v>0.81135670763533196</v>
      </c>
      <c r="R1160">
        <v>0.83602429462468797</v>
      </c>
      <c r="S1160" t="s">
        <v>5456</v>
      </c>
      <c r="T1160" t="s">
        <v>8590</v>
      </c>
      <c r="U1160" t="s">
        <v>8590</v>
      </c>
      <c r="V1160" t="s">
        <v>8590</v>
      </c>
      <c r="W1160">
        <v>2</v>
      </c>
      <c r="X1160" t="s">
        <v>9750</v>
      </c>
      <c r="Y1160">
        <v>0.91566917435133355</v>
      </c>
      <c r="Z1160" t="str">
        <f>HYPERLINK("Melting_Curves/meltCurve_sp_P49006_MRP_HUMAN_.pdf", "Melting_Curves/meltCurve_sp_P49006_MRP_HUMAN_.pdf")</f>
        <v>Melting_Curves/meltCurve_sp_P49006_MRP_HUMAN_.pdf</v>
      </c>
      <c r="AA1160" t="s">
        <v>14026</v>
      </c>
      <c r="AB1160" t="s">
        <v>18245</v>
      </c>
    </row>
    <row r="1161" spans="1:28" x14ac:dyDescent="0.25">
      <c r="A1161" t="s">
        <v>1165</v>
      </c>
      <c r="B1161">
        <v>0.99876560204751996</v>
      </c>
      <c r="C1161">
        <v>0.96794636348568897</v>
      </c>
      <c r="D1161">
        <v>1.03925622710932</v>
      </c>
      <c r="E1161">
        <v>0.90504269129320003</v>
      </c>
      <c r="F1161">
        <v>0.86800397772250004</v>
      </c>
      <c r="G1161">
        <v>0.65955794658837297</v>
      </c>
      <c r="H1161">
        <v>0.55231440956879996</v>
      </c>
      <c r="I1161">
        <v>0.51510944333361997</v>
      </c>
      <c r="J1161">
        <v>0.62482287325347396</v>
      </c>
      <c r="K1161">
        <v>0.56776732315155998</v>
      </c>
      <c r="L1161">
        <v>1401.8857603997899</v>
      </c>
      <c r="M1161">
        <v>25.848210869019599</v>
      </c>
      <c r="O1161">
        <v>53.913816390089103</v>
      </c>
      <c r="P1161">
        <v>-5.2978705081423598E-2</v>
      </c>
      <c r="Q1161">
        <v>0.55799641449163995</v>
      </c>
      <c r="R1161">
        <v>0.963884118473323</v>
      </c>
      <c r="S1161" t="s">
        <v>5457</v>
      </c>
      <c r="T1161" t="s">
        <v>8590</v>
      </c>
      <c r="U1161" t="s">
        <v>8590</v>
      </c>
      <c r="V1161" t="s">
        <v>8590</v>
      </c>
      <c r="W1161">
        <v>12</v>
      </c>
      <c r="X1161" t="s">
        <v>9751</v>
      </c>
      <c r="Y1161">
        <v>0.7715829522747305</v>
      </c>
      <c r="Z1161" t="str">
        <f>HYPERLINK("Melting_Curves/meltCurve_sp_P49023_2_PAXI_HUMAN_.pdf", "Melting_Curves/meltCurve_sp_P49023_2_PAXI_HUMAN_.pdf")</f>
        <v>Melting_Curves/meltCurve_sp_P49023_2_PAXI_HUMAN_.pdf</v>
      </c>
      <c r="AA1161" t="s">
        <v>14027</v>
      </c>
      <c r="AB1161" t="s">
        <v>18246</v>
      </c>
    </row>
    <row r="1162" spans="1:28" x14ac:dyDescent="0.25">
      <c r="A1162" t="s">
        <v>1166</v>
      </c>
      <c r="B1162">
        <v>0.99876560204751996</v>
      </c>
      <c r="C1162">
        <v>1.02119198467245</v>
      </c>
      <c r="D1162">
        <v>0.90704686065927698</v>
      </c>
      <c r="E1162">
        <v>0.87771439147591102</v>
      </c>
      <c r="F1162">
        <v>0.497412538319497</v>
      </c>
      <c r="G1162">
        <v>0.17402162714296199</v>
      </c>
      <c r="H1162">
        <v>6.9764410550124903E-2</v>
      </c>
      <c r="I1162">
        <v>4.9710800610601902E-2</v>
      </c>
      <c r="J1162">
        <v>4.0681182878990203E-2</v>
      </c>
      <c r="K1162">
        <v>3.48538732921772E-2</v>
      </c>
      <c r="L1162">
        <v>1455.69144122954</v>
      </c>
      <c r="M1162">
        <v>27.477948801741299</v>
      </c>
      <c r="N1162">
        <v>53.140743906554903</v>
      </c>
      <c r="O1162">
        <v>52.698510016927202</v>
      </c>
      <c r="P1162">
        <v>-0.125055491286999</v>
      </c>
      <c r="Q1162">
        <v>4.0659514612422003E-2</v>
      </c>
      <c r="R1162">
        <v>0.99514082367429402</v>
      </c>
      <c r="S1162" t="s">
        <v>5458</v>
      </c>
      <c r="T1162" t="s">
        <v>8590</v>
      </c>
      <c r="U1162" t="s">
        <v>8590</v>
      </c>
      <c r="V1162" t="s">
        <v>8590</v>
      </c>
      <c r="W1162">
        <v>31</v>
      </c>
      <c r="X1162" t="s">
        <v>9752</v>
      </c>
      <c r="Y1162">
        <v>0.46300616537942468</v>
      </c>
      <c r="Z1162" t="str">
        <f>HYPERLINK("Melting_Curves/meltCurve_sp_P49189_AL9A1_HUMAN_.pdf", "Melting_Curves/meltCurve_sp_P49189_AL9A1_HUMAN_.pdf")</f>
        <v>Melting_Curves/meltCurve_sp_P49189_AL9A1_HUMAN_.pdf</v>
      </c>
      <c r="AA1162" t="s">
        <v>14028</v>
      </c>
      <c r="AB1162" t="s">
        <v>18247</v>
      </c>
    </row>
    <row r="1163" spans="1:28" x14ac:dyDescent="0.25">
      <c r="A1163" t="s">
        <v>1167</v>
      </c>
      <c r="B1163">
        <v>0.99876560204751996</v>
      </c>
      <c r="C1163">
        <v>1.0413059859558</v>
      </c>
      <c r="D1163">
        <v>0.98648492219824402</v>
      </c>
      <c r="E1163">
        <v>1.01948328011275</v>
      </c>
      <c r="F1163">
        <v>1.06801904882651</v>
      </c>
      <c r="G1163">
        <v>0.73167522173487598</v>
      </c>
      <c r="H1163">
        <v>0.62257357659914203</v>
      </c>
      <c r="I1163">
        <v>0.47585222230977597</v>
      </c>
      <c r="J1163">
        <v>0.39274453766870299</v>
      </c>
      <c r="K1163">
        <v>0.293567723853633</v>
      </c>
      <c r="L1163">
        <v>1128.20530508918</v>
      </c>
      <c r="M1163">
        <v>18.6715557824839</v>
      </c>
      <c r="N1163">
        <v>63.052894685223897</v>
      </c>
      <c r="O1163">
        <v>59.743439265934498</v>
      </c>
      <c r="P1163">
        <v>-5.7002546175080201E-2</v>
      </c>
      <c r="Q1163">
        <v>0.27046620699027801</v>
      </c>
      <c r="R1163">
        <v>0.96663078133102098</v>
      </c>
      <c r="S1163" t="s">
        <v>5459</v>
      </c>
      <c r="T1163" t="s">
        <v>8590</v>
      </c>
      <c r="U1163" t="s">
        <v>8590</v>
      </c>
      <c r="V1163" t="s">
        <v>8590</v>
      </c>
      <c r="W1163">
        <v>3</v>
      </c>
      <c r="X1163" t="s">
        <v>9753</v>
      </c>
      <c r="Y1163">
        <v>0.77243783549419476</v>
      </c>
      <c r="Z1163" t="str">
        <f>HYPERLINK("Melting_Curves/meltCurve_sp_P49247_RPIA_HUMAN_.pdf", "Melting_Curves/meltCurve_sp_P49247_RPIA_HUMAN_.pdf")</f>
        <v>Melting_Curves/meltCurve_sp_P49247_RPIA_HUMAN_.pdf</v>
      </c>
      <c r="AA1163" t="s">
        <v>14029</v>
      </c>
      <c r="AB1163" t="s">
        <v>18248</v>
      </c>
    </row>
    <row r="1164" spans="1:28" x14ac:dyDescent="0.25">
      <c r="A1164" t="s">
        <v>1168</v>
      </c>
      <c r="B1164">
        <v>0.99876560204751996</v>
      </c>
      <c r="C1164">
        <v>0.95412120820761703</v>
      </c>
      <c r="D1164">
        <v>0.99562484997869205</v>
      </c>
      <c r="E1164">
        <v>0.92071578848619196</v>
      </c>
      <c r="F1164">
        <v>0.86826779042659696</v>
      </c>
      <c r="G1164">
        <v>0.70550587845463597</v>
      </c>
      <c r="H1164">
        <v>0.611373779918015</v>
      </c>
      <c r="I1164">
        <v>0.63584264428276205</v>
      </c>
      <c r="J1164">
        <v>0.77676769530269496</v>
      </c>
      <c r="K1164">
        <v>0.80924969621979903</v>
      </c>
      <c r="L1164">
        <v>1714.37723585612</v>
      </c>
      <c r="M1164">
        <v>32.539294188990503</v>
      </c>
      <c r="O1164">
        <v>52.4885715048284</v>
      </c>
      <c r="P1164">
        <v>-4.5722270821744397E-2</v>
      </c>
      <c r="Q1164">
        <v>0.70498617919291695</v>
      </c>
      <c r="R1164">
        <v>0.810692819198367</v>
      </c>
      <c r="S1164" t="s">
        <v>5460</v>
      </c>
      <c r="T1164" t="s">
        <v>8590</v>
      </c>
      <c r="U1164" t="s">
        <v>8590</v>
      </c>
      <c r="V1164" t="s">
        <v>8590</v>
      </c>
      <c r="W1164">
        <v>16</v>
      </c>
      <c r="X1164" t="s">
        <v>9754</v>
      </c>
      <c r="Y1164">
        <v>0.83136327480214667</v>
      </c>
      <c r="Z1164" t="str">
        <f>HYPERLINK("Melting_Curves/meltCurve_sp_P49321_NASP_HUMAN_.pdf", "Melting_Curves/meltCurve_sp_P49321_NASP_HUMAN_.pdf")</f>
        <v>Melting_Curves/meltCurve_sp_P49321_NASP_HUMAN_.pdf</v>
      </c>
      <c r="AA1164" t="s">
        <v>14030</v>
      </c>
      <c r="AB1164" t="s">
        <v>18249</v>
      </c>
    </row>
    <row r="1165" spans="1:28" x14ac:dyDescent="0.25">
      <c r="A1165" t="s">
        <v>1169</v>
      </c>
      <c r="B1165">
        <v>0.99876560204751996</v>
      </c>
      <c r="C1165">
        <v>0.91388251894051098</v>
      </c>
      <c r="D1165">
        <v>0.51405371310186498</v>
      </c>
      <c r="E1165">
        <v>0.33491779695996399</v>
      </c>
      <c r="F1165">
        <v>0.174500224711301</v>
      </c>
      <c r="G1165">
        <v>0.101376329094045</v>
      </c>
      <c r="H1165">
        <v>6.2523275556196203E-2</v>
      </c>
      <c r="I1165">
        <v>5.7120327082021999E-2</v>
      </c>
      <c r="J1165">
        <v>6.7521326001883805E-2</v>
      </c>
      <c r="K1165">
        <v>4.5053965799446601E-2</v>
      </c>
      <c r="L1165">
        <v>848.23325424050495</v>
      </c>
      <c r="M1165">
        <v>18.131013702209898</v>
      </c>
      <c r="N1165">
        <v>47.114986432388299</v>
      </c>
      <c r="O1165">
        <v>46.2255621757187</v>
      </c>
      <c r="P1165">
        <v>-9.2190752596915906E-2</v>
      </c>
      <c r="Q1165">
        <v>5.9872439249024599E-2</v>
      </c>
      <c r="R1165">
        <v>0.98558816491270596</v>
      </c>
      <c r="S1165" t="s">
        <v>5461</v>
      </c>
      <c r="T1165" t="s">
        <v>8590</v>
      </c>
      <c r="U1165" t="s">
        <v>8590</v>
      </c>
      <c r="V1165" t="s">
        <v>8590</v>
      </c>
      <c r="W1165">
        <v>3</v>
      </c>
      <c r="X1165" t="s">
        <v>9755</v>
      </c>
      <c r="Y1165">
        <v>0.28971576847339719</v>
      </c>
      <c r="Z1165" t="str">
        <f>HYPERLINK("Melting_Curves/meltCurve_sp_P49326_FMO5_HUMAN_.pdf", "Melting_Curves/meltCurve_sp_P49326_FMO5_HUMAN_.pdf")</f>
        <v>Melting_Curves/meltCurve_sp_P49326_FMO5_HUMAN_.pdf</v>
      </c>
      <c r="AA1165" t="s">
        <v>14031</v>
      </c>
      <c r="AB1165" t="s">
        <v>18250</v>
      </c>
    </row>
    <row r="1166" spans="1:28" x14ac:dyDescent="0.25">
      <c r="A1166" t="s">
        <v>1170</v>
      </c>
      <c r="B1166">
        <v>0.99876560204751996</v>
      </c>
      <c r="C1166">
        <v>1.1153447040746201</v>
      </c>
      <c r="D1166">
        <v>1.01744388606625</v>
      </c>
      <c r="E1166">
        <v>0.74668435167961</v>
      </c>
      <c r="F1166">
        <v>0.18078412725408499</v>
      </c>
      <c r="G1166">
        <v>0.109043325888861</v>
      </c>
      <c r="H1166">
        <v>6.5890699837379801E-2</v>
      </c>
      <c r="I1166">
        <v>5.3357204650917603E-2</v>
      </c>
      <c r="J1166">
        <v>4.8222630178260097E-2</v>
      </c>
      <c r="K1166">
        <v>4.0669892667039499E-2</v>
      </c>
      <c r="L1166">
        <v>2562.6235142283499</v>
      </c>
      <c r="M1166">
        <v>50.257559484794697</v>
      </c>
      <c r="N1166">
        <v>51.1244267128179</v>
      </c>
      <c r="O1166">
        <v>50.909295863841301</v>
      </c>
      <c r="P1166">
        <v>-0.23150554718935001</v>
      </c>
      <c r="Q1166">
        <v>6.1970389579062299E-2</v>
      </c>
      <c r="R1166">
        <v>0.99173665613120898</v>
      </c>
      <c r="S1166" t="s">
        <v>5462</v>
      </c>
      <c r="T1166" t="s">
        <v>8590</v>
      </c>
      <c r="U1166" t="s">
        <v>8590</v>
      </c>
      <c r="V1166" t="s">
        <v>8590</v>
      </c>
      <c r="W1166">
        <v>112</v>
      </c>
      <c r="X1166" t="s">
        <v>9756</v>
      </c>
      <c r="Y1166">
        <v>0.40768408338824152</v>
      </c>
      <c r="Z1166" t="str">
        <f>HYPERLINK("Melting_Curves/meltCurve_sp_P49327_FAS_HUMAN_.pdf", "Melting_Curves/meltCurve_sp_P49327_FAS_HUMAN_.pdf")</f>
        <v>Melting_Curves/meltCurve_sp_P49327_FAS_HUMAN_.pdf</v>
      </c>
      <c r="AA1166" t="s">
        <v>14032</v>
      </c>
      <c r="AB1166" t="s">
        <v>18251</v>
      </c>
    </row>
    <row r="1167" spans="1:28" x14ac:dyDescent="0.25">
      <c r="A1167" t="s">
        <v>1171</v>
      </c>
      <c r="B1167">
        <v>0.99876560204751996</v>
      </c>
      <c r="C1167">
        <v>0.92182074905415001</v>
      </c>
      <c r="D1167">
        <v>0.84751931294670602</v>
      </c>
      <c r="E1167">
        <v>0.802632698790683</v>
      </c>
      <c r="F1167">
        <v>0.59228198387599995</v>
      </c>
      <c r="G1167">
        <v>0.281191196827902</v>
      </c>
      <c r="H1167">
        <v>0.13718403315877201</v>
      </c>
      <c r="I1167">
        <v>0.10617255474979199</v>
      </c>
      <c r="J1167">
        <v>8.8022760862157906E-2</v>
      </c>
      <c r="K1167">
        <v>7.2604562982714296E-2</v>
      </c>
      <c r="L1167">
        <v>815.40024758779998</v>
      </c>
      <c r="M1167">
        <v>15.1910304995323</v>
      </c>
      <c r="N1167">
        <v>53.890264849084303</v>
      </c>
      <c r="O1167">
        <v>52.772046739304102</v>
      </c>
      <c r="P1167">
        <v>-6.9867207917449395E-2</v>
      </c>
      <c r="Q1167">
        <v>2.9247980559580201E-2</v>
      </c>
      <c r="R1167">
        <v>0.98891986302584201</v>
      </c>
      <c r="S1167" t="s">
        <v>5463</v>
      </c>
      <c r="T1167" t="s">
        <v>8590</v>
      </c>
      <c r="U1167" t="s">
        <v>8590</v>
      </c>
      <c r="V1167" t="s">
        <v>8590</v>
      </c>
      <c r="W1167">
        <v>11</v>
      </c>
      <c r="X1167" t="s">
        <v>9757</v>
      </c>
      <c r="Y1167">
        <v>0.49171843212059058</v>
      </c>
      <c r="Z1167" t="str">
        <f>HYPERLINK("Melting_Curves/meltCurve_sp_P49354_FNTA_HUMAN_.pdf", "Melting_Curves/meltCurve_sp_P49354_FNTA_HUMAN_.pdf")</f>
        <v>Melting_Curves/meltCurve_sp_P49354_FNTA_HUMAN_.pdf</v>
      </c>
      <c r="AA1167" t="s">
        <v>14033</v>
      </c>
      <c r="AB1167" t="s">
        <v>18252</v>
      </c>
    </row>
    <row r="1168" spans="1:28" x14ac:dyDescent="0.25">
      <c r="A1168" t="s">
        <v>1172</v>
      </c>
      <c r="B1168">
        <v>0.99876560204751996</v>
      </c>
      <c r="C1168">
        <v>1.0058468295823799</v>
      </c>
      <c r="D1168">
        <v>0.93749316904865598</v>
      </c>
      <c r="E1168">
        <v>0.87990468767728802</v>
      </c>
      <c r="F1168">
        <v>0.79585517661279503</v>
      </c>
      <c r="G1168">
        <v>0.54308337503013104</v>
      </c>
      <c r="H1168">
        <v>0.31529252188775098</v>
      </c>
      <c r="I1168">
        <v>0.171009603073174</v>
      </c>
      <c r="J1168">
        <v>8.6712560253414298E-2</v>
      </c>
      <c r="K1168">
        <v>5.6854668195183401E-2</v>
      </c>
      <c r="L1168">
        <v>862.73541914000396</v>
      </c>
      <c r="M1168">
        <v>14.9907436890079</v>
      </c>
      <c r="N1168">
        <v>57.551208841343097</v>
      </c>
      <c r="O1168">
        <v>56.556200162523403</v>
      </c>
      <c r="P1168">
        <v>-6.6271521955272E-2</v>
      </c>
      <c r="Q1168">
        <v>0</v>
      </c>
      <c r="R1168">
        <v>0.99750366149710801</v>
      </c>
      <c r="S1168" t="s">
        <v>5464</v>
      </c>
      <c r="T1168" t="s">
        <v>8590</v>
      </c>
      <c r="U1168" t="s">
        <v>8590</v>
      </c>
      <c r="V1168" t="s">
        <v>8590</v>
      </c>
      <c r="W1168">
        <v>8</v>
      </c>
      <c r="X1168" t="s">
        <v>9758</v>
      </c>
      <c r="Y1168">
        <v>0.59961028176177567</v>
      </c>
      <c r="Z1168" t="str">
        <f>HYPERLINK("Melting_Curves/meltCurve_sp_P49366_DHYS_HUMAN_.pdf", "Melting_Curves/meltCurve_sp_P49366_DHYS_HUMAN_.pdf")</f>
        <v>Melting_Curves/meltCurve_sp_P49366_DHYS_HUMAN_.pdf</v>
      </c>
      <c r="AA1168" t="s">
        <v>14034</v>
      </c>
      <c r="AB1168" t="s">
        <v>18253</v>
      </c>
    </row>
    <row r="1169" spans="1:28" x14ac:dyDescent="0.25">
      <c r="A1169" t="s">
        <v>1173</v>
      </c>
      <c r="B1169">
        <v>0.99876560204751996</v>
      </c>
      <c r="C1169">
        <v>1.1128627015624</v>
      </c>
      <c r="D1169">
        <v>1.0577100504293599</v>
      </c>
      <c r="E1169">
        <v>1.03504369649985</v>
      </c>
      <c r="F1169">
        <v>0.78366171562627596</v>
      </c>
      <c r="G1169">
        <v>0.22182105473554301</v>
      </c>
      <c r="H1169">
        <v>7.6144670630775693E-2</v>
      </c>
      <c r="I1169">
        <v>5.6789982781955302E-2</v>
      </c>
      <c r="J1169">
        <v>4.5731526358675403E-2</v>
      </c>
      <c r="K1169">
        <v>4.3928563648371097E-2</v>
      </c>
      <c r="L1169">
        <v>2166.4700602610301</v>
      </c>
      <c r="M1169">
        <v>39.572454641488001</v>
      </c>
      <c r="N1169">
        <v>54.897612150141597</v>
      </c>
      <c r="O1169">
        <v>54.607673081572699</v>
      </c>
      <c r="P1169">
        <v>-0.17184347742390399</v>
      </c>
      <c r="Q1169">
        <v>5.1466256316973498E-2</v>
      </c>
      <c r="R1169">
        <v>0.99081615339957996</v>
      </c>
      <c r="S1169" t="s">
        <v>5465</v>
      </c>
      <c r="T1169" t="s">
        <v>8590</v>
      </c>
      <c r="U1169" t="s">
        <v>8590</v>
      </c>
      <c r="V1169" t="s">
        <v>8590</v>
      </c>
      <c r="W1169">
        <v>25</v>
      </c>
      <c r="X1169" t="s">
        <v>9759</v>
      </c>
      <c r="Y1169">
        <v>0.52138681028291678</v>
      </c>
      <c r="Z1169" t="str">
        <f>HYPERLINK("Melting_Curves/meltCurve_sp_P49368_TCPG_HUMAN_.pdf", "Melting_Curves/meltCurve_sp_P49368_TCPG_HUMAN_.pdf")</f>
        <v>Melting_Curves/meltCurve_sp_P49368_TCPG_HUMAN_.pdf</v>
      </c>
      <c r="AA1169" t="s">
        <v>14035</v>
      </c>
      <c r="AB1169" t="s">
        <v>18254</v>
      </c>
    </row>
    <row r="1170" spans="1:28" x14ac:dyDescent="0.25">
      <c r="A1170" t="s">
        <v>1174</v>
      </c>
      <c r="B1170">
        <v>0.99876560204751996</v>
      </c>
      <c r="C1170">
        <v>0.91400776770721803</v>
      </c>
      <c r="D1170">
        <v>0.96128812187792001</v>
      </c>
      <c r="E1170">
        <v>0.88230165965862295</v>
      </c>
      <c r="F1170">
        <v>0.75449652505779696</v>
      </c>
      <c r="G1170">
        <v>0.30761415163753503</v>
      </c>
      <c r="H1170">
        <v>0.13286164002936199</v>
      </c>
      <c r="I1170">
        <v>0.104684148044805</v>
      </c>
      <c r="J1170">
        <v>9.6534046507911003E-2</v>
      </c>
      <c r="K1170">
        <v>7.4014854904693006E-2</v>
      </c>
      <c r="L1170">
        <v>1390.06952046375</v>
      </c>
      <c r="M1170">
        <v>25.386999861646402</v>
      </c>
      <c r="N1170">
        <v>55.111589000182498</v>
      </c>
      <c r="O1170">
        <v>54.4188364114965</v>
      </c>
      <c r="P1170">
        <v>-0.107799731187849</v>
      </c>
      <c r="Q1170">
        <v>7.5706561594548097E-2</v>
      </c>
      <c r="R1170">
        <v>0.99231262219372496</v>
      </c>
      <c r="S1170" t="s">
        <v>5466</v>
      </c>
      <c r="T1170" t="s">
        <v>8590</v>
      </c>
      <c r="U1170" t="s">
        <v>8590</v>
      </c>
      <c r="V1170" t="s">
        <v>8590</v>
      </c>
      <c r="W1170">
        <v>8</v>
      </c>
      <c r="X1170" t="s">
        <v>9760</v>
      </c>
      <c r="Y1170">
        <v>0.5386367144273001</v>
      </c>
      <c r="Z1170" t="str">
        <f>HYPERLINK("Melting_Curves/meltCurve_sp_P49407_2_ARRB1_HUMAN_.pdf", "Melting_Curves/meltCurve_sp_P49407_2_ARRB1_HUMAN_.pdf")</f>
        <v>Melting_Curves/meltCurve_sp_P49407_2_ARRB1_HUMAN_.pdf</v>
      </c>
      <c r="AA1170" t="s">
        <v>14036</v>
      </c>
      <c r="AB1170" t="s">
        <v>18255</v>
      </c>
    </row>
    <row r="1171" spans="1:28" x14ac:dyDescent="0.25">
      <c r="A1171" t="s">
        <v>1175</v>
      </c>
      <c r="B1171">
        <v>0.99876560204751996</v>
      </c>
      <c r="C1171">
        <v>0.83195853067091297</v>
      </c>
      <c r="D1171">
        <v>0.57306194304355296</v>
      </c>
      <c r="E1171">
        <v>0.33771544133295101</v>
      </c>
      <c r="F1171">
        <v>0.18391487218271399</v>
      </c>
      <c r="G1171">
        <v>9.9108508994539504E-2</v>
      </c>
      <c r="H1171">
        <v>6.6856898276052804E-2</v>
      </c>
      <c r="I1171">
        <v>5.8293169966266503E-2</v>
      </c>
      <c r="J1171">
        <v>6.5105164159729806E-2</v>
      </c>
      <c r="K1171">
        <v>5.7770330992143598E-2</v>
      </c>
      <c r="L1171">
        <v>764.07850581658499</v>
      </c>
      <c r="M1171">
        <v>16.269711621485001</v>
      </c>
      <c r="N1171">
        <v>47.285840876713102</v>
      </c>
      <c r="O1171">
        <v>46.270960307786801</v>
      </c>
      <c r="P1171">
        <v>-8.3293266903194801E-2</v>
      </c>
      <c r="Q1171">
        <v>5.2527727422667897E-2</v>
      </c>
      <c r="R1171">
        <v>0.99580740668844303</v>
      </c>
      <c r="S1171" t="s">
        <v>5467</v>
      </c>
      <c r="T1171" t="s">
        <v>8590</v>
      </c>
      <c r="U1171" t="s">
        <v>8590</v>
      </c>
      <c r="V1171" t="s">
        <v>8590</v>
      </c>
      <c r="W1171">
        <v>21</v>
      </c>
      <c r="X1171" t="s">
        <v>9761</v>
      </c>
      <c r="Y1171">
        <v>0.29421200370704309</v>
      </c>
      <c r="Z1171" t="str">
        <f>HYPERLINK("Melting_Curves/meltCurve_sp_P49411_EFTU_HUMAN_.pdf", "Melting_Curves/meltCurve_sp_P49411_EFTU_HUMAN_.pdf")</f>
        <v>Melting_Curves/meltCurve_sp_P49411_EFTU_HUMAN_.pdf</v>
      </c>
      <c r="AA1171" t="s">
        <v>14037</v>
      </c>
      <c r="AB1171" t="s">
        <v>18256</v>
      </c>
    </row>
    <row r="1172" spans="1:28" x14ac:dyDescent="0.25">
      <c r="A1172" t="s">
        <v>1176</v>
      </c>
      <c r="B1172">
        <v>0.99876560204751996</v>
      </c>
      <c r="C1172">
        <v>1.06373953412226</v>
      </c>
      <c r="D1172">
        <v>1.0140593706383301</v>
      </c>
      <c r="E1172">
        <v>0.81865527065972699</v>
      </c>
      <c r="F1172">
        <v>0.29505038347663698</v>
      </c>
      <c r="G1172">
        <v>9.5039169239753502E-2</v>
      </c>
      <c r="H1172">
        <v>4.8734115529874597E-2</v>
      </c>
      <c r="I1172">
        <v>3.7769125641415602E-2</v>
      </c>
      <c r="J1172">
        <v>3.3864533249024199E-2</v>
      </c>
      <c r="K1172">
        <v>2.82737607800005E-2</v>
      </c>
      <c r="L1172">
        <v>2147.2548787083101</v>
      </c>
      <c r="M1172">
        <v>41.511300088042503</v>
      </c>
      <c r="N1172">
        <v>51.840335615525703</v>
      </c>
      <c r="O1172">
        <v>51.607386525036901</v>
      </c>
      <c r="P1172">
        <v>-0.192369128805051</v>
      </c>
      <c r="Q1172">
        <v>4.3378531787818801E-2</v>
      </c>
      <c r="R1172">
        <v>0.99700687524981102</v>
      </c>
      <c r="S1172" t="s">
        <v>5468</v>
      </c>
      <c r="T1172" t="s">
        <v>8590</v>
      </c>
      <c r="U1172" t="s">
        <v>8590</v>
      </c>
      <c r="V1172" t="s">
        <v>8590</v>
      </c>
      <c r="W1172">
        <v>39</v>
      </c>
      <c r="X1172" t="s">
        <v>9762</v>
      </c>
      <c r="Y1172">
        <v>0.42049513043131298</v>
      </c>
      <c r="Z1172" t="str">
        <f>HYPERLINK("Melting_Curves/meltCurve_sp_P49419_2_AL7A1_HUMAN_.pdf", "Melting_Curves/meltCurve_sp_P49419_2_AL7A1_HUMAN_.pdf")</f>
        <v>Melting_Curves/meltCurve_sp_P49419_2_AL7A1_HUMAN_.pdf</v>
      </c>
      <c r="AA1172" t="s">
        <v>14038</v>
      </c>
      <c r="AB1172" t="s">
        <v>18257</v>
      </c>
    </row>
    <row r="1173" spans="1:28" x14ac:dyDescent="0.25">
      <c r="A1173" t="s">
        <v>1177</v>
      </c>
      <c r="B1173">
        <v>0.99876560204751996</v>
      </c>
      <c r="C1173">
        <v>0.89837095857284499</v>
      </c>
      <c r="D1173">
        <v>0.87307510649826403</v>
      </c>
      <c r="E1173">
        <v>0.68194677376976298</v>
      </c>
      <c r="F1173">
        <v>0.36501507117341198</v>
      </c>
      <c r="G1173">
        <v>0.23057854518043899</v>
      </c>
      <c r="H1173">
        <v>0.14029514863061701</v>
      </c>
      <c r="I1173">
        <v>0.108024286090617</v>
      </c>
      <c r="J1173">
        <v>9.3667211291017904E-2</v>
      </c>
      <c r="K1173">
        <v>6.6376569743087102E-2</v>
      </c>
      <c r="L1173">
        <v>826.10068369921305</v>
      </c>
      <c r="M1173">
        <v>16.1007998622038</v>
      </c>
      <c r="N1173">
        <v>51.762821737703597</v>
      </c>
      <c r="O1173">
        <v>50.536145618091098</v>
      </c>
      <c r="P1173">
        <v>-7.4402468083639803E-2</v>
      </c>
      <c r="Q1173">
        <v>6.5952926607232801E-2</v>
      </c>
      <c r="R1173">
        <v>0.99240024852269504</v>
      </c>
      <c r="S1173" t="s">
        <v>5469</v>
      </c>
      <c r="T1173" t="s">
        <v>8590</v>
      </c>
      <c r="U1173" t="s">
        <v>8590</v>
      </c>
      <c r="V1173" t="s">
        <v>8590</v>
      </c>
      <c r="W1173">
        <v>3</v>
      </c>
      <c r="X1173" t="s">
        <v>9763</v>
      </c>
      <c r="Y1173">
        <v>0.43704284216291639</v>
      </c>
      <c r="Z1173" t="str">
        <f>HYPERLINK("Melting_Curves/meltCurve_sp_P49427_UB2R1_HUMAN_.pdf", "Melting_Curves/meltCurve_sp_P49427_UB2R1_HUMAN_.pdf")</f>
        <v>Melting_Curves/meltCurve_sp_P49427_UB2R1_HUMAN_.pdf</v>
      </c>
      <c r="AA1173" t="s">
        <v>14039</v>
      </c>
      <c r="AB1173" t="s">
        <v>18258</v>
      </c>
    </row>
    <row r="1174" spans="1:28" x14ac:dyDescent="0.25">
      <c r="A1174" t="s">
        <v>1178</v>
      </c>
      <c r="B1174">
        <v>0.99876560204751996</v>
      </c>
      <c r="C1174">
        <v>0.92897905658670898</v>
      </c>
      <c r="D1174">
        <v>1.00360072581744</v>
      </c>
      <c r="E1174">
        <v>0.716889896922143</v>
      </c>
      <c r="F1174">
        <v>0.29753004203394301</v>
      </c>
      <c r="G1174">
        <v>0.13299614976969401</v>
      </c>
      <c r="H1174">
        <v>7.2200219091528295E-2</v>
      </c>
      <c r="I1174">
        <v>4.6085875663260403E-2</v>
      </c>
      <c r="J1174">
        <v>4.3818588313246198E-2</v>
      </c>
      <c r="K1174">
        <v>3.72195906584546E-2</v>
      </c>
      <c r="L1174">
        <v>1605.1962197677699</v>
      </c>
      <c r="M1174">
        <v>31.2696931742774</v>
      </c>
      <c r="N1174">
        <v>51.5236427624125</v>
      </c>
      <c r="O1174">
        <v>51.1253758758915</v>
      </c>
      <c r="P1174">
        <v>-0.144592801229358</v>
      </c>
      <c r="Q1174">
        <v>5.4379352924525698E-2</v>
      </c>
      <c r="R1174">
        <v>0.99527386638134296</v>
      </c>
      <c r="S1174" t="s">
        <v>5470</v>
      </c>
      <c r="T1174" t="s">
        <v>8590</v>
      </c>
      <c r="U1174" t="s">
        <v>8590</v>
      </c>
      <c r="V1174" t="s">
        <v>8590</v>
      </c>
      <c r="W1174">
        <v>7</v>
      </c>
      <c r="X1174" t="s">
        <v>9764</v>
      </c>
      <c r="Y1174">
        <v>0.41713523191834623</v>
      </c>
      <c r="Z1174" t="str">
        <f>HYPERLINK("Melting_Curves/meltCurve_sp_P49441_INPP_HUMAN_.pdf", "Melting_Curves/meltCurve_sp_P49441_INPP_HUMAN_.pdf")</f>
        <v>Melting_Curves/meltCurve_sp_P49441_INPP_HUMAN_.pdf</v>
      </c>
      <c r="AA1174" t="s">
        <v>14040</v>
      </c>
      <c r="AB1174" t="s">
        <v>18259</v>
      </c>
    </row>
    <row r="1175" spans="1:28" x14ac:dyDescent="0.25">
      <c r="A1175" t="s">
        <v>1179</v>
      </c>
      <c r="B1175">
        <v>0.99876560204751996</v>
      </c>
      <c r="C1175">
        <v>1.0224359105585199</v>
      </c>
      <c r="D1175">
        <v>0.96719099369074202</v>
      </c>
      <c r="E1175">
        <v>0.79902542384778197</v>
      </c>
      <c r="F1175">
        <v>0.258832789540337</v>
      </c>
      <c r="G1175">
        <v>0.127569096627764</v>
      </c>
      <c r="H1175">
        <v>8.6497987511911706E-2</v>
      </c>
      <c r="I1175">
        <v>7.2450588789794906E-2</v>
      </c>
      <c r="J1175">
        <v>5.4346689427615197E-2</v>
      </c>
      <c r="K1175">
        <v>5.4961869853673101E-2</v>
      </c>
      <c r="L1175">
        <v>2286.7276534132702</v>
      </c>
      <c r="M1175">
        <v>44.488563780788503</v>
      </c>
      <c r="N1175">
        <v>51.590141128377901</v>
      </c>
      <c r="O1175">
        <v>51.296817286616601</v>
      </c>
      <c r="P1175">
        <v>-0.200452616930056</v>
      </c>
      <c r="Q1175">
        <v>7.54866952206137E-2</v>
      </c>
      <c r="R1175">
        <v>0.99770303659878401</v>
      </c>
      <c r="S1175" t="s">
        <v>5471</v>
      </c>
      <c r="T1175" t="s">
        <v>8590</v>
      </c>
      <c r="U1175" t="s">
        <v>8590</v>
      </c>
      <c r="V1175" t="s">
        <v>8590</v>
      </c>
      <c r="W1175">
        <v>32</v>
      </c>
      <c r="X1175" t="s">
        <v>9765</v>
      </c>
      <c r="Y1175">
        <v>0.42946362938975552</v>
      </c>
      <c r="Z1175" t="str">
        <f>HYPERLINK("Melting_Curves/meltCurve_sp_P49448_DHE4_HUMAN_.pdf", "Melting_Curves/meltCurve_sp_P49448_DHE4_HUMAN_.pdf")</f>
        <v>Melting_Curves/meltCurve_sp_P49448_DHE4_HUMAN_.pdf</v>
      </c>
      <c r="AA1175" t="s">
        <v>14041</v>
      </c>
      <c r="AB1175" t="s">
        <v>18260</v>
      </c>
    </row>
    <row r="1176" spans="1:28" x14ac:dyDescent="0.25">
      <c r="A1176" t="s">
        <v>1180</v>
      </c>
      <c r="B1176">
        <v>0.99876560204751996</v>
      </c>
      <c r="C1176">
        <v>0.99295485021875296</v>
      </c>
      <c r="D1176">
        <v>0.918857169978469</v>
      </c>
      <c r="E1176">
        <v>0.92104963030396603</v>
      </c>
      <c r="F1176">
        <v>0.78434133213071999</v>
      </c>
      <c r="G1176">
        <v>0.775192801744644</v>
      </c>
      <c r="H1176">
        <v>0.47468186019730502</v>
      </c>
      <c r="I1176">
        <v>0.321693798534816</v>
      </c>
      <c r="J1176">
        <v>0.30263028292701999</v>
      </c>
      <c r="K1176">
        <v>0.241594938955909</v>
      </c>
      <c r="L1176">
        <v>688.16070633730999</v>
      </c>
      <c r="M1176">
        <v>11.4290880455648</v>
      </c>
      <c r="N1176">
        <v>60.9461841882869</v>
      </c>
      <c r="O1176">
        <v>58.456430588810299</v>
      </c>
      <c r="P1176">
        <v>-4.5745894334252503E-2</v>
      </c>
      <c r="Q1176">
        <v>6.4365067055000794E-2</v>
      </c>
      <c r="R1176">
        <v>0.97648243519093103</v>
      </c>
      <c r="S1176" t="s">
        <v>5472</v>
      </c>
      <c r="T1176" t="s">
        <v>8590</v>
      </c>
      <c r="U1176" t="s">
        <v>8590</v>
      </c>
      <c r="V1176" t="s">
        <v>8590</v>
      </c>
      <c r="W1176">
        <v>6</v>
      </c>
      <c r="X1176" t="s">
        <v>9766</v>
      </c>
      <c r="Y1176">
        <v>0.69428278191191384</v>
      </c>
      <c r="Z1176" t="str">
        <f>HYPERLINK("Melting_Curves/meltCurve_sp_P49458_SRP09_HUMAN_.pdf", "Melting_Curves/meltCurve_sp_P49458_SRP09_HUMAN_.pdf")</f>
        <v>Melting_Curves/meltCurve_sp_P49458_SRP09_HUMAN_.pdf</v>
      </c>
      <c r="AA1176" t="s">
        <v>14042</v>
      </c>
      <c r="AB1176" t="s">
        <v>18261</v>
      </c>
    </row>
    <row r="1177" spans="1:28" x14ac:dyDescent="0.25">
      <c r="A1177" t="s">
        <v>1181</v>
      </c>
      <c r="B1177">
        <v>0.99876560204751996</v>
      </c>
      <c r="C1177">
        <v>0.95088553640038098</v>
      </c>
      <c r="D1177">
        <v>0.91445543231093696</v>
      </c>
      <c r="E1177">
        <v>0.91060879251409399</v>
      </c>
      <c r="F1177">
        <v>0.82307854506612299</v>
      </c>
      <c r="G1177">
        <v>0.59941331254691899</v>
      </c>
      <c r="H1177">
        <v>0.441901838003602</v>
      </c>
      <c r="I1177">
        <v>0.218834487109694</v>
      </c>
      <c r="J1177">
        <v>0.15352787166919801</v>
      </c>
      <c r="K1177">
        <v>0.11496392772146601</v>
      </c>
      <c r="L1177">
        <v>773.60286743138499</v>
      </c>
      <c r="M1177">
        <v>13.1308326373094</v>
      </c>
      <c r="N1177">
        <v>58.914989627530097</v>
      </c>
      <c r="O1177">
        <v>57.598800488111898</v>
      </c>
      <c r="P1177">
        <v>-5.70023305495179E-2</v>
      </c>
      <c r="Q1177">
        <v>0</v>
      </c>
      <c r="R1177">
        <v>0.99076886685132204</v>
      </c>
      <c r="S1177" t="s">
        <v>5473</v>
      </c>
      <c r="T1177" t="s">
        <v>8590</v>
      </c>
      <c r="U1177" t="s">
        <v>8590</v>
      </c>
      <c r="V1177" t="s">
        <v>8590</v>
      </c>
      <c r="W1177">
        <v>2</v>
      </c>
      <c r="X1177" t="s">
        <v>9767</v>
      </c>
      <c r="Y1177">
        <v>0.64019150307277572</v>
      </c>
      <c r="Z1177" t="str">
        <f>HYPERLINK("Melting_Curves/meltCurve_sp_P49459_UBE2A_HUMAN_.pdf", "Melting_Curves/meltCurve_sp_P49459_UBE2A_HUMAN_.pdf")</f>
        <v>Melting_Curves/meltCurve_sp_P49459_UBE2A_HUMAN_.pdf</v>
      </c>
      <c r="AA1177" t="s">
        <v>14043</v>
      </c>
      <c r="AB1177" t="s">
        <v>18262</v>
      </c>
    </row>
    <row r="1178" spans="1:28" x14ac:dyDescent="0.25">
      <c r="A1178" t="s">
        <v>1182</v>
      </c>
      <c r="B1178">
        <v>0.99876560204751996</v>
      </c>
      <c r="C1178">
        <v>0.92543778310639502</v>
      </c>
      <c r="D1178">
        <v>1.0321351712582201</v>
      </c>
      <c r="E1178">
        <v>0.88491298162896503</v>
      </c>
      <c r="F1178">
        <v>0.99633853047496501</v>
      </c>
      <c r="G1178">
        <v>0.74584683865373602</v>
      </c>
      <c r="H1178">
        <v>0.62786160259863999</v>
      </c>
      <c r="I1178">
        <v>0.46507310305965899</v>
      </c>
      <c r="J1178">
        <v>0.51407384053571503</v>
      </c>
      <c r="K1178">
        <v>0.32703455955820698</v>
      </c>
      <c r="L1178">
        <v>815.231214959314</v>
      </c>
      <c r="M1178">
        <v>13.4424400326753</v>
      </c>
      <c r="N1178">
        <v>64.311909157934807</v>
      </c>
      <c r="O1178">
        <v>59.351113520779599</v>
      </c>
      <c r="P1178">
        <v>-4.1475676327976801E-2</v>
      </c>
      <c r="Q1178">
        <v>0.26761930282408097</v>
      </c>
      <c r="R1178">
        <v>0.94271126766714597</v>
      </c>
      <c r="S1178" t="s">
        <v>5474</v>
      </c>
      <c r="T1178" t="s">
        <v>8590</v>
      </c>
      <c r="U1178" t="s">
        <v>8590</v>
      </c>
      <c r="V1178" t="s">
        <v>8590</v>
      </c>
      <c r="W1178">
        <v>7</v>
      </c>
      <c r="X1178" t="s">
        <v>9768</v>
      </c>
      <c r="Y1178">
        <v>0.77291746471445033</v>
      </c>
      <c r="Z1178" t="str">
        <f>HYPERLINK("Melting_Curves/meltCurve_sp_P49585_PCY1A_HUMAN_.pdf", "Melting_Curves/meltCurve_sp_P49585_PCY1A_HUMAN_.pdf")</f>
        <v>Melting_Curves/meltCurve_sp_P49585_PCY1A_HUMAN_.pdf</v>
      </c>
      <c r="AA1178" t="s">
        <v>14044</v>
      </c>
      <c r="AB1178" t="s">
        <v>18263</v>
      </c>
    </row>
    <row r="1179" spans="1:28" x14ac:dyDescent="0.25">
      <c r="A1179" t="s">
        <v>1183</v>
      </c>
      <c r="B1179">
        <v>0.99876560204751996</v>
      </c>
      <c r="C1179">
        <v>0.99695565258728602</v>
      </c>
      <c r="D1179">
        <v>0.89105983962871604</v>
      </c>
      <c r="E1179">
        <v>0.58735229626843899</v>
      </c>
      <c r="F1179">
        <v>0.23022969675620999</v>
      </c>
      <c r="G1179">
        <v>0.103259168125963</v>
      </c>
      <c r="H1179">
        <v>5.9565988055520602E-2</v>
      </c>
      <c r="I1179">
        <v>4.7035528559423702E-2</v>
      </c>
      <c r="J1179">
        <v>4.2675747577590503E-2</v>
      </c>
      <c r="K1179">
        <v>4.2043485679039601E-2</v>
      </c>
      <c r="L1179">
        <v>1265.3025293012199</v>
      </c>
      <c r="M1179">
        <v>25.127950433424999</v>
      </c>
      <c r="N1179">
        <v>50.535441020288999</v>
      </c>
      <c r="O1179">
        <v>50.038722689855597</v>
      </c>
      <c r="P1179">
        <v>-0.120139959742564</v>
      </c>
      <c r="Q1179">
        <v>4.30464164686769E-2</v>
      </c>
      <c r="R1179">
        <v>0.99862892590969099</v>
      </c>
      <c r="S1179" t="s">
        <v>5475</v>
      </c>
      <c r="T1179" t="s">
        <v>8590</v>
      </c>
      <c r="U1179" t="s">
        <v>8590</v>
      </c>
      <c r="V1179" t="s">
        <v>8590</v>
      </c>
      <c r="W1179">
        <v>33</v>
      </c>
      <c r="X1179" t="s">
        <v>9769</v>
      </c>
      <c r="Y1179">
        <v>0.38183298453623782</v>
      </c>
      <c r="Z1179" t="str">
        <f>HYPERLINK("Melting_Curves/meltCurve_sp_P49588_SYAC_HUMAN_.pdf", "Melting_Curves/meltCurve_sp_P49588_SYAC_HUMAN_.pdf")</f>
        <v>Melting_Curves/meltCurve_sp_P49588_SYAC_HUMAN_.pdf</v>
      </c>
      <c r="AA1179" t="s">
        <v>14045</v>
      </c>
      <c r="AB1179" t="s">
        <v>18264</v>
      </c>
    </row>
    <row r="1180" spans="1:28" x14ac:dyDescent="0.25">
      <c r="A1180" t="s">
        <v>1184</v>
      </c>
      <c r="B1180">
        <v>0.99876560204751996</v>
      </c>
      <c r="C1180">
        <v>1.05481935549234</v>
      </c>
      <c r="D1180">
        <v>0.95829124101220498</v>
      </c>
      <c r="E1180">
        <v>0.84985787973684201</v>
      </c>
      <c r="F1180">
        <v>0.27817202887415998</v>
      </c>
      <c r="G1180">
        <v>0.138149572443209</v>
      </c>
      <c r="H1180">
        <v>7.6561180337601495E-2</v>
      </c>
      <c r="I1180">
        <v>6.0693516087224599E-2</v>
      </c>
      <c r="J1180">
        <v>5.7177310502014203E-2</v>
      </c>
      <c r="K1180">
        <v>4.6765630972364101E-2</v>
      </c>
      <c r="L1180">
        <v>2466.9575646206899</v>
      </c>
      <c r="M1180">
        <v>47.749436952536598</v>
      </c>
      <c r="N1180">
        <v>51.834478472131103</v>
      </c>
      <c r="O1180">
        <v>51.574266502688602</v>
      </c>
      <c r="P1180">
        <v>-0.21469904418463001</v>
      </c>
      <c r="Q1180">
        <v>7.2413400729274005E-2</v>
      </c>
      <c r="R1180">
        <v>0.99518804485269297</v>
      </c>
      <c r="S1180" t="s">
        <v>5476</v>
      </c>
      <c r="T1180" t="s">
        <v>8590</v>
      </c>
      <c r="U1180" t="s">
        <v>8590</v>
      </c>
      <c r="V1180" t="s">
        <v>8590</v>
      </c>
      <c r="W1180">
        <v>26</v>
      </c>
      <c r="X1180" t="s">
        <v>9770</v>
      </c>
      <c r="Y1180">
        <v>0.43539784890794597</v>
      </c>
      <c r="Z1180" t="str">
        <f>HYPERLINK("Melting_Curves/meltCurve_sp_P49589_3_SYCC_HUMAN_.pdf", "Melting_Curves/meltCurve_sp_P49589_3_SYCC_HUMAN_.pdf")</f>
        <v>Melting_Curves/meltCurve_sp_P49589_3_SYCC_HUMAN_.pdf</v>
      </c>
      <c r="AA1180" t="s">
        <v>14046</v>
      </c>
      <c r="AB1180" t="s">
        <v>18265</v>
      </c>
    </row>
    <row r="1181" spans="1:28" x14ac:dyDescent="0.25">
      <c r="A1181" t="s">
        <v>1185</v>
      </c>
      <c r="B1181">
        <v>0.99876560204751996</v>
      </c>
      <c r="C1181">
        <v>1.1922660864702599</v>
      </c>
      <c r="D1181">
        <v>0.65568000433365103</v>
      </c>
      <c r="E1181">
        <v>0.39397993615499299</v>
      </c>
      <c r="F1181">
        <v>0.20760062682816499</v>
      </c>
      <c r="G1181">
        <v>0.14475252245938</v>
      </c>
      <c r="H1181">
        <v>8.2841953158193496E-2</v>
      </c>
      <c r="I1181">
        <v>7.1657247858037607E-2</v>
      </c>
      <c r="J1181">
        <v>6.89095340930721E-2</v>
      </c>
      <c r="K1181">
        <v>6.2246043768608698E-2</v>
      </c>
      <c r="L1181">
        <v>1103.57687298418</v>
      </c>
      <c r="M1181">
        <v>22.8811428520372</v>
      </c>
      <c r="N1181">
        <v>48.614720935134002</v>
      </c>
      <c r="O1181">
        <v>47.866980034257999</v>
      </c>
      <c r="P1181">
        <v>-0.109629269327223</v>
      </c>
      <c r="Q1181">
        <v>8.2646964008926696E-2</v>
      </c>
      <c r="R1181">
        <v>0.95195241308594303</v>
      </c>
      <c r="S1181" t="s">
        <v>5477</v>
      </c>
      <c r="T1181" t="s">
        <v>8590</v>
      </c>
      <c r="U1181" t="s">
        <v>8590</v>
      </c>
      <c r="V1181" t="s">
        <v>8590</v>
      </c>
      <c r="W1181">
        <v>12</v>
      </c>
      <c r="X1181" t="s">
        <v>9771</v>
      </c>
      <c r="Y1181">
        <v>0.3441060048845862</v>
      </c>
      <c r="Z1181" t="str">
        <f>HYPERLINK("Melting_Curves/meltCurve_sp_P49590_SYHM_HUMAN_.pdf", "Melting_Curves/meltCurve_sp_P49590_SYHM_HUMAN_.pdf")</f>
        <v>Melting_Curves/meltCurve_sp_P49590_SYHM_HUMAN_.pdf</v>
      </c>
      <c r="AA1181" t="s">
        <v>14047</v>
      </c>
      <c r="AB1181" t="s">
        <v>18266</v>
      </c>
    </row>
    <row r="1182" spans="1:28" x14ac:dyDescent="0.25">
      <c r="A1182" t="s">
        <v>1186</v>
      </c>
      <c r="B1182">
        <v>0.99876560204751996</v>
      </c>
      <c r="C1182">
        <v>0.93216089231322397</v>
      </c>
      <c r="D1182">
        <v>0.87862915502682004</v>
      </c>
      <c r="E1182">
        <v>0.74556438041538997</v>
      </c>
      <c r="F1182">
        <v>0.38285242306888101</v>
      </c>
      <c r="G1182">
        <v>0.122191135737672</v>
      </c>
      <c r="H1182">
        <v>6.1319821704818603E-2</v>
      </c>
      <c r="I1182">
        <v>3.9365750704267698E-2</v>
      </c>
      <c r="J1182">
        <v>3.7259003743546799E-2</v>
      </c>
      <c r="K1182">
        <v>2.9908711911296199E-2</v>
      </c>
      <c r="L1182">
        <v>1141.64765461875</v>
      </c>
      <c r="M1182">
        <v>22.0138148715181</v>
      </c>
      <c r="N1182">
        <v>51.971187508704901</v>
      </c>
      <c r="O1182">
        <v>51.438241991682503</v>
      </c>
      <c r="P1182">
        <v>-0.104543764530713</v>
      </c>
      <c r="Q1182">
        <v>2.2899382738718301E-2</v>
      </c>
      <c r="R1182">
        <v>0.99344644456549003</v>
      </c>
      <c r="S1182" t="s">
        <v>5478</v>
      </c>
      <c r="T1182" t="s">
        <v>8590</v>
      </c>
      <c r="U1182" t="s">
        <v>8590</v>
      </c>
      <c r="V1182" t="s">
        <v>8590</v>
      </c>
      <c r="W1182">
        <v>22</v>
      </c>
      <c r="X1182" t="s">
        <v>9772</v>
      </c>
      <c r="Y1182">
        <v>0.4205405387185166</v>
      </c>
      <c r="Z1182" t="str">
        <f>HYPERLINK("Melting_Curves/meltCurve_sp_P49591_SYSC_HUMAN_.pdf", "Melting_Curves/meltCurve_sp_P49591_SYSC_HUMAN_.pdf")</f>
        <v>Melting_Curves/meltCurve_sp_P49591_SYSC_HUMAN_.pdf</v>
      </c>
      <c r="AA1182" t="s">
        <v>14048</v>
      </c>
      <c r="AB1182" t="s">
        <v>18267</v>
      </c>
    </row>
    <row r="1183" spans="1:28" x14ac:dyDescent="0.25">
      <c r="A1183" t="s">
        <v>1187</v>
      </c>
      <c r="B1183">
        <v>0.99876560204751996</v>
      </c>
      <c r="C1183">
        <v>0.85790759349177104</v>
      </c>
      <c r="D1183">
        <v>0.94343390866780996</v>
      </c>
      <c r="E1183">
        <v>0.78029252989447495</v>
      </c>
      <c r="F1183">
        <v>0.68786163338765405</v>
      </c>
      <c r="G1183">
        <v>0.34787704773386102</v>
      </c>
      <c r="H1183">
        <v>9.0805589255122499E-2</v>
      </c>
      <c r="I1183">
        <v>5.3987236280636799E-2</v>
      </c>
      <c r="J1183">
        <v>4.8181964110004902E-2</v>
      </c>
      <c r="K1183">
        <v>4.0907155571445503E-2</v>
      </c>
      <c r="L1183">
        <v>928.41231315639698</v>
      </c>
      <c r="M1183">
        <v>16.984228572992201</v>
      </c>
      <c r="N1183">
        <v>54.663201765638902</v>
      </c>
      <c r="O1183">
        <v>53.922276314281397</v>
      </c>
      <c r="P1183">
        <v>-7.8748910562142199E-2</v>
      </c>
      <c r="Q1183">
        <v>0</v>
      </c>
      <c r="R1183">
        <v>0.981285689270888</v>
      </c>
      <c r="S1183" t="s">
        <v>5479</v>
      </c>
      <c r="T1183" t="s">
        <v>8590</v>
      </c>
      <c r="U1183" t="s">
        <v>8590</v>
      </c>
      <c r="V1183" t="s">
        <v>8590</v>
      </c>
      <c r="W1183">
        <v>11</v>
      </c>
      <c r="X1183" t="s">
        <v>9773</v>
      </c>
      <c r="Y1183">
        <v>0.50572620496096166</v>
      </c>
      <c r="Z1183" t="str">
        <f>HYPERLINK("Melting_Curves/meltCurve_sp_P49638_TTPA_HUMAN_.pdf", "Melting_Curves/meltCurve_sp_P49638_TTPA_HUMAN_.pdf")</f>
        <v>Melting_Curves/meltCurve_sp_P49638_TTPA_HUMAN_.pdf</v>
      </c>
      <c r="AA1183" t="s">
        <v>14049</v>
      </c>
      <c r="AB1183" t="s">
        <v>18268</v>
      </c>
    </row>
    <row r="1184" spans="1:28" x14ac:dyDescent="0.25">
      <c r="A1184" t="s">
        <v>1188</v>
      </c>
      <c r="B1184">
        <v>0.99876560204751996</v>
      </c>
      <c r="C1184">
        <v>0.985325535750179</v>
      </c>
      <c r="D1184">
        <v>1.02766392321191</v>
      </c>
      <c r="E1184">
        <v>0.87565183141130998</v>
      </c>
      <c r="F1184">
        <v>0.76949935012836101</v>
      </c>
      <c r="G1184">
        <v>0.27584834435823502</v>
      </c>
      <c r="H1184">
        <v>0.18908279679502199</v>
      </c>
      <c r="I1184">
        <v>0.159474087143229</v>
      </c>
      <c r="J1184">
        <v>0.156485518753193</v>
      </c>
      <c r="K1184">
        <v>0.14542548458495799</v>
      </c>
      <c r="L1184">
        <v>1729.9075619006501</v>
      </c>
      <c r="M1184">
        <v>31.857060225245</v>
      </c>
      <c r="N1184">
        <v>54.916530164991201</v>
      </c>
      <c r="O1184">
        <v>54.089543856852302</v>
      </c>
      <c r="P1184">
        <v>-0.12517127377871601</v>
      </c>
      <c r="Q1184">
        <v>0.14989995279323801</v>
      </c>
      <c r="R1184">
        <v>0.99392754987773202</v>
      </c>
      <c r="S1184" t="s">
        <v>5480</v>
      </c>
      <c r="T1184" t="s">
        <v>8590</v>
      </c>
      <c r="U1184" t="s">
        <v>8590</v>
      </c>
      <c r="V1184" t="s">
        <v>8590</v>
      </c>
      <c r="W1184">
        <v>4</v>
      </c>
      <c r="X1184" t="s">
        <v>9774</v>
      </c>
      <c r="Y1184">
        <v>0.56016512123940143</v>
      </c>
      <c r="Z1184" t="str">
        <f>HYPERLINK("Melting_Curves/meltCurve_sp_P49662_2_CASP4_HUMAN_.pdf", "Melting_Curves/meltCurve_sp_P49662_2_CASP4_HUMAN_.pdf")</f>
        <v>Melting_Curves/meltCurve_sp_P49662_2_CASP4_HUMAN_.pdf</v>
      </c>
      <c r="AA1184" t="s">
        <v>14050</v>
      </c>
      <c r="AB1184" t="s">
        <v>18269</v>
      </c>
    </row>
    <row r="1185" spans="1:28" x14ac:dyDescent="0.25">
      <c r="A1185" t="s">
        <v>1189</v>
      </c>
      <c r="B1185">
        <v>0.99876560204751996</v>
      </c>
      <c r="C1185">
        <v>0.96384719222146098</v>
      </c>
      <c r="D1185">
        <v>0.88844879487271899</v>
      </c>
      <c r="E1185">
        <v>0.66975355533956604</v>
      </c>
      <c r="F1185">
        <v>0.60484996696936899</v>
      </c>
      <c r="G1185">
        <v>0.42590993670269001</v>
      </c>
      <c r="H1185">
        <v>0.394884816289722</v>
      </c>
      <c r="I1185">
        <v>0.41013140615210403</v>
      </c>
      <c r="J1185">
        <v>0.37753898271925801</v>
      </c>
      <c r="K1185">
        <v>0.35320207484621602</v>
      </c>
      <c r="L1185">
        <v>776.57582442281296</v>
      </c>
      <c r="M1185">
        <v>15.4082789713603</v>
      </c>
      <c r="N1185">
        <v>54.946937808713997</v>
      </c>
      <c r="O1185">
        <v>49.573861253110202</v>
      </c>
      <c r="P1185">
        <v>-4.9711820690313699E-2</v>
      </c>
      <c r="Q1185">
        <v>0.36029641627530701</v>
      </c>
      <c r="R1185">
        <v>0.99264843522133195</v>
      </c>
      <c r="S1185" t="s">
        <v>5481</v>
      </c>
      <c r="T1185" t="s">
        <v>8590</v>
      </c>
      <c r="U1185" t="s">
        <v>8590</v>
      </c>
      <c r="V1185" t="s">
        <v>8590</v>
      </c>
      <c r="W1185">
        <v>1</v>
      </c>
      <c r="X1185" t="s">
        <v>9775</v>
      </c>
      <c r="Y1185">
        <v>0.5964337329333963</v>
      </c>
      <c r="Z1185" t="str">
        <f>HYPERLINK("Melting_Curves/meltCurve_sp_P49711_CTCF_HUMAN_.pdf", "Melting_Curves/meltCurve_sp_P49711_CTCF_HUMAN_.pdf")</f>
        <v>Melting_Curves/meltCurve_sp_P49711_CTCF_HUMAN_.pdf</v>
      </c>
      <c r="AA1185" t="s">
        <v>14051</v>
      </c>
      <c r="AB1185" t="s">
        <v>18270</v>
      </c>
    </row>
    <row r="1186" spans="1:28" x14ac:dyDescent="0.25">
      <c r="A1186" t="s">
        <v>1190</v>
      </c>
      <c r="B1186">
        <v>0.99876560204751996</v>
      </c>
      <c r="C1186">
        <v>1.04367731744479</v>
      </c>
      <c r="D1186">
        <v>1.0019993321132701</v>
      </c>
      <c r="E1186">
        <v>1.03407275975348</v>
      </c>
      <c r="F1186">
        <v>0.89693846817587197</v>
      </c>
      <c r="G1186">
        <v>0.89086968607896899</v>
      </c>
      <c r="H1186">
        <v>0.69736399194977305</v>
      </c>
      <c r="I1186">
        <v>0.65228542566032099</v>
      </c>
      <c r="J1186">
        <v>0.79856557758050695</v>
      </c>
      <c r="K1186">
        <v>0.57429201755886805</v>
      </c>
      <c r="L1186">
        <v>1198.0621031751</v>
      </c>
      <c r="M1186">
        <v>20.739842440274199</v>
      </c>
      <c r="O1186">
        <v>57.237207041712097</v>
      </c>
      <c r="P1186">
        <v>-3.2027108972534399E-2</v>
      </c>
      <c r="Q1186">
        <v>0.64646007941160399</v>
      </c>
      <c r="R1186">
        <v>0.86145257907968298</v>
      </c>
      <c r="S1186" t="s">
        <v>5482</v>
      </c>
      <c r="T1186" t="s">
        <v>8590</v>
      </c>
      <c r="U1186" t="s">
        <v>8590</v>
      </c>
      <c r="V1186" t="s">
        <v>8590</v>
      </c>
      <c r="W1186">
        <v>9</v>
      </c>
      <c r="X1186" t="s">
        <v>9776</v>
      </c>
      <c r="Y1186">
        <v>0.85976599695947376</v>
      </c>
      <c r="Z1186" t="str">
        <f>HYPERLINK("Melting_Curves/meltCurve_sp_P49720_PSB3_HUMAN_.pdf", "Melting_Curves/meltCurve_sp_P49720_PSB3_HUMAN_.pdf")</f>
        <v>Melting_Curves/meltCurve_sp_P49720_PSB3_HUMAN_.pdf</v>
      </c>
      <c r="AA1186" t="s">
        <v>14052</v>
      </c>
      <c r="AB1186" t="s">
        <v>18271</v>
      </c>
    </row>
    <row r="1187" spans="1:28" x14ac:dyDescent="0.25">
      <c r="A1187" t="s">
        <v>1191</v>
      </c>
      <c r="B1187">
        <v>0.99876560204751996</v>
      </c>
      <c r="C1187">
        <v>1.0203329841603299</v>
      </c>
      <c r="D1187">
        <v>0.95434707685203701</v>
      </c>
      <c r="E1187">
        <v>0.95225521773340205</v>
      </c>
      <c r="F1187">
        <v>0.91967821322776999</v>
      </c>
      <c r="G1187">
        <v>0.89065821417005397</v>
      </c>
      <c r="H1187">
        <v>0.74130238888837996</v>
      </c>
      <c r="I1187">
        <v>0.66810982054647605</v>
      </c>
      <c r="J1187">
        <v>0.82037478348777004</v>
      </c>
      <c r="K1187">
        <v>0.566158305623643</v>
      </c>
      <c r="L1187">
        <v>475.76383795718999</v>
      </c>
      <c r="M1187">
        <v>7.0367756017693699</v>
      </c>
      <c r="O1187">
        <v>62.7867603190873</v>
      </c>
      <c r="P1187">
        <v>-1.86451461393464E-2</v>
      </c>
      <c r="Q1187">
        <v>0.33575082175540999</v>
      </c>
      <c r="R1187">
        <v>0.83938135948966897</v>
      </c>
      <c r="S1187" t="s">
        <v>5483</v>
      </c>
      <c r="T1187" t="s">
        <v>8590</v>
      </c>
      <c r="U1187" t="s">
        <v>8590</v>
      </c>
      <c r="V1187" t="s">
        <v>8590</v>
      </c>
      <c r="W1187">
        <v>16</v>
      </c>
      <c r="X1187" t="s">
        <v>9777</v>
      </c>
      <c r="Y1187">
        <v>0.8597494375756205</v>
      </c>
      <c r="Z1187" t="str">
        <f>HYPERLINK("Melting_Curves/meltCurve_sp_P49721_PSB2_HUMAN_.pdf", "Melting_Curves/meltCurve_sp_P49721_PSB2_HUMAN_.pdf")</f>
        <v>Melting_Curves/meltCurve_sp_P49721_PSB2_HUMAN_.pdf</v>
      </c>
      <c r="AA1187" t="s">
        <v>14053</v>
      </c>
      <c r="AB1187" t="s">
        <v>18272</v>
      </c>
    </row>
    <row r="1188" spans="1:28" x14ac:dyDescent="0.25">
      <c r="A1188" t="s">
        <v>1192</v>
      </c>
      <c r="B1188">
        <v>0.99876560204751996</v>
      </c>
      <c r="C1188">
        <v>1.0529419304504299</v>
      </c>
      <c r="D1188">
        <v>0.92532700402953605</v>
      </c>
      <c r="E1188">
        <v>0.51153057893620202</v>
      </c>
      <c r="F1188">
        <v>0.25501223454962901</v>
      </c>
      <c r="G1188">
        <v>0.14929551952018399</v>
      </c>
      <c r="H1188">
        <v>9.6528811247786103E-2</v>
      </c>
      <c r="I1188">
        <v>9.6249482677717796E-2</v>
      </c>
      <c r="J1188">
        <v>9.7531810948747202E-2</v>
      </c>
      <c r="K1188">
        <v>7.6294007424590804E-2</v>
      </c>
      <c r="L1188">
        <v>1372.9542317845501</v>
      </c>
      <c r="M1188">
        <v>27.554114730030999</v>
      </c>
      <c r="N1188">
        <v>50.218948335349999</v>
      </c>
      <c r="O1188">
        <v>49.567334785411902</v>
      </c>
      <c r="P1188">
        <v>-0.12554622429316201</v>
      </c>
      <c r="Q1188">
        <v>9.6623725870327401E-2</v>
      </c>
      <c r="R1188">
        <v>0.99634872750236203</v>
      </c>
      <c r="S1188" t="s">
        <v>5484</v>
      </c>
      <c r="T1188" t="s">
        <v>8590</v>
      </c>
      <c r="U1188" t="s">
        <v>8590</v>
      </c>
      <c r="V1188" t="s">
        <v>8590</v>
      </c>
      <c r="W1188">
        <v>17</v>
      </c>
      <c r="X1188" t="s">
        <v>9778</v>
      </c>
      <c r="Y1188">
        <v>0.39917688321488382</v>
      </c>
      <c r="Z1188" t="str">
        <f>HYPERLINK("Melting_Curves/meltCurve_sp_P49736_MCM2_HUMAN_.pdf", "Melting_Curves/meltCurve_sp_P49736_MCM2_HUMAN_.pdf")</f>
        <v>Melting_Curves/meltCurve_sp_P49736_MCM2_HUMAN_.pdf</v>
      </c>
      <c r="AA1188" t="s">
        <v>14054</v>
      </c>
      <c r="AB1188" t="s">
        <v>18273</v>
      </c>
    </row>
    <row r="1189" spans="1:28" x14ac:dyDescent="0.25">
      <c r="A1189" t="s">
        <v>1193</v>
      </c>
      <c r="B1189">
        <v>0.99876560204751996</v>
      </c>
      <c r="C1189">
        <v>1.07478883611001</v>
      </c>
      <c r="D1189">
        <v>0.99391851770484296</v>
      </c>
      <c r="E1189">
        <v>1.0090698292232101</v>
      </c>
      <c r="F1189">
        <v>0.86820891491656704</v>
      </c>
      <c r="G1189">
        <v>0.56830127054142698</v>
      </c>
      <c r="H1189">
        <v>0.29905301358066</v>
      </c>
      <c r="I1189">
        <v>0.168168108134399</v>
      </c>
      <c r="J1189">
        <v>0.106629461905639</v>
      </c>
      <c r="K1189">
        <v>7.4912900679170905E-2</v>
      </c>
      <c r="L1189">
        <v>1226.8588974653601</v>
      </c>
      <c r="M1189">
        <v>21.293621853278101</v>
      </c>
      <c r="N1189">
        <v>57.982657366745102</v>
      </c>
      <c r="O1189">
        <v>57.1153335040459</v>
      </c>
      <c r="P1189">
        <v>-8.7339657660659695E-2</v>
      </c>
      <c r="Q1189">
        <v>6.2948243019335298E-2</v>
      </c>
      <c r="R1189">
        <v>0.99470441876876803</v>
      </c>
      <c r="S1189" t="s">
        <v>5485</v>
      </c>
      <c r="T1189" t="s">
        <v>8590</v>
      </c>
      <c r="U1189" t="s">
        <v>8590</v>
      </c>
      <c r="V1189" t="s">
        <v>8590</v>
      </c>
      <c r="W1189">
        <v>36</v>
      </c>
      <c r="X1189" t="s">
        <v>9779</v>
      </c>
      <c r="Y1189">
        <v>0.62343034104151718</v>
      </c>
      <c r="Z1189" t="str">
        <f>HYPERLINK("Melting_Curves/meltCurve_sp_P49748_ACADV_HUMAN_.pdf", "Melting_Curves/meltCurve_sp_P49748_ACADV_HUMAN_.pdf")</f>
        <v>Melting_Curves/meltCurve_sp_P49748_ACADV_HUMAN_.pdf</v>
      </c>
      <c r="AA1189" t="s">
        <v>14055</v>
      </c>
      <c r="AB1189" t="s">
        <v>18274</v>
      </c>
    </row>
    <row r="1190" spans="1:28" x14ac:dyDescent="0.25">
      <c r="A1190" t="s">
        <v>1194</v>
      </c>
      <c r="B1190">
        <v>0.99876560204751996</v>
      </c>
      <c r="C1190">
        <v>0.94427367848077703</v>
      </c>
      <c r="D1190">
        <v>1.01551345342573</v>
      </c>
      <c r="E1190">
        <v>0.88433581235673497</v>
      </c>
      <c r="F1190">
        <v>0.81635110819182699</v>
      </c>
      <c r="G1190">
        <v>0.57764269701180104</v>
      </c>
      <c r="H1190">
        <v>0.47400003211568398</v>
      </c>
      <c r="I1190">
        <v>0.47858473774964799</v>
      </c>
      <c r="J1190">
        <v>0.59642382810951799</v>
      </c>
      <c r="K1190">
        <v>0.56093308207503101</v>
      </c>
      <c r="L1190">
        <v>1496.0096751188601</v>
      </c>
      <c r="M1190">
        <v>28.071365096081699</v>
      </c>
      <c r="O1190">
        <v>53.024836931576097</v>
      </c>
      <c r="P1190">
        <v>-6.3126883536223602E-2</v>
      </c>
      <c r="Q1190">
        <v>0.52303511483885601</v>
      </c>
      <c r="R1190">
        <v>0.95256707024855403</v>
      </c>
      <c r="S1190" t="s">
        <v>5486</v>
      </c>
      <c r="T1190" t="s">
        <v>8590</v>
      </c>
      <c r="U1190" t="s">
        <v>8590</v>
      </c>
      <c r="V1190" t="s">
        <v>8590</v>
      </c>
      <c r="W1190">
        <v>22</v>
      </c>
      <c r="X1190" t="s">
        <v>9780</v>
      </c>
      <c r="Y1190">
        <v>0.73791204872681715</v>
      </c>
      <c r="Z1190" t="str">
        <f>HYPERLINK("Melting_Curves/meltCurve_sp_P49750_4_YLPM1_HUMAN_.pdf", "Melting_Curves/meltCurve_sp_P49750_4_YLPM1_HUMAN_.pdf")</f>
        <v>Melting_Curves/meltCurve_sp_P49750_4_YLPM1_HUMAN_.pdf</v>
      </c>
      <c r="AA1190" t="s">
        <v>14056</v>
      </c>
      <c r="AB1190" t="s">
        <v>18275</v>
      </c>
    </row>
    <row r="1191" spans="1:28" x14ac:dyDescent="0.25">
      <c r="A1191" t="s">
        <v>1195</v>
      </c>
      <c r="B1191">
        <v>0.99876560204751996</v>
      </c>
      <c r="C1191">
        <v>0.94719387722798098</v>
      </c>
      <c r="D1191">
        <v>0.96723227914244503</v>
      </c>
      <c r="E1191">
        <v>0.75528672461076196</v>
      </c>
      <c r="F1191">
        <v>0.438297429132956</v>
      </c>
      <c r="G1191">
        <v>0.20719686978989599</v>
      </c>
      <c r="H1191">
        <v>0.155024951964953</v>
      </c>
      <c r="I1191">
        <v>8.9954434355269203E-2</v>
      </c>
      <c r="J1191">
        <v>6.0479134109599902E-2</v>
      </c>
      <c r="K1191">
        <v>2.2275193474939999E-2</v>
      </c>
      <c r="L1191">
        <v>1067.15576831111</v>
      </c>
      <c r="M1191">
        <v>20.398074597538201</v>
      </c>
      <c r="N1191">
        <v>52.630232222789701</v>
      </c>
      <c r="O1191">
        <v>51.821462762980701</v>
      </c>
      <c r="P1191">
        <v>-9.2774901499974194E-2</v>
      </c>
      <c r="Q1191">
        <v>5.7247030279591798E-2</v>
      </c>
      <c r="R1191">
        <v>0.99499150584689999</v>
      </c>
      <c r="S1191" t="s">
        <v>5487</v>
      </c>
      <c r="T1191" t="s">
        <v>8590</v>
      </c>
      <c r="U1191" t="s">
        <v>8590</v>
      </c>
      <c r="V1191" t="s">
        <v>8590</v>
      </c>
      <c r="W1191">
        <v>28</v>
      </c>
      <c r="X1191" t="s">
        <v>9781</v>
      </c>
      <c r="Y1191">
        <v>0.45687365162496812</v>
      </c>
      <c r="Z1191" t="str">
        <f>HYPERLINK("Melting_Curves/meltCurve_sp_P49753_ACOT2_HUMAN_.pdf", "Melting_Curves/meltCurve_sp_P49753_ACOT2_HUMAN_.pdf")</f>
        <v>Melting_Curves/meltCurve_sp_P49753_ACOT2_HUMAN_.pdf</v>
      </c>
      <c r="AA1191" t="s">
        <v>14057</v>
      </c>
      <c r="AB1191" t="s">
        <v>18276</v>
      </c>
    </row>
    <row r="1192" spans="1:28" x14ac:dyDescent="0.25">
      <c r="A1192" t="s">
        <v>1196</v>
      </c>
      <c r="B1192">
        <v>0.99876560204751996</v>
      </c>
      <c r="C1192">
        <v>1.12844847994927</v>
      </c>
      <c r="D1192">
        <v>0.63227241646668897</v>
      </c>
      <c r="E1192">
        <v>0.39132884647973498</v>
      </c>
      <c r="F1192">
        <v>0.19848676114035099</v>
      </c>
      <c r="G1192">
        <v>0.105219781029962</v>
      </c>
      <c r="H1192">
        <v>4.9592523475368001E-2</v>
      </c>
      <c r="I1192">
        <v>5.0358780331976202E-2</v>
      </c>
      <c r="J1192">
        <v>3.1481541876305599E-2</v>
      </c>
      <c r="K1192">
        <v>2.68912361203054E-2</v>
      </c>
      <c r="L1192">
        <v>988.880800813365</v>
      </c>
      <c r="M1192">
        <v>20.469095179284</v>
      </c>
      <c r="N1192">
        <v>48.527226893268498</v>
      </c>
      <c r="O1192">
        <v>47.856905178528997</v>
      </c>
      <c r="P1192">
        <v>-0.102269512232104</v>
      </c>
      <c r="Q1192">
        <v>4.36006996533123E-2</v>
      </c>
      <c r="R1192">
        <v>0.96562274764886802</v>
      </c>
      <c r="S1192" t="s">
        <v>5488</v>
      </c>
      <c r="T1192" t="s">
        <v>8590</v>
      </c>
      <c r="U1192" t="s">
        <v>8590</v>
      </c>
      <c r="V1192" t="s">
        <v>8590</v>
      </c>
      <c r="W1192">
        <v>1</v>
      </c>
      <c r="X1192" t="s">
        <v>9782</v>
      </c>
      <c r="Y1192">
        <v>0.32142578212130513</v>
      </c>
      <c r="Z1192" t="str">
        <f>HYPERLINK("Melting_Curves/meltCurve_sp_P49755_TMEDA_HUMAN_.pdf", "Melting_Curves/meltCurve_sp_P49755_TMEDA_HUMAN_.pdf")</f>
        <v>Melting_Curves/meltCurve_sp_P49755_TMEDA_HUMAN_.pdf</v>
      </c>
      <c r="AA1192" t="s">
        <v>14058</v>
      </c>
      <c r="AB1192" t="s">
        <v>18277</v>
      </c>
    </row>
    <row r="1193" spans="1:28" x14ac:dyDescent="0.25">
      <c r="A1193" t="s">
        <v>1197</v>
      </c>
      <c r="B1193">
        <v>0.99876560204751996</v>
      </c>
      <c r="C1193">
        <v>0.99273898215654699</v>
      </c>
      <c r="D1193">
        <v>1.0713757589269</v>
      </c>
      <c r="E1193">
        <v>0.92173488760967004</v>
      </c>
      <c r="F1193">
        <v>0.83724998998185796</v>
      </c>
      <c r="G1193">
        <v>0.51585642606854798</v>
      </c>
      <c r="H1193">
        <v>0.34236107372936198</v>
      </c>
      <c r="I1193">
        <v>0.19906401042628399</v>
      </c>
      <c r="J1193">
        <v>0.130640902902873</v>
      </c>
      <c r="K1193">
        <v>0.12592386240082401</v>
      </c>
      <c r="L1193">
        <v>1051.4719256144899</v>
      </c>
      <c r="M1193">
        <v>18.439039023390499</v>
      </c>
      <c r="N1193">
        <v>57.678017332080501</v>
      </c>
      <c r="O1193">
        <v>56.366218506242703</v>
      </c>
      <c r="P1193">
        <v>-7.4073042197337596E-2</v>
      </c>
      <c r="Q1193">
        <v>9.4306472111579706E-2</v>
      </c>
      <c r="R1193">
        <v>0.99255899813111403</v>
      </c>
      <c r="S1193" t="s">
        <v>5489</v>
      </c>
      <c r="T1193" t="s">
        <v>8590</v>
      </c>
      <c r="U1193" t="s">
        <v>8590</v>
      </c>
      <c r="V1193" t="s">
        <v>8590</v>
      </c>
      <c r="W1193">
        <v>5</v>
      </c>
      <c r="X1193" t="s">
        <v>9783</v>
      </c>
      <c r="Y1193">
        <v>0.62037170765204053</v>
      </c>
      <c r="Z1193" t="str">
        <f>HYPERLINK("Melting_Curves/meltCurve_sp_P49756_RBM25_HUMAN_.pdf", "Melting_Curves/meltCurve_sp_P49756_RBM25_HUMAN_.pdf")</f>
        <v>Melting_Curves/meltCurve_sp_P49756_RBM25_HUMAN_.pdf</v>
      </c>
      <c r="AA1193" t="s">
        <v>14059</v>
      </c>
      <c r="AB1193" t="s">
        <v>18278</v>
      </c>
    </row>
    <row r="1194" spans="1:28" x14ac:dyDescent="0.25">
      <c r="A1194" t="s">
        <v>1198</v>
      </c>
      <c r="B1194">
        <v>0.99876560204751996</v>
      </c>
      <c r="C1194">
        <v>0.96569601497612301</v>
      </c>
      <c r="D1194">
        <v>1.0435065684615601</v>
      </c>
      <c r="E1194">
        <v>0.89000430196297298</v>
      </c>
      <c r="F1194">
        <v>0.92245970465601301</v>
      </c>
      <c r="G1194">
        <v>0.63936133828033004</v>
      </c>
      <c r="H1194">
        <v>0.52252151354703702</v>
      </c>
      <c r="I1194">
        <v>0.45648243908160102</v>
      </c>
      <c r="J1194">
        <v>0.55383381108627405</v>
      </c>
      <c r="K1194">
        <v>0.45938482308502299</v>
      </c>
      <c r="L1194">
        <v>1514.20831317487</v>
      </c>
      <c r="M1194">
        <v>27.311860923326901</v>
      </c>
      <c r="N1194">
        <v>63.245091929681202</v>
      </c>
      <c r="O1194">
        <v>55.1467506874394</v>
      </c>
      <c r="P1194">
        <v>-6.4036908968513301E-2</v>
      </c>
      <c r="Q1194">
        <v>0.48280433222202701</v>
      </c>
      <c r="R1194">
        <v>0.964246257276273</v>
      </c>
      <c r="S1194" t="s">
        <v>5490</v>
      </c>
      <c r="T1194" t="s">
        <v>8590</v>
      </c>
      <c r="U1194" t="s">
        <v>8590</v>
      </c>
      <c r="V1194" t="s">
        <v>8590</v>
      </c>
      <c r="W1194">
        <v>9</v>
      </c>
      <c r="X1194" t="s">
        <v>9784</v>
      </c>
      <c r="Y1194">
        <v>0.75309902266882811</v>
      </c>
      <c r="Z1194" t="str">
        <f>HYPERLINK("Melting_Curves/meltCurve_sp_P49757_3_NUMB_HUMAN_.pdf", "Melting_Curves/meltCurve_sp_P49757_3_NUMB_HUMAN_.pdf")</f>
        <v>Melting_Curves/meltCurve_sp_P49757_3_NUMB_HUMAN_.pdf</v>
      </c>
      <c r="AA1194" t="s">
        <v>14060</v>
      </c>
      <c r="AB1194" t="s">
        <v>18279</v>
      </c>
    </row>
    <row r="1195" spans="1:28" x14ac:dyDescent="0.25">
      <c r="A1195" t="s">
        <v>1199</v>
      </c>
      <c r="B1195">
        <v>0.99876560204751996</v>
      </c>
      <c r="C1195">
        <v>0.97866383783167299</v>
      </c>
      <c r="D1195">
        <v>0.93008899949767698</v>
      </c>
      <c r="E1195">
        <v>0.795899083541587</v>
      </c>
      <c r="F1195">
        <v>0.62085516787643602</v>
      </c>
      <c r="G1195">
        <v>0.31662400194052798</v>
      </c>
      <c r="H1195">
        <v>0.25134559796049399</v>
      </c>
      <c r="I1195">
        <v>0.21017157370478101</v>
      </c>
      <c r="J1195">
        <v>0.18196837662374299</v>
      </c>
      <c r="K1195">
        <v>9.57597785671878E-2</v>
      </c>
      <c r="L1195">
        <v>873.00914766552603</v>
      </c>
      <c r="M1195">
        <v>16.299958121782399</v>
      </c>
      <c r="N1195">
        <v>54.516137136598097</v>
      </c>
      <c r="O1195">
        <v>52.772303602411803</v>
      </c>
      <c r="P1195">
        <v>-6.7614411390868406E-2</v>
      </c>
      <c r="Q1195">
        <v>0.124437468243302</v>
      </c>
      <c r="R1195">
        <v>0.99415861082620305</v>
      </c>
      <c r="S1195" t="s">
        <v>5491</v>
      </c>
      <c r="T1195" t="s">
        <v>8590</v>
      </c>
      <c r="U1195" t="s">
        <v>8590</v>
      </c>
      <c r="V1195" t="s">
        <v>8590</v>
      </c>
      <c r="W1195">
        <v>5</v>
      </c>
      <c r="X1195" t="s">
        <v>9785</v>
      </c>
      <c r="Y1195">
        <v>0.53656666838970357</v>
      </c>
      <c r="Z1195" t="str">
        <f>HYPERLINK("Melting_Curves/meltCurve_sp_P49770_EI2BB_HUMAN_.pdf", "Melting_Curves/meltCurve_sp_P49770_EI2BB_HUMAN_.pdf")</f>
        <v>Melting_Curves/meltCurve_sp_P49770_EI2BB_HUMAN_.pdf</v>
      </c>
      <c r="AA1195" t="s">
        <v>14061</v>
      </c>
      <c r="AB1195" t="s">
        <v>18280</v>
      </c>
    </row>
    <row r="1196" spans="1:28" x14ac:dyDescent="0.25">
      <c r="A1196" t="s">
        <v>1200</v>
      </c>
      <c r="B1196">
        <v>0.99876560204751996</v>
      </c>
      <c r="C1196">
        <v>0.88919069979185605</v>
      </c>
      <c r="D1196">
        <v>1.02252298561384</v>
      </c>
      <c r="E1196">
        <v>0.89832371160491298</v>
      </c>
      <c r="F1196">
        <v>0.85858208918001999</v>
      </c>
      <c r="G1196">
        <v>0.66087564460512505</v>
      </c>
      <c r="H1196">
        <v>0.47577117123496199</v>
      </c>
      <c r="I1196">
        <v>0.48517565787132</v>
      </c>
      <c r="J1196">
        <v>0.538467388846255</v>
      </c>
      <c r="K1196">
        <v>0.50744052651270299</v>
      </c>
      <c r="L1196">
        <v>1249.6428001911199</v>
      </c>
      <c r="M1196">
        <v>22.8081566230316</v>
      </c>
      <c r="N1196">
        <v>65.664966231097793</v>
      </c>
      <c r="O1196">
        <v>54.373331881755398</v>
      </c>
      <c r="P1196">
        <v>-5.3634792218280401E-2</v>
      </c>
      <c r="Q1196">
        <v>0.48856088960619498</v>
      </c>
      <c r="R1196">
        <v>0.94982542363227795</v>
      </c>
      <c r="S1196" t="s">
        <v>5492</v>
      </c>
      <c r="T1196" t="s">
        <v>8590</v>
      </c>
      <c r="U1196" t="s">
        <v>8590</v>
      </c>
      <c r="V1196" t="s">
        <v>8590</v>
      </c>
      <c r="W1196">
        <v>9</v>
      </c>
      <c r="X1196" t="s">
        <v>9786</v>
      </c>
      <c r="Y1196">
        <v>0.74623406126277703</v>
      </c>
      <c r="Z1196" t="str">
        <f>HYPERLINK("Melting_Curves/meltCurve_sp_P49773_HINT1_HUMAN_.pdf", "Melting_Curves/meltCurve_sp_P49773_HINT1_HUMAN_.pdf")</f>
        <v>Melting_Curves/meltCurve_sp_P49773_HINT1_HUMAN_.pdf</v>
      </c>
      <c r="AA1196" t="s">
        <v>14062</v>
      </c>
      <c r="AB1196" t="s">
        <v>18281</v>
      </c>
    </row>
    <row r="1197" spans="1:28" x14ac:dyDescent="0.25">
      <c r="A1197" t="s">
        <v>1201</v>
      </c>
      <c r="B1197">
        <v>0.99876560204751996</v>
      </c>
      <c r="C1197">
        <v>0.98063821806328599</v>
      </c>
      <c r="D1197">
        <v>1.0007806259882499</v>
      </c>
      <c r="E1197">
        <v>0.85046545350660596</v>
      </c>
      <c r="F1197">
        <v>0.76358406134490897</v>
      </c>
      <c r="G1197">
        <v>0.648343020332391</v>
      </c>
      <c r="H1197">
        <v>0.55105908950954996</v>
      </c>
      <c r="I1197">
        <v>0.53654375085709705</v>
      </c>
      <c r="J1197">
        <v>0.448887498469278</v>
      </c>
      <c r="K1197">
        <v>0.31349925537631801</v>
      </c>
      <c r="L1197">
        <v>484.04221350283399</v>
      </c>
      <c r="M1197">
        <v>8.0062857852950593</v>
      </c>
      <c r="N1197">
        <v>63.2558883809848</v>
      </c>
      <c r="O1197">
        <v>57.03578289643</v>
      </c>
      <c r="P1197">
        <v>-2.98939163251472E-2</v>
      </c>
      <c r="Q1197">
        <v>0.14911755365075499</v>
      </c>
      <c r="R1197">
        <v>0.97665371029417103</v>
      </c>
      <c r="S1197" t="s">
        <v>5493</v>
      </c>
      <c r="T1197" t="s">
        <v>8590</v>
      </c>
      <c r="U1197" t="s">
        <v>8590</v>
      </c>
      <c r="V1197" t="s">
        <v>8590</v>
      </c>
      <c r="W1197">
        <v>3</v>
      </c>
      <c r="X1197" t="s">
        <v>9787</v>
      </c>
      <c r="Y1197">
        <v>0.71255131132688787</v>
      </c>
      <c r="Z1197" t="str">
        <f>HYPERLINK("Melting_Curves/meltCurve_sp_P49789_FHIT_HUMAN_.pdf", "Melting_Curves/meltCurve_sp_P49789_FHIT_HUMAN_.pdf")</f>
        <v>Melting_Curves/meltCurve_sp_P49789_FHIT_HUMAN_.pdf</v>
      </c>
      <c r="AA1197" t="s">
        <v>14063</v>
      </c>
      <c r="AB1197" t="s">
        <v>18282</v>
      </c>
    </row>
    <row r="1198" spans="1:28" x14ac:dyDescent="0.25">
      <c r="A1198" t="s">
        <v>1202</v>
      </c>
      <c r="B1198">
        <v>0.99876560204751996</v>
      </c>
      <c r="C1198">
        <v>1.0080221350707399</v>
      </c>
      <c r="D1198">
        <v>1.05502999759467</v>
      </c>
      <c r="E1198">
        <v>0.96190430828130602</v>
      </c>
      <c r="F1198">
        <v>0.94541916787892399</v>
      </c>
      <c r="G1198">
        <v>0.72318075914744895</v>
      </c>
      <c r="H1198">
        <v>0.62640124739759995</v>
      </c>
      <c r="I1198">
        <v>0.61427278766596505</v>
      </c>
      <c r="J1198">
        <v>0.72842171895708296</v>
      </c>
      <c r="K1198">
        <v>0.67914960617339404</v>
      </c>
      <c r="L1198">
        <v>2431.7586915987699</v>
      </c>
      <c r="M1198">
        <v>44.274841163823702</v>
      </c>
      <c r="O1198">
        <v>54.812471479465799</v>
      </c>
      <c r="P1198">
        <v>-6.8254827436749405E-2</v>
      </c>
      <c r="Q1198">
        <v>0.66200122717812104</v>
      </c>
      <c r="R1198">
        <v>0.95298299187879298</v>
      </c>
      <c r="S1198" t="s">
        <v>5494</v>
      </c>
      <c r="T1198" t="s">
        <v>8590</v>
      </c>
      <c r="U1198" t="s">
        <v>8590</v>
      </c>
      <c r="V1198" t="s">
        <v>8590</v>
      </c>
      <c r="W1198">
        <v>19</v>
      </c>
      <c r="X1198" t="s">
        <v>9788</v>
      </c>
      <c r="Y1198">
        <v>0.83119044543807019</v>
      </c>
      <c r="Z1198" t="str">
        <f>HYPERLINK("Melting_Curves/meltCurve_sp_P49790_NU153_HUMAN_.pdf", "Melting_Curves/meltCurve_sp_P49790_NU153_HUMAN_.pdf")</f>
        <v>Melting_Curves/meltCurve_sp_P49790_NU153_HUMAN_.pdf</v>
      </c>
      <c r="AA1198" t="s">
        <v>14064</v>
      </c>
      <c r="AB1198" t="s">
        <v>18283</v>
      </c>
    </row>
    <row r="1199" spans="1:28" x14ac:dyDescent="0.25">
      <c r="A1199" t="s">
        <v>1203</v>
      </c>
      <c r="B1199">
        <v>0.99876560204751996</v>
      </c>
      <c r="C1199">
        <v>0.99915475269926901</v>
      </c>
      <c r="D1199">
        <v>1.0374057275244399</v>
      </c>
      <c r="E1199">
        <v>0.90924244303309898</v>
      </c>
      <c r="F1199">
        <v>0.81413820266594294</v>
      </c>
      <c r="G1199">
        <v>0.58579310856775502</v>
      </c>
      <c r="H1199">
        <v>0.49659198373545399</v>
      </c>
      <c r="I1199">
        <v>0.45353635161976102</v>
      </c>
      <c r="J1199">
        <v>0.55626873868619697</v>
      </c>
      <c r="K1199">
        <v>0.50503340235138305</v>
      </c>
      <c r="L1199">
        <v>1464.14335038998</v>
      </c>
      <c r="M1199">
        <v>27.229174043766701</v>
      </c>
      <c r="N1199">
        <v>66.0253339023553</v>
      </c>
      <c r="O1199">
        <v>53.483612835612</v>
      </c>
      <c r="P1199">
        <v>-6.4046051470034907E-2</v>
      </c>
      <c r="Q1199">
        <v>0.496807151588331</v>
      </c>
      <c r="R1199">
        <v>0.98166095044769197</v>
      </c>
      <c r="S1199" t="s">
        <v>5495</v>
      </c>
      <c r="T1199" t="s">
        <v>8590</v>
      </c>
      <c r="U1199" t="s">
        <v>8590</v>
      </c>
      <c r="V1199" t="s">
        <v>8590</v>
      </c>
      <c r="W1199">
        <v>49</v>
      </c>
      <c r="X1199" t="s">
        <v>9789</v>
      </c>
      <c r="Y1199">
        <v>0.73175983094314079</v>
      </c>
      <c r="Z1199" t="str">
        <f>HYPERLINK("Melting_Curves/meltCurve_sp_P49792_RBP2_HUMAN_.pdf", "Melting_Curves/meltCurve_sp_P49792_RBP2_HUMAN_.pdf")</f>
        <v>Melting_Curves/meltCurve_sp_P49792_RBP2_HUMAN_.pdf</v>
      </c>
      <c r="AA1199" t="s">
        <v>14065</v>
      </c>
      <c r="AB1199" t="s">
        <v>18284</v>
      </c>
    </row>
    <row r="1200" spans="1:28" x14ac:dyDescent="0.25">
      <c r="A1200" t="s">
        <v>1204</v>
      </c>
      <c r="B1200">
        <v>0.99876560204751996</v>
      </c>
      <c r="C1200">
        <v>0.91586761702043296</v>
      </c>
      <c r="D1200">
        <v>0.73331012759296499</v>
      </c>
      <c r="E1200">
        <v>0.43415710426857201</v>
      </c>
      <c r="F1200">
        <v>0.18249394451470899</v>
      </c>
      <c r="G1200">
        <v>9.8299227761454305E-2</v>
      </c>
      <c r="H1200">
        <v>6.4056311341006006E-2</v>
      </c>
      <c r="I1200">
        <v>4.8984607274451503E-2</v>
      </c>
      <c r="J1200">
        <v>4.4052785599714699E-2</v>
      </c>
      <c r="K1200">
        <v>4.1330113866386797E-2</v>
      </c>
      <c r="L1200">
        <v>880.00485193890904</v>
      </c>
      <c r="M1200">
        <v>18.088498121244601</v>
      </c>
      <c r="N1200">
        <v>48.847421483688699</v>
      </c>
      <c r="O1200">
        <v>48.0670538308338</v>
      </c>
      <c r="P1200">
        <v>-9.0767163226214503E-2</v>
      </c>
      <c r="Q1200">
        <v>3.5254555964498203E-2</v>
      </c>
      <c r="R1200">
        <v>0.99807578306602496</v>
      </c>
      <c r="S1200" t="s">
        <v>5496</v>
      </c>
      <c r="T1200" t="s">
        <v>8590</v>
      </c>
      <c r="U1200" t="s">
        <v>8590</v>
      </c>
      <c r="V1200" t="s">
        <v>8590</v>
      </c>
      <c r="W1200">
        <v>14</v>
      </c>
      <c r="X1200" t="s">
        <v>9790</v>
      </c>
      <c r="Y1200">
        <v>0.33008534688584529</v>
      </c>
      <c r="Z1200" t="str">
        <f>HYPERLINK("Melting_Curves/meltCurve_sp_P49821_2_NDUV1_HUMAN_.pdf", "Melting_Curves/meltCurve_sp_P49821_2_NDUV1_HUMAN_.pdf")</f>
        <v>Melting_Curves/meltCurve_sp_P49821_2_NDUV1_HUMAN_.pdf</v>
      </c>
      <c r="AA1200" t="s">
        <v>14066</v>
      </c>
      <c r="AB1200" t="s">
        <v>18285</v>
      </c>
    </row>
    <row r="1201" spans="1:28" x14ac:dyDescent="0.25">
      <c r="A1201" t="s">
        <v>1205</v>
      </c>
      <c r="B1201">
        <v>0.99876560204751996</v>
      </c>
      <c r="C1201">
        <v>0.98003511443876801</v>
      </c>
      <c r="D1201">
        <v>1.00889110067461</v>
      </c>
      <c r="E1201">
        <v>0.78410410759023796</v>
      </c>
      <c r="F1201">
        <v>0.39857651301727798</v>
      </c>
      <c r="G1201">
        <v>0.236209369512904</v>
      </c>
      <c r="H1201">
        <v>8.9195626852190693E-2</v>
      </c>
      <c r="I1201">
        <v>5.9346879916888202E-2</v>
      </c>
      <c r="J1201">
        <v>0</v>
      </c>
      <c r="K1201">
        <v>2.1096140626262101E-2</v>
      </c>
      <c r="L1201">
        <v>1166.5069011100099</v>
      </c>
      <c r="M1201">
        <v>22.237694272917999</v>
      </c>
      <c r="N1201">
        <v>52.612680303022401</v>
      </c>
      <c r="O1201">
        <v>52.037608969901697</v>
      </c>
      <c r="P1201">
        <v>-0.10342037876530701</v>
      </c>
      <c r="Q1201">
        <v>3.1979705615994697E-2</v>
      </c>
      <c r="R1201">
        <v>0.99216980158406698</v>
      </c>
      <c r="S1201" t="s">
        <v>5497</v>
      </c>
      <c r="T1201" t="s">
        <v>8590</v>
      </c>
      <c r="U1201" t="s">
        <v>8590</v>
      </c>
      <c r="V1201" t="s">
        <v>8590</v>
      </c>
      <c r="W1201">
        <v>3</v>
      </c>
      <c r="X1201" t="s">
        <v>9791</v>
      </c>
      <c r="Y1201">
        <v>0.44495907521317463</v>
      </c>
      <c r="Z1201" t="str">
        <f>HYPERLINK("Melting_Curves/meltCurve_sp_P49840_GSK3A_HUMAN_.pdf", "Melting_Curves/meltCurve_sp_P49840_GSK3A_HUMAN_.pdf")</f>
        <v>Melting_Curves/meltCurve_sp_P49840_GSK3A_HUMAN_.pdf</v>
      </c>
      <c r="AA1201" t="s">
        <v>14067</v>
      </c>
      <c r="AB1201" t="s">
        <v>18286</v>
      </c>
    </row>
    <row r="1202" spans="1:28" x14ac:dyDescent="0.25">
      <c r="A1202" t="s">
        <v>1206</v>
      </c>
      <c r="B1202">
        <v>0.99876560204751996</v>
      </c>
      <c r="C1202">
        <v>0.86070661856846398</v>
      </c>
      <c r="D1202">
        <v>0.880125355168623</v>
      </c>
      <c r="E1202">
        <v>0.58589801312999101</v>
      </c>
      <c r="F1202">
        <v>0.32243770078387901</v>
      </c>
      <c r="G1202">
        <v>0.143431879159753</v>
      </c>
      <c r="H1202">
        <v>6.6018382553876903E-2</v>
      </c>
      <c r="I1202">
        <v>5.1032005046644201E-2</v>
      </c>
      <c r="J1202">
        <v>5.0302643586783803E-2</v>
      </c>
      <c r="K1202">
        <v>5.98013524083379E-2</v>
      </c>
      <c r="L1202">
        <v>875.52491569665699</v>
      </c>
      <c r="M1202">
        <v>17.301231460120501</v>
      </c>
      <c r="N1202">
        <v>50.7930265323957</v>
      </c>
      <c r="O1202">
        <v>49.943224600792</v>
      </c>
      <c r="P1202">
        <v>-8.3920062720371405E-2</v>
      </c>
      <c r="Q1202">
        <v>3.10523617168647E-2</v>
      </c>
      <c r="R1202">
        <v>0.99157686653591204</v>
      </c>
      <c r="S1202" t="s">
        <v>5498</v>
      </c>
      <c r="T1202" t="s">
        <v>8590</v>
      </c>
      <c r="U1202" t="s">
        <v>8590</v>
      </c>
      <c r="V1202" t="s">
        <v>8590</v>
      </c>
      <c r="W1202">
        <v>3</v>
      </c>
      <c r="X1202" t="s">
        <v>9792</v>
      </c>
      <c r="Y1202">
        <v>0.39120083985404192</v>
      </c>
      <c r="Z1202" t="str">
        <f>HYPERLINK("Melting_Curves/meltCurve_sp_P49841_GSK3B_HUMAN_.pdf", "Melting_Curves/meltCurve_sp_P49841_GSK3B_HUMAN_.pdf")</f>
        <v>Melting_Curves/meltCurve_sp_P49841_GSK3B_HUMAN_.pdf</v>
      </c>
      <c r="AA1202" t="s">
        <v>14068</v>
      </c>
      <c r="AB1202" t="s">
        <v>18287</v>
      </c>
    </row>
    <row r="1203" spans="1:28" x14ac:dyDescent="0.25">
      <c r="A1203" t="s">
        <v>1207</v>
      </c>
      <c r="B1203">
        <v>0.99876560204751996</v>
      </c>
      <c r="C1203">
        <v>0.94913374478840296</v>
      </c>
      <c r="D1203">
        <v>0.93006910808710996</v>
      </c>
      <c r="E1203">
        <v>0.74397091827320305</v>
      </c>
      <c r="F1203">
        <v>0.50893736450020099</v>
      </c>
      <c r="G1203">
        <v>0.15057303063295799</v>
      </c>
      <c r="H1203">
        <v>8.3801807621222399E-2</v>
      </c>
      <c r="I1203">
        <v>5.7562189051184098E-2</v>
      </c>
      <c r="J1203">
        <v>4.9242969473680703E-2</v>
      </c>
      <c r="K1203">
        <v>4.23762151379437E-2</v>
      </c>
      <c r="L1203">
        <v>1092.58574685809</v>
      </c>
      <c r="M1203">
        <v>20.7812161223784</v>
      </c>
      <c r="N1203">
        <v>52.734936871269198</v>
      </c>
      <c r="O1203">
        <v>52.0960662753007</v>
      </c>
      <c r="P1203">
        <v>-9.6694551504594703E-2</v>
      </c>
      <c r="Q1203">
        <v>3.0419808637140201E-2</v>
      </c>
      <c r="R1203">
        <v>0.99663310766954405</v>
      </c>
      <c r="S1203" t="s">
        <v>5499</v>
      </c>
      <c r="T1203" t="s">
        <v>8590</v>
      </c>
      <c r="U1203" t="s">
        <v>8590</v>
      </c>
      <c r="V1203" t="s">
        <v>8590</v>
      </c>
      <c r="W1203">
        <v>17</v>
      </c>
      <c r="X1203" t="s">
        <v>9793</v>
      </c>
      <c r="Y1203">
        <v>0.44936138021580641</v>
      </c>
      <c r="Z1203" t="str">
        <f>HYPERLINK("Melting_Curves/meltCurve_sp_P49888_ST1E1_HUMAN_.pdf", "Melting_Curves/meltCurve_sp_P49888_ST1E1_HUMAN_.pdf")</f>
        <v>Melting_Curves/meltCurve_sp_P49888_ST1E1_HUMAN_.pdf</v>
      </c>
      <c r="AA1203" t="s">
        <v>14069</v>
      </c>
      <c r="AB1203" t="s">
        <v>18288</v>
      </c>
    </row>
    <row r="1204" spans="1:28" x14ac:dyDescent="0.25">
      <c r="A1204" t="s">
        <v>1208</v>
      </c>
      <c r="B1204">
        <v>0.99876560204751996</v>
      </c>
      <c r="C1204">
        <v>0.96431936044036104</v>
      </c>
      <c r="D1204">
        <v>0.81841787152545098</v>
      </c>
      <c r="E1204">
        <v>0.83062326257580799</v>
      </c>
      <c r="F1204">
        <v>0.59470263642663301</v>
      </c>
      <c r="G1204">
        <v>0.319629796354573</v>
      </c>
      <c r="H1204">
        <v>0.10798696688138</v>
      </c>
      <c r="I1204">
        <v>9.5402908297418404E-2</v>
      </c>
      <c r="J1204">
        <v>8.4200488985097494E-2</v>
      </c>
      <c r="K1204">
        <v>7.9875175130400697E-2</v>
      </c>
      <c r="L1204">
        <v>843.48297774431103</v>
      </c>
      <c r="M1204">
        <v>15.6413146686759</v>
      </c>
      <c r="N1204">
        <v>54.107802479549797</v>
      </c>
      <c r="O1204">
        <v>53.068218927975202</v>
      </c>
      <c r="P1204">
        <v>-7.18109850484413E-2</v>
      </c>
      <c r="Q1204">
        <v>2.5515766378855598E-2</v>
      </c>
      <c r="R1204">
        <v>0.98436698508239495</v>
      </c>
      <c r="S1204" t="s">
        <v>5500</v>
      </c>
      <c r="T1204" t="s">
        <v>8590</v>
      </c>
      <c r="U1204" t="s">
        <v>8590</v>
      </c>
      <c r="V1204" t="s">
        <v>8590</v>
      </c>
      <c r="W1204">
        <v>9</v>
      </c>
      <c r="X1204" t="s">
        <v>9794</v>
      </c>
      <c r="Y1204">
        <v>0.49691588717648782</v>
      </c>
      <c r="Z1204" t="str">
        <f>HYPERLINK("Melting_Curves/meltCurve_sp_P49902_5NTC_HUMAN_.pdf", "Melting_Curves/meltCurve_sp_P49902_5NTC_HUMAN_.pdf")</f>
        <v>Melting_Curves/meltCurve_sp_P49902_5NTC_HUMAN_.pdf</v>
      </c>
      <c r="AA1204" t="s">
        <v>14070</v>
      </c>
      <c r="AB1204" t="s">
        <v>18289</v>
      </c>
    </row>
    <row r="1205" spans="1:28" x14ac:dyDescent="0.25">
      <c r="A1205" t="s">
        <v>1209</v>
      </c>
      <c r="B1205">
        <v>0.99876560204751996</v>
      </c>
      <c r="C1205">
        <v>0.99555523621796105</v>
      </c>
      <c r="D1205">
        <v>0.99587015547884505</v>
      </c>
      <c r="E1205">
        <v>1.02092451242741</v>
      </c>
      <c r="F1205">
        <v>0.93715491679888296</v>
      </c>
      <c r="G1205">
        <v>0.71120171924768005</v>
      </c>
      <c r="H1205">
        <v>0.63677225101800405</v>
      </c>
      <c r="I1205">
        <v>0.56551829578072199</v>
      </c>
      <c r="J1205">
        <v>0.60875304486871396</v>
      </c>
      <c r="K1205">
        <v>0.47459015748371602</v>
      </c>
      <c r="L1205">
        <v>1448.88021302007</v>
      </c>
      <c r="M1205">
        <v>25.702995068979099</v>
      </c>
      <c r="O1205">
        <v>56.032187610604403</v>
      </c>
      <c r="P1205">
        <v>-5.2184801737407097E-2</v>
      </c>
      <c r="Q1205">
        <v>0.54495673780671094</v>
      </c>
      <c r="R1205">
        <v>0.970626561617144</v>
      </c>
      <c r="S1205" t="s">
        <v>5501</v>
      </c>
      <c r="T1205" t="s">
        <v>8590</v>
      </c>
      <c r="U1205" t="s">
        <v>8590</v>
      </c>
      <c r="V1205" t="s">
        <v>8590</v>
      </c>
      <c r="W1205">
        <v>13</v>
      </c>
      <c r="X1205" t="s">
        <v>9795</v>
      </c>
      <c r="Y1205">
        <v>0.79722993069829495</v>
      </c>
      <c r="Z1205" t="str">
        <f>HYPERLINK("Melting_Curves/meltCurve_sp_P49903_SPS1_HUMAN_.pdf", "Melting_Curves/meltCurve_sp_P49903_SPS1_HUMAN_.pdf")</f>
        <v>Melting_Curves/meltCurve_sp_P49903_SPS1_HUMAN_.pdf</v>
      </c>
      <c r="AA1205" t="s">
        <v>14071</v>
      </c>
      <c r="AB1205" t="s">
        <v>18290</v>
      </c>
    </row>
    <row r="1206" spans="1:28" x14ac:dyDescent="0.25">
      <c r="A1206" t="s">
        <v>1210</v>
      </c>
      <c r="B1206">
        <v>0.99876560204751996</v>
      </c>
      <c r="C1206">
        <v>0.69486388041722602</v>
      </c>
      <c r="D1206">
        <v>0.76112980936726304</v>
      </c>
      <c r="E1206">
        <v>0.37068817037382301</v>
      </c>
      <c r="F1206">
        <v>0.13607316517665499</v>
      </c>
      <c r="G1206">
        <v>8.7491882000961793E-2</v>
      </c>
      <c r="H1206">
        <v>6.0782584074346002E-2</v>
      </c>
      <c r="I1206">
        <v>5.4825957328124703E-2</v>
      </c>
      <c r="J1206">
        <v>5.8996507297144299E-2</v>
      </c>
      <c r="K1206">
        <v>6.3527496148891596E-2</v>
      </c>
      <c r="L1206">
        <v>730.10466803569102</v>
      </c>
      <c r="M1206">
        <v>15.2956224045778</v>
      </c>
      <c r="N1206">
        <v>47.930752104445197</v>
      </c>
      <c r="O1206">
        <v>46.939333627107999</v>
      </c>
      <c r="P1206">
        <v>-7.8980277740173396E-2</v>
      </c>
      <c r="Q1206">
        <v>3.0589386181445001E-2</v>
      </c>
      <c r="R1206">
        <v>0.96061149054035</v>
      </c>
      <c r="S1206" t="s">
        <v>5502</v>
      </c>
      <c r="T1206" t="s">
        <v>8590</v>
      </c>
      <c r="U1206" t="s">
        <v>8590</v>
      </c>
      <c r="V1206" t="s">
        <v>8590</v>
      </c>
      <c r="W1206">
        <v>9</v>
      </c>
      <c r="X1206" t="s">
        <v>9796</v>
      </c>
      <c r="Y1206">
        <v>0.30477019458684701</v>
      </c>
      <c r="Z1206" t="str">
        <f>HYPERLINK("Melting_Curves/meltCurve_sp_P49914_MTHFS_HUMAN_.pdf", "Melting_Curves/meltCurve_sp_P49914_MTHFS_HUMAN_.pdf")</f>
        <v>Melting_Curves/meltCurve_sp_P49914_MTHFS_HUMAN_.pdf</v>
      </c>
      <c r="AA1206" t="s">
        <v>14072</v>
      </c>
      <c r="AB1206" t="s">
        <v>18291</v>
      </c>
    </row>
    <row r="1207" spans="1:28" x14ac:dyDescent="0.25">
      <c r="A1207" t="s">
        <v>1211</v>
      </c>
      <c r="B1207">
        <v>0.99876560204751996</v>
      </c>
      <c r="C1207">
        <v>1.05420203503291</v>
      </c>
      <c r="D1207">
        <v>0.94674904369576696</v>
      </c>
      <c r="E1207">
        <v>0.85235893522150896</v>
      </c>
      <c r="F1207">
        <v>0.64901442238305795</v>
      </c>
      <c r="G1207">
        <v>0.40145884138341198</v>
      </c>
      <c r="H1207">
        <v>0.23179706478996401</v>
      </c>
      <c r="I1207">
        <v>0.176342109083205</v>
      </c>
      <c r="J1207">
        <v>0.12710122622502701</v>
      </c>
      <c r="K1207">
        <v>0.115800277769825</v>
      </c>
      <c r="L1207">
        <v>916.87602213663797</v>
      </c>
      <c r="M1207">
        <v>16.783500005954998</v>
      </c>
      <c r="N1207">
        <v>55.333801682300702</v>
      </c>
      <c r="O1207">
        <v>53.8717409433551</v>
      </c>
      <c r="P1207">
        <v>-7.0401462845587001E-2</v>
      </c>
      <c r="Q1207">
        <v>9.6159435275090896E-2</v>
      </c>
      <c r="R1207">
        <v>0.99648973814574304</v>
      </c>
      <c r="S1207" t="s">
        <v>5503</v>
      </c>
      <c r="T1207" t="s">
        <v>8590</v>
      </c>
      <c r="U1207" t="s">
        <v>8590</v>
      </c>
      <c r="V1207" t="s">
        <v>8590</v>
      </c>
      <c r="W1207">
        <v>15</v>
      </c>
      <c r="X1207" t="s">
        <v>9797</v>
      </c>
      <c r="Y1207">
        <v>0.5525066289990086</v>
      </c>
      <c r="Z1207" t="str">
        <f>HYPERLINK("Melting_Curves/meltCurve_sp_P49959_MRE11_HUMAN_.pdf", "Melting_Curves/meltCurve_sp_P49959_MRE11_HUMAN_.pdf")</f>
        <v>Melting_Curves/meltCurve_sp_P49959_MRE11_HUMAN_.pdf</v>
      </c>
      <c r="AA1207" t="s">
        <v>14073</v>
      </c>
      <c r="AB1207" t="s">
        <v>18292</v>
      </c>
    </row>
    <row r="1208" spans="1:28" x14ac:dyDescent="0.25">
      <c r="A1208" t="s">
        <v>1212</v>
      </c>
      <c r="B1208">
        <v>0.99876560204751996</v>
      </c>
      <c r="C1208">
        <v>0.95217303597984104</v>
      </c>
      <c r="D1208">
        <v>0.97766306712047601</v>
      </c>
      <c r="E1208">
        <v>0.91735311657441598</v>
      </c>
      <c r="F1208">
        <v>0.84557385418526199</v>
      </c>
      <c r="G1208">
        <v>0.63128170114842097</v>
      </c>
      <c r="H1208">
        <v>0.34948164123701198</v>
      </c>
      <c r="I1208">
        <v>0.19084346930770599</v>
      </c>
      <c r="J1208">
        <v>9.19539572905064E-2</v>
      </c>
      <c r="K1208">
        <v>6.0612630740172001E-2</v>
      </c>
      <c r="L1208">
        <v>971.32552162609397</v>
      </c>
      <c r="M1208">
        <v>16.576067496746202</v>
      </c>
      <c r="N1208">
        <v>58.598068120377299</v>
      </c>
      <c r="O1208">
        <v>57.765142254718597</v>
      </c>
      <c r="P1208">
        <v>-7.1743954220256603E-2</v>
      </c>
      <c r="Q1208">
        <v>0</v>
      </c>
      <c r="R1208">
        <v>0.99721526337921995</v>
      </c>
      <c r="S1208" t="s">
        <v>5504</v>
      </c>
      <c r="T1208" t="s">
        <v>8590</v>
      </c>
      <c r="U1208" t="s">
        <v>8590</v>
      </c>
      <c r="V1208" t="s">
        <v>8590</v>
      </c>
      <c r="W1208">
        <v>18</v>
      </c>
      <c r="X1208" t="s">
        <v>9798</v>
      </c>
      <c r="Y1208">
        <v>0.63163597880238043</v>
      </c>
      <c r="Z1208" t="str">
        <f>HYPERLINK("Melting_Curves/meltCurve_sp_P50053_2_KHK_HUMAN_.pdf", "Melting_Curves/meltCurve_sp_P50053_2_KHK_HUMAN_.pdf")</f>
        <v>Melting_Curves/meltCurve_sp_P50053_2_KHK_HUMAN_.pdf</v>
      </c>
      <c r="AA1208" t="s">
        <v>14074</v>
      </c>
      <c r="AB1208" t="s">
        <v>18293</v>
      </c>
    </row>
    <row r="1209" spans="1:28" x14ac:dyDescent="0.25">
      <c r="A1209" t="s">
        <v>1213</v>
      </c>
      <c r="B1209">
        <v>0.99876560204751996</v>
      </c>
      <c r="C1209">
        <v>0.93648649478612001</v>
      </c>
      <c r="D1209">
        <v>0.97260618569801005</v>
      </c>
      <c r="E1209">
        <v>0.89628114042200902</v>
      </c>
      <c r="F1209">
        <v>0.84808460518624595</v>
      </c>
      <c r="G1209">
        <v>0.67388346274862299</v>
      </c>
      <c r="H1209">
        <v>0.54525021362292503</v>
      </c>
      <c r="I1209">
        <v>0.38823212984622701</v>
      </c>
      <c r="J1209">
        <v>0.23733264078553101</v>
      </c>
      <c r="K1209">
        <v>6.4771039254690299E-2</v>
      </c>
      <c r="L1209">
        <v>759.13813524647503</v>
      </c>
      <c r="M1209">
        <v>12.487151991779299</v>
      </c>
      <c r="N1209">
        <v>60.793536959903598</v>
      </c>
      <c r="O1209">
        <v>59.297574547639002</v>
      </c>
      <c r="P1209">
        <v>-5.2657009210219097E-2</v>
      </c>
      <c r="Q1209">
        <v>0</v>
      </c>
      <c r="R1209">
        <v>0.97999484634437795</v>
      </c>
      <c r="S1209" t="s">
        <v>5505</v>
      </c>
      <c r="T1209" t="s">
        <v>8590</v>
      </c>
      <c r="U1209" t="s">
        <v>8590</v>
      </c>
      <c r="V1209" t="s">
        <v>8590</v>
      </c>
      <c r="W1209">
        <v>16</v>
      </c>
      <c r="X1209" t="s">
        <v>9799</v>
      </c>
      <c r="Y1209">
        <v>0.69184628819218608</v>
      </c>
      <c r="Z1209" t="str">
        <f>HYPERLINK("Melting_Curves/meltCurve_sp_P50053_KHK_HUMAN_.pdf", "Melting_Curves/meltCurve_sp_P50053_KHK_HUMAN_.pdf")</f>
        <v>Melting_Curves/meltCurve_sp_P50053_KHK_HUMAN_.pdf</v>
      </c>
      <c r="AA1209" t="s">
        <v>14074</v>
      </c>
      <c r="AB1209" t="s">
        <v>18294</v>
      </c>
    </row>
    <row r="1210" spans="1:28" x14ac:dyDescent="0.25">
      <c r="A1210" t="s">
        <v>1214</v>
      </c>
      <c r="B1210">
        <v>0.99876560204751996</v>
      </c>
      <c r="C1210">
        <v>0.89674334720321103</v>
      </c>
      <c r="D1210">
        <v>1.0383846673930699</v>
      </c>
      <c r="E1210">
        <v>0.93938740053955105</v>
      </c>
      <c r="F1210">
        <v>0.77032735545584996</v>
      </c>
      <c r="G1210">
        <v>0.16842751059408601</v>
      </c>
      <c r="H1210">
        <v>7.6535438310673304E-2</v>
      </c>
      <c r="I1210">
        <v>5.18905729432554E-2</v>
      </c>
      <c r="J1210">
        <v>4.7091621044894401E-2</v>
      </c>
      <c r="K1210">
        <v>3.3136413736573903E-2</v>
      </c>
      <c r="L1210">
        <v>2209.33204200401</v>
      </c>
      <c r="M1210">
        <v>40.592920734480799</v>
      </c>
      <c r="N1210">
        <v>54.558394241916098</v>
      </c>
      <c r="O1210">
        <v>54.2949634585624</v>
      </c>
      <c r="P1210">
        <v>-0.17817656666426801</v>
      </c>
      <c r="Q1210">
        <v>4.6723596450434897E-2</v>
      </c>
      <c r="R1210">
        <v>0.99247163880698597</v>
      </c>
      <c r="S1210" t="s">
        <v>5506</v>
      </c>
      <c r="T1210" t="s">
        <v>8590</v>
      </c>
      <c r="U1210" t="s">
        <v>8590</v>
      </c>
      <c r="V1210" t="s">
        <v>8590</v>
      </c>
      <c r="W1210">
        <v>15</v>
      </c>
      <c r="X1210" t="s">
        <v>9800</v>
      </c>
      <c r="Y1210">
        <v>0.50861288559815776</v>
      </c>
      <c r="Z1210" t="str">
        <f>HYPERLINK("Melting_Curves/meltCurve_sp_P50135_HNMT_HUMAN_.pdf", "Melting_Curves/meltCurve_sp_P50135_HNMT_HUMAN_.pdf")</f>
        <v>Melting_Curves/meltCurve_sp_P50135_HNMT_HUMAN_.pdf</v>
      </c>
      <c r="AA1210" t="s">
        <v>14075</v>
      </c>
      <c r="AB1210" t="s">
        <v>18295</v>
      </c>
    </row>
    <row r="1211" spans="1:28" x14ac:dyDescent="0.25">
      <c r="A1211" t="s">
        <v>1215</v>
      </c>
      <c r="B1211">
        <v>0.99876560204751996</v>
      </c>
      <c r="C1211">
        <v>0.95692969149934903</v>
      </c>
      <c r="D1211">
        <v>0.83867316960888105</v>
      </c>
      <c r="E1211">
        <v>0.62204983830032201</v>
      </c>
      <c r="F1211">
        <v>0.38879837652363902</v>
      </c>
      <c r="G1211">
        <v>0.19821039153276099</v>
      </c>
      <c r="H1211">
        <v>9.1811683944907602E-2</v>
      </c>
      <c r="I1211">
        <v>7.1912723073815896E-2</v>
      </c>
      <c r="J1211">
        <v>6.7079798889082595E-2</v>
      </c>
      <c r="K1211">
        <v>5.4565296701404399E-2</v>
      </c>
      <c r="L1211">
        <v>799.27240280069202</v>
      </c>
      <c r="M1211">
        <v>15.611813376720299</v>
      </c>
      <c r="N1211">
        <v>51.430356092679403</v>
      </c>
      <c r="O1211">
        <v>50.378700535613902</v>
      </c>
      <c r="P1211">
        <v>-7.4825848162248798E-2</v>
      </c>
      <c r="Q1211">
        <v>3.42432982547934E-2</v>
      </c>
      <c r="R1211">
        <v>0.99917548060871098</v>
      </c>
      <c r="S1211" t="s">
        <v>5507</v>
      </c>
      <c r="T1211" t="s">
        <v>8590</v>
      </c>
      <c r="U1211" t="s">
        <v>8590</v>
      </c>
      <c r="V1211" t="s">
        <v>8590</v>
      </c>
      <c r="W1211">
        <v>16</v>
      </c>
      <c r="X1211" t="s">
        <v>9801</v>
      </c>
      <c r="Y1211">
        <v>0.41544504935434262</v>
      </c>
      <c r="Z1211" t="str">
        <f>HYPERLINK("Melting_Curves/meltCurve_sp_P50213_IDH3A_HUMAN_.pdf", "Melting_Curves/meltCurve_sp_P50213_IDH3A_HUMAN_.pdf")</f>
        <v>Melting_Curves/meltCurve_sp_P50213_IDH3A_HUMAN_.pdf</v>
      </c>
      <c r="AA1211" t="s">
        <v>14076</v>
      </c>
      <c r="AB1211" t="s">
        <v>18296</v>
      </c>
    </row>
    <row r="1212" spans="1:28" x14ac:dyDescent="0.25">
      <c r="A1212" t="s">
        <v>1216</v>
      </c>
      <c r="B1212">
        <v>0.99876560204751996</v>
      </c>
      <c r="C1212">
        <v>0.93406810743257696</v>
      </c>
      <c r="D1212">
        <v>0.84206012468735802</v>
      </c>
      <c r="E1212">
        <v>0.48260212052748402</v>
      </c>
      <c r="F1212">
        <v>0.304566439528063</v>
      </c>
      <c r="G1212">
        <v>0.18159215530258599</v>
      </c>
      <c r="H1212">
        <v>0.121416180753527</v>
      </c>
      <c r="I1212">
        <v>7.4106916296975703E-2</v>
      </c>
      <c r="J1212">
        <v>0.11446594950594501</v>
      </c>
      <c r="K1212">
        <v>7.2085269924715395E-2</v>
      </c>
      <c r="L1212">
        <v>902.72420305026799</v>
      </c>
      <c r="M1212">
        <v>18.221638939944</v>
      </c>
      <c r="N1212">
        <v>50.053904391641296</v>
      </c>
      <c r="O1212">
        <v>48.956219423540396</v>
      </c>
      <c r="P1212">
        <v>-8.5135036504749698E-2</v>
      </c>
      <c r="Q1212">
        <v>8.5111347705931206E-2</v>
      </c>
      <c r="R1212">
        <v>0.99749171063361697</v>
      </c>
      <c r="S1212" t="s">
        <v>5508</v>
      </c>
      <c r="T1212" t="s">
        <v>8590</v>
      </c>
      <c r="U1212" t="s">
        <v>8590</v>
      </c>
      <c r="V1212" t="s">
        <v>8590</v>
      </c>
      <c r="W1212">
        <v>16</v>
      </c>
      <c r="X1212" t="s">
        <v>9802</v>
      </c>
      <c r="Y1212">
        <v>0.39141968723834691</v>
      </c>
      <c r="Z1212" t="str">
        <f>HYPERLINK("Melting_Curves/meltCurve_sp_P50224_ST1A3_HUMAN_.pdf", "Melting_Curves/meltCurve_sp_P50224_ST1A3_HUMAN_.pdf")</f>
        <v>Melting_Curves/meltCurve_sp_P50224_ST1A3_HUMAN_.pdf</v>
      </c>
      <c r="AA1212" t="s">
        <v>14077</v>
      </c>
      <c r="AB1212" t="s">
        <v>18297</v>
      </c>
    </row>
    <row r="1213" spans="1:28" x14ac:dyDescent="0.25">
      <c r="A1213" t="s">
        <v>1217</v>
      </c>
      <c r="B1213">
        <v>0.99876560204751996</v>
      </c>
      <c r="C1213">
        <v>0.95485307340944203</v>
      </c>
      <c r="D1213">
        <v>0.95182132903975003</v>
      </c>
      <c r="E1213">
        <v>0.62918400598083202</v>
      </c>
      <c r="F1213">
        <v>0.187854004079092</v>
      </c>
      <c r="G1213">
        <v>9.5573284744901094E-2</v>
      </c>
      <c r="H1213">
        <v>5.5547626682094703E-2</v>
      </c>
      <c r="I1213">
        <v>3.5245099809168998E-2</v>
      </c>
      <c r="J1213">
        <v>3.2207669528687297E-2</v>
      </c>
      <c r="K1213">
        <v>2.50614138124753E-2</v>
      </c>
      <c r="L1213">
        <v>1753.0108241723599</v>
      </c>
      <c r="M1213">
        <v>34.647492017432</v>
      </c>
      <c r="N1213">
        <v>50.723090420004098</v>
      </c>
      <c r="O1213">
        <v>50.427953140399801</v>
      </c>
      <c r="P1213">
        <v>-0.16460630510979299</v>
      </c>
      <c r="Q1213">
        <v>4.1693701040477503E-2</v>
      </c>
      <c r="R1213">
        <v>0.99736260553027001</v>
      </c>
      <c r="S1213" t="s">
        <v>5509</v>
      </c>
      <c r="T1213" t="s">
        <v>8590</v>
      </c>
      <c r="U1213" t="s">
        <v>8590</v>
      </c>
      <c r="V1213" t="s">
        <v>8590</v>
      </c>
      <c r="W1213">
        <v>23</v>
      </c>
      <c r="X1213" t="s">
        <v>9803</v>
      </c>
      <c r="Y1213">
        <v>0.38463281585426112</v>
      </c>
      <c r="Z1213" t="str">
        <f>HYPERLINK("Melting_Curves/meltCurve_sp_P50225_ST1A1_HUMAN_.pdf", "Melting_Curves/meltCurve_sp_P50225_ST1A1_HUMAN_.pdf")</f>
        <v>Melting_Curves/meltCurve_sp_P50225_ST1A1_HUMAN_.pdf</v>
      </c>
      <c r="AA1213" t="s">
        <v>14078</v>
      </c>
      <c r="AB1213" t="s">
        <v>18298</v>
      </c>
    </row>
    <row r="1214" spans="1:28" x14ac:dyDescent="0.25">
      <c r="A1214" t="s">
        <v>1218</v>
      </c>
      <c r="B1214">
        <v>0.99876560204751996</v>
      </c>
      <c r="C1214">
        <v>0.872367180122675</v>
      </c>
      <c r="D1214">
        <v>0.92603742028817004</v>
      </c>
      <c r="E1214">
        <v>0.58787527847682897</v>
      </c>
      <c r="F1214">
        <v>0.18759462378751601</v>
      </c>
      <c r="G1214">
        <v>0.10187961368493299</v>
      </c>
      <c r="H1214">
        <v>5.4469847423910603E-2</v>
      </c>
      <c r="I1214">
        <v>4.21030848653665E-2</v>
      </c>
      <c r="J1214">
        <v>4.03295600473874E-2</v>
      </c>
      <c r="K1214">
        <v>3.5357469141019698E-2</v>
      </c>
      <c r="L1214">
        <v>1433.2341356524601</v>
      </c>
      <c r="M1214">
        <v>28.491687091796599</v>
      </c>
      <c r="N1214">
        <v>50.459920398625101</v>
      </c>
      <c r="O1214">
        <v>50.057749115003503</v>
      </c>
      <c r="P1214">
        <v>-0.136284276590588</v>
      </c>
      <c r="Q1214">
        <v>4.2243040410257199E-2</v>
      </c>
      <c r="R1214">
        <v>0.988585011889902</v>
      </c>
      <c r="S1214" t="s">
        <v>5510</v>
      </c>
      <c r="T1214" t="s">
        <v>8590</v>
      </c>
      <c r="U1214" t="s">
        <v>8590</v>
      </c>
      <c r="V1214" t="s">
        <v>8590</v>
      </c>
      <c r="W1214">
        <v>22</v>
      </c>
      <c r="X1214" t="s">
        <v>9804</v>
      </c>
      <c r="Y1214">
        <v>0.37779310986913123</v>
      </c>
      <c r="Z1214" t="str">
        <f>HYPERLINK("Melting_Curves/meltCurve_sp_P50226_ST1A2_HUMAN_.pdf", "Melting_Curves/meltCurve_sp_P50226_ST1A2_HUMAN_.pdf")</f>
        <v>Melting_Curves/meltCurve_sp_P50226_ST1A2_HUMAN_.pdf</v>
      </c>
      <c r="AA1214" t="s">
        <v>14079</v>
      </c>
      <c r="AB1214" t="s">
        <v>18299</v>
      </c>
    </row>
    <row r="1215" spans="1:28" x14ac:dyDescent="0.25">
      <c r="A1215" t="s">
        <v>1219</v>
      </c>
      <c r="B1215">
        <v>0.99876560204751996</v>
      </c>
      <c r="C1215">
        <v>1.00164824968317</v>
      </c>
      <c r="D1215">
        <v>0.81684879420994205</v>
      </c>
      <c r="E1215">
        <v>0.73670868842411297</v>
      </c>
      <c r="F1215">
        <v>0.44815810201699202</v>
      </c>
      <c r="G1215">
        <v>0.21385287813769999</v>
      </c>
      <c r="H1215">
        <v>0.13945567635577399</v>
      </c>
      <c r="I1215">
        <v>0.13766208460881399</v>
      </c>
      <c r="J1215">
        <v>6.4286640215393501E-2</v>
      </c>
      <c r="K1215">
        <v>2.2656815997823199E-2</v>
      </c>
      <c r="L1215">
        <v>790.28597156993806</v>
      </c>
      <c r="M1215">
        <v>15.1178796873733</v>
      </c>
      <c r="N1215">
        <v>52.503588837442699</v>
      </c>
      <c r="O1215">
        <v>51.385867934231001</v>
      </c>
      <c r="P1215">
        <v>-7.1214382337948301E-2</v>
      </c>
      <c r="Q1215">
        <v>3.1860838904964398E-2</v>
      </c>
      <c r="R1215">
        <v>0.98914571088626002</v>
      </c>
      <c r="S1215" t="s">
        <v>5511</v>
      </c>
      <c r="T1215" t="s">
        <v>8590</v>
      </c>
      <c r="U1215" t="s">
        <v>8590</v>
      </c>
      <c r="V1215" t="s">
        <v>8590</v>
      </c>
      <c r="W1215">
        <v>4</v>
      </c>
      <c r="X1215" t="s">
        <v>9805</v>
      </c>
      <c r="Y1215">
        <v>0.4491720747764773</v>
      </c>
      <c r="Z1215" t="str">
        <f>HYPERLINK("Melting_Curves/meltCurve_sp_P50336_PPOX_HUMAN_.pdf", "Melting_Curves/meltCurve_sp_P50336_PPOX_HUMAN_.pdf")</f>
        <v>Melting_Curves/meltCurve_sp_P50336_PPOX_HUMAN_.pdf</v>
      </c>
      <c r="AA1215" t="s">
        <v>14080</v>
      </c>
      <c r="AB1215" t="s">
        <v>18300</v>
      </c>
    </row>
    <row r="1216" spans="1:28" x14ac:dyDescent="0.25">
      <c r="A1216" t="s">
        <v>1220</v>
      </c>
      <c r="B1216">
        <v>0.99876560204751996</v>
      </c>
      <c r="C1216">
        <v>0.95738166366825805</v>
      </c>
      <c r="D1216">
        <v>0.99892848145606306</v>
      </c>
      <c r="E1216">
        <v>0.94098394192442403</v>
      </c>
      <c r="F1216">
        <v>0.73611666857853597</v>
      </c>
      <c r="G1216">
        <v>0.23932564834616499</v>
      </c>
      <c r="H1216">
        <v>9.3481436374400095E-2</v>
      </c>
      <c r="I1216">
        <v>6.8508606016149901E-2</v>
      </c>
      <c r="J1216">
        <v>5.77091269347682E-2</v>
      </c>
      <c r="K1216">
        <v>4.8224264390193103E-2</v>
      </c>
      <c r="L1216">
        <v>1737.9988377821601</v>
      </c>
      <c r="M1216">
        <v>31.873081170596901</v>
      </c>
      <c r="N1216">
        <v>54.730244009295298</v>
      </c>
      <c r="O1216">
        <v>54.315434336510002</v>
      </c>
      <c r="P1216">
        <v>-0.13858227220540401</v>
      </c>
      <c r="Q1216">
        <v>5.5363688589040901E-2</v>
      </c>
      <c r="R1216">
        <v>0.99882411617903999</v>
      </c>
      <c r="S1216" t="s">
        <v>5512</v>
      </c>
      <c r="T1216" t="s">
        <v>8590</v>
      </c>
      <c r="U1216" t="s">
        <v>8590</v>
      </c>
      <c r="V1216" t="s">
        <v>8590</v>
      </c>
      <c r="W1216">
        <v>46</v>
      </c>
      <c r="X1216" t="s">
        <v>9806</v>
      </c>
      <c r="Y1216">
        <v>0.51839688119234195</v>
      </c>
      <c r="Z1216" t="str">
        <f>HYPERLINK("Melting_Curves/meltCurve_sp_P50395_GDIB_HUMAN_.pdf", "Melting_Curves/meltCurve_sp_P50395_GDIB_HUMAN_.pdf")</f>
        <v>Melting_Curves/meltCurve_sp_P50395_GDIB_HUMAN_.pdf</v>
      </c>
      <c r="AA1216" t="s">
        <v>14081</v>
      </c>
      <c r="AB1216" t="s">
        <v>18301</v>
      </c>
    </row>
    <row r="1217" spans="1:28" x14ac:dyDescent="0.25">
      <c r="A1217" t="s">
        <v>1221</v>
      </c>
      <c r="B1217">
        <v>0.99876560204751996</v>
      </c>
      <c r="C1217">
        <v>0.91026874365590604</v>
      </c>
      <c r="D1217">
        <v>0.98597800376297196</v>
      </c>
      <c r="E1217">
        <v>0.85247524571227895</v>
      </c>
      <c r="F1217">
        <v>0.79244970545496496</v>
      </c>
      <c r="G1217">
        <v>0.68659203087118503</v>
      </c>
      <c r="H1217">
        <v>0.60649970342113702</v>
      </c>
      <c r="I1217">
        <v>0.60191792487669105</v>
      </c>
      <c r="J1217">
        <v>0.77049468645698205</v>
      </c>
      <c r="K1217">
        <v>0.74621078165619503</v>
      </c>
      <c r="L1217">
        <v>1171.4917548481401</v>
      </c>
      <c r="M1217">
        <v>23.1323770910526</v>
      </c>
      <c r="O1217">
        <v>50.269033817414403</v>
      </c>
      <c r="P1217">
        <v>-3.6863115206161402E-2</v>
      </c>
      <c r="Q1217">
        <v>0.67957650509571799</v>
      </c>
      <c r="R1217">
        <v>0.81480790649600299</v>
      </c>
      <c r="S1217" t="s">
        <v>5513</v>
      </c>
      <c r="T1217" t="s">
        <v>8590</v>
      </c>
      <c r="U1217" t="s">
        <v>8590</v>
      </c>
      <c r="V1217" t="s">
        <v>8590</v>
      </c>
      <c r="W1217">
        <v>5</v>
      </c>
      <c r="X1217" t="s">
        <v>9807</v>
      </c>
      <c r="Y1217">
        <v>0.79661212205551812</v>
      </c>
      <c r="Z1217" t="str">
        <f>HYPERLINK("Melting_Curves/meltCurve_sp_P50402_EMD_HUMAN_.pdf", "Melting_Curves/meltCurve_sp_P50402_EMD_HUMAN_.pdf")</f>
        <v>Melting_Curves/meltCurve_sp_P50402_EMD_HUMAN_.pdf</v>
      </c>
      <c r="AA1217" t="s">
        <v>14082</v>
      </c>
      <c r="AB1217" t="s">
        <v>18302</v>
      </c>
    </row>
    <row r="1218" spans="1:28" x14ac:dyDescent="0.25">
      <c r="A1218" t="s">
        <v>1222</v>
      </c>
      <c r="B1218">
        <v>0.99876560204751996</v>
      </c>
      <c r="C1218">
        <v>1.0194786630222801</v>
      </c>
      <c r="D1218">
        <v>0.70318418809841698</v>
      </c>
      <c r="E1218">
        <v>0.56297728225612498</v>
      </c>
      <c r="F1218">
        <v>0.40417318055382401</v>
      </c>
      <c r="G1218">
        <v>0.17236365309128099</v>
      </c>
      <c r="H1218">
        <v>0.11504566074334401</v>
      </c>
      <c r="I1218">
        <v>9.3004834670715603E-2</v>
      </c>
      <c r="J1218">
        <v>8.5966765041063598E-2</v>
      </c>
      <c r="K1218">
        <v>4.3205486320077702E-2</v>
      </c>
      <c r="L1218">
        <v>691.07124284199801</v>
      </c>
      <c r="M1218">
        <v>13.691391012677901</v>
      </c>
      <c r="N1218">
        <v>50.755292157547402</v>
      </c>
      <c r="O1218">
        <v>49.434614858926601</v>
      </c>
      <c r="P1218">
        <v>-6.6727352042447396E-2</v>
      </c>
      <c r="Q1218">
        <v>3.6426660063923103E-2</v>
      </c>
      <c r="R1218">
        <v>0.98281558198522601</v>
      </c>
      <c r="S1218" t="s">
        <v>5514</v>
      </c>
      <c r="T1218" t="s">
        <v>8590</v>
      </c>
      <c r="U1218" t="s">
        <v>8590</v>
      </c>
      <c r="V1218" t="s">
        <v>8590</v>
      </c>
      <c r="W1218">
        <v>1</v>
      </c>
      <c r="X1218" t="s">
        <v>9808</v>
      </c>
      <c r="Y1218">
        <v>0.39924430451547849</v>
      </c>
      <c r="Z1218" t="str">
        <f>HYPERLINK("Melting_Curves/meltCurve_sp_P50416_CPT1A_HUMAN_.pdf", "Melting_Curves/meltCurve_sp_P50416_CPT1A_HUMAN_.pdf")</f>
        <v>Melting_Curves/meltCurve_sp_P50416_CPT1A_HUMAN_.pdf</v>
      </c>
      <c r="AA1218" t="s">
        <v>14083</v>
      </c>
      <c r="AB1218" t="s">
        <v>18303</v>
      </c>
    </row>
    <row r="1219" spans="1:28" x14ac:dyDescent="0.25">
      <c r="A1219" t="s">
        <v>1223</v>
      </c>
      <c r="B1219">
        <v>0.99876560204751996</v>
      </c>
      <c r="C1219">
        <v>0.99841804717205895</v>
      </c>
      <c r="D1219">
        <v>0.98496626365190598</v>
      </c>
      <c r="E1219">
        <v>0.98305833863458003</v>
      </c>
      <c r="F1219">
        <v>0.73845599165445697</v>
      </c>
      <c r="G1219">
        <v>0.44477035190561398</v>
      </c>
      <c r="H1219">
        <v>0.32057486855508599</v>
      </c>
      <c r="I1219">
        <v>0.253082058604301</v>
      </c>
      <c r="J1219">
        <v>0.189486657542558</v>
      </c>
      <c r="K1219">
        <v>8.2120119999108801E-2</v>
      </c>
      <c r="L1219">
        <v>1023.99482748199</v>
      </c>
      <c r="M1219">
        <v>18.329566391448399</v>
      </c>
      <c r="N1219">
        <v>56.8000120817332</v>
      </c>
      <c r="O1219">
        <v>55.213523698954901</v>
      </c>
      <c r="P1219">
        <v>-7.2196222472301702E-2</v>
      </c>
      <c r="Q1219">
        <v>0.13014314521704301</v>
      </c>
      <c r="R1219">
        <v>0.98720640226438305</v>
      </c>
      <c r="S1219" t="s">
        <v>5515</v>
      </c>
      <c r="T1219" t="s">
        <v>8590</v>
      </c>
      <c r="U1219" t="s">
        <v>8590</v>
      </c>
      <c r="V1219" t="s">
        <v>8590</v>
      </c>
      <c r="W1219">
        <v>42</v>
      </c>
      <c r="X1219" t="s">
        <v>9809</v>
      </c>
      <c r="Y1219">
        <v>0.60280302715475775</v>
      </c>
      <c r="Z1219" t="str">
        <f>HYPERLINK("Melting_Curves/meltCurve_sp_P50440_2_GATM_HUMAN_.pdf", "Melting_Curves/meltCurve_sp_P50440_2_GATM_HUMAN_.pdf")</f>
        <v>Melting_Curves/meltCurve_sp_P50440_2_GATM_HUMAN_.pdf</v>
      </c>
      <c r="AA1219" t="s">
        <v>14084</v>
      </c>
      <c r="AB1219" t="s">
        <v>18304</v>
      </c>
    </row>
    <row r="1220" spans="1:28" x14ac:dyDescent="0.25">
      <c r="A1220" t="s">
        <v>1224</v>
      </c>
      <c r="B1220">
        <v>0.99876560204751996</v>
      </c>
      <c r="C1220">
        <v>1.08997656814135</v>
      </c>
      <c r="D1220">
        <v>0.81759121253371603</v>
      </c>
      <c r="E1220">
        <v>0.79098249057376802</v>
      </c>
      <c r="F1220">
        <v>0.64856319996465495</v>
      </c>
      <c r="G1220">
        <v>0.31718232796902801</v>
      </c>
      <c r="H1220">
        <v>0.14755595144425901</v>
      </c>
      <c r="I1220">
        <v>0.14471449895341401</v>
      </c>
      <c r="J1220">
        <v>0.13308886815259599</v>
      </c>
      <c r="K1220">
        <v>5.6995749339325198E-2</v>
      </c>
      <c r="L1220">
        <v>827.30814211614495</v>
      </c>
      <c r="M1220">
        <v>15.303174154046999</v>
      </c>
      <c r="N1220">
        <v>54.407668376666699</v>
      </c>
      <c r="O1220">
        <v>53.163281306274698</v>
      </c>
      <c r="P1220">
        <v>-6.8628650709560396E-2</v>
      </c>
      <c r="Q1220">
        <v>4.6424381217526699E-2</v>
      </c>
      <c r="R1220">
        <v>0.97622408818373896</v>
      </c>
      <c r="S1220" t="s">
        <v>5516</v>
      </c>
      <c r="T1220" t="s">
        <v>8590</v>
      </c>
      <c r="U1220" t="s">
        <v>8590</v>
      </c>
      <c r="V1220" t="s">
        <v>8590</v>
      </c>
      <c r="W1220">
        <v>42</v>
      </c>
      <c r="X1220" t="s">
        <v>9810</v>
      </c>
      <c r="Y1220">
        <v>0.51239274297003468</v>
      </c>
      <c r="Z1220" t="str">
        <f>HYPERLINK("Melting_Curves/meltCurve_sp_P50440_GATM_HUMAN_.pdf", "Melting_Curves/meltCurve_sp_P50440_GATM_HUMAN_.pdf")</f>
        <v>Melting_Curves/meltCurve_sp_P50440_GATM_HUMAN_.pdf</v>
      </c>
      <c r="AA1220" t="s">
        <v>14084</v>
      </c>
      <c r="AB1220" t="s">
        <v>18305</v>
      </c>
    </row>
    <row r="1221" spans="1:28" x14ac:dyDescent="0.25">
      <c r="A1221" t="s">
        <v>1225</v>
      </c>
      <c r="B1221">
        <v>0.99876560204751996</v>
      </c>
      <c r="C1221">
        <v>0.98263406490789396</v>
      </c>
      <c r="D1221">
        <v>1.0033441042125499</v>
      </c>
      <c r="E1221">
        <v>0.85740580513088305</v>
      </c>
      <c r="F1221">
        <v>0.78555100145849599</v>
      </c>
      <c r="G1221">
        <v>0.61710160101929301</v>
      </c>
      <c r="H1221">
        <v>0.46759768817101399</v>
      </c>
      <c r="I1221">
        <v>0.39109531787851098</v>
      </c>
      <c r="J1221">
        <v>0.30282319023788701</v>
      </c>
      <c r="K1221">
        <v>0.24633091151805001</v>
      </c>
      <c r="L1221">
        <v>638.51659611330501</v>
      </c>
      <c r="M1221">
        <v>10.9365123571031</v>
      </c>
      <c r="N1221">
        <v>60.096976611320599</v>
      </c>
      <c r="O1221">
        <v>56.533700914281802</v>
      </c>
      <c r="P1221">
        <v>-4.19008125894006E-2</v>
      </c>
      <c r="Q1221">
        <v>0.133913628308092</v>
      </c>
      <c r="R1221">
        <v>0.99604403095490301</v>
      </c>
      <c r="S1221" t="s">
        <v>5517</v>
      </c>
      <c r="T1221" t="s">
        <v>8590</v>
      </c>
      <c r="U1221" t="s">
        <v>8590</v>
      </c>
      <c r="V1221" t="s">
        <v>8590</v>
      </c>
      <c r="W1221">
        <v>4</v>
      </c>
      <c r="X1221" t="s">
        <v>9811</v>
      </c>
      <c r="Y1221">
        <v>0.67284074475081568</v>
      </c>
      <c r="Z1221" t="str">
        <f>HYPERLINK("Melting_Curves/meltCurve_sp_P50452_SPB8_HUMAN_.pdf", "Melting_Curves/meltCurve_sp_P50452_SPB8_HUMAN_.pdf")</f>
        <v>Melting_Curves/meltCurve_sp_P50452_SPB8_HUMAN_.pdf</v>
      </c>
      <c r="AA1221" t="s">
        <v>14085</v>
      </c>
      <c r="AB1221" t="s">
        <v>18306</v>
      </c>
    </row>
    <row r="1222" spans="1:28" x14ac:dyDescent="0.25">
      <c r="A1222" t="s">
        <v>1226</v>
      </c>
      <c r="B1222">
        <v>0.99876560204751996</v>
      </c>
      <c r="C1222">
        <v>0.88321195015328602</v>
      </c>
      <c r="D1222">
        <v>0.89195840247437097</v>
      </c>
      <c r="E1222">
        <v>0.78433132983819998</v>
      </c>
      <c r="F1222">
        <v>0.67258136669137103</v>
      </c>
      <c r="G1222">
        <v>0.35275800854408801</v>
      </c>
      <c r="H1222">
        <v>8.5318932836851394E-2</v>
      </c>
      <c r="I1222">
        <v>6.4639382204371196E-2</v>
      </c>
      <c r="J1222">
        <v>4.2137932448497201E-2</v>
      </c>
      <c r="K1222">
        <v>2.4391836621644999E-2</v>
      </c>
      <c r="L1222">
        <v>893.66892115676103</v>
      </c>
      <c r="M1222">
        <v>16.386583187909299</v>
      </c>
      <c r="N1222">
        <v>54.536623734218203</v>
      </c>
      <c r="O1222">
        <v>53.743830915613202</v>
      </c>
      <c r="P1222">
        <v>-7.6230857826585105E-2</v>
      </c>
      <c r="Q1222">
        <v>0</v>
      </c>
      <c r="R1222">
        <v>0.98369691955703598</v>
      </c>
      <c r="S1222" t="s">
        <v>5518</v>
      </c>
      <c r="T1222" t="s">
        <v>8590</v>
      </c>
      <c r="U1222" t="s">
        <v>8590</v>
      </c>
      <c r="V1222" t="s">
        <v>8590</v>
      </c>
      <c r="W1222">
        <v>8</v>
      </c>
      <c r="X1222" t="s">
        <v>9812</v>
      </c>
      <c r="Y1222">
        <v>0.50241669954656187</v>
      </c>
      <c r="Z1222" t="str">
        <f>HYPERLINK("Melting_Curves/meltCurve_sp_P50453_SPB9_HUMAN_.pdf", "Melting_Curves/meltCurve_sp_P50453_SPB9_HUMAN_.pdf")</f>
        <v>Melting_Curves/meltCurve_sp_P50453_SPB9_HUMAN_.pdf</v>
      </c>
      <c r="AA1222" t="s">
        <v>14086</v>
      </c>
      <c r="AB1222" t="s">
        <v>18307</v>
      </c>
    </row>
    <row r="1223" spans="1:28" x14ac:dyDescent="0.25">
      <c r="A1223" t="s">
        <v>1227</v>
      </c>
      <c r="B1223">
        <v>0.99876560204751996</v>
      </c>
      <c r="C1223">
        <v>1.0365350763080401</v>
      </c>
      <c r="D1223">
        <v>0.90503773312413005</v>
      </c>
      <c r="E1223">
        <v>0.80411683173950899</v>
      </c>
      <c r="F1223">
        <v>0.56251504338012004</v>
      </c>
      <c r="G1223">
        <v>0.23821322565883599</v>
      </c>
      <c r="H1223">
        <v>0.169878851755947</v>
      </c>
      <c r="I1223">
        <v>0.12847666909771999</v>
      </c>
      <c r="J1223">
        <v>0.11145488439402799</v>
      </c>
      <c r="K1223">
        <v>0.110741375520451</v>
      </c>
      <c r="L1223">
        <v>1108.1413158891401</v>
      </c>
      <c r="M1223">
        <v>20.934344989626499</v>
      </c>
      <c r="N1223">
        <v>53.522693594966903</v>
      </c>
      <c r="O1223">
        <v>52.458203324058204</v>
      </c>
      <c r="P1223">
        <v>-8.9511717714978498E-2</v>
      </c>
      <c r="Q1223">
        <v>0.102814693045919</v>
      </c>
      <c r="R1223">
        <v>0.99528551434185897</v>
      </c>
      <c r="S1223" t="s">
        <v>5519</v>
      </c>
      <c r="T1223" t="s">
        <v>8590</v>
      </c>
      <c r="U1223" t="s">
        <v>8590</v>
      </c>
      <c r="V1223" t="s">
        <v>8590</v>
      </c>
      <c r="W1223">
        <v>8</v>
      </c>
      <c r="X1223" t="s">
        <v>9813</v>
      </c>
      <c r="Y1223">
        <v>0.50103223185145895</v>
      </c>
      <c r="Z1223" t="str">
        <f>HYPERLINK("Melting_Curves/meltCurve_sp_P50454_SERPH_HUMAN_.pdf", "Melting_Curves/meltCurve_sp_P50454_SERPH_HUMAN_.pdf")</f>
        <v>Melting_Curves/meltCurve_sp_P50454_SERPH_HUMAN_.pdf</v>
      </c>
      <c r="AA1223" t="s">
        <v>14087</v>
      </c>
      <c r="AB1223" t="s">
        <v>18308</v>
      </c>
    </row>
    <row r="1224" spans="1:28" x14ac:dyDescent="0.25">
      <c r="A1224" t="s">
        <v>1228</v>
      </c>
      <c r="B1224">
        <v>0.99876560204751996</v>
      </c>
      <c r="C1224">
        <v>0.985556492059531</v>
      </c>
      <c r="D1224">
        <v>1.0253944848829699</v>
      </c>
      <c r="E1224">
        <v>0.99105052610653999</v>
      </c>
      <c r="F1224">
        <v>0.96692347468023498</v>
      </c>
      <c r="G1224">
        <v>0.691614473516039</v>
      </c>
      <c r="H1224">
        <v>0.45409396911656502</v>
      </c>
      <c r="I1224">
        <v>0.44701875344714997</v>
      </c>
      <c r="J1224">
        <v>0.54859787621243705</v>
      </c>
      <c r="K1224">
        <v>0.54221914784362701</v>
      </c>
      <c r="L1224">
        <v>14223.472705480001</v>
      </c>
      <c r="M1224">
        <v>250</v>
      </c>
      <c r="N1224">
        <v>58.176738667172998</v>
      </c>
      <c r="O1224">
        <v>56.890250013452103</v>
      </c>
      <c r="P1224">
        <v>-0.55151977735787605</v>
      </c>
      <c r="Q1224">
        <v>0.49798243245289497</v>
      </c>
      <c r="R1224">
        <v>0.98032052303917805</v>
      </c>
      <c r="S1224" t="s">
        <v>5520</v>
      </c>
      <c r="T1224" t="s">
        <v>8590</v>
      </c>
      <c r="U1224" t="s">
        <v>8590</v>
      </c>
      <c r="V1224" t="s">
        <v>8590</v>
      </c>
      <c r="W1224">
        <v>17</v>
      </c>
      <c r="X1224" t="s">
        <v>9814</v>
      </c>
      <c r="Y1224">
        <v>0.78073355707678216</v>
      </c>
      <c r="Z1224" t="str">
        <f>HYPERLINK("Melting_Curves/meltCurve_sp_P50502_F10A1_HUMAN_.pdf", "Melting_Curves/meltCurve_sp_P50502_F10A1_HUMAN_.pdf")</f>
        <v>Melting_Curves/meltCurve_sp_P50502_F10A1_HUMAN_.pdf</v>
      </c>
      <c r="AA1224" t="s">
        <v>14088</v>
      </c>
      <c r="AB1224" t="s">
        <v>18309</v>
      </c>
    </row>
    <row r="1225" spans="1:28" x14ac:dyDescent="0.25">
      <c r="A1225" t="s">
        <v>1229</v>
      </c>
      <c r="B1225">
        <v>0.99876560204751996</v>
      </c>
      <c r="C1225">
        <v>1.11331356037464</v>
      </c>
      <c r="D1225">
        <v>1.0652843654972399</v>
      </c>
      <c r="E1225">
        <v>0.95072421964076903</v>
      </c>
      <c r="F1225">
        <v>0.78307150454113394</v>
      </c>
      <c r="G1225">
        <v>0.72460178249408003</v>
      </c>
      <c r="H1225">
        <v>0.42123613287349898</v>
      </c>
      <c r="I1225">
        <v>0.303970046026869</v>
      </c>
      <c r="J1225">
        <v>0.16251782727493</v>
      </c>
      <c r="K1225">
        <v>0.119898775208858</v>
      </c>
      <c r="L1225">
        <v>849.59244523851498</v>
      </c>
      <c r="M1225">
        <v>14.177991394943801</v>
      </c>
      <c r="N1225">
        <v>59.923329344007797</v>
      </c>
      <c r="O1225">
        <v>58.769018060453803</v>
      </c>
      <c r="P1225">
        <v>-6.03199582175322E-2</v>
      </c>
      <c r="Q1225">
        <v>0</v>
      </c>
      <c r="R1225">
        <v>0.977096355672609</v>
      </c>
      <c r="S1225" t="s">
        <v>5521</v>
      </c>
      <c r="T1225" t="s">
        <v>8590</v>
      </c>
      <c r="U1225" t="s">
        <v>8590</v>
      </c>
      <c r="V1225" t="s">
        <v>8590</v>
      </c>
      <c r="W1225">
        <v>3</v>
      </c>
      <c r="X1225" t="s">
        <v>9815</v>
      </c>
      <c r="Y1225">
        <v>0.67050253034112217</v>
      </c>
      <c r="Z1225" t="str">
        <f>HYPERLINK("Melting_Curves/meltCurve_sp_P50542_2_PEX5_HUMAN_.pdf", "Melting_Curves/meltCurve_sp_P50542_2_PEX5_HUMAN_.pdf")</f>
        <v>Melting_Curves/meltCurve_sp_P50542_2_PEX5_HUMAN_.pdf</v>
      </c>
      <c r="AA1225" t="s">
        <v>14089</v>
      </c>
      <c r="AB1225" t="s">
        <v>18310</v>
      </c>
    </row>
    <row r="1226" spans="1:28" x14ac:dyDescent="0.25">
      <c r="A1226" t="s">
        <v>1230</v>
      </c>
      <c r="B1226">
        <v>0.99876560204751996</v>
      </c>
      <c r="C1226">
        <v>0.92313229740331804</v>
      </c>
      <c r="D1226">
        <v>1.0250939002889401</v>
      </c>
      <c r="E1226">
        <v>0.86441825305750697</v>
      </c>
      <c r="F1226">
        <v>0.72187078139233196</v>
      </c>
      <c r="G1226">
        <v>0.42046145232235699</v>
      </c>
      <c r="H1226">
        <v>0.27433205646860698</v>
      </c>
      <c r="I1226">
        <v>0.23370109711575099</v>
      </c>
      <c r="J1226">
        <v>0.29328078298877303</v>
      </c>
      <c r="K1226">
        <v>0.29142627634611401</v>
      </c>
      <c r="L1226">
        <v>1293.51750823522</v>
      </c>
      <c r="M1226">
        <v>24.009804304489499</v>
      </c>
      <c r="N1226">
        <v>55.559502059640202</v>
      </c>
      <c r="O1226">
        <v>53.505006670015199</v>
      </c>
      <c r="P1226">
        <v>-8.3175443447093905E-2</v>
      </c>
      <c r="Q1226">
        <v>0.25859760002441701</v>
      </c>
      <c r="R1226">
        <v>0.98704784562756398</v>
      </c>
      <c r="S1226" t="s">
        <v>5522</v>
      </c>
      <c r="T1226" t="s">
        <v>8590</v>
      </c>
      <c r="U1226" t="s">
        <v>8590</v>
      </c>
      <c r="V1226" t="s">
        <v>8590</v>
      </c>
      <c r="W1226">
        <v>10</v>
      </c>
      <c r="X1226" t="s">
        <v>9816</v>
      </c>
      <c r="Y1226">
        <v>0.60886483245502632</v>
      </c>
      <c r="Z1226" t="str">
        <f>HYPERLINK("Melting_Curves/meltCurve_sp_P50552_VASP_HUMAN_.pdf", "Melting_Curves/meltCurve_sp_P50552_VASP_HUMAN_.pdf")</f>
        <v>Melting_Curves/meltCurve_sp_P50552_VASP_HUMAN_.pdf</v>
      </c>
      <c r="AA1226" t="s">
        <v>14090</v>
      </c>
      <c r="AB1226" t="s">
        <v>18311</v>
      </c>
    </row>
    <row r="1227" spans="1:28" x14ac:dyDescent="0.25">
      <c r="A1227" t="s">
        <v>1231</v>
      </c>
      <c r="B1227">
        <v>0.99876560204751996</v>
      </c>
      <c r="C1227">
        <v>1.0298869011996099</v>
      </c>
      <c r="D1227">
        <v>0.97479879120507795</v>
      </c>
      <c r="E1227">
        <v>0.64662658854989497</v>
      </c>
      <c r="F1227">
        <v>0.18939822151320401</v>
      </c>
      <c r="G1227">
        <v>0.115036806167527</v>
      </c>
      <c r="H1227">
        <v>6.9632613800165596E-2</v>
      </c>
      <c r="I1227">
        <v>5.9072638182232101E-2</v>
      </c>
      <c r="J1227">
        <v>5.6662197216266197E-2</v>
      </c>
      <c r="K1227">
        <v>4.94528458759994E-2</v>
      </c>
      <c r="L1227">
        <v>2018.10372744705</v>
      </c>
      <c r="M1227">
        <v>39.880816171074102</v>
      </c>
      <c r="N1227">
        <v>50.784260584658597</v>
      </c>
      <c r="O1227">
        <v>50.476632522023301</v>
      </c>
      <c r="P1227">
        <v>-0.18444250510111601</v>
      </c>
      <c r="Q1227">
        <v>6.6215933513968706E-2</v>
      </c>
      <c r="R1227">
        <v>0.99827172647624896</v>
      </c>
      <c r="S1227" t="s">
        <v>5523</v>
      </c>
      <c r="T1227" t="s">
        <v>8590</v>
      </c>
      <c r="U1227" t="s">
        <v>8590</v>
      </c>
      <c r="V1227" t="s">
        <v>8590</v>
      </c>
      <c r="W1227">
        <v>18</v>
      </c>
      <c r="X1227" t="s">
        <v>9817</v>
      </c>
      <c r="Y1227">
        <v>0.39954411611496488</v>
      </c>
      <c r="Z1227" t="str">
        <f>HYPERLINK("Melting_Curves/meltCurve_sp_P50570_DYN2_HUMAN_.pdf", "Melting_Curves/meltCurve_sp_P50570_DYN2_HUMAN_.pdf")</f>
        <v>Melting_Curves/meltCurve_sp_P50570_DYN2_HUMAN_.pdf</v>
      </c>
      <c r="AA1227" t="s">
        <v>14091</v>
      </c>
      <c r="AB1227" t="s">
        <v>18312</v>
      </c>
    </row>
    <row r="1228" spans="1:28" x14ac:dyDescent="0.25">
      <c r="A1228" t="s">
        <v>1232</v>
      </c>
      <c r="B1228">
        <v>0.99876560204751996</v>
      </c>
      <c r="C1228">
        <v>0.95235919427329396</v>
      </c>
      <c r="D1228">
        <v>0.95064479843514504</v>
      </c>
      <c r="E1228">
        <v>0.76236910611721298</v>
      </c>
      <c r="F1228">
        <v>0.75482197483338098</v>
      </c>
      <c r="G1228">
        <v>0.57187932522933904</v>
      </c>
      <c r="H1228">
        <v>0.41541608071463698</v>
      </c>
      <c r="I1228">
        <v>0.31392222616598803</v>
      </c>
      <c r="J1228">
        <v>0.22525066435390101</v>
      </c>
      <c r="K1228">
        <v>0.116501353045144</v>
      </c>
      <c r="L1228">
        <v>561.61887526716498</v>
      </c>
      <c r="M1228">
        <v>9.6204791266649892</v>
      </c>
      <c r="N1228">
        <v>58.377432422769303</v>
      </c>
      <c r="O1228">
        <v>56.022341228107003</v>
      </c>
      <c r="P1228">
        <v>-4.2955643759149703E-2</v>
      </c>
      <c r="Q1228">
        <v>0</v>
      </c>
      <c r="R1228">
        <v>0.98932917539460796</v>
      </c>
      <c r="S1228" t="s">
        <v>5524</v>
      </c>
      <c r="T1228" t="s">
        <v>8590</v>
      </c>
      <c r="U1228" t="s">
        <v>8590</v>
      </c>
      <c r="V1228" t="s">
        <v>8590</v>
      </c>
      <c r="W1228">
        <v>9</v>
      </c>
      <c r="X1228" t="s">
        <v>9818</v>
      </c>
      <c r="Y1228">
        <v>0.61907396580378493</v>
      </c>
      <c r="Z1228" t="str">
        <f>HYPERLINK("Melting_Curves/meltCurve_sp_P50579_AMPM2_HUMAN_.pdf", "Melting_Curves/meltCurve_sp_P50579_AMPM2_HUMAN_.pdf")</f>
        <v>Melting_Curves/meltCurve_sp_P50579_AMPM2_HUMAN_.pdf</v>
      </c>
      <c r="AA1228" t="s">
        <v>14092</v>
      </c>
      <c r="AB1228" t="s">
        <v>18313</v>
      </c>
    </row>
    <row r="1229" spans="1:28" x14ac:dyDescent="0.25">
      <c r="A1229" t="s">
        <v>1233</v>
      </c>
      <c r="B1229">
        <v>0.99876560204751996</v>
      </c>
      <c r="C1229">
        <v>0.894545024390621</v>
      </c>
      <c r="D1229">
        <v>1.04205735296404</v>
      </c>
      <c r="E1229">
        <v>0.68325211395121099</v>
      </c>
      <c r="F1229">
        <v>0.36657415787993097</v>
      </c>
      <c r="G1229">
        <v>0.226295466700738</v>
      </c>
      <c r="H1229">
        <v>0.15799858202990599</v>
      </c>
      <c r="I1229">
        <v>0.10254944771277399</v>
      </c>
      <c r="J1229">
        <v>9.9626534315652895E-2</v>
      </c>
      <c r="K1229">
        <v>6.24381615473628E-2</v>
      </c>
      <c r="L1229">
        <v>1280.8055450674699</v>
      </c>
      <c r="M1229">
        <v>24.945256546872098</v>
      </c>
      <c r="N1229">
        <v>51.842667784929901</v>
      </c>
      <c r="O1229">
        <v>51.018096485311297</v>
      </c>
      <c r="P1229">
        <v>-0.109215510497323</v>
      </c>
      <c r="Q1229">
        <v>0.106540859521884</v>
      </c>
      <c r="R1229">
        <v>0.98310821692502603</v>
      </c>
      <c r="S1229" t="s">
        <v>5525</v>
      </c>
      <c r="T1229" t="s">
        <v>8590</v>
      </c>
      <c r="U1229" t="s">
        <v>8590</v>
      </c>
      <c r="V1229" t="s">
        <v>8590</v>
      </c>
      <c r="W1229">
        <v>2</v>
      </c>
      <c r="X1229" t="s">
        <v>9819</v>
      </c>
      <c r="Y1229">
        <v>0.45254337093508828</v>
      </c>
      <c r="Z1229" t="str">
        <f>HYPERLINK("Melting_Curves/meltCurve_sp_P50583_AP4A_HUMAN_.pdf", "Melting_Curves/meltCurve_sp_P50583_AP4A_HUMAN_.pdf")</f>
        <v>Melting_Curves/meltCurve_sp_P50583_AP4A_HUMAN_.pdf</v>
      </c>
      <c r="AA1229" t="s">
        <v>14093</v>
      </c>
      <c r="AB1229" t="s">
        <v>18314</v>
      </c>
    </row>
    <row r="1230" spans="1:28" x14ac:dyDescent="0.25">
      <c r="A1230" t="s">
        <v>1234</v>
      </c>
      <c r="B1230">
        <v>0.99876560204751996</v>
      </c>
      <c r="C1230">
        <v>1.4063097736803301</v>
      </c>
      <c r="D1230">
        <v>1.25694871128379</v>
      </c>
      <c r="E1230">
        <v>0.65194669846184095</v>
      </c>
      <c r="F1230">
        <v>0.39344437068419802</v>
      </c>
      <c r="G1230">
        <v>0.17004417679179401</v>
      </c>
      <c r="H1230">
        <v>0</v>
      </c>
      <c r="I1230">
        <v>0.108376896864037</v>
      </c>
      <c r="J1230">
        <v>0</v>
      </c>
      <c r="K1230">
        <v>0</v>
      </c>
      <c r="L1230">
        <v>1493.35112961102</v>
      </c>
      <c r="M1230">
        <v>28.8432671867529</v>
      </c>
      <c r="N1230">
        <v>51.920967966636901</v>
      </c>
      <c r="O1230">
        <v>51.527733856552501</v>
      </c>
      <c r="P1230">
        <v>-0.134480507513911</v>
      </c>
      <c r="Q1230">
        <v>3.9023969662168902E-2</v>
      </c>
      <c r="R1230">
        <v>0.899289854827649</v>
      </c>
      <c r="S1230" t="s">
        <v>5526</v>
      </c>
      <c r="T1230" t="s">
        <v>8590</v>
      </c>
      <c r="U1230" t="s">
        <v>8590</v>
      </c>
      <c r="V1230" t="s">
        <v>8590</v>
      </c>
      <c r="W1230">
        <v>2</v>
      </c>
      <c r="X1230" t="s">
        <v>9820</v>
      </c>
      <c r="Y1230">
        <v>0.4228115675797845</v>
      </c>
      <c r="Z1230" t="str">
        <f>HYPERLINK("Melting_Curves/meltCurve_sp_P50747_BPL1_HUMAN_.pdf", "Melting_Curves/meltCurve_sp_P50747_BPL1_HUMAN_.pdf")</f>
        <v>Melting_Curves/meltCurve_sp_P50747_BPL1_HUMAN_.pdf</v>
      </c>
      <c r="AA1230" t="s">
        <v>14094</v>
      </c>
      <c r="AB1230" t="s">
        <v>18315</v>
      </c>
    </row>
    <row r="1231" spans="1:28" x14ac:dyDescent="0.25">
      <c r="A1231" t="s">
        <v>1235</v>
      </c>
      <c r="B1231">
        <v>0.99876560204751996</v>
      </c>
      <c r="C1231">
        <v>0.95013483280479805</v>
      </c>
      <c r="D1231">
        <v>0.64647058182806105</v>
      </c>
      <c r="E1231">
        <v>0.277383168476177</v>
      </c>
      <c r="F1231">
        <v>0.13404272461929201</v>
      </c>
      <c r="G1231">
        <v>8.5107862434600598E-2</v>
      </c>
      <c r="H1231">
        <v>4.7941035375598101E-2</v>
      </c>
      <c r="I1231">
        <v>5.0981053059509403E-2</v>
      </c>
      <c r="J1231">
        <v>4.4275456679521E-2</v>
      </c>
      <c r="K1231">
        <v>3.9839354461382703E-2</v>
      </c>
      <c r="L1231">
        <v>1062.1292919852699</v>
      </c>
      <c r="M1231">
        <v>22.4503076843569</v>
      </c>
      <c r="N1231">
        <v>47.5285430733312</v>
      </c>
      <c r="O1231">
        <v>46.939659154000502</v>
      </c>
      <c r="P1231">
        <v>-0.113714922655034</v>
      </c>
      <c r="Q1231">
        <v>4.8987689253292097E-2</v>
      </c>
      <c r="R1231">
        <v>0.99800580419716201</v>
      </c>
      <c r="S1231" t="s">
        <v>5527</v>
      </c>
      <c r="T1231" t="s">
        <v>8590</v>
      </c>
      <c r="U1231" t="s">
        <v>8590</v>
      </c>
      <c r="V1231" t="s">
        <v>8590</v>
      </c>
      <c r="W1231">
        <v>1</v>
      </c>
      <c r="X1231" t="s">
        <v>9821</v>
      </c>
      <c r="Y1231">
        <v>0.29141295430554048</v>
      </c>
      <c r="Z1231" t="str">
        <f>HYPERLINK("Melting_Curves/meltCurve_sp_P50748_KNTC1_HUMAN_.pdf", "Melting_Curves/meltCurve_sp_P50748_KNTC1_HUMAN_.pdf")</f>
        <v>Melting_Curves/meltCurve_sp_P50748_KNTC1_HUMAN_.pdf</v>
      </c>
      <c r="AA1231" t="s">
        <v>14095</v>
      </c>
      <c r="AB1231" t="s">
        <v>18316</v>
      </c>
    </row>
    <row r="1232" spans="1:28" x14ac:dyDescent="0.25">
      <c r="A1232" t="s">
        <v>1236</v>
      </c>
      <c r="B1232">
        <v>0.99876560204751996</v>
      </c>
      <c r="C1232">
        <v>0.88474486783561201</v>
      </c>
      <c r="D1232">
        <v>0.64156335198567105</v>
      </c>
      <c r="E1232">
        <v>0.40684694733486498</v>
      </c>
      <c r="F1232">
        <v>0.18685987228098999</v>
      </c>
      <c r="G1232">
        <v>0.10503121814164899</v>
      </c>
      <c r="H1232">
        <v>9.5370943100322694E-2</v>
      </c>
      <c r="I1232">
        <v>6.9561819663715496E-2</v>
      </c>
      <c r="J1232">
        <v>6.1272807060496801E-2</v>
      </c>
      <c r="K1232">
        <v>5.6039396598671597E-2</v>
      </c>
      <c r="L1232">
        <v>788.82046608748203</v>
      </c>
      <c r="M1232">
        <v>16.4931064037476</v>
      </c>
      <c r="N1232">
        <v>48.160746339117601</v>
      </c>
      <c r="O1232">
        <v>47.140750592495202</v>
      </c>
      <c r="P1232">
        <v>-8.27533542096104E-2</v>
      </c>
      <c r="Q1232">
        <v>5.3959984658152403E-2</v>
      </c>
      <c r="R1232">
        <v>0.99556506103244002</v>
      </c>
      <c r="S1232" t="s">
        <v>5528</v>
      </c>
      <c r="T1232" t="s">
        <v>8590</v>
      </c>
      <c r="U1232" t="s">
        <v>8590</v>
      </c>
      <c r="V1232" t="s">
        <v>8590</v>
      </c>
      <c r="W1232">
        <v>3</v>
      </c>
      <c r="X1232" t="s">
        <v>9822</v>
      </c>
      <c r="Y1232">
        <v>0.32104036116671453</v>
      </c>
      <c r="Z1232" t="str">
        <f>HYPERLINK("Melting_Curves/meltCurve_sp_P50897_PPT1_HUMAN_.pdf", "Melting_Curves/meltCurve_sp_P50897_PPT1_HUMAN_.pdf")</f>
        <v>Melting_Curves/meltCurve_sp_P50897_PPT1_HUMAN_.pdf</v>
      </c>
      <c r="AA1232" t="s">
        <v>14096</v>
      </c>
      <c r="AB1232" t="s">
        <v>18317</v>
      </c>
    </row>
    <row r="1233" spans="1:28" x14ac:dyDescent="0.25">
      <c r="A1233" t="s">
        <v>1237</v>
      </c>
      <c r="B1233">
        <v>0.99876560204751996</v>
      </c>
      <c r="C1233">
        <v>1.0739765301042099</v>
      </c>
      <c r="D1233">
        <v>1.0479084666952601</v>
      </c>
      <c r="E1233">
        <v>0.96704378296305504</v>
      </c>
      <c r="F1233">
        <v>0.84779140964560595</v>
      </c>
      <c r="G1233">
        <v>0.24416319986515</v>
      </c>
      <c r="H1233">
        <v>9.30641974070993E-2</v>
      </c>
      <c r="I1233">
        <v>7.17713458964713E-2</v>
      </c>
      <c r="J1233">
        <v>6.3822350539143494E-2</v>
      </c>
      <c r="K1233">
        <v>5.7318361809290903E-2</v>
      </c>
      <c r="L1233">
        <v>2281.25529763653</v>
      </c>
      <c r="M1233">
        <v>41.441776506007301</v>
      </c>
      <c r="N1233">
        <v>55.2357154080008</v>
      </c>
      <c r="O1233">
        <v>54.919523623452797</v>
      </c>
      <c r="P1233">
        <v>-0.17620989065477</v>
      </c>
      <c r="Q1233">
        <v>6.5933302611380806E-2</v>
      </c>
      <c r="R1233">
        <v>0.99579076778981301</v>
      </c>
      <c r="S1233" t="s">
        <v>5529</v>
      </c>
      <c r="T1233" t="s">
        <v>8590</v>
      </c>
      <c r="U1233" t="s">
        <v>8590</v>
      </c>
      <c r="V1233" t="s">
        <v>8590</v>
      </c>
      <c r="W1233">
        <v>19</v>
      </c>
      <c r="X1233" t="s">
        <v>9823</v>
      </c>
      <c r="Y1233">
        <v>0.5377372802329059</v>
      </c>
      <c r="Z1233" t="str">
        <f>HYPERLINK("Melting_Curves/meltCurve_sp_P50991_TCPD_HUMAN_.pdf", "Melting_Curves/meltCurve_sp_P50991_TCPD_HUMAN_.pdf")</f>
        <v>Melting_Curves/meltCurve_sp_P50991_TCPD_HUMAN_.pdf</v>
      </c>
      <c r="AA1233" t="s">
        <v>14097</v>
      </c>
      <c r="AB1233" t="s">
        <v>18318</v>
      </c>
    </row>
    <row r="1234" spans="1:28" x14ac:dyDescent="0.25">
      <c r="A1234" t="s">
        <v>1238</v>
      </c>
      <c r="B1234">
        <v>0.99876560204751996</v>
      </c>
      <c r="C1234">
        <v>0.96369681366510596</v>
      </c>
      <c r="D1234">
        <v>0.95395856072024299</v>
      </c>
      <c r="E1234">
        <v>0.76762569295097305</v>
      </c>
      <c r="F1234">
        <v>0.26495089744795203</v>
      </c>
      <c r="G1234">
        <v>0.116951705880319</v>
      </c>
      <c r="H1234">
        <v>6.2190244594452097E-2</v>
      </c>
      <c r="I1234">
        <v>6.2074876057736803E-2</v>
      </c>
      <c r="J1234">
        <v>5.3626854072534397E-2</v>
      </c>
      <c r="K1234">
        <v>4.1066648749570299E-2</v>
      </c>
      <c r="L1234">
        <v>1998.2012139696401</v>
      </c>
      <c r="M1234">
        <v>38.907559880156299</v>
      </c>
      <c r="N1234">
        <v>51.530306047466603</v>
      </c>
      <c r="O1234">
        <v>51.222549830883203</v>
      </c>
      <c r="P1234">
        <v>-0.178290956414528</v>
      </c>
      <c r="Q1234">
        <v>6.1108318131508001E-2</v>
      </c>
      <c r="R1234">
        <v>0.99725859121607896</v>
      </c>
      <c r="S1234" t="s">
        <v>5530</v>
      </c>
      <c r="T1234" t="s">
        <v>8590</v>
      </c>
      <c r="U1234" t="s">
        <v>8590</v>
      </c>
      <c r="V1234" t="s">
        <v>8590</v>
      </c>
      <c r="W1234">
        <v>8</v>
      </c>
      <c r="X1234" t="s">
        <v>9824</v>
      </c>
      <c r="Y1234">
        <v>0.42008547957652742</v>
      </c>
      <c r="Z1234" t="str">
        <f>HYPERLINK("Melting_Curves/meltCurve_sp_P51003_PAPOA_HUMAN_.pdf", "Melting_Curves/meltCurve_sp_P51003_PAPOA_HUMAN_.pdf")</f>
        <v>Melting_Curves/meltCurve_sp_P51003_PAPOA_HUMAN_.pdf</v>
      </c>
      <c r="AA1234" t="s">
        <v>14098</v>
      </c>
      <c r="AB1234" t="s">
        <v>18319</v>
      </c>
    </row>
    <row r="1235" spans="1:28" x14ac:dyDescent="0.25">
      <c r="A1235" t="s">
        <v>1239</v>
      </c>
      <c r="B1235">
        <v>0.99876560204751996</v>
      </c>
      <c r="C1235">
        <v>0.921588469819696</v>
      </c>
      <c r="D1235">
        <v>0.98656716201995198</v>
      </c>
      <c r="E1235">
        <v>0.65820023912652803</v>
      </c>
      <c r="F1235">
        <v>0.323398420107461</v>
      </c>
      <c r="G1235">
        <v>0.210071791089186</v>
      </c>
      <c r="H1235">
        <v>0.12356882693944</v>
      </c>
      <c r="I1235">
        <v>9.8489861075098203E-2</v>
      </c>
      <c r="J1235">
        <v>0.12258009795793701</v>
      </c>
      <c r="K1235">
        <v>8.4720687314531001E-2</v>
      </c>
      <c r="L1235">
        <v>1338.5746489953301</v>
      </c>
      <c r="M1235">
        <v>26.2966597096977</v>
      </c>
      <c r="N1235">
        <v>51.393876886094397</v>
      </c>
      <c r="O1235">
        <v>50.611204574797803</v>
      </c>
      <c r="P1235">
        <v>-0.11546732294644201</v>
      </c>
      <c r="Q1235">
        <v>0.111084670456417</v>
      </c>
      <c r="R1235">
        <v>0.99254503018922702</v>
      </c>
      <c r="S1235" t="s">
        <v>5531</v>
      </c>
      <c r="T1235" t="s">
        <v>8590</v>
      </c>
      <c r="U1235" t="s">
        <v>8590</v>
      </c>
      <c r="V1235" t="s">
        <v>8590</v>
      </c>
      <c r="W1235">
        <v>7</v>
      </c>
      <c r="X1235" t="s">
        <v>9825</v>
      </c>
      <c r="Y1235">
        <v>0.44139973049463538</v>
      </c>
      <c r="Z1235" t="str">
        <f>HYPERLINK("Melting_Curves/meltCurve_sp_P51116_FXR2_HUMAN_.pdf", "Melting_Curves/meltCurve_sp_P51116_FXR2_HUMAN_.pdf")</f>
        <v>Melting_Curves/meltCurve_sp_P51116_FXR2_HUMAN_.pdf</v>
      </c>
      <c r="AA1235" t="s">
        <v>14099</v>
      </c>
      <c r="AB1235" t="s">
        <v>18320</v>
      </c>
    </row>
    <row r="1236" spans="1:28" x14ac:dyDescent="0.25">
      <c r="A1236" t="s">
        <v>1240</v>
      </c>
      <c r="B1236">
        <v>0.99876560204751996</v>
      </c>
      <c r="C1236">
        <v>0.98710496812598303</v>
      </c>
      <c r="D1236">
        <v>0.99560923109395005</v>
      </c>
      <c r="E1236">
        <v>0.80641094931527402</v>
      </c>
      <c r="F1236">
        <v>0.48048041469276598</v>
      </c>
      <c r="G1236">
        <v>0.168865721863517</v>
      </c>
      <c r="H1236">
        <v>8.0058364160278797E-2</v>
      </c>
      <c r="I1236">
        <v>5.6444091618102703E-2</v>
      </c>
      <c r="J1236">
        <v>5.6547998597119203E-2</v>
      </c>
      <c r="K1236">
        <v>4.0203858770398497E-2</v>
      </c>
      <c r="L1236">
        <v>1361.0065536091699</v>
      </c>
      <c r="M1236">
        <v>25.849709113756798</v>
      </c>
      <c r="N1236">
        <v>52.858832853536398</v>
      </c>
      <c r="O1236">
        <v>52.338660566462799</v>
      </c>
      <c r="P1236">
        <v>-0.117501404741361</v>
      </c>
      <c r="Q1236">
        <v>4.8376720161730002E-2</v>
      </c>
      <c r="R1236">
        <v>0.99965401614743599</v>
      </c>
      <c r="S1236" t="s">
        <v>5532</v>
      </c>
      <c r="T1236" t="s">
        <v>8590</v>
      </c>
      <c r="U1236" t="s">
        <v>8590</v>
      </c>
      <c r="V1236" t="s">
        <v>8590</v>
      </c>
      <c r="W1236">
        <v>7</v>
      </c>
      <c r="X1236" t="s">
        <v>9826</v>
      </c>
      <c r="Y1236">
        <v>0.45786817075015762</v>
      </c>
      <c r="Z1236" t="str">
        <f>HYPERLINK("Melting_Curves/meltCurve_sp_P51148_RAB5C_HUMAN_.pdf", "Melting_Curves/meltCurve_sp_P51148_RAB5C_HUMAN_.pdf")</f>
        <v>Melting_Curves/meltCurve_sp_P51148_RAB5C_HUMAN_.pdf</v>
      </c>
      <c r="AA1236" t="s">
        <v>14100</v>
      </c>
      <c r="AB1236" t="s">
        <v>18321</v>
      </c>
    </row>
    <row r="1237" spans="1:28" x14ac:dyDescent="0.25">
      <c r="A1237" t="s">
        <v>1241</v>
      </c>
      <c r="B1237">
        <v>0.99876560204751996</v>
      </c>
      <c r="C1237">
        <v>1.05980544630556</v>
      </c>
      <c r="D1237">
        <v>0.98837253696967797</v>
      </c>
      <c r="E1237">
        <v>0.74811062281441998</v>
      </c>
      <c r="F1237">
        <v>0.46517688206536401</v>
      </c>
      <c r="G1237">
        <v>0.23470946762529399</v>
      </c>
      <c r="H1237">
        <v>0.12652298562863401</v>
      </c>
      <c r="I1237">
        <v>0.101324950197518</v>
      </c>
      <c r="J1237">
        <v>8.22772783383178E-2</v>
      </c>
      <c r="K1237">
        <v>6.6015000088759795E-2</v>
      </c>
      <c r="L1237">
        <v>1147.5847622613601</v>
      </c>
      <c r="M1237">
        <v>21.9242538130021</v>
      </c>
      <c r="N1237">
        <v>52.7638979071953</v>
      </c>
      <c r="O1237">
        <v>51.913507577575103</v>
      </c>
      <c r="P1237">
        <v>-9.7115610563923899E-2</v>
      </c>
      <c r="Q1237">
        <v>8.01968096635165E-2</v>
      </c>
      <c r="R1237">
        <v>0.99581311264093397</v>
      </c>
      <c r="S1237" t="s">
        <v>5533</v>
      </c>
      <c r="T1237" t="s">
        <v>8590</v>
      </c>
      <c r="U1237" t="s">
        <v>8590</v>
      </c>
      <c r="V1237" t="s">
        <v>8590</v>
      </c>
      <c r="W1237">
        <v>9</v>
      </c>
      <c r="X1237" t="s">
        <v>9827</v>
      </c>
      <c r="Y1237">
        <v>0.46941175802805268</v>
      </c>
      <c r="Z1237" t="str">
        <f>HYPERLINK("Melting_Curves/meltCurve_sp_P51149_RAB7A_HUMAN_.pdf", "Melting_Curves/meltCurve_sp_P51149_RAB7A_HUMAN_.pdf")</f>
        <v>Melting_Curves/meltCurve_sp_P51149_RAB7A_HUMAN_.pdf</v>
      </c>
      <c r="AA1237" t="s">
        <v>14101</v>
      </c>
      <c r="AB1237" t="s">
        <v>18322</v>
      </c>
    </row>
    <row r="1238" spans="1:28" x14ac:dyDescent="0.25">
      <c r="A1238" t="s">
        <v>1242</v>
      </c>
      <c r="B1238">
        <v>0.99876560204751996</v>
      </c>
      <c r="C1238">
        <v>0.75914879320190298</v>
      </c>
      <c r="D1238">
        <v>0.79666682164476599</v>
      </c>
      <c r="E1238">
        <v>0.50639447184609798</v>
      </c>
      <c r="F1238">
        <v>0.35981855159433801</v>
      </c>
      <c r="G1238">
        <v>0.16002212659169099</v>
      </c>
      <c r="H1238">
        <v>0.11997045243985401</v>
      </c>
      <c r="I1238">
        <v>0.109081745005813</v>
      </c>
      <c r="J1238">
        <v>4.0890020669162398E-2</v>
      </c>
      <c r="K1238">
        <v>0.210450290140486</v>
      </c>
      <c r="L1238">
        <v>644.28402762446797</v>
      </c>
      <c r="M1238">
        <v>13.0847272348032</v>
      </c>
      <c r="N1238">
        <v>49.875936482130399</v>
      </c>
      <c r="O1238">
        <v>48.131866962438899</v>
      </c>
      <c r="P1238">
        <v>-6.2747499101803397E-2</v>
      </c>
      <c r="Q1238">
        <v>7.6897767391765098E-2</v>
      </c>
      <c r="R1238">
        <v>0.95984002466354701</v>
      </c>
      <c r="S1238" t="s">
        <v>5534</v>
      </c>
      <c r="T1238" t="s">
        <v>8590</v>
      </c>
      <c r="U1238" t="s">
        <v>8590</v>
      </c>
      <c r="V1238" t="s">
        <v>8590</v>
      </c>
      <c r="W1238">
        <v>2</v>
      </c>
      <c r="X1238" t="s">
        <v>9828</v>
      </c>
      <c r="Y1238">
        <v>0.39006612932404472</v>
      </c>
      <c r="Z1238" t="str">
        <f>HYPERLINK("Melting_Curves/meltCurve_sp_P51151_RAB9A_HUMAN_.pdf", "Melting_Curves/meltCurve_sp_P51151_RAB9A_HUMAN_.pdf")</f>
        <v>Melting_Curves/meltCurve_sp_P51151_RAB9A_HUMAN_.pdf</v>
      </c>
      <c r="AA1238" t="s">
        <v>14102</v>
      </c>
      <c r="AB1238" t="s">
        <v>18323</v>
      </c>
    </row>
    <row r="1239" spans="1:28" x14ac:dyDescent="0.25">
      <c r="A1239" t="s">
        <v>1243</v>
      </c>
      <c r="B1239">
        <v>0.99876560204751996</v>
      </c>
      <c r="C1239">
        <v>0.93572180626580204</v>
      </c>
      <c r="D1239">
        <v>0.74634833932317801</v>
      </c>
      <c r="E1239">
        <v>0.51175026034745796</v>
      </c>
      <c r="F1239">
        <v>0.28854465862589901</v>
      </c>
      <c r="G1239">
        <v>0.109554532048785</v>
      </c>
      <c r="H1239">
        <v>5.5351207666127902E-2</v>
      </c>
      <c r="I1239">
        <v>4.0093095818334597E-2</v>
      </c>
      <c r="J1239">
        <v>3.7651870499085097E-2</v>
      </c>
      <c r="K1239">
        <v>3.07299185044515E-2</v>
      </c>
      <c r="L1239">
        <v>771.63822504884297</v>
      </c>
      <c r="M1239">
        <v>15.513567376716299</v>
      </c>
      <c r="N1239">
        <v>49.808116600771903</v>
      </c>
      <c r="O1239">
        <v>48.935083866944197</v>
      </c>
      <c r="P1239">
        <v>-7.84257245474477E-2</v>
      </c>
      <c r="Q1239">
        <v>1.0561644023693801E-2</v>
      </c>
      <c r="R1239">
        <v>0.997653192300338</v>
      </c>
      <c r="S1239" t="s">
        <v>5535</v>
      </c>
      <c r="T1239" t="s">
        <v>8590</v>
      </c>
      <c r="U1239" t="s">
        <v>8590</v>
      </c>
      <c r="V1239" t="s">
        <v>8590</v>
      </c>
      <c r="W1239">
        <v>5</v>
      </c>
      <c r="X1239" t="s">
        <v>9829</v>
      </c>
      <c r="Y1239">
        <v>0.35417163685693442</v>
      </c>
      <c r="Z1239" t="str">
        <f>HYPERLINK("Melting_Curves/meltCurve_sp_P51153_RAB13_HUMAN_.pdf", "Melting_Curves/meltCurve_sp_P51153_RAB13_HUMAN_.pdf")</f>
        <v>Melting_Curves/meltCurve_sp_P51153_RAB13_HUMAN_.pdf</v>
      </c>
      <c r="AA1239" t="s">
        <v>14103</v>
      </c>
      <c r="AB1239" t="s">
        <v>18324</v>
      </c>
    </row>
    <row r="1240" spans="1:28" x14ac:dyDescent="0.25">
      <c r="A1240" t="s">
        <v>1244</v>
      </c>
      <c r="B1240">
        <v>0.99876560204751996</v>
      </c>
      <c r="C1240">
        <v>1.00002768483226</v>
      </c>
      <c r="D1240">
        <v>0.89198508714046898</v>
      </c>
      <c r="E1240">
        <v>0.59428462106770596</v>
      </c>
      <c r="F1240">
        <v>4.1962295702294199E-2</v>
      </c>
      <c r="G1240">
        <v>0</v>
      </c>
      <c r="H1240">
        <v>0.11486053266980301</v>
      </c>
      <c r="I1240">
        <v>0</v>
      </c>
      <c r="J1240">
        <v>0</v>
      </c>
      <c r="K1240">
        <v>0</v>
      </c>
      <c r="L1240">
        <v>3266.3901679117898</v>
      </c>
      <c r="M1240">
        <v>64.992822702386604</v>
      </c>
      <c r="N1240">
        <v>50.2905902180838</v>
      </c>
      <c r="O1240">
        <v>50.210190261138898</v>
      </c>
      <c r="P1240">
        <v>-0.31687169124064701</v>
      </c>
      <c r="Q1240">
        <v>2.0803705521735001E-2</v>
      </c>
      <c r="R1240">
        <v>0.98806752180061397</v>
      </c>
      <c r="S1240" t="s">
        <v>5536</v>
      </c>
      <c r="T1240" t="s">
        <v>8590</v>
      </c>
      <c r="U1240" t="s">
        <v>8590</v>
      </c>
      <c r="V1240" t="s">
        <v>8590</v>
      </c>
      <c r="W1240">
        <v>2</v>
      </c>
      <c r="X1240" t="s">
        <v>9830</v>
      </c>
      <c r="Y1240">
        <v>0.35689578106942099</v>
      </c>
      <c r="Z1240" t="str">
        <f>HYPERLINK("Melting_Curves/meltCurve_sp_P51178_2_PLCD1_HUMAN_.pdf", "Melting_Curves/meltCurve_sp_P51178_2_PLCD1_HUMAN_.pdf")</f>
        <v>Melting_Curves/meltCurve_sp_P51178_2_PLCD1_HUMAN_.pdf</v>
      </c>
      <c r="AA1240" t="s">
        <v>14104</v>
      </c>
      <c r="AB1240" t="s">
        <v>18325</v>
      </c>
    </row>
    <row r="1241" spans="1:28" x14ac:dyDescent="0.25">
      <c r="A1241" t="s">
        <v>1245</v>
      </c>
      <c r="B1241">
        <v>0.99876560204751996</v>
      </c>
      <c r="C1241">
        <v>1.0696427343826</v>
      </c>
      <c r="D1241">
        <v>0.93625742383604305</v>
      </c>
      <c r="E1241">
        <v>0.62055479867170305</v>
      </c>
      <c r="F1241">
        <v>0.38025295430682299</v>
      </c>
      <c r="G1241">
        <v>0.237227600265913</v>
      </c>
      <c r="H1241">
        <v>3.8937934391990302E-2</v>
      </c>
      <c r="I1241">
        <v>0.141331663510394</v>
      </c>
      <c r="J1241">
        <v>8.7697078558199901E-2</v>
      </c>
      <c r="K1241">
        <v>0</v>
      </c>
      <c r="L1241">
        <v>1006.39602491862</v>
      </c>
      <c r="M1241">
        <v>19.6015755404107</v>
      </c>
      <c r="N1241">
        <v>51.672621004598</v>
      </c>
      <c r="O1241">
        <v>50.8171898164277</v>
      </c>
      <c r="P1241">
        <v>-9.0761590048471799E-2</v>
      </c>
      <c r="Q1241">
        <v>5.88335032245694E-2</v>
      </c>
      <c r="R1241">
        <v>0.98417859720537204</v>
      </c>
      <c r="S1241" t="s">
        <v>5537</v>
      </c>
      <c r="T1241" t="s">
        <v>8590</v>
      </c>
      <c r="U1241" t="s">
        <v>8590</v>
      </c>
      <c r="V1241" t="s">
        <v>8590</v>
      </c>
      <c r="W1241">
        <v>1</v>
      </c>
      <c r="X1241" t="s">
        <v>9831</v>
      </c>
      <c r="Y1241">
        <v>0.42822155384897098</v>
      </c>
      <c r="Z1241" t="str">
        <f>HYPERLINK("Melting_Curves/meltCurve_sp_P51398_2_RT29_HUMAN_.pdf", "Melting_Curves/meltCurve_sp_P51398_2_RT29_HUMAN_.pdf")</f>
        <v>Melting_Curves/meltCurve_sp_P51398_2_RT29_HUMAN_.pdf</v>
      </c>
      <c r="AA1241" t="s">
        <v>14105</v>
      </c>
      <c r="AB1241" t="s">
        <v>18326</v>
      </c>
    </row>
    <row r="1242" spans="1:28" x14ac:dyDescent="0.25">
      <c r="A1242" t="s">
        <v>1246</v>
      </c>
      <c r="B1242">
        <v>0.99876560204751996</v>
      </c>
      <c r="C1242">
        <v>0.93817548186284805</v>
      </c>
      <c r="D1242">
        <v>1.0488844400599899</v>
      </c>
      <c r="E1242">
        <v>0.91576983743974405</v>
      </c>
      <c r="F1242">
        <v>0.79023696003400301</v>
      </c>
      <c r="G1242">
        <v>0.39631934614146602</v>
      </c>
      <c r="H1242">
        <v>0.135483102434897</v>
      </c>
      <c r="I1242">
        <v>9.2727541772775895E-2</v>
      </c>
      <c r="J1242">
        <v>7.0562573548903898E-2</v>
      </c>
      <c r="K1242">
        <v>5.89113154046658E-2</v>
      </c>
      <c r="L1242">
        <v>1360.23984129327</v>
      </c>
      <c r="M1242">
        <v>24.4473905494268</v>
      </c>
      <c r="N1242">
        <v>55.886747078398798</v>
      </c>
      <c r="O1242">
        <v>55.271217543114801</v>
      </c>
      <c r="P1242">
        <v>-0.10491220517449</v>
      </c>
      <c r="Q1242">
        <v>5.1262667672297597E-2</v>
      </c>
      <c r="R1242">
        <v>0.99531585450081606</v>
      </c>
      <c r="S1242" t="s">
        <v>5538</v>
      </c>
      <c r="T1242" t="s">
        <v>8590</v>
      </c>
      <c r="U1242" t="s">
        <v>8590</v>
      </c>
      <c r="V1242" t="s">
        <v>8590</v>
      </c>
      <c r="W1242">
        <v>6</v>
      </c>
      <c r="X1242" t="s">
        <v>9832</v>
      </c>
      <c r="Y1242">
        <v>0.55493271721104998</v>
      </c>
      <c r="Z1242" t="str">
        <f>HYPERLINK("Melting_Curves/meltCurve_sp_P51452_DUS3_HUMAN_.pdf", "Melting_Curves/meltCurve_sp_P51452_DUS3_HUMAN_.pdf")</f>
        <v>Melting_Curves/meltCurve_sp_P51452_DUS3_HUMAN_.pdf</v>
      </c>
      <c r="AA1242" t="s">
        <v>14106</v>
      </c>
      <c r="AB1242" t="s">
        <v>18327</v>
      </c>
    </row>
    <row r="1243" spans="1:28" x14ac:dyDescent="0.25">
      <c r="A1243" t="s">
        <v>1247</v>
      </c>
      <c r="B1243">
        <v>0.99876560204751996</v>
      </c>
      <c r="C1243">
        <v>1.0287265014710001</v>
      </c>
      <c r="D1243">
        <v>1.0365067099913701</v>
      </c>
      <c r="E1243">
        <v>0.72593471919911101</v>
      </c>
      <c r="F1243">
        <v>0.602309570864073</v>
      </c>
      <c r="G1243">
        <v>0.57824955630772201</v>
      </c>
      <c r="H1243">
        <v>0.47851482064669398</v>
      </c>
      <c r="I1243">
        <v>0.40397720336777099</v>
      </c>
      <c r="J1243">
        <v>0.42762417036161998</v>
      </c>
      <c r="K1243">
        <v>0.42893959561129702</v>
      </c>
      <c r="L1243">
        <v>1105.85518880513</v>
      </c>
      <c r="M1243">
        <v>21.702985838806999</v>
      </c>
      <c r="N1243">
        <v>56.608088725151497</v>
      </c>
      <c r="O1243">
        <v>50.527370544491099</v>
      </c>
      <c r="P1243">
        <v>-5.9837053380549302E-2</v>
      </c>
      <c r="Q1243">
        <v>0.44277938653787802</v>
      </c>
      <c r="R1243">
        <v>0.96430615993705104</v>
      </c>
      <c r="S1243" t="s">
        <v>5539</v>
      </c>
      <c r="T1243" t="s">
        <v>8590</v>
      </c>
      <c r="U1243" t="s">
        <v>8590</v>
      </c>
      <c r="V1243" t="s">
        <v>8590</v>
      </c>
      <c r="W1243">
        <v>2</v>
      </c>
      <c r="X1243" t="s">
        <v>9833</v>
      </c>
      <c r="Y1243">
        <v>0.65286524828382397</v>
      </c>
      <c r="Z1243" t="str">
        <f>HYPERLINK("Melting_Curves/meltCurve_sp_P51531_2_SMCA2_HUMAN_.pdf", "Melting_Curves/meltCurve_sp_P51531_2_SMCA2_HUMAN_.pdf")</f>
        <v>Melting_Curves/meltCurve_sp_P51531_2_SMCA2_HUMAN_.pdf</v>
      </c>
      <c r="AA1243" t="s">
        <v>14107</v>
      </c>
      <c r="AB1243" t="s">
        <v>18328</v>
      </c>
    </row>
    <row r="1244" spans="1:28" x14ac:dyDescent="0.25">
      <c r="A1244" t="s">
        <v>1248</v>
      </c>
      <c r="B1244">
        <v>0.99876560204751996</v>
      </c>
      <c r="C1244">
        <v>0.92764723785274295</v>
      </c>
      <c r="D1244">
        <v>1.0128195975133401</v>
      </c>
      <c r="E1244">
        <v>0.86639751760987904</v>
      </c>
      <c r="F1244">
        <v>0.64322012885778901</v>
      </c>
      <c r="G1244">
        <v>0.42454257583374699</v>
      </c>
      <c r="H1244">
        <v>0.33896059348612001</v>
      </c>
      <c r="I1244">
        <v>0.35137367022293198</v>
      </c>
      <c r="J1244">
        <v>0.45878930988643901</v>
      </c>
      <c r="K1244">
        <v>0.44266780006075501</v>
      </c>
      <c r="L1244">
        <v>1671.00219758865</v>
      </c>
      <c r="M1244">
        <v>31.997124554004401</v>
      </c>
      <c r="N1244">
        <v>54.907738895677397</v>
      </c>
      <c r="O1244">
        <v>52.0208002693482</v>
      </c>
      <c r="P1244">
        <v>-9.2974316730856196E-2</v>
      </c>
      <c r="Q1244">
        <v>0.39537397983059103</v>
      </c>
      <c r="R1244">
        <v>0.97358039693193399</v>
      </c>
      <c r="S1244" t="s">
        <v>5540</v>
      </c>
      <c r="T1244" t="s">
        <v>8590</v>
      </c>
      <c r="U1244" t="s">
        <v>8590</v>
      </c>
      <c r="V1244" t="s">
        <v>8590</v>
      </c>
      <c r="W1244">
        <v>2</v>
      </c>
      <c r="X1244" t="s">
        <v>9834</v>
      </c>
      <c r="Y1244">
        <v>0.64514019097476272</v>
      </c>
      <c r="Z1244" t="str">
        <f>HYPERLINK("Melting_Curves/meltCurve_sp_P51532_5_SMCA4_HUMAN_.pdf", "Melting_Curves/meltCurve_sp_P51532_5_SMCA4_HUMAN_.pdf")</f>
        <v>Melting_Curves/meltCurve_sp_P51532_5_SMCA4_HUMAN_.pdf</v>
      </c>
      <c r="AA1244" t="s">
        <v>14108</v>
      </c>
      <c r="AB1244" t="s">
        <v>18329</v>
      </c>
    </row>
    <row r="1245" spans="1:28" x14ac:dyDescent="0.25">
      <c r="A1245" t="s">
        <v>1249</v>
      </c>
      <c r="B1245">
        <v>0.99876560204751996</v>
      </c>
      <c r="C1245">
        <v>0.89896940743794496</v>
      </c>
      <c r="D1245">
        <v>0.72535358546286999</v>
      </c>
      <c r="E1245">
        <v>0.60576726954934201</v>
      </c>
      <c r="F1245">
        <v>0.39338127360920599</v>
      </c>
      <c r="G1245">
        <v>0.198702564429309</v>
      </c>
      <c r="H1245">
        <v>7.9917655709644195E-2</v>
      </c>
      <c r="I1245">
        <v>4.9938240867914797E-2</v>
      </c>
      <c r="J1245">
        <v>4.2745766854584297E-2</v>
      </c>
      <c r="K1245">
        <v>2.0745995142133E-2</v>
      </c>
      <c r="L1245">
        <v>639.08367402312695</v>
      </c>
      <c r="M1245">
        <v>12.564187476898899</v>
      </c>
      <c r="N1245">
        <v>50.865499307991101</v>
      </c>
      <c r="O1245">
        <v>49.628527867804401</v>
      </c>
      <c r="P1245">
        <v>-6.3303921589866197E-2</v>
      </c>
      <c r="Q1245">
        <v>0</v>
      </c>
      <c r="R1245">
        <v>0.99238555524374705</v>
      </c>
      <c r="S1245" t="s">
        <v>5541</v>
      </c>
      <c r="T1245" t="s">
        <v>8590</v>
      </c>
      <c r="U1245" t="s">
        <v>8590</v>
      </c>
      <c r="V1245" t="s">
        <v>8590</v>
      </c>
      <c r="W1245">
        <v>9</v>
      </c>
      <c r="X1245" t="s">
        <v>9835</v>
      </c>
      <c r="Y1245">
        <v>0.39291285062753811</v>
      </c>
      <c r="Z1245" t="str">
        <f>HYPERLINK("Melting_Curves/meltCurve_sp_P51553_IDH3G_HUMAN_.pdf", "Melting_Curves/meltCurve_sp_P51553_IDH3G_HUMAN_.pdf")</f>
        <v>Melting_Curves/meltCurve_sp_P51553_IDH3G_HUMAN_.pdf</v>
      </c>
      <c r="AA1245" t="s">
        <v>14109</v>
      </c>
      <c r="AB1245" t="s">
        <v>18330</v>
      </c>
    </row>
    <row r="1246" spans="1:28" x14ac:dyDescent="0.25">
      <c r="A1246" t="s">
        <v>1250</v>
      </c>
      <c r="B1246">
        <v>0.99876560204751996</v>
      </c>
      <c r="C1246">
        <v>0.83001813584875295</v>
      </c>
      <c r="D1246">
        <v>0.73204736182163099</v>
      </c>
      <c r="E1246">
        <v>0.399672817920248</v>
      </c>
      <c r="F1246">
        <v>0.15339078869175299</v>
      </c>
      <c r="G1246">
        <v>9.2327135656827902E-2</v>
      </c>
      <c r="H1246">
        <v>6.3373457770555502E-2</v>
      </c>
      <c r="I1246">
        <v>5.49594370454893E-2</v>
      </c>
      <c r="J1246">
        <v>4.8594536987026503E-2</v>
      </c>
      <c r="K1246">
        <v>4.2187998210599501E-2</v>
      </c>
      <c r="L1246">
        <v>829.75306133369997</v>
      </c>
      <c r="M1246">
        <v>17.2193121996449</v>
      </c>
      <c r="N1246">
        <v>48.383998578208796</v>
      </c>
      <c r="O1246">
        <v>47.551528151726401</v>
      </c>
      <c r="P1246">
        <v>-8.7475733581178605E-2</v>
      </c>
      <c r="Q1246">
        <v>3.3791742716061501E-2</v>
      </c>
      <c r="R1246">
        <v>0.99270930393250401</v>
      </c>
      <c r="S1246" t="s">
        <v>5542</v>
      </c>
      <c r="T1246" t="s">
        <v>8590</v>
      </c>
      <c r="U1246" t="s">
        <v>8590</v>
      </c>
      <c r="V1246" t="s">
        <v>8590</v>
      </c>
      <c r="W1246">
        <v>24</v>
      </c>
      <c r="X1246" t="s">
        <v>9836</v>
      </c>
      <c r="Y1246">
        <v>0.31616306333795069</v>
      </c>
      <c r="Z1246" t="str">
        <f>HYPERLINK("Melting_Curves/meltCurve_sp_P51570_GALK1_HUMAN_.pdf", "Melting_Curves/meltCurve_sp_P51570_GALK1_HUMAN_.pdf")</f>
        <v>Melting_Curves/meltCurve_sp_P51570_GALK1_HUMAN_.pdf</v>
      </c>
      <c r="AA1246" t="s">
        <v>14110</v>
      </c>
      <c r="AB1246" t="s">
        <v>18331</v>
      </c>
    </row>
    <row r="1247" spans="1:28" x14ac:dyDescent="0.25">
      <c r="A1247" t="s">
        <v>1251</v>
      </c>
      <c r="B1247">
        <v>0.99876560204751996</v>
      </c>
      <c r="C1247">
        <v>0.95493508245319902</v>
      </c>
      <c r="D1247">
        <v>0.64774909682477499</v>
      </c>
      <c r="E1247">
        <v>0.46476961296346098</v>
      </c>
      <c r="F1247">
        <v>0.261235869299071</v>
      </c>
      <c r="G1247">
        <v>0.16880798845244499</v>
      </c>
      <c r="H1247">
        <v>0.106008419084845</v>
      </c>
      <c r="I1247">
        <v>8.9093608056486903E-2</v>
      </c>
      <c r="J1247">
        <v>6.7607899152749701E-2</v>
      </c>
      <c r="K1247">
        <v>6.4047114066611496E-2</v>
      </c>
      <c r="L1247">
        <v>740.61821907812896</v>
      </c>
      <c r="M1247">
        <v>15.2423385954148</v>
      </c>
      <c r="N1247">
        <v>49.027878479163199</v>
      </c>
      <c r="O1247">
        <v>47.776213836980197</v>
      </c>
      <c r="P1247">
        <v>-7.4685551928289601E-2</v>
      </c>
      <c r="Q1247">
        <v>6.3698955526589399E-2</v>
      </c>
      <c r="R1247">
        <v>0.98993643896066996</v>
      </c>
      <c r="S1247" t="s">
        <v>5543</v>
      </c>
      <c r="T1247" t="s">
        <v>8590</v>
      </c>
      <c r="U1247" t="s">
        <v>8590</v>
      </c>
      <c r="V1247" t="s">
        <v>8590</v>
      </c>
      <c r="W1247">
        <v>4</v>
      </c>
      <c r="X1247" t="s">
        <v>9837</v>
      </c>
      <c r="Y1247">
        <v>0.35454439576391478</v>
      </c>
      <c r="Z1247" t="str">
        <f>HYPERLINK("Melting_Curves/meltCurve_sp_P51572_BAP31_HUMAN_.pdf", "Melting_Curves/meltCurve_sp_P51572_BAP31_HUMAN_.pdf")</f>
        <v>Melting_Curves/meltCurve_sp_P51572_BAP31_HUMAN_.pdf</v>
      </c>
      <c r="AA1247" t="s">
        <v>14111</v>
      </c>
      <c r="AB1247" t="s">
        <v>18332</v>
      </c>
    </row>
    <row r="1248" spans="1:28" x14ac:dyDescent="0.25">
      <c r="A1248" t="s">
        <v>1252</v>
      </c>
      <c r="B1248">
        <v>0.99876560204751996</v>
      </c>
      <c r="C1248">
        <v>0.92527332349515001</v>
      </c>
      <c r="D1248">
        <v>1.04535762524127</v>
      </c>
      <c r="E1248">
        <v>0.86370600138726294</v>
      </c>
      <c r="F1248">
        <v>0.78079648941532598</v>
      </c>
      <c r="G1248">
        <v>0.41927953777057803</v>
      </c>
      <c r="H1248">
        <v>0.11256449670294701</v>
      </c>
      <c r="I1248">
        <v>6.04283593136151E-2</v>
      </c>
      <c r="J1248">
        <v>4.81177003452255E-2</v>
      </c>
      <c r="K1248">
        <v>4.0030606742546701E-2</v>
      </c>
      <c r="L1248">
        <v>1201.8681309881199</v>
      </c>
      <c r="M1248">
        <v>21.5233218029657</v>
      </c>
      <c r="N1248">
        <v>55.895326348189798</v>
      </c>
      <c r="O1248">
        <v>55.364942022148597</v>
      </c>
      <c r="P1248">
        <v>-9.6171410796404705E-2</v>
      </c>
      <c r="Q1248">
        <v>1.0488294211089599E-2</v>
      </c>
      <c r="R1248">
        <v>0.99125721970689396</v>
      </c>
      <c r="S1248" t="s">
        <v>5544</v>
      </c>
      <c r="T1248" t="s">
        <v>8590</v>
      </c>
      <c r="U1248" t="s">
        <v>8590</v>
      </c>
      <c r="V1248" t="s">
        <v>8590</v>
      </c>
      <c r="W1248">
        <v>11</v>
      </c>
      <c r="X1248" t="s">
        <v>9838</v>
      </c>
      <c r="Y1248">
        <v>0.54450207738160084</v>
      </c>
      <c r="Z1248" t="str">
        <f>HYPERLINK("Melting_Curves/meltCurve_sp_P51580_TPMT_HUMAN_.pdf", "Melting_Curves/meltCurve_sp_P51580_TPMT_HUMAN_.pdf")</f>
        <v>Melting_Curves/meltCurve_sp_P51580_TPMT_HUMAN_.pdf</v>
      </c>
      <c r="AA1248" t="s">
        <v>14112</v>
      </c>
      <c r="AB1248" t="s">
        <v>18333</v>
      </c>
    </row>
    <row r="1249" spans="1:28" x14ac:dyDescent="0.25">
      <c r="A1249" t="s">
        <v>1253</v>
      </c>
      <c r="B1249">
        <v>0.99876560204751996</v>
      </c>
      <c r="C1249">
        <v>0.98642738411944297</v>
      </c>
      <c r="D1249">
        <v>1.1132822113277701</v>
      </c>
      <c r="E1249">
        <v>0.93966413334688204</v>
      </c>
      <c r="F1249">
        <v>0.99088396931987899</v>
      </c>
      <c r="G1249">
        <v>0.79739153468899404</v>
      </c>
      <c r="H1249">
        <v>0.73716234821092597</v>
      </c>
      <c r="I1249">
        <v>0.72138953689619201</v>
      </c>
      <c r="J1249">
        <v>0.92850453643856201</v>
      </c>
      <c r="K1249">
        <v>0.92211369968060497</v>
      </c>
      <c r="L1249">
        <v>13404.9306392286</v>
      </c>
      <c r="M1249">
        <v>250</v>
      </c>
      <c r="O1249">
        <v>53.616291573190097</v>
      </c>
      <c r="P1249">
        <v>-0.20829452492588299</v>
      </c>
      <c r="Q1249">
        <v>0.821312321580972</v>
      </c>
      <c r="R1249">
        <v>0.60308191683475498</v>
      </c>
      <c r="S1249" t="s">
        <v>5545</v>
      </c>
      <c r="T1249" t="s">
        <v>8590</v>
      </c>
      <c r="U1249" t="s">
        <v>8590</v>
      </c>
      <c r="V1249" t="s">
        <v>8590</v>
      </c>
      <c r="W1249">
        <v>8</v>
      </c>
      <c r="X1249" t="s">
        <v>9839</v>
      </c>
      <c r="Y1249">
        <v>0.90245168988953151</v>
      </c>
      <c r="Z1249" t="str">
        <f>HYPERLINK("Melting_Curves/meltCurve_sp_P51608_MECP2_HUMAN_.pdf", "Melting_Curves/meltCurve_sp_P51608_MECP2_HUMAN_.pdf")</f>
        <v>Melting_Curves/meltCurve_sp_P51608_MECP2_HUMAN_.pdf</v>
      </c>
      <c r="AA1249" t="s">
        <v>14113</v>
      </c>
      <c r="AB1249" t="s">
        <v>18334</v>
      </c>
    </row>
    <row r="1250" spans="1:28" x14ac:dyDescent="0.25">
      <c r="A1250" t="s">
        <v>1254</v>
      </c>
      <c r="B1250">
        <v>0.99876560204751996</v>
      </c>
      <c r="C1250">
        <v>1.0156243571471999</v>
      </c>
      <c r="D1250">
        <v>0.94759996114745104</v>
      </c>
      <c r="E1250">
        <v>0.84852523136569102</v>
      </c>
      <c r="F1250">
        <v>0.73682586350019397</v>
      </c>
      <c r="G1250">
        <v>0.53211445580144701</v>
      </c>
      <c r="H1250">
        <v>0.270154968534913</v>
      </c>
      <c r="I1250">
        <v>0.19670434736242501</v>
      </c>
      <c r="J1250">
        <v>0.20007442358028099</v>
      </c>
      <c r="K1250">
        <v>0.17930773161312799</v>
      </c>
      <c r="L1250">
        <v>862.94203915243304</v>
      </c>
      <c r="M1250">
        <v>15.4637217859106</v>
      </c>
      <c r="N1250">
        <v>56.8307092217836</v>
      </c>
      <c r="O1250">
        <v>54.896039613113899</v>
      </c>
      <c r="P1250">
        <v>-6.1848020030262102E-2</v>
      </c>
      <c r="Q1250">
        <v>0.12183961688501201</v>
      </c>
      <c r="R1250">
        <v>0.99424585504691299</v>
      </c>
      <c r="S1250" t="s">
        <v>5546</v>
      </c>
      <c r="T1250" t="s">
        <v>8590</v>
      </c>
      <c r="U1250" t="s">
        <v>8590</v>
      </c>
      <c r="V1250" t="s">
        <v>8590</v>
      </c>
      <c r="W1250">
        <v>23</v>
      </c>
      <c r="X1250" t="s">
        <v>9840</v>
      </c>
      <c r="Y1250">
        <v>0.59989289501377341</v>
      </c>
      <c r="Z1250" t="str">
        <f>HYPERLINK("Melting_Curves/meltCurve_sp_P51610_4_HCFC1_HUMAN_.pdf", "Melting_Curves/meltCurve_sp_P51610_4_HCFC1_HUMAN_.pdf")</f>
        <v>Melting_Curves/meltCurve_sp_P51610_4_HCFC1_HUMAN_.pdf</v>
      </c>
      <c r="AA1250" t="s">
        <v>14114</v>
      </c>
      <c r="AB1250" t="s">
        <v>18335</v>
      </c>
    </row>
    <row r="1251" spans="1:28" x14ac:dyDescent="0.25">
      <c r="A1251" t="s">
        <v>1255</v>
      </c>
      <c r="B1251">
        <v>0.99876560204751996</v>
      </c>
      <c r="C1251">
        <v>1.02172460875453</v>
      </c>
      <c r="D1251">
        <v>0.90094962620361096</v>
      </c>
      <c r="E1251">
        <v>1.02155791071327</v>
      </c>
      <c r="F1251">
        <v>0.52662496857540797</v>
      </c>
      <c r="G1251">
        <v>0.155141680675285</v>
      </c>
      <c r="H1251">
        <v>6.9213037857499798E-2</v>
      </c>
      <c r="I1251">
        <v>4.7619755782777801E-2</v>
      </c>
      <c r="J1251">
        <v>4.3742105765649103E-2</v>
      </c>
      <c r="K1251">
        <v>3.5275398463297601E-2</v>
      </c>
      <c r="L1251">
        <v>2945.38173778278</v>
      </c>
      <c r="M1251">
        <v>55.545282001263303</v>
      </c>
      <c r="N1251">
        <v>53.160115983898301</v>
      </c>
      <c r="O1251">
        <v>52.9580574366259</v>
      </c>
      <c r="P1251">
        <v>-0.24515104178355299</v>
      </c>
      <c r="Q1251">
        <v>6.5071226941519997E-2</v>
      </c>
      <c r="R1251">
        <v>0.98944014208073405</v>
      </c>
      <c r="S1251" t="s">
        <v>5547</v>
      </c>
      <c r="T1251" t="s">
        <v>8590</v>
      </c>
      <c r="U1251" t="s">
        <v>8590</v>
      </c>
      <c r="V1251" t="s">
        <v>8590</v>
      </c>
      <c r="W1251">
        <v>27</v>
      </c>
      <c r="X1251" t="s">
        <v>9841</v>
      </c>
      <c r="Y1251">
        <v>0.47280842170898713</v>
      </c>
      <c r="Z1251" t="str">
        <f>HYPERLINK("Melting_Curves/meltCurve_sp_P51649_SSDH_HUMAN_.pdf", "Melting_Curves/meltCurve_sp_P51649_SSDH_HUMAN_.pdf")</f>
        <v>Melting_Curves/meltCurve_sp_P51649_SSDH_HUMAN_.pdf</v>
      </c>
      <c r="AA1251" t="s">
        <v>14115</v>
      </c>
      <c r="AB1251" t="s">
        <v>18336</v>
      </c>
    </row>
    <row r="1252" spans="1:28" x14ac:dyDescent="0.25">
      <c r="A1252" t="s">
        <v>1256</v>
      </c>
      <c r="B1252">
        <v>0.99876560204751996</v>
      </c>
      <c r="C1252">
        <v>1.0520486247021601</v>
      </c>
      <c r="D1252">
        <v>1.0064779913245601</v>
      </c>
      <c r="E1252">
        <v>0.76113724025912299</v>
      </c>
      <c r="F1252">
        <v>0.29626201952426401</v>
      </c>
      <c r="G1252">
        <v>0.13614134624018101</v>
      </c>
      <c r="H1252">
        <v>7.3945481891978304E-2</v>
      </c>
      <c r="I1252">
        <v>5.6083979638004003E-2</v>
      </c>
      <c r="J1252">
        <v>4.8102230428362903E-2</v>
      </c>
      <c r="K1252">
        <v>4.06953635123804E-2</v>
      </c>
      <c r="L1252">
        <v>1842.30478281214</v>
      </c>
      <c r="M1252">
        <v>35.794135807910898</v>
      </c>
      <c r="N1252">
        <v>51.662504745510397</v>
      </c>
      <c r="O1252">
        <v>51.309600713067098</v>
      </c>
      <c r="P1252">
        <v>-0.163486298284164</v>
      </c>
      <c r="Q1252">
        <v>6.2596212118350106E-2</v>
      </c>
      <c r="R1252">
        <v>0.99658500722517895</v>
      </c>
      <c r="S1252" t="s">
        <v>5548</v>
      </c>
      <c r="T1252" t="s">
        <v>8590</v>
      </c>
      <c r="U1252" t="s">
        <v>8590</v>
      </c>
      <c r="V1252" t="s">
        <v>8590</v>
      </c>
      <c r="W1252">
        <v>48</v>
      </c>
      <c r="X1252" t="s">
        <v>9842</v>
      </c>
      <c r="Y1252">
        <v>0.4251492760394664</v>
      </c>
      <c r="Z1252" t="str">
        <f>HYPERLINK("Melting_Curves/meltCurve_sp_P51659_DHB4_HUMAN_.pdf", "Melting_Curves/meltCurve_sp_P51659_DHB4_HUMAN_.pdf")</f>
        <v>Melting_Curves/meltCurve_sp_P51659_DHB4_HUMAN_.pdf</v>
      </c>
      <c r="AA1252" t="s">
        <v>14116</v>
      </c>
      <c r="AB1252" t="s">
        <v>18337</v>
      </c>
    </row>
    <row r="1253" spans="1:28" x14ac:dyDescent="0.25">
      <c r="A1253" t="s">
        <v>1257</v>
      </c>
      <c r="B1253">
        <v>0.99876560204751996</v>
      </c>
      <c r="C1253">
        <v>0.96951353373215698</v>
      </c>
      <c r="D1253">
        <v>0.82090736440768497</v>
      </c>
      <c r="E1253">
        <v>0.60870315338541203</v>
      </c>
      <c r="F1253">
        <v>0.34461455724322798</v>
      </c>
      <c r="G1253">
        <v>0.13325916585621</v>
      </c>
      <c r="H1253">
        <v>9.5854669949016993E-2</v>
      </c>
      <c r="I1253">
        <v>7.3787435693324493E-2</v>
      </c>
      <c r="J1253">
        <v>6.35587506510885E-2</v>
      </c>
      <c r="K1253">
        <v>5.1044402319551103E-2</v>
      </c>
      <c r="L1253">
        <v>878.58319890605605</v>
      </c>
      <c r="M1253">
        <v>17.337730848063298</v>
      </c>
      <c r="N1253">
        <v>50.933216669836803</v>
      </c>
      <c r="O1253">
        <v>50.014899740333</v>
      </c>
      <c r="P1253">
        <v>-8.3016871099537995E-2</v>
      </c>
      <c r="Q1253">
        <v>4.2125408341260502E-2</v>
      </c>
      <c r="R1253">
        <v>0.99733472928914402</v>
      </c>
      <c r="S1253" t="s">
        <v>5549</v>
      </c>
      <c r="T1253" t="s">
        <v>8590</v>
      </c>
      <c r="U1253" t="s">
        <v>8590</v>
      </c>
      <c r="V1253" t="s">
        <v>8590</v>
      </c>
      <c r="W1253">
        <v>5</v>
      </c>
      <c r="X1253" t="s">
        <v>9843</v>
      </c>
      <c r="Y1253">
        <v>0.40030352917004153</v>
      </c>
      <c r="Z1253" t="str">
        <f>HYPERLINK("Melting_Curves/meltCurve_sp_P51665_PSD7_HUMAN_.pdf", "Melting_Curves/meltCurve_sp_P51665_PSD7_HUMAN_.pdf")</f>
        <v>Melting_Curves/meltCurve_sp_P51665_PSD7_HUMAN_.pdf</v>
      </c>
      <c r="AA1253" t="s">
        <v>14117</v>
      </c>
      <c r="AB1253" t="s">
        <v>18338</v>
      </c>
    </row>
    <row r="1254" spans="1:28" x14ac:dyDescent="0.25">
      <c r="A1254" t="s">
        <v>1258</v>
      </c>
      <c r="B1254">
        <v>0.99876560204751996</v>
      </c>
      <c r="C1254">
        <v>1.0522789742752601</v>
      </c>
      <c r="D1254">
        <v>1.05091429245371</v>
      </c>
      <c r="E1254">
        <v>1.05795626524283</v>
      </c>
      <c r="F1254">
        <v>1.05157612198133</v>
      </c>
      <c r="G1254">
        <v>0.82383706080869001</v>
      </c>
      <c r="H1254">
        <v>0.530039314866531</v>
      </c>
      <c r="I1254">
        <v>0.27196110855345801</v>
      </c>
      <c r="J1254">
        <v>0.123402622591643</v>
      </c>
      <c r="K1254">
        <v>0.1229559295698</v>
      </c>
      <c r="L1254">
        <v>1607.6321034545599</v>
      </c>
      <c r="M1254">
        <v>26.465268166835099</v>
      </c>
      <c r="N1254">
        <v>61.137679502007401</v>
      </c>
      <c r="O1254">
        <v>60.401349131149303</v>
      </c>
      <c r="P1254">
        <v>-0.10097825889036501</v>
      </c>
      <c r="Q1254">
        <v>7.8164494684320004E-2</v>
      </c>
      <c r="R1254">
        <v>0.98863887636563796</v>
      </c>
      <c r="S1254" t="s">
        <v>5550</v>
      </c>
      <c r="T1254" t="s">
        <v>8590</v>
      </c>
      <c r="U1254" t="s">
        <v>8590</v>
      </c>
      <c r="V1254" t="s">
        <v>8590</v>
      </c>
      <c r="W1254">
        <v>21</v>
      </c>
      <c r="X1254" t="s">
        <v>9844</v>
      </c>
      <c r="Y1254">
        <v>0.72148893348367671</v>
      </c>
      <c r="Z1254" t="str">
        <f>HYPERLINK("Melting_Curves/meltCurve_sp_P51687_SUOX_HUMAN_.pdf", "Melting_Curves/meltCurve_sp_P51687_SUOX_HUMAN_.pdf")</f>
        <v>Melting_Curves/meltCurve_sp_P51687_SUOX_HUMAN_.pdf</v>
      </c>
      <c r="AA1254" t="s">
        <v>14118</v>
      </c>
      <c r="AB1254" t="s">
        <v>18339</v>
      </c>
    </row>
    <row r="1255" spans="1:28" x14ac:dyDescent="0.25">
      <c r="A1255" t="s">
        <v>1259</v>
      </c>
      <c r="B1255">
        <v>0.99876560204751996</v>
      </c>
      <c r="C1255">
        <v>1.0289674888111799</v>
      </c>
      <c r="D1255">
        <v>1.02331552615246</v>
      </c>
      <c r="E1255">
        <v>0.80428972004842603</v>
      </c>
      <c r="F1255">
        <v>0.67890669164183903</v>
      </c>
      <c r="G1255">
        <v>0.66034570177865703</v>
      </c>
      <c r="H1255">
        <v>0.36760178706697899</v>
      </c>
      <c r="I1255">
        <v>0.48234793082190802</v>
      </c>
      <c r="J1255">
        <v>0.30612354227661498</v>
      </c>
      <c r="K1255">
        <v>0.26554591624630502</v>
      </c>
      <c r="L1255">
        <v>625.41062785463703</v>
      </c>
      <c r="M1255">
        <v>11.0748207326069</v>
      </c>
      <c r="N1255">
        <v>59.383020101134498</v>
      </c>
      <c r="O1255">
        <v>54.723944010942297</v>
      </c>
      <c r="P1255">
        <v>-4.0007623939565001E-2</v>
      </c>
      <c r="Q1255">
        <v>0.20950212158935599</v>
      </c>
      <c r="R1255">
        <v>0.95003360444937301</v>
      </c>
      <c r="S1255" t="s">
        <v>5551</v>
      </c>
      <c r="T1255" t="s">
        <v>8590</v>
      </c>
      <c r="U1255" t="s">
        <v>8590</v>
      </c>
      <c r="V1255" t="s">
        <v>8590</v>
      </c>
      <c r="W1255">
        <v>5</v>
      </c>
      <c r="X1255" t="s">
        <v>9845</v>
      </c>
      <c r="Y1255">
        <v>0.65849220505906703</v>
      </c>
      <c r="Z1255" t="str">
        <f>HYPERLINK("Melting_Curves/meltCurve_sp_P51688_SPHM_HUMAN_.pdf", "Melting_Curves/meltCurve_sp_P51688_SPHM_HUMAN_.pdf")</f>
        <v>Melting_Curves/meltCurve_sp_P51688_SPHM_HUMAN_.pdf</v>
      </c>
      <c r="AA1255" t="s">
        <v>14119</v>
      </c>
      <c r="AB1255" t="s">
        <v>18340</v>
      </c>
    </row>
    <row r="1256" spans="1:28" x14ac:dyDescent="0.25">
      <c r="A1256" t="s">
        <v>1260</v>
      </c>
      <c r="B1256">
        <v>0.99876560204751996</v>
      </c>
      <c r="C1256">
        <v>0.91033786161210595</v>
      </c>
      <c r="D1256">
        <v>0.893641371486808</v>
      </c>
      <c r="E1256">
        <v>0.57356062836452903</v>
      </c>
      <c r="F1256">
        <v>0.20925898137757801</v>
      </c>
      <c r="G1256">
        <v>0.14637046864117001</v>
      </c>
      <c r="H1256">
        <v>0.109627046536666</v>
      </c>
      <c r="I1256">
        <v>8.6041234351455498E-2</v>
      </c>
      <c r="J1256">
        <v>7.3761672682264495E-2</v>
      </c>
      <c r="K1256">
        <v>7.3214506662137802E-2</v>
      </c>
      <c r="L1256">
        <v>1248.3197071378099</v>
      </c>
      <c r="M1256">
        <v>24.977326606473099</v>
      </c>
      <c r="N1256">
        <v>50.335342999094202</v>
      </c>
      <c r="O1256">
        <v>49.661080943155</v>
      </c>
      <c r="P1256">
        <v>-0.115528092661666</v>
      </c>
      <c r="Q1256">
        <v>8.1219562719177907E-2</v>
      </c>
      <c r="R1256">
        <v>0.99233983602943898</v>
      </c>
      <c r="S1256" t="s">
        <v>5552</v>
      </c>
      <c r="T1256" t="s">
        <v>8590</v>
      </c>
      <c r="U1256" t="s">
        <v>8590</v>
      </c>
      <c r="V1256" t="s">
        <v>8590</v>
      </c>
      <c r="W1256">
        <v>12</v>
      </c>
      <c r="X1256" t="s">
        <v>9846</v>
      </c>
      <c r="Y1256">
        <v>0.39503447383975349</v>
      </c>
      <c r="Z1256" t="str">
        <f>HYPERLINK("Melting_Curves/meltCurve_sp_P51692_STA5B_HUMAN_.pdf", "Melting_Curves/meltCurve_sp_P51692_STA5B_HUMAN_.pdf")</f>
        <v>Melting_Curves/meltCurve_sp_P51692_STA5B_HUMAN_.pdf</v>
      </c>
      <c r="AA1256" t="s">
        <v>14120</v>
      </c>
      <c r="AB1256" t="s">
        <v>18341</v>
      </c>
    </row>
    <row r="1257" spans="1:28" x14ac:dyDescent="0.25">
      <c r="A1257" t="s">
        <v>1261</v>
      </c>
      <c r="B1257">
        <v>0.99876560204751996</v>
      </c>
      <c r="C1257">
        <v>0.95400645262024997</v>
      </c>
      <c r="D1257">
        <v>0.99304653125075304</v>
      </c>
      <c r="E1257">
        <v>0.820381112839629</v>
      </c>
      <c r="F1257">
        <v>0.55749707274114602</v>
      </c>
      <c r="G1257">
        <v>0.41881957101782002</v>
      </c>
      <c r="H1257">
        <v>0.14807527572437401</v>
      </c>
      <c r="I1257">
        <v>0.17138795311144001</v>
      </c>
      <c r="J1257">
        <v>0.19285744314412701</v>
      </c>
      <c r="K1257">
        <v>9.0629938921402101E-2</v>
      </c>
      <c r="L1257">
        <v>920.42798023378396</v>
      </c>
      <c r="M1257">
        <v>17.130325484540499</v>
      </c>
      <c r="N1257">
        <v>54.519415374314597</v>
      </c>
      <c r="O1257">
        <v>53.014717886719097</v>
      </c>
      <c r="P1257">
        <v>-7.19217174444957E-2</v>
      </c>
      <c r="Q1257">
        <v>0.10972364895514999</v>
      </c>
      <c r="R1257">
        <v>0.98586285437735499</v>
      </c>
      <c r="S1257" t="s">
        <v>5553</v>
      </c>
      <c r="T1257" t="s">
        <v>8590</v>
      </c>
      <c r="U1257" t="s">
        <v>8590</v>
      </c>
      <c r="V1257" t="s">
        <v>8590</v>
      </c>
      <c r="W1257">
        <v>1</v>
      </c>
      <c r="X1257" t="s">
        <v>9847</v>
      </c>
      <c r="Y1257">
        <v>0.53264238293809862</v>
      </c>
      <c r="Z1257" t="str">
        <f>HYPERLINK("Melting_Curves/meltCurve_sp_P51808_DYLT3_HUMAN_.pdf", "Melting_Curves/meltCurve_sp_P51808_DYLT3_HUMAN_.pdf")</f>
        <v>Melting_Curves/meltCurve_sp_P51808_DYLT3_HUMAN_.pdf</v>
      </c>
      <c r="AA1257" t="s">
        <v>14121</v>
      </c>
      <c r="AB1257" t="s">
        <v>18342</v>
      </c>
    </row>
    <row r="1258" spans="1:28" x14ac:dyDescent="0.25">
      <c r="A1258" t="s">
        <v>1262</v>
      </c>
      <c r="B1258">
        <v>0.99876560204751996</v>
      </c>
      <c r="C1258">
        <v>0.76944610627837595</v>
      </c>
      <c r="D1258">
        <v>0.63633764597270603</v>
      </c>
      <c r="E1258">
        <v>0.37028469251713297</v>
      </c>
      <c r="F1258">
        <v>0.20404032795014601</v>
      </c>
      <c r="G1258">
        <v>0.10783339906081101</v>
      </c>
      <c r="H1258">
        <v>5.6750538577181403E-2</v>
      </c>
      <c r="I1258">
        <v>4.6584392224370302E-2</v>
      </c>
      <c r="J1258">
        <v>4.2382575270847503E-2</v>
      </c>
      <c r="K1258">
        <v>3.7003218003046498E-2</v>
      </c>
      <c r="L1258">
        <v>659.76234220291701</v>
      </c>
      <c r="M1258">
        <v>13.8570389756831</v>
      </c>
      <c r="N1258">
        <v>47.754708672894999</v>
      </c>
      <c r="O1258">
        <v>46.653360754694297</v>
      </c>
      <c r="P1258">
        <v>-7.2760080577437602E-2</v>
      </c>
      <c r="Q1258">
        <v>2.0271308734450599E-2</v>
      </c>
      <c r="R1258">
        <v>0.99313619196883396</v>
      </c>
      <c r="S1258" t="s">
        <v>5554</v>
      </c>
      <c r="T1258" t="s">
        <v>8590</v>
      </c>
      <c r="U1258" t="s">
        <v>8590</v>
      </c>
      <c r="V1258" t="s">
        <v>8590</v>
      </c>
      <c r="W1258">
        <v>24</v>
      </c>
      <c r="X1258" t="s">
        <v>9848</v>
      </c>
      <c r="Y1258">
        <v>0.29893114830981482</v>
      </c>
      <c r="Z1258" t="str">
        <f>HYPERLINK("Melting_Curves/meltCurve_sp_P51857_AK1D1_HUMAN_.pdf", "Melting_Curves/meltCurve_sp_P51857_AK1D1_HUMAN_.pdf")</f>
        <v>Melting_Curves/meltCurve_sp_P51857_AK1D1_HUMAN_.pdf</v>
      </c>
      <c r="AA1258" t="s">
        <v>14122</v>
      </c>
      <c r="AB1258" t="s">
        <v>18343</v>
      </c>
    </row>
    <row r="1259" spans="1:28" x14ac:dyDescent="0.25">
      <c r="A1259" t="s">
        <v>1263</v>
      </c>
      <c r="B1259">
        <v>0.99876560204751996</v>
      </c>
      <c r="C1259">
        <v>0.95858912376854999</v>
      </c>
      <c r="D1259">
        <v>1.0943429421328199</v>
      </c>
      <c r="E1259">
        <v>0.94093133184156197</v>
      </c>
      <c r="F1259">
        <v>0.97066681562234802</v>
      </c>
      <c r="G1259">
        <v>0.77318288191643703</v>
      </c>
      <c r="H1259">
        <v>0.72730123384891898</v>
      </c>
      <c r="I1259">
        <v>0.76878372652771398</v>
      </c>
      <c r="J1259">
        <v>0.96799156031502198</v>
      </c>
      <c r="K1259">
        <v>1.0028268733284</v>
      </c>
      <c r="L1259">
        <v>13325.822270836001</v>
      </c>
      <c r="M1259">
        <v>250</v>
      </c>
      <c r="O1259">
        <v>53.299878027949902</v>
      </c>
      <c r="P1259">
        <v>-0.17821657156704701</v>
      </c>
      <c r="Q1259">
        <v>0.84801725574924902</v>
      </c>
      <c r="R1259">
        <v>0.40128933518722898</v>
      </c>
      <c r="S1259" t="s">
        <v>5555</v>
      </c>
      <c r="T1259" t="s">
        <v>8590</v>
      </c>
      <c r="U1259" t="s">
        <v>8590</v>
      </c>
      <c r="V1259" t="s">
        <v>8590</v>
      </c>
      <c r="W1259">
        <v>20</v>
      </c>
      <c r="X1259" t="s">
        <v>9849</v>
      </c>
      <c r="Y1259">
        <v>0.91542715260925689</v>
      </c>
      <c r="Z1259" t="str">
        <f>HYPERLINK("Melting_Curves/meltCurve_sp_P51858_HDGF_HUMAN_.pdf", "Melting_Curves/meltCurve_sp_P51858_HDGF_HUMAN_.pdf")</f>
        <v>Melting_Curves/meltCurve_sp_P51858_HDGF_HUMAN_.pdf</v>
      </c>
      <c r="AA1259" t="s">
        <v>14123</v>
      </c>
      <c r="AB1259" t="s">
        <v>18344</v>
      </c>
    </row>
    <row r="1260" spans="1:28" x14ac:dyDescent="0.25">
      <c r="A1260" t="s">
        <v>1264</v>
      </c>
      <c r="B1260">
        <v>0.99876560204751996</v>
      </c>
      <c r="C1260">
        <v>1.1511670459315499</v>
      </c>
      <c r="D1260">
        <v>1.1175442526742001</v>
      </c>
      <c r="E1260">
        <v>0.95036934543204599</v>
      </c>
      <c r="F1260">
        <v>0.99468038346946497</v>
      </c>
      <c r="G1260">
        <v>0.86120995680756696</v>
      </c>
      <c r="H1260">
        <v>0.76513778254067999</v>
      </c>
      <c r="I1260">
        <v>0.68323213207852596</v>
      </c>
      <c r="J1260">
        <v>1.01077014026005</v>
      </c>
      <c r="K1260">
        <v>0.96896643490038203</v>
      </c>
      <c r="L1260">
        <v>5158.7943884928</v>
      </c>
      <c r="M1260">
        <v>94.106619543120303</v>
      </c>
      <c r="O1260">
        <v>54.793867699179103</v>
      </c>
      <c r="P1260">
        <v>-6.13557812657489E-2</v>
      </c>
      <c r="Q1260">
        <v>0.85710163129763295</v>
      </c>
      <c r="R1260">
        <v>0.40086448535930203</v>
      </c>
      <c r="S1260" t="s">
        <v>5556</v>
      </c>
      <c r="T1260" t="s">
        <v>8590</v>
      </c>
      <c r="U1260" t="s">
        <v>8590</v>
      </c>
      <c r="V1260" t="s">
        <v>8590</v>
      </c>
      <c r="W1260">
        <v>1</v>
      </c>
      <c r="X1260" t="s">
        <v>9850</v>
      </c>
      <c r="Y1260">
        <v>0.92778397231688214</v>
      </c>
      <c r="Z1260" t="str">
        <f>HYPERLINK("Melting_Curves/meltCurve_sp_P51948_2_MAT1_HUMAN_.pdf", "Melting_Curves/meltCurve_sp_P51948_2_MAT1_HUMAN_.pdf")</f>
        <v>Melting_Curves/meltCurve_sp_P51948_2_MAT1_HUMAN_.pdf</v>
      </c>
      <c r="AA1260" t="s">
        <v>14124</v>
      </c>
      <c r="AB1260" t="s">
        <v>18345</v>
      </c>
    </row>
    <row r="1261" spans="1:28" x14ac:dyDescent="0.25">
      <c r="A1261" t="s">
        <v>1265</v>
      </c>
      <c r="B1261">
        <v>0.99876560204751996</v>
      </c>
      <c r="C1261">
        <v>0.95923696274878301</v>
      </c>
      <c r="D1261">
        <v>1.04954360124013</v>
      </c>
      <c r="E1261">
        <v>0.91542278517946696</v>
      </c>
      <c r="F1261">
        <v>0.83255460445957596</v>
      </c>
      <c r="G1261">
        <v>0.56153957264419396</v>
      </c>
      <c r="H1261">
        <v>0.42464363258232302</v>
      </c>
      <c r="I1261">
        <v>0.34264010519271199</v>
      </c>
      <c r="J1261">
        <v>0.41232918037559901</v>
      </c>
      <c r="K1261">
        <v>0.36414026298954399</v>
      </c>
      <c r="L1261">
        <v>1311.38998172116</v>
      </c>
      <c r="M1261">
        <v>23.8070518276133</v>
      </c>
      <c r="N1261">
        <v>58.257533106426003</v>
      </c>
      <c r="O1261">
        <v>54.699850859780497</v>
      </c>
      <c r="P1261">
        <v>-6.9278802744873705E-2</v>
      </c>
      <c r="Q1261">
        <v>0.36330148268165002</v>
      </c>
      <c r="R1261">
        <v>0.98770853765425703</v>
      </c>
      <c r="S1261" t="s">
        <v>5557</v>
      </c>
      <c r="T1261" t="s">
        <v>8590</v>
      </c>
      <c r="U1261" t="s">
        <v>8590</v>
      </c>
      <c r="V1261" t="s">
        <v>8590</v>
      </c>
      <c r="W1261">
        <v>11</v>
      </c>
      <c r="X1261" t="s">
        <v>9851</v>
      </c>
      <c r="Y1261">
        <v>0.68984099873310756</v>
      </c>
      <c r="Z1261" t="str">
        <f>HYPERLINK("Melting_Curves/meltCurve_sp_P51991_ROA3_HUMAN_.pdf", "Melting_Curves/meltCurve_sp_P51991_ROA3_HUMAN_.pdf")</f>
        <v>Melting_Curves/meltCurve_sp_P51991_ROA3_HUMAN_.pdf</v>
      </c>
      <c r="AA1261" t="s">
        <v>14125</v>
      </c>
      <c r="AB1261" t="s">
        <v>18346</v>
      </c>
    </row>
    <row r="1262" spans="1:28" x14ac:dyDescent="0.25">
      <c r="A1262" t="s">
        <v>1266</v>
      </c>
      <c r="B1262">
        <v>0.99876560204751996</v>
      </c>
      <c r="C1262">
        <v>0.97583128984330003</v>
      </c>
      <c r="D1262">
        <v>1.06406434044175</v>
      </c>
      <c r="E1262">
        <v>0.87556843422099595</v>
      </c>
      <c r="F1262">
        <v>0.73230425322828296</v>
      </c>
      <c r="G1262">
        <v>0.48728184312390699</v>
      </c>
      <c r="H1262">
        <v>0.323716059949549</v>
      </c>
      <c r="I1262">
        <v>0.31266875779481501</v>
      </c>
      <c r="J1262">
        <v>0.364246780901953</v>
      </c>
      <c r="K1262">
        <v>0.34585838976140698</v>
      </c>
      <c r="L1262">
        <v>1296.1819753423799</v>
      </c>
      <c r="M1262">
        <v>24.078703668937901</v>
      </c>
      <c r="N1262">
        <v>56.301392418415297</v>
      </c>
      <c r="O1262">
        <v>53.463889601014998</v>
      </c>
      <c r="P1262">
        <v>-7.5870519686457499E-2</v>
      </c>
      <c r="Q1262">
        <v>0.32616486923716098</v>
      </c>
      <c r="R1262">
        <v>0.98701240367571696</v>
      </c>
      <c r="S1262" t="s">
        <v>5558</v>
      </c>
      <c r="T1262" t="s">
        <v>8590</v>
      </c>
      <c r="U1262" t="s">
        <v>8590</v>
      </c>
      <c r="V1262" t="s">
        <v>8590</v>
      </c>
      <c r="W1262">
        <v>15</v>
      </c>
      <c r="X1262" t="s">
        <v>9852</v>
      </c>
      <c r="Y1262">
        <v>0.6434988073110357</v>
      </c>
      <c r="Z1262" t="str">
        <f>HYPERLINK("Melting_Curves/meltCurve_sp_P52272_2_HNRPM_HUMAN_.pdf", "Melting_Curves/meltCurve_sp_P52272_2_HNRPM_HUMAN_.pdf")</f>
        <v>Melting_Curves/meltCurve_sp_P52272_2_HNRPM_HUMAN_.pdf</v>
      </c>
      <c r="AA1262" t="s">
        <v>14126</v>
      </c>
      <c r="AB1262" t="s">
        <v>18347</v>
      </c>
    </row>
    <row r="1263" spans="1:28" x14ac:dyDescent="0.25">
      <c r="A1263" t="s">
        <v>1267</v>
      </c>
      <c r="B1263">
        <v>0.99876560204751996</v>
      </c>
      <c r="C1263">
        <v>0.96529771416005405</v>
      </c>
      <c r="D1263">
        <v>0.826590327843713</v>
      </c>
      <c r="E1263">
        <v>0.58254285460769495</v>
      </c>
      <c r="F1263">
        <v>0.28616158561319599</v>
      </c>
      <c r="G1263">
        <v>0.15567153387104801</v>
      </c>
      <c r="H1263">
        <v>0.109312540345031</v>
      </c>
      <c r="I1263">
        <v>9.4989517848854801E-2</v>
      </c>
      <c r="J1263">
        <v>9.8099713192191004E-2</v>
      </c>
      <c r="K1263">
        <v>9.6357447768750604E-2</v>
      </c>
      <c r="L1263">
        <v>972.15615665079702</v>
      </c>
      <c r="M1263">
        <v>19.4371333020419</v>
      </c>
      <c r="N1263">
        <v>50.495015970952103</v>
      </c>
      <c r="O1263">
        <v>49.495043565083598</v>
      </c>
      <c r="P1263">
        <v>-8.9905305647818998E-2</v>
      </c>
      <c r="Q1263">
        <v>8.4288158425207094E-2</v>
      </c>
      <c r="R1263">
        <v>0.99735860693304701</v>
      </c>
      <c r="S1263" t="s">
        <v>5559</v>
      </c>
      <c r="T1263" t="s">
        <v>8590</v>
      </c>
      <c r="U1263" t="s">
        <v>8590</v>
      </c>
      <c r="V1263" t="s">
        <v>8590</v>
      </c>
      <c r="W1263">
        <v>12</v>
      </c>
      <c r="X1263" t="s">
        <v>9853</v>
      </c>
      <c r="Y1263">
        <v>0.40347005758512189</v>
      </c>
      <c r="Z1263" t="str">
        <f>HYPERLINK("Melting_Curves/meltCurve_sp_P52294_IMA1_HUMAN_.pdf", "Melting_Curves/meltCurve_sp_P52294_IMA1_HUMAN_.pdf")</f>
        <v>Melting_Curves/meltCurve_sp_P52294_IMA1_HUMAN_.pdf</v>
      </c>
      <c r="AA1263" t="s">
        <v>14127</v>
      </c>
      <c r="AB1263" t="s">
        <v>18348</v>
      </c>
    </row>
    <row r="1264" spans="1:28" x14ac:dyDescent="0.25">
      <c r="A1264" t="s">
        <v>1268</v>
      </c>
      <c r="B1264">
        <v>0.99876560204751996</v>
      </c>
      <c r="C1264">
        <v>0.93750005653369906</v>
      </c>
      <c r="D1264">
        <v>0.89828530590298294</v>
      </c>
      <c r="E1264">
        <v>0.80243909635079702</v>
      </c>
      <c r="F1264">
        <v>0.56229281718109803</v>
      </c>
      <c r="G1264">
        <v>0.25423808798047798</v>
      </c>
      <c r="H1264">
        <v>0.118924195938551</v>
      </c>
      <c r="I1264">
        <v>7.4175842633497899E-2</v>
      </c>
      <c r="J1264">
        <v>5.4773603598560802E-2</v>
      </c>
      <c r="K1264">
        <v>4.70587385542919E-2</v>
      </c>
      <c r="L1264">
        <v>932.58779104816301</v>
      </c>
      <c r="M1264">
        <v>17.428995330467899</v>
      </c>
      <c r="N1264">
        <v>53.6477120135809</v>
      </c>
      <c r="O1264">
        <v>52.818332668552799</v>
      </c>
      <c r="P1264">
        <v>-8.06671169372013E-2</v>
      </c>
      <c r="Q1264">
        <v>2.2212386485238999E-2</v>
      </c>
      <c r="R1264">
        <v>0.99597492830438294</v>
      </c>
      <c r="S1264" t="s">
        <v>5560</v>
      </c>
      <c r="T1264" t="s">
        <v>8590</v>
      </c>
      <c r="U1264" t="s">
        <v>8590</v>
      </c>
      <c r="V1264" t="s">
        <v>8590</v>
      </c>
      <c r="W1264">
        <v>16</v>
      </c>
      <c r="X1264" t="s">
        <v>9854</v>
      </c>
      <c r="Y1264">
        <v>0.47911068863028822</v>
      </c>
      <c r="Z1264" t="str">
        <f>HYPERLINK("Melting_Curves/meltCurve_sp_P52306_GDS1_HUMAN_.pdf", "Melting_Curves/meltCurve_sp_P52306_GDS1_HUMAN_.pdf")</f>
        <v>Melting_Curves/meltCurve_sp_P52306_GDS1_HUMAN_.pdf</v>
      </c>
      <c r="AA1264" t="s">
        <v>14128</v>
      </c>
      <c r="AB1264" t="s">
        <v>18349</v>
      </c>
    </row>
    <row r="1265" spans="1:28" x14ac:dyDescent="0.25">
      <c r="A1265" t="s">
        <v>1269</v>
      </c>
      <c r="B1265">
        <v>0.99876560204751996</v>
      </c>
      <c r="C1265">
        <v>0.79171826856502103</v>
      </c>
      <c r="D1265">
        <v>0.86134810858710598</v>
      </c>
      <c r="E1265">
        <v>0.86396016717990298</v>
      </c>
      <c r="F1265">
        <v>0.75422698383262998</v>
      </c>
      <c r="G1265">
        <v>0.262927867620111</v>
      </c>
      <c r="H1265">
        <v>8.4350727851646906E-2</v>
      </c>
      <c r="I1265">
        <v>5.08784714004335E-2</v>
      </c>
      <c r="J1265">
        <v>4.1162981653407399E-2</v>
      </c>
      <c r="K1265">
        <v>3.1878548841471101E-2</v>
      </c>
      <c r="L1265">
        <v>1325.9993514094499</v>
      </c>
      <c r="M1265">
        <v>24.210591356990399</v>
      </c>
      <c r="N1265">
        <v>54.858036707771603</v>
      </c>
      <c r="O1265">
        <v>54.399815539133002</v>
      </c>
      <c r="P1265">
        <v>-0.10912953896130601</v>
      </c>
      <c r="Q1265">
        <v>1.9183322677527301E-2</v>
      </c>
      <c r="R1265">
        <v>0.95631184088072196</v>
      </c>
      <c r="S1265" t="s">
        <v>5561</v>
      </c>
      <c r="T1265" t="s">
        <v>8590</v>
      </c>
      <c r="U1265" t="s">
        <v>8590</v>
      </c>
      <c r="V1265" t="s">
        <v>8590</v>
      </c>
      <c r="W1265">
        <v>11</v>
      </c>
      <c r="X1265" t="s">
        <v>9855</v>
      </c>
      <c r="Y1265">
        <v>0.51165779658046862</v>
      </c>
      <c r="Z1265" t="str">
        <f>HYPERLINK("Melting_Curves/meltCurve_sp_P52565_GDIR1_HUMAN_.pdf", "Melting_Curves/meltCurve_sp_P52565_GDIR1_HUMAN_.pdf")</f>
        <v>Melting_Curves/meltCurve_sp_P52565_GDIR1_HUMAN_.pdf</v>
      </c>
      <c r="AA1265" t="s">
        <v>14129</v>
      </c>
      <c r="AB1265" t="s">
        <v>18350</v>
      </c>
    </row>
    <row r="1266" spans="1:28" x14ac:dyDescent="0.25">
      <c r="A1266" t="s">
        <v>1270</v>
      </c>
      <c r="B1266">
        <v>0.99876560204751996</v>
      </c>
      <c r="C1266">
        <v>0.92363834155862301</v>
      </c>
      <c r="D1266">
        <v>1.0707214762675601</v>
      </c>
      <c r="E1266">
        <v>0.93511502781442901</v>
      </c>
      <c r="F1266">
        <v>0.91127491193753496</v>
      </c>
      <c r="G1266">
        <v>0.69948352991226903</v>
      </c>
      <c r="H1266">
        <v>0.51991162865066198</v>
      </c>
      <c r="I1266">
        <v>0.37434300927893099</v>
      </c>
      <c r="J1266">
        <v>0.34310114055471302</v>
      </c>
      <c r="K1266">
        <v>0.28462714561214603</v>
      </c>
      <c r="L1266">
        <v>1002.5531023969299</v>
      </c>
      <c r="M1266">
        <v>17.1023769502074</v>
      </c>
      <c r="N1266">
        <v>61.067607835642001</v>
      </c>
      <c r="O1266">
        <v>57.836819414641198</v>
      </c>
      <c r="P1266">
        <v>-5.5593273354475801E-2</v>
      </c>
      <c r="Q1266">
        <v>0.248024047052575</v>
      </c>
      <c r="R1266">
        <v>0.98308918619640895</v>
      </c>
      <c r="S1266" t="s">
        <v>5562</v>
      </c>
      <c r="T1266" t="s">
        <v>8590</v>
      </c>
      <c r="U1266" t="s">
        <v>8590</v>
      </c>
      <c r="V1266" t="s">
        <v>8590</v>
      </c>
      <c r="W1266">
        <v>4</v>
      </c>
      <c r="X1266" t="s">
        <v>9856</v>
      </c>
      <c r="Y1266">
        <v>0.72345492033354442</v>
      </c>
      <c r="Z1266" t="str">
        <f>HYPERLINK("Melting_Curves/meltCurve_sp_P52594_2_AGFG1_HUMAN_.pdf", "Melting_Curves/meltCurve_sp_P52594_2_AGFG1_HUMAN_.pdf")</f>
        <v>Melting_Curves/meltCurve_sp_P52594_2_AGFG1_HUMAN_.pdf</v>
      </c>
      <c r="AA1266" t="s">
        <v>14130</v>
      </c>
      <c r="AB1266" t="s">
        <v>18351</v>
      </c>
    </row>
    <row r="1267" spans="1:28" x14ac:dyDescent="0.25">
      <c r="A1267" t="s">
        <v>1271</v>
      </c>
      <c r="B1267">
        <v>0.99876560204751996</v>
      </c>
      <c r="C1267">
        <v>0.96383393315905896</v>
      </c>
      <c r="D1267">
        <v>0.94813087083847203</v>
      </c>
      <c r="E1267">
        <v>0.85848057103269704</v>
      </c>
      <c r="F1267">
        <v>0.74562767275199604</v>
      </c>
      <c r="G1267">
        <v>0.45064061931537602</v>
      </c>
      <c r="H1267">
        <v>0.30736479868388</v>
      </c>
      <c r="I1267">
        <v>0.25649931411154198</v>
      </c>
      <c r="J1267">
        <v>0.28440879528616803</v>
      </c>
      <c r="K1267">
        <v>0.27229414871575403</v>
      </c>
      <c r="L1267">
        <v>1072.95267748178</v>
      </c>
      <c r="M1267">
        <v>19.761584394503899</v>
      </c>
      <c r="N1267">
        <v>56.2270054940319</v>
      </c>
      <c r="O1267">
        <v>53.748051867751897</v>
      </c>
      <c r="P1267">
        <v>-6.9266407790394197E-2</v>
      </c>
      <c r="Q1267">
        <v>0.24645565936658101</v>
      </c>
      <c r="R1267">
        <v>0.99418230245185102</v>
      </c>
      <c r="S1267" t="s">
        <v>5563</v>
      </c>
      <c r="T1267" t="s">
        <v>8590</v>
      </c>
      <c r="U1267" t="s">
        <v>8590</v>
      </c>
      <c r="V1267" t="s">
        <v>8590</v>
      </c>
      <c r="W1267">
        <v>12</v>
      </c>
      <c r="X1267" t="s">
        <v>9857</v>
      </c>
      <c r="Y1267">
        <v>0.61590069720400253</v>
      </c>
      <c r="Z1267" t="str">
        <f>HYPERLINK("Melting_Curves/meltCurve_sp_P52597_HNRPF_HUMAN_.pdf", "Melting_Curves/meltCurve_sp_P52597_HNRPF_HUMAN_.pdf")</f>
        <v>Melting_Curves/meltCurve_sp_P52597_HNRPF_HUMAN_.pdf</v>
      </c>
      <c r="AA1267" t="s">
        <v>14131</v>
      </c>
      <c r="AB1267" t="s">
        <v>18352</v>
      </c>
    </row>
    <row r="1268" spans="1:28" x14ac:dyDescent="0.25">
      <c r="A1268" t="s">
        <v>1272</v>
      </c>
      <c r="B1268">
        <v>0.99876560204751996</v>
      </c>
      <c r="C1268">
        <v>0.99121836126163598</v>
      </c>
      <c r="D1268">
        <v>0.85115301036783797</v>
      </c>
      <c r="E1268">
        <v>0.61382758499511703</v>
      </c>
      <c r="F1268">
        <v>0.26812730923241002</v>
      </c>
      <c r="G1268">
        <v>0.14918923610794699</v>
      </c>
      <c r="H1268">
        <v>0.104494080523136</v>
      </c>
      <c r="I1268">
        <v>8.6421644495000796E-2</v>
      </c>
      <c r="J1268">
        <v>9.5648151748305502E-2</v>
      </c>
      <c r="K1268">
        <v>8.0431146436769602E-2</v>
      </c>
      <c r="L1268">
        <v>1107.81851311846</v>
      </c>
      <c r="M1268">
        <v>22.028332703121301</v>
      </c>
      <c r="N1268">
        <v>50.698747523415101</v>
      </c>
      <c r="O1268">
        <v>49.881670085272802</v>
      </c>
      <c r="P1268">
        <v>-0.10143520377069599</v>
      </c>
      <c r="Q1268">
        <v>8.1247754232482594E-2</v>
      </c>
      <c r="R1268">
        <v>0.99599787528169004</v>
      </c>
      <c r="S1268" t="s">
        <v>5564</v>
      </c>
      <c r="T1268" t="s">
        <v>8590</v>
      </c>
      <c r="U1268" t="s">
        <v>8590</v>
      </c>
      <c r="V1268" t="s">
        <v>8590</v>
      </c>
      <c r="W1268">
        <v>11</v>
      </c>
      <c r="X1268" t="s">
        <v>9858</v>
      </c>
      <c r="Y1268">
        <v>0.40698488493056689</v>
      </c>
      <c r="Z1268" t="str">
        <f>HYPERLINK("Melting_Curves/meltCurve_sp_P52630_4_STAT2_HUMAN_.pdf", "Melting_Curves/meltCurve_sp_P52630_4_STAT2_HUMAN_.pdf")</f>
        <v>Melting_Curves/meltCurve_sp_P52630_4_STAT2_HUMAN_.pdf</v>
      </c>
      <c r="AA1268" t="s">
        <v>14132</v>
      </c>
      <c r="AB1268" t="s">
        <v>18353</v>
      </c>
    </row>
    <row r="1269" spans="1:28" x14ac:dyDescent="0.25">
      <c r="A1269" t="s">
        <v>1273</v>
      </c>
      <c r="B1269">
        <v>0.99876560204751996</v>
      </c>
      <c r="C1269">
        <v>1.0859579872121301</v>
      </c>
      <c r="D1269">
        <v>1.2172757705628601</v>
      </c>
      <c r="E1269">
        <v>1.10964202507821</v>
      </c>
      <c r="F1269">
        <v>1.10216947115845</v>
      </c>
      <c r="G1269">
        <v>0.72507135797717204</v>
      </c>
      <c r="H1269">
        <v>0.45871135638156801</v>
      </c>
      <c r="I1269">
        <v>0.58663523605008405</v>
      </c>
      <c r="J1269">
        <v>0.26454624869006199</v>
      </c>
      <c r="K1269">
        <v>7.9610669080141305E-2</v>
      </c>
      <c r="L1269">
        <v>996.02706145854199</v>
      </c>
      <c r="M1269">
        <v>15.9418714344091</v>
      </c>
      <c r="N1269">
        <v>62.478678755635698</v>
      </c>
      <c r="O1269">
        <v>61.520378512523202</v>
      </c>
      <c r="P1269">
        <v>-6.4788065623203397E-2</v>
      </c>
      <c r="Q1269">
        <v>0</v>
      </c>
      <c r="R1269">
        <v>0.886803197480169</v>
      </c>
      <c r="S1269" t="s">
        <v>5565</v>
      </c>
      <c r="T1269" t="s">
        <v>8590</v>
      </c>
      <c r="U1269" t="s">
        <v>8590</v>
      </c>
      <c r="V1269" t="s">
        <v>8590</v>
      </c>
      <c r="W1269">
        <v>2</v>
      </c>
      <c r="X1269" t="s">
        <v>9859</v>
      </c>
      <c r="Y1269">
        <v>0.74552469047949199</v>
      </c>
      <c r="Z1269" t="str">
        <f>HYPERLINK("Melting_Curves/meltCurve_sp_P52657_T2AG_HUMAN_.pdf", "Melting_Curves/meltCurve_sp_P52657_T2AG_HUMAN_.pdf")</f>
        <v>Melting_Curves/meltCurve_sp_P52657_T2AG_HUMAN_.pdf</v>
      </c>
      <c r="AA1269" t="s">
        <v>14133</v>
      </c>
      <c r="AB1269" t="s">
        <v>18354</v>
      </c>
    </row>
    <row r="1270" spans="1:28" x14ac:dyDescent="0.25">
      <c r="A1270" t="s">
        <v>1274</v>
      </c>
      <c r="B1270">
        <v>0.99876560204751996</v>
      </c>
      <c r="C1270">
        <v>0.87088454354704703</v>
      </c>
      <c r="D1270">
        <v>0.88437344178878896</v>
      </c>
      <c r="E1270">
        <v>0.75742014834944904</v>
      </c>
      <c r="F1270">
        <v>0.54950432639068503</v>
      </c>
      <c r="G1270">
        <v>0.333810156874778</v>
      </c>
      <c r="H1270">
        <v>0.18600971055704699</v>
      </c>
      <c r="I1270">
        <v>0.151476229325328</v>
      </c>
      <c r="J1270">
        <v>0.12933692251665099</v>
      </c>
      <c r="K1270">
        <v>0.15842905329093401</v>
      </c>
      <c r="L1270">
        <v>720.49765478767301</v>
      </c>
      <c r="M1270">
        <v>13.5932372370037</v>
      </c>
      <c r="N1270">
        <v>53.740720988254303</v>
      </c>
      <c r="O1270">
        <v>51.896453066567602</v>
      </c>
      <c r="P1270">
        <v>-5.9925771312023902E-2</v>
      </c>
      <c r="Q1270">
        <v>8.4994032039244397E-2</v>
      </c>
      <c r="R1270">
        <v>0.98791250284306098</v>
      </c>
      <c r="S1270" t="s">
        <v>5566</v>
      </c>
      <c r="T1270" t="s">
        <v>8590</v>
      </c>
      <c r="U1270" t="s">
        <v>8590</v>
      </c>
      <c r="V1270" t="s">
        <v>8590</v>
      </c>
      <c r="W1270">
        <v>3</v>
      </c>
      <c r="X1270" t="s">
        <v>9860</v>
      </c>
      <c r="Y1270">
        <v>0.50406597180146173</v>
      </c>
      <c r="Z1270" t="str">
        <f>HYPERLINK("Melting_Curves/meltCurve_sp_P52701_MSH6_HUMAN_.pdf", "Melting_Curves/meltCurve_sp_P52701_MSH6_HUMAN_.pdf")</f>
        <v>Melting_Curves/meltCurve_sp_P52701_MSH6_HUMAN_.pdf</v>
      </c>
      <c r="AA1270" t="s">
        <v>14134</v>
      </c>
      <c r="AB1270" t="s">
        <v>18355</v>
      </c>
    </row>
    <row r="1271" spans="1:28" x14ac:dyDescent="0.25">
      <c r="A1271" t="s">
        <v>1275</v>
      </c>
      <c r="B1271">
        <v>0.99876560204751996</v>
      </c>
      <c r="C1271">
        <v>0.96480596801416296</v>
      </c>
      <c r="D1271">
        <v>0.91156037708433502</v>
      </c>
      <c r="E1271">
        <v>0.82460112468430502</v>
      </c>
      <c r="F1271">
        <v>0.21322583365591799</v>
      </c>
      <c r="G1271">
        <v>0.10050100462000799</v>
      </c>
      <c r="H1271">
        <v>6.3238167037279802E-2</v>
      </c>
      <c r="I1271">
        <v>5.53150674154788E-2</v>
      </c>
      <c r="J1271">
        <v>6.3762984448181306E-2</v>
      </c>
      <c r="K1271">
        <v>5.2878330712453001E-2</v>
      </c>
      <c r="L1271">
        <v>2713.1145206553501</v>
      </c>
      <c r="M1271">
        <v>52.826343453614797</v>
      </c>
      <c r="N1271">
        <v>51.495804915148497</v>
      </c>
      <c r="O1271">
        <v>51.285681010141801</v>
      </c>
      <c r="P1271">
        <v>-0.24066559736889101</v>
      </c>
      <c r="Q1271">
        <v>6.5414011416848897E-2</v>
      </c>
      <c r="R1271">
        <v>0.99417360165744595</v>
      </c>
      <c r="S1271" t="s">
        <v>5567</v>
      </c>
      <c r="T1271" t="s">
        <v>8590</v>
      </c>
      <c r="U1271" t="s">
        <v>8590</v>
      </c>
      <c r="V1271" t="s">
        <v>8590</v>
      </c>
      <c r="W1271">
        <v>20</v>
      </c>
      <c r="X1271" t="s">
        <v>9861</v>
      </c>
      <c r="Y1271">
        <v>0.42117879075837622</v>
      </c>
      <c r="Z1271" t="str">
        <f>HYPERLINK("Melting_Curves/meltCurve_sp_P52735_3_VAV2_HUMAN_.pdf", "Melting_Curves/meltCurve_sp_P52735_3_VAV2_HUMAN_.pdf")</f>
        <v>Melting_Curves/meltCurve_sp_P52735_3_VAV2_HUMAN_.pdf</v>
      </c>
      <c r="AA1271" t="s">
        <v>14135</v>
      </c>
      <c r="AB1271" t="s">
        <v>18356</v>
      </c>
    </row>
    <row r="1272" spans="1:28" x14ac:dyDescent="0.25">
      <c r="A1272" t="s">
        <v>1276</v>
      </c>
      <c r="B1272">
        <v>0.99876560204751996</v>
      </c>
      <c r="C1272">
        <v>1.0148316128202099</v>
      </c>
      <c r="D1272">
        <v>1.1932333951520999</v>
      </c>
      <c r="E1272">
        <v>0.94698809419716201</v>
      </c>
      <c r="F1272">
        <v>0.982429994672808</v>
      </c>
      <c r="G1272">
        <v>0.65727062974689199</v>
      </c>
      <c r="H1272">
        <v>0.56281920704581201</v>
      </c>
      <c r="I1272">
        <v>0.54434460005448304</v>
      </c>
      <c r="J1272">
        <v>0.69572585246353102</v>
      </c>
      <c r="K1272">
        <v>0.59985856012060901</v>
      </c>
      <c r="L1272">
        <v>3726.0442327870701</v>
      </c>
      <c r="M1272">
        <v>67.196370155304905</v>
      </c>
      <c r="O1272">
        <v>55.401032991681902</v>
      </c>
      <c r="P1272">
        <v>-0.121071192573036</v>
      </c>
      <c r="Q1272">
        <v>0.60072442204602605</v>
      </c>
      <c r="R1272">
        <v>0.88836378737024801</v>
      </c>
      <c r="S1272" t="s">
        <v>5568</v>
      </c>
      <c r="T1272" t="s">
        <v>8590</v>
      </c>
      <c r="U1272" t="s">
        <v>8590</v>
      </c>
      <c r="V1272" t="s">
        <v>8590</v>
      </c>
      <c r="W1272">
        <v>12</v>
      </c>
      <c r="X1272" t="s">
        <v>9862</v>
      </c>
      <c r="Y1272">
        <v>0.80689177750098229</v>
      </c>
      <c r="Z1272" t="str">
        <f>HYPERLINK("Melting_Curves/meltCurve_sp_P52758_UK114_HUMAN_.pdf", "Melting_Curves/meltCurve_sp_P52758_UK114_HUMAN_.pdf")</f>
        <v>Melting_Curves/meltCurve_sp_P52758_UK114_HUMAN_.pdf</v>
      </c>
      <c r="AA1272" t="s">
        <v>14136</v>
      </c>
      <c r="AB1272" t="s">
        <v>18357</v>
      </c>
    </row>
    <row r="1273" spans="1:28" x14ac:dyDescent="0.25">
      <c r="A1273" t="s">
        <v>1277</v>
      </c>
      <c r="B1273">
        <v>0.99876560204751996</v>
      </c>
      <c r="C1273">
        <v>0.95856156385122704</v>
      </c>
      <c r="D1273">
        <v>0.968675756592417</v>
      </c>
      <c r="E1273">
        <v>0.85198964301654601</v>
      </c>
      <c r="F1273">
        <v>0.52702496522937503</v>
      </c>
      <c r="G1273">
        <v>0.22812759007706701</v>
      </c>
      <c r="H1273">
        <v>0.103865342374123</v>
      </c>
      <c r="I1273">
        <v>6.6030549476802897E-2</v>
      </c>
      <c r="J1273">
        <v>6.1521559779361697E-2</v>
      </c>
      <c r="K1273">
        <v>5.6610867278996301E-2</v>
      </c>
      <c r="L1273">
        <v>1266.7658363702801</v>
      </c>
      <c r="M1273">
        <v>23.821965178105099</v>
      </c>
      <c r="N1273">
        <v>53.443169662950602</v>
      </c>
      <c r="O1273">
        <v>52.805902570663903</v>
      </c>
      <c r="P1273">
        <v>-0.10645993773871799</v>
      </c>
      <c r="Q1273">
        <v>5.6060827758951402E-2</v>
      </c>
      <c r="R1273">
        <v>0.99832793019233501</v>
      </c>
      <c r="S1273" t="s">
        <v>5569</v>
      </c>
      <c r="T1273" t="s">
        <v>8590</v>
      </c>
      <c r="U1273" t="s">
        <v>8590</v>
      </c>
      <c r="V1273" t="s">
        <v>8590</v>
      </c>
      <c r="W1273">
        <v>9</v>
      </c>
      <c r="X1273" t="s">
        <v>9863</v>
      </c>
      <c r="Y1273">
        <v>0.48016620681449818</v>
      </c>
      <c r="Z1273" t="str">
        <f>HYPERLINK("Melting_Curves/meltCurve_sp_P52788_SPSY_HUMAN_.pdf", "Melting_Curves/meltCurve_sp_P52788_SPSY_HUMAN_.pdf")</f>
        <v>Melting_Curves/meltCurve_sp_P52788_SPSY_HUMAN_.pdf</v>
      </c>
      <c r="AA1273" t="s">
        <v>14137</v>
      </c>
      <c r="AB1273" t="s">
        <v>18358</v>
      </c>
    </row>
    <row r="1274" spans="1:28" x14ac:dyDescent="0.25">
      <c r="A1274" t="s">
        <v>1278</v>
      </c>
      <c r="B1274">
        <v>0.99876560204751996</v>
      </c>
      <c r="C1274">
        <v>0.93845715134479502</v>
      </c>
      <c r="D1274">
        <v>0.90171712925477698</v>
      </c>
      <c r="E1274">
        <v>0.71102602701876705</v>
      </c>
      <c r="F1274">
        <v>0.257615527184957</v>
      </c>
      <c r="G1274">
        <v>0.12861134083515199</v>
      </c>
      <c r="H1274">
        <v>7.8791637889958702E-2</v>
      </c>
      <c r="I1274">
        <v>6.5054970925001093E-2</v>
      </c>
      <c r="J1274">
        <v>5.2692034396800903E-2</v>
      </c>
      <c r="K1274">
        <v>5.5795459949192099E-2</v>
      </c>
      <c r="L1274">
        <v>1572.2960452054199</v>
      </c>
      <c r="M1274">
        <v>30.799886733538699</v>
      </c>
      <c r="N1274">
        <v>51.275366057110801</v>
      </c>
      <c r="O1274">
        <v>50.835009352846598</v>
      </c>
      <c r="P1274">
        <v>-0.14183273710174801</v>
      </c>
      <c r="Q1274">
        <v>6.3629516217228094E-2</v>
      </c>
      <c r="R1274">
        <v>0.99262263680330998</v>
      </c>
      <c r="S1274" t="s">
        <v>5570</v>
      </c>
      <c r="T1274" t="s">
        <v>8590</v>
      </c>
      <c r="U1274" t="s">
        <v>8590</v>
      </c>
      <c r="V1274" t="s">
        <v>8590</v>
      </c>
      <c r="W1274">
        <v>8</v>
      </c>
      <c r="X1274" t="s">
        <v>9864</v>
      </c>
      <c r="Y1274">
        <v>0.41407680349944148</v>
      </c>
      <c r="Z1274" t="str">
        <f>HYPERLINK("Melting_Curves/meltCurve_sp_P52790_HXK3_HUMAN_.pdf", "Melting_Curves/meltCurve_sp_P52790_HXK3_HUMAN_.pdf")</f>
        <v>Melting_Curves/meltCurve_sp_P52790_HXK3_HUMAN_.pdf</v>
      </c>
      <c r="AA1274" t="s">
        <v>14138</v>
      </c>
      <c r="AB1274" t="s">
        <v>18359</v>
      </c>
    </row>
    <row r="1275" spans="1:28" x14ac:dyDescent="0.25">
      <c r="A1275" t="s">
        <v>1279</v>
      </c>
      <c r="B1275">
        <v>0.99876560204751996</v>
      </c>
      <c r="C1275">
        <v>0.94970572034485301</v>
      </c>
      <c r="D1275">
        <v>0.96027764845700103</v>
      </c>
      <c r="E1275">
        <v>0.93417822150012697</v>
      </c>
      <c r="F1275">
        <v>0.95550754199472598</v>
      </c>
      <c r="G1275">
        <v>0.81243111614298302</v>
      </c>
      <c r="H1275">
        <v>0.453866038162623</v>
      </c>
      <c r="I1275">
        <v>0.13530888614930001</v>
      </c>
      <c r="J1275">
        <v>6.53388543768188E-2</v>
      </c>
      <c r="K1275">
        <v>5.70530049164105E-2</v>
      </c>
      <c r="L1275">
        <v>1623.7262698796501</v>
      </c>
      <c r="M1275">
        <v>26.9627160416489</v>
      </c>
      <c r="N1275">
        <v>60.267742489198902</v>
      </c>
      <c r="O1275">
        <v>59.8928501114871</v>
      </c>
      <c r="P1275">
        <v>-0.11138639881314499</v>
      </c>
      <c r="Q1275">
        <v>1.03103679997123E-2</v>
      </c>
      <c r="R1275">
        <v>0.99205267750978399</v>
      </c>
      <c r="S1275" t="s">
        <v>5571</v>
      </c>
      <c r="T1275" t="s">
        <v>8590</v>
      </c>
      <c r="U1275" t="s">
        <v>8590</v>
      </c>
      <c r="V1275" t="s">
        <v>8590</v>
      </c>
      <c r="W1275">
        <v>33</v>
      </c>
      <c r="X1275" t="s">
        <v>9865</v>
      </c>
      <c r="Y1275">
        <v>0.68406381045008202</v>
      </c>
      <c r="Z1275" t="str">
        <f>HYPERLINK("Melting_Curves/meltCurve_sp_P52888_THOP1_HUMAN_.pdf", "Melting_Curves/meltCurve_sp_P52888_THOP1_HUMAN_.pdf")</f>
        <v>Melting_Curves/meltCurve_sp_P52888_THOP1_HUMAN_.pdf</v>
      </c>
      <c r="AA1275" t="s">
        <v>14139</v>
      </c>
      <c r="AB1275" t="s">
        <v>18360</v>
      </c>
    </row>
    <row r="1276" spans="1:28" x14ac:dyDescent="0.25">
      <c r="A1276" t="s">
        <v>1280</v>
      </c>
      <c r="B1276">
        <v>0.99876560204751996</v>
      </c>
      <c r="C1276">
        <v>0.82507308168720905</v>
      </c>
      <c r="D1276">
        <v>0.63777497118244098</v>
      </c>
      <c r="E1276">
        <v>0.43034077530409998</v>
      </c>
      <c r="F1276">
        <v>0.26696692196141097</v>
      </c>
      <c r="G1276">
        <v>0.17977070668914599</v>
      </c>
      <c r="H1276">
        <v>0.11568371938208</v>
      </c>
      <c r="I1276">
        <v>0.102739510356068</v>
      </c>
      <c r="J1276">
        <v>8.3444721325599103E-2</v>
      </c>
      <c r="K1276">
        <v>7.5356021951329996E-2</v>
      </c>
      <c r="L1276">
        <v>640.66778016712306</v>
      </c>
      <c r="M1276">
        <v>13.3555871935682</v>
      </c>
      <c r="N1276">
        <v>48.499021049823298</v>
      </c>
      <c r="O1276">
        <v>46.932852015178597</v>
      </c>
      <c r="P1276">
        <v>-6.6330367829635806E-2</v>
      </c>
      <c r="Q1276">
        <v>6.7782681381920201E-2</v>
      </c>
      <c r="R1276">
        <v>0.99503675673341496</v>
      </c>
      <c r="S1276" t="s">
        <v>5572</v>
      </c>
      <c r="T1276" t="s">
        <v>8590</v>
      </c>
      <c r="U1276" t="s">
        <v>8590</v>
      </c>
      <c r="V1276" t="s">
        <v>8590</v>
      </c>
      <c r="W1276">
        <v>23</v>
      </c>
      <c r="X1276" t="s">
        <v>9866</v>
      </c>
      <c r="Y1276">
        <v>0.34550922061738981</v>
      </c>
      <c r="Z1276" t="str">
        <f>HYPERLINK("Melting_Curves/meltCurve_sp_P52895_AK1C2_HUMAN_.pdf", "Melting_Curves/meltCurve_sp_P52895_AK1C2_HUMAN_.pdf")</f>
        <v>Melting_Curves/meltCurve_sp_P52895_AK1C2_HUMAN_.pdf</v>
      </c>
      <c r="AA1276" t="s">
        <v>14140</v>
      </c>
      <c r="AB1276" t="s">
        <v>18361</v>
      </c>
    </row>
    <row r="1277" spans="1:28" x14ac:dyDescent="0.25">
      <c r="A1277" t="s">
        <v>1281</v>
      </c>
      <c r="B1277">
        <v>0.99876560204751996</v>
      </c>
      <c r="C1277">
        <v>0.90519363845066203</v>
      </c>
      <c r="D1277">
        <v>1.0500840731302701</v>
      </c>
      <c r="E1277">
        <v>1.1254058444911399</v>
      </c>
      <c r="F1277">
        <v>1.3472711306476699</v>
      </c>
      <c r="G1277">
        <v>1.03326639965282</v>
      </c>
      <c r="H1277">
        <v>0.54780518655900401</v>
      </c>
      <c r="I1277">
        <v>0.21469249664083001</v>
      </c>
      <c r="J1277">
        <v>9.4336035604236104E-2</v>
      </c>
      <c r="K1277">
        <v>7.2135959633050695E-2</v>
      </c>
      <c r="L1277">
        <v>3011.8720968340599</v>
      </c>
      <c r="M1277">
        <v>49.2754299897396</v>
      </c>
      <c r="N1277">
        <v>61.367320912498698</v>
      </c>
      <c r="O1277">
        <v>61.022805845119898</v>
      </c>
      <c r="P1277">
        <v>-0.18390701391170799</v>
      </c>
      <c r="Q1277">
        <v>8.8997671482737503E-2</v>
      </c>
      <c r="R1277">
        <v>0.921998449309405</v>
      </c>
      <c r="S1277" t="s">
        <v>5573</v>
      </c>
      <c r="T1277" t="s">
        <v>8590</v>
      </c>
      <c r="U1277" t="s">
        <v>8590</v>
      </c>
      <c r="V1277" t="s">
        <v>8590</v>
      </c>
      <c r="W1277">
        <v>12</v>
      </c>
      <c r="X1277" t="s">
        <v>9867</v>
      </c>
      <c r="Y1277">
        <v>0.73286979126082841</v>
      </c>
      <c r="Z1277" t="str">
        <f>HYPERLINK("Melting_Curves/meltCurve_sp_P52907_CAZA1_HUMAN_.pdf", "Melting_Curves/meltCurve_sp_P52907_CAZA1_HUMAN_.pdf")</f>
        <v>Melting_Curves/meltCurve_sp_P52907_CAZA1_HUMAN_.pdf</v>
      </c>
      <c r="AA1277" t="s">
        <v>14141</v>
      </c>
      <c r="AB1277" t="s">
        <v>18362</v>
      </c>
    </row>
    <row r="1278" spans="1:28" x14ac:dyDescent="0.25">
      <c r="A1278" t="s">
        <v>1282</v>
      </c>
      <c r="B1278">
        <v>0.99876560204751996</v>
      </c>
      <c r="C1278">
        <v>0.87557996156703499</v>
      </c>
      <c r="D1278">
        <v>0.97845281066706502</v>
      </c>
      <c r="E1278">
        <v>0.90281012540508099</v>
      </c>
      <c r="F1278">
        <v>0.87141241122314494</v>
      </c>
      <c r="G1278">
        <v>0.76483019339735603</v>
      </c>
      <c r="H1278">
        <v>0.76416220887559705</v>
      </c>
      <c r="I1278">
        <v>0.88566583104470997</v>
      </c>
      <c r="J1278">
        <v>1.11541705785805</v>
      </c>
      <c r="K1278">
        <v>1.15581525332436</v>
      </c>
      <c r="L1278">
        <v>15000</v>
      </c>
      <c r="M1278">
        <v>224.928068169814</v>
      </c>
      <c r="O1278">
        <v>66.682714925662395</v>
      </c>
      <c r="P1278">
        <v>0.13142029266799099</v>
      </c>
      <c r="Q1278">
        <v>1.1558447008174599</v>
      </c>
      <c r="R1278">
        <v>-6.1494192997404697E-2</v>
      </c>
      <c r="S1278" t="s">
        <v>5574</v>
      </c>
      <c r="T1278" t="s">
        <v>8590</v>
      </c>
      <c r="U1278" t="s">
        <v>8590</v>
      </c>
      <c r="V1278" t="s">
        <v>8590</v>
      </c>
      <c r="W1278">
        <v>6</v>
      </c>
      <c r="X1278" t="s">
        <v>9868</v>
      </c>
      <c r="Y1278">
        <v>1.0171828319231091</v>
      </c>
      <c r="Z1278" t="str">
        <f>HYPERLINK("Melting_Curves/meltCurve_sp_P52943_CRIP2_HUMAN_.pdf", "Melting_Curves/meltCurve_sp_P52943_CRIP2_HUMAN_.pdf")</f>
        <v>Melting_Curves/meltCurve_sp_P52943_CRIP2_HUMAN_.pdf</v>
      </c>
      <c r="AA1278" t="s">
        <v>14142</v>
      </c>
      <c r="AB1278" t="s">
        <v>18363</v>
      </c>
    </row>
    <row r="1279" spans="1:28" x14ac:dyDescent="0.25">
      <c r="A1279" t="s">
        <v>1283</v>
      </c>
      <c r="B1279">
        <v>0.99876560204751996</v>
      </c>
      <c r="C1279">
        <v>0.97459727736275004</v>
      </c>
      <c r="D1279">
        <v>0.91923500092007504</v>
      </c>
      <c r="E1279">
        <v>0.80800267589125196</v>
      </c>
      <c r="F1279">
        <v>0.63873489504129599</v>
      </c>
      <c r="G1279">
        <v>0.458620776922812</v>
      </c>
      <c r="H1279">
        <v>0.41371110704868802</v>
      </c>
      <c r="I1279">
        <v>0.32892707855729197</v>
      </c>
      <c r="J1279">
        <v>0.40512442642032298</v>
      </c>
      <c r="K1279">
        <v>0.33055062894237403</v>
      </c>
      <c r="L1279">
        <v>869.91775296016101</v>
      </c>
      <c r="M1279">
        <v>16.6132272136574</v>
      </c>
      <c r="N1279">
        <v>56.183829583067599</v>
      </c>
      <c r="O1279">
        <v>51.621909939653499</v>
      </c>
      <c r="P1279">
        <v>-5.3229255717375502E-2</v>
      </c>
      <c r="Q1279">
        <v>0.33845244658609203</v>
      </c>
      <c r="R1279">
        <v>0.99157688565600599</v>
      </c>
      <c r="S1279" t="s">
        <v>5575</v>
      </c>
      <c r="T1279" t="s">
        <v>8590</v>
      </c>
      <c r="U1279" t="s">
        <v>8590</v>
      </c>
      <c r="V1279" t="s">
        <v>8590</v>
      </c>
      <c r="W1279">
        <v>12</v>
      </c>
      <c r="X1279" t="s">
        <v>9869</v>
      </c>
      <c r="Y1279">
        <v>0.62355453993704524</v>
      </c>
      <c r="Z1279" t="str">
        <f>HYPERLINK("Melting_Curves/meltCurve_sp_P52948_6_NUP98_HUMAN_.pdf", "Melting_Curves/meltCurve_sp_P52948_6_NUP98_HUMAN_.pdf")</f>
        <v>Melting_Curves/meltCurve_sp_P52948_6_NUP98_HUMAN_.pdf</v>
      </c>
      <c r="AA1279" t="s">
        <v>14143</v>
      </c>
      <c r="AB1279" t="s">
        <v>18364</v>
      </c>
    </row>
    <row r="1280" spans="1:28" x14ac:dyDescent="0.25">
      <c r="A1280" t="s">
        <v>1284</v>
      </c>
      <c r="B1280">
        <v>0.99876560204751996</v>
      </c>
      <c r="C1280">
        <v>0.949233874038796</v>
      </c>
      <c r="D1280">
        <v>0.96886454668512101</v>
      </c>
      <c r="E1280">
        <v>0.73707127356352997</v>
      </c>
      <c r="F1280">
        <v>0.26591635361562799</v>
      </c>
      <c r="G1280">
        <v>0.17591499592879001</v>
      </c>
      <c r="H1280">
        <v>8.6740134475600403E-2</v>
      </c>
      <c r="I1280">
        <v>7.6979600746003296E-2</v>
      </c>
      <c r="J1280">
        <v>7.0578642797802904E-2</v>
      </c>
      <c r="K1280">
        <v>6.2767949015526694E-2</v>
      </c>
      <c r="L1280">
        <v>1854.2092454363301</v>
      </c>
      <c r="M1280">
        <v>36.243978105178897</v>
      </c>
      <c r="N1280">
        <v>51.428319291511301</v>
      </c>
      <c r="O1280">
        <v>51.004108606512801</v>
      </c>
      <c r="P1280">
        <v>-0.162301776398074</v>
      </c>
      <c r="Q1280">
        <v>8.6410286545323498E-2</v>
      </c>
      <c r="R1280">
        <v>0.99433560593429704</v>
      </c>
      <c r="S1280" t="s">
        <v>5576</v>
      </c>
      <c r="T1280" t="s">
        <v>8590</v>
      </c>
      <c r="U1280" t="s">
        <v>8590</v>
      </c>
      <c r="V1280" t="s">
        <v>8590</v>
      </c>
      <c r="W1280">
        <v>3</v>
      </c>
      <c r="X1280" t="s">
        <v>9870</v>
      </c>
      <c r="Y1280">
        <v>0.43017797686210668</v>
      </c>
      <c r="Z1280" t="str">
        <f>HYPERLINK("Melting_Curves/meltCurve_sp_P53004_BIEA_HUMAN_.pdf", "Melting_Curves/meltCurve_sp_P53004_BIEA_HUMAN_.pdf")</f>
        <v>Melting_Curves/meltCurve_sp_P53004_BIEA_HUMAN_.pdf</v>
      </c>
      <c r="AA1280" t="s">
        <v>14144</v>
      </c>
      <c r="AB1280" t="s">
        <v>18365</v>
      </c>
    </row>
    <row r="1281" spans="1:28" x14ac:dyDescent="0.25">
      <c r="A1281" t="s">
        <v>1285</v>
      </c>
      <c r="B1281">
        <v>0.99876560204751996</v>
      </c>
      <c r="C1281">
        <v>0.93958428077974498</v>
      </c>
      <c r="D1281">
        <v>1.0471182249278499</v>
      </c>
      <c r="E1281">
        <v>0.69962505910453399</v>
      </c>
      <c r="F1281">
        <v>0.28507125642470899</v>
      </c>
      <c r="G1281">
        <v>0.15758047086736701</v>
      </c>
      <c r="H1281">
        <v>0.10545890266027801</v>
      </c>
      <c r="I1281">
        <v>9.4858255593271101E-2</v>
      </c>
      <c r="J1281">
        <v>0.10724981457874699</v>
      </c>
      <c r="K1281">
        <v>0.106248937149182</v>
      </c>
      <c r="L1281">
        <v>1894.24073779122</v>
      </c>
      <c r="M1281">
        <v>37.165756671714298</v>
      </c>
      <c r="N1281">
        <v>51.311259281516897</v>
      </c>
      <c r="O1281">
        <v>50.820483195843003</v>
      </c>
      <c r="P1281">
        <v>-0.16267286554173199</v>
      </c>
      <c r="Q1281">
        <v>0.110246509838068</v>
      </c>
      <c r="R1281">
        <v>0.99431081834826196</v>
      </c>
      <c r="S1281" t="s">
        <v>5577</v>
      </c>
      <c r="T1281" t="s">
        <v>8590</v>
      </c>
      <c r="U1281" t="s">
        <v>8590</v>
      </c>
      <c r="V1281" t="s">
        <v>8590</v>
      </c>
      <c r="W1281">
        <v>5</v>
      </c>
      <c r="X1281" t="s">
        <v>9871</v>
      </c>
      <c r="Y1281">
        <v>0.43915621799958487</v>
      </c>
      <c r="Z1281" t="str">
        <f>HYPERLINK("Melting_Curves/meltCurve_sp_P53367_ARFP1_HUMAN_.pdf", "Melting_Curves/meltCurve_sp_P53367_ARFP1_HUMAN_.pdf")</f>
        <v>Melting_Curves/meltCurve_sp_P53367_ARFP1_HUMAN_.pdf</v>
      </c>
      <c r="AA1281" t="s">
        <v>14145</v>
      </c>
      <c r="AB1281" t="s">
        <v>18366</v>
      </c>
    </row>
    <row r="1282" spans="1:28" x14ac:dyDescent="0.25">
      <c r="A1282" t="s">
        <v>1286</v>
      </c>
      <c r="B1282">
        <v>0.99876560204751996</v>
      </c>
      <c r="C1282">
        <v>0.92339349063176002</v>
      </c>
      <c r="D1282">
        <v>0.95575438624690301</v>
      </c>
      <c r="E1282">
        <v>0.90321384717706599</v>
      </c>
      <c r="F1282">
        <v>0.76199563350817501</v>
      </c>
      <c r="G1282">
        <v>0.50473322886875205</v>
      </c>
      <c r="H1282">
        <v>0.19815912962746399</v>
      </c>
      <c r="I1282">
        <v>8.4555167885807997E-2</v>
      </c>
      <c r="J1282">
        <v>5.5163478475659E-2</v>
      </c>
      <c r="K1282">
        <v>3.8930991041294598E-2</v>
      </c>
      <c r="L1282">
        <v>1018.10957142166</v>
      </c>
      <c r="M1282">
        <v>17.985470073661102</v>
      </c>
      <c r="N1282">
        <v>56.607337268786097</v>
      </c>
      <c r="O1282">
        <v>55.921443897071299</v>
      </c>
      <c r="P1282">
        <v>-8.0409048209431996E-2</v>
      </c>
      <c r="Q1282">
        <v>0</v>
      </c>
      <c r="R1282">
        <v>0.99421521743108898</v>
      </c>
      <c r="S1282" t="s">
        <v>5578</v>
      </c>
      <c r="T1282" t="s">
        <v>8590</v>
      </c>
      <c r="U1282" t="s">
        <v>8590</v>
      </c>
      <c r="V1282" t="s">
        <v>8590</v>
      </c>
      <c r="W1282">
        <v>13</v>
      </c>
      <c r="X1282" t="s">
        <v>9872</v>
      </c>
      <c r="Y1282">
        <v>0.56774505821939603</v>
      </c>
      <c r="Z1282" t="str">
        <f>HYPERLINK("Melting_Curves/meltCurve_sp_P53370_NUDT6_HUMAN_.pdf", "Melting_Curves/meltCurve_sp_P53370_NUDT6_HUMAN_.pdf")</f>
        <v>Melting_Curves/meltCurve_sp_P53370_NUDT6_HUMAN_.pdf</v>
      </c>
      <c r="AA1282" t="s">
        <v>14146</v>
      </c>
      <c r="AB1282" t="s">
        <v>18367</v>
      </c>
    </row>
    <row r="1283" spans="1:28" x14ac:dyDescent="0.25">
      <c r="A1283" t="s">
        <v>1287</v>
      </c>
      <c r="B1283">
        <v>0.99876560204751996</v>
      </c>
      <c r="C1283">
        <v>1.02657513981619</v>
      </c>
      <c r="D1283">
        <v>1.0153711335429401</v>
      </c>
      <c r="E1283">
        <v>0.84718290540313901</v>
      </c>
      <c r="F1283">
        <v>0.59975524989615803</v>
      </c>
      <c r="G1283">
        <v>0.316838320141826</v>
      </c>
      <c r="H1283">
        <v>0.18191557102893599</v>
      </c>
      <c r="I1283">
        <v>0.14808041545909101</v>
      </c>
      <c r="J1283">
        <v>0.12869256027961701</v>
      </c>
      <c r="K1283">
        <v>8.0278593079604901E-2</v>
      </c>
      <c r="L1283">
        <v>1133.6393123773701</v>
      </c>
      <c r="M1283">
        <v>21.108467784126201</v>
      </c>
      <c r="N1283">
        <v>54.317226277774203</v>
      </c>
      <c r="O1283">
        <v>53.230395759158498</v>
      </c>
      <c r="P1283">
        <v>-8.8650770501150195E-2</v>
      </c>
      <c r="Q1283">
        <v>0.105801326517956</v>
      </c>
      <c r="R1283">
        <v>0.99710043020293504</v>
      </c>
      <c r="S1283" t="s">
        <v>5579</v>
      </c>
      <c r="T1283" t="s">
        <v>8590</v>
      </c>
      <c r="U1283" t="s">
        <v>8590</v>
      </c>
      <c r="V1283" t="s">
        <v>8590</v>
      </c>
      <c r="W1283">
        <v>4</v>
      </c>
      <c r="X1283" t="s">
        <v>9873</v>
      </c>
      <c r="Y1283">
        <v>0.52546877492874211</v>
      </c>
      <c r="Z1283" t="str">
        <f>HYPERLINK("Melting_Curves/meltCurve_sp_P53384_2_NUBP1_HUMAN_.pdf", "Melting_Curves/meltCurve_sp_P53384_2_NUBP1_HUMAN_.pdf")</f>
        <v>Melting_Curves/meltCurve_sp_P53384_2_NUBP1_HUMAN_.pdf</v>
      </c>
      <c r="AA1283" t="s">
        <v>14147</v>
      </c>
      <c r="AB1283" t="s">
        <v>18368</v>
      </c>
    </row>
    <row r="1284" spans="1:28" x14ac:dyDescent="0.25">
      <c r="A1284" t="s">
        <v>1288</v>
      </c>
      <c r="B1284">
        <v>0.99876560204751996</v>
      </c>
      <c r="C1284">
        <v>1.0729911420992699</v>
      </c>
      <c r="D1284">
        <v>0.93101807688006299</v>
      </c>
      <c r="E1284">
        <v>0.77096687433424604</v>
      </c>
      <c r="F1284">
        <v>0.213172455855557</v>
      </c>
      <c r="G1284">
        <v>0.11116261311735701</v>
      </c>
      <c r="H1284">
        <v>6.7506085568069002E-2</v>
      </c>
      <c r="I1284">
        <v>5.2480123824847298E-2</v>
      </c>
      <c r="J1284">
        <v>4.7575897705393701E-2</v>
      </c>
      <c r="K1284">
        <v>4.4302088162491003E-2</v>
      </c>
      <c r="L1284">
        <v>2354.8746558635298</v>
      </c>
      <c r="M1284">
        <v>46.005987378037503</v>
      </c>
      <c r="N1284">
        <v>51.332514535588501</v>
      </c>
      <c r="O1284">
        <v>51.089823917266799</v>
      </c>
      <c r="P1284">
        <v>-0.21129560038088199</v>
      </c>
      <c r="Q1284">
        <v>6.1422670647276703E-2</v>
      </c>
      <c r="R1284">
        <v>0.99349868216729498</v>
      </c>
      <c r="S1284" t="s">
        <v>5580</v>
      </c>
      <c r="T1284" t="s">
        <v>8590</v>
      </c>
      <c r="U1284" t="s">
        <v>8590</v>
      </c>
      <c r="V1284" t="s">
        <v>8590</v>
      </c>
      <c r="W1284">
        <v>40</v>
      </c>
      <c r="X1284" t="s">
        <v>9874</v>
      </c>
      <c r="Y1284">
        <v>0.41390056684745091</v>
      </c>
      <c r="Z1284" t="str">
        <f>HYPERLINK("Melting_Curves/meltCurve_sp_P53396_ACLY_HUMAN_.pdf", "Melting_Curves/meltCurve_sp_P53396_ACLY_HUMAN_.pdf")</f>
        <v>Melting_Curves/meltCurve_sp_P53396_ACLY_HUMAN_.pdf</v>
      </c>
      <c r="AA1284" t="s">
        <v>14148</v>
      </c>
      <c r="AB1284" t="s">
        <v>18369</v>
      </c>
    </row>
    <row r="1285" spans="1:28" x14ac:dyDescent="0.25">
      <c r="A1285" t="s">
        <v>1289</v>
      </c>
      <c r="B1285">
        <v>0.99876560204751996</v>
      </c>
      <c r="C1285">
        <v>0.81141561394235295</v>
      </c>
      <c r="D1285">
        <v>0.71799367364355604</v>
      </c>
      <c r="E1285">
        <v>0.61329137084457896</v>
      </c>
      <c r="F1285">
        <v>0.34453592558219698</v>
      </c>
      <c r="G1285">
        <v>0.249994183808221</v>
      </c>
      <c r="H1285">
        <v>0.192441090067929</v>
      </c>
      <c r="I1285">
        <v>0.17205809496456201</v>
      </c>
      <c r="J1285">
        <v>0.144294966092813</v>
      </c>
      <c r="K1285">
        <v>0.12331521733375</v>
      </c>
      <c r="L1285">
        <v>554.86036162909204</v>
      </c>
      <c r="M1285">
        <v>11.1581568201041</v>
      </c>
      <c r="N1285">
        <v>50.629196790651797</v>
      </c>
      <c r="O1285">
        <v>48.209884482512599</v>
      </c>
      <c r="P1285">
        <v>-5.2661871635964801E-2</v>
      </c>
      <c r="Q1285">
        <v>9.0167938453373703E-2</v>
      </c>
      <c r="R1285">
        <v>0.98229347774534903</v>
      </c>
      <c r="S1285" t="s">
        <v>5581</v>
      </c>
      <c r="T1285" t="s">
        <v>8590</v>
      </c>
      <c r="U1285" t="s">
        <v>8590</v>
      </c>
      <c r="V1285" t="s">
        <v>8590</v>
      </c>
      <c r="W1285">
        <v>3</v>
      </c>
      <c r="X1285" t="s">
        <v>9875</v>
      </c>
      <c r="Y1285">
        <v>0.4210022006662289</v>
      </c>
      <c r="Z1285" t="str">
        <f>HYPERLINK("Melting_Curves/meltCurve_sp_P53582_AMPM1_HUMAN_.pdf", "Melting_Curves/meltCurve_sp_P53582_AMPM1_HUMAN_.pdf")</f>
        <v>Melting_Curves/meltCurve_sp_P53582_AMPM1_HUMAN_.pdf</v>
      </c>
      <c r="AA1285" t="s">
        <v>14149</v>
      </c>
      <c r="AB1285" t="s">
        <v>18370</v>
      </c>
    </row>
    <row r="1286" spans="1:28" x14ac:dyDescent="0.25">
      <c r="A1286" t="s">
        <v>1290</v>
      </c>
      <c r="B1286">
        <v>0.99876560204751996</v>
      </c>
      <c r="C1286">
        <v>0.94272031211982199</v>
      </c>
      <c r="D1286">
        <v>0.94183129944209398</v>
      </c>
      <c r="E1286">
        <v>0.70853575512289202</v>
      </c>
      <c r="F1286">
        <v>0.184061749755739</v>
      </c>
      <c r="G1286">
        <v>9.5492155458473602E-2</v>
      </c>
      <c r="H1286">
        <v>6.2463495486114802E-2</v>
      </c>
      <c r="I1286">
        <v>5.0858970745734901E-2</v>
      </c>
      <c r="J1286">
        <v>4.8301328391456802E-2</v>
      </c>
      <c r="K1286">
        <v>4.6330818654689597E-2</v>
      </c>
      <c r="L1286">
        <v>2243.10147202283</v>
      </c>
      <c r="M1286">
        <v>44.092857202916399</v>
      </c>
      <c r="N1286">
        <v>51.013317906525202</v>
      </c>
      <c r="O1286">
        <v>50.767896731228298</v>
      </c>
      <c r="P1286">
        <v>-0.20466548478962601</v>
      </c>
      <c r="Q1286">
        <v>5.7405205274922003E-2</v>
      </c>
      <c r="R1286">
        <v>0.99578422235500996</v>
      </c>
      <c r="S1286" t="s">
        <v>5582</v>
      </c>
      <c r="T1286" t="s">
        <v>8590</v>
      </c>
      <c r="U1286" t="s">
        <v>8590</v>
      </c>
      <c r="V1286" t="s">
        <v>8590</v>
      </c>
      <c r="W1286">
        <v>12</v>
      </c>
      <c r="X1286" t="s">
        <v>9876</v>
      </c>
      <c r="Y1286">
        <v>0.40173242091078681</v>
      </c>
      <c r="Z1286" t="str">
        <f>HYPERLINK("Melting_Curves/meltCurve_sp_P53597_SUCA_HUMAN_.pdf", "Melting_Curves/meltCurve_sp_P53597_SUCA_HUMAN_.pdf")</f>
        <v>Melting_Curves/meltCurve_sp_P53597_SUCA_HUMAN_.pdf</v>
      </c>
      <c r="AA1286" t="s">
        <v>14150</v>
      </c>
      <c r="AB1286" t="s">
        <v>18371</v>
      </c>
    </row>
    <row r="1287" spans="1:28" x14ac:dyDescent="0.25">
      <c r="A1287" t="s">
        <v>1291</v>
      </c>
      <c r="B1287">
        <v>0.99876560204751996</v>
      </c>
      <c r="C1287">
        <v>0.96731631247141203</v>
      </c>
      <c r="D1287">
        <v>0.94684169208051505</v>
      </c>
      <c r="E1287">
        <v>0.84112981540283804</v>
      </c>
      <c r="F1287">
        <v>0.31314759521041002</v>
      </c>
      <c r="G1287">
        <v>0.12862270633945699</v>
      </c>
      <c r="H1287">
        <v>7.8428890300739296E-2</v>
      </c>
      <c r="I1287">
        <v>5.3715289012832901E-2</v>
      </c>
      <c r="J1287">
        <v>5.0683392023059E-2</v>
      </c>
      <c r="K1287">
        <v>3.8666720390597001E-2</v>
      </c>
      <c r="L1287">
        <v>2160.8361892764301</v>
      </c>
      <c r="M1287">
        <v>41.717526114412301</v>
      </c>
      <c r="N1287">
        <v>51.967271870323998</v>
      </c>
      <c r="O1287">
        <v>51.678250256416099</v>
      </c>
      <c r="P1287">
        <v>-0.18891130047582599</v>
      </c>
      <c r="Q1287">
        <v>6.3934129596471503E-2</v>
      </c>
      <c r="R1287">
        <v>0.99606100539472198</v>
      </c>
      <c r="S1287" t="s">
        <v>5583</v>
      </c>
      <c r="T1287" t="s">
        <v>8590</v>
      </c>
      <c r="U1287" t="s">
        <v>8590</v>
      </c>
      <c r="V1287" t="s">
        <v>8590</v>
      </c>
      <c r="W1287">
        <v>11</v>
      </c>
      <c r="X1287" t="s">
        <v>9877</v>
      </c>
      <c r="Y1287">
        <v>0.43510002646920121</v>
      </c>
      <c r="Z1287" t="str">
        <f>HYPERLINK("Melting_Curves/meltCurve_sp_P53602_MVD1_HUMAN_.pdf", "Melting_Curves/meltCurve_sp_P53602_MVD1_HUMAN_.pdf")</f>
        <v>Melting_Curves/meltCurve_sp_P53602_MVD1_HUMAN_.pdf</v>
      </c>
      <c r="AA1287" t="s">
        <v>14151</v>
      </c>
      <c r="AB1287" t="s">
        <v>18372</v>
      </c>
    </row>
    <row r="1288" spans="1:28" x14ac:dyDescent="0.25">
      <c r="A1288" t="s">
        <v>1292</v>
      </c>
      <c r="B1288">
        <v>0.99876560204751996</v>
      </c>
      <c r="C1288">
        <v>0.912747379544671</v>
      </c>
      <c r="D1288">
        <v>0.74766418069431795</v>
      </c>
      <c r="E1288">
        <v>0.82763582725222495</v>
      </c>
      <c r="F1288">
        <v>0.56352865974461197</v>
      </c>
      <c r="G1288">
        <v>0.25058518410081498</v>
      </c>
      <c r="H1288">
        <v>8.5982372552918407E-2</v>
      </c>
      <c r="I1288">
        <v>5.48037410560498E-2</v>
      </c>
      <c r="J1288">
        <v>2.2192128334972101E-2</v>
      </c>
      <c r="K1288">
        <v>2.35227575254108E-2</v>
      </c>
      <c r="L1288">
        <v>831.73205734745602</v>
      </c>
      <c r="M1288">
        <v>15.571294075801701</v>
      </c>
      <c r="N1288">
        <v>53.414449242186798</v>
      </c>
      <c r="O1288">
        <v>52.556763733529799</v>
      </c>
      <c r="P1288">
        <v>-7.4075426589064602E-2</v>
      </c>
      <c r="Q1288">
        <v>0</v>
      </c>
      <c r="R1288">
        <v>0.96789723136002803</v>
      </c>
      <c r="S1288" t="s">
        <v>5584</v>
      </c>
      <c r="T1288" t="s">
        <v>8590</v>
      </c>
      <c r="U1288" t="s">
        <v>8590</v>
      </c>
      <c r="V1288" t="s">
        <v>8590</v>
      </c>
      <c r="W1288">
        <v>7</v>
      </c>
      <c r="X1288" t="s">
        <v>9878</v>
      </c>
      <c r="Y1288">
        <v>0.46723245344052577</v>
      </c>
      <c r="Z1288" t="str">
        <f>HYPERLINK("Melting_Curves/meltCurve_sp_P53609_PGTB1_HUMAN_.pdf", "Melting_Curves/meltCurve_sp_P53609_PGTB1_HUMAN_.pdf")</f>
        <v>Melting_Curves/meltCurve_sp_P53609_PGTB1_HUMAN_.pdf</v>
      </c>
      <c r="AA1288" t="s">
        <v>14152</v>
      </c>
      <c r="AB1288" t="s">
        <v>18373</v>
      </c>
    </row>
    <row r="1289" spans="1:28" x14ac:dyDescent="0.25">
      <c r="A1289" t="s">
        <v>1293</v>
      </c>
      <c r="B1289">
        <v>0.99876560204751996</v>
      </c>
      <c r="C1289">
        <v>0.90621836237188902</v>
      </c>
      <c r="D1289">
        <v>0.83211562265672401</v>
      </c>
      <c r="E1289">
        <v>0.86179531278966204</v>
      </c>
      <c r="F1289">
        <v>0.53502066348542798</v>
      </c>
      <c r="G1289">
        <v>0.232662523574547</v>
      </c>
      <c r="H1289">
        <v>0.113549906428317</v>
      </c>
      <c r="I1289">
        <v>8.6632942188116305E-2</v>
      </c>
      <c r="J1289">
        <v>9.2096968308065102E-2</v>
      </c>
      <c r="K1289">
        <v>7.5798366079187801E-2</v>
      </c>
      <c r="L1289">
        <v>1081.40041534235</v>
      </c>
      <c r="M1289">
        <v>20.348932245943701</v>
      </c>
      <c r="N1289">
        <v>53.487209176745502</v>
      </c>
      <c r="O1289">
        <v>52.637613186082497</v>
      </c>
      <c r="P1289">
        <v>-9.0715834964047906E-2</v>
      </c>
      <c r="Q1289">
        <v>6.1391563096057297E-2</v>
      </c>
      <c r="R1289">
        <v>0.97869007839999</v>
      </c>
      <c r="S1289" t="s">
        <v>5585</v>
      </c>
      <c r="T1289" t="s">
        <v>8590</v>
      </c>
      <c r="U1289" t="s">
        <v>8590</v>
      </c>
      <c r="V1289" t="s">
        <v>8590</v>
      </c>
      <c r="W1289">
        <v>4</v>
      </c>
      <c r="X1289" t="s">
        <v>9879</v>
      </c>
      <c r="Y1289">
        <v>0.48511038587425748</v>
      </c>
      <c r="Z1289" t="str">
        <f>HYPERLINK("Melting_Curves/meltCurve_sp_P53611_PGTB2_HUMAN_.pdf", "Melting_Curves/meltCurve_sp_P53611_PGTB2_HUMAN_.pdf")</f>
        <v>Melting_Curves/meltCurve_sp_P53611_PGTB2_HUMAN_.pdf</v>
      </c>
      <c r="AA1289" t="s">
        <v>14153</v>
      </c>
      <c r="AB1289" t="s">
        <v>18374</v>
      </c>
    </row>
    <row r="1290" spans="1:28" x14ac:dyDescent="0.25">
      <c r="A1290" t="s">
        <v>1294</v>
      </c>
      <c r="B1290">
        <v>0.99876560204751996</v>
      </c>
      <c r="C1290">
        <v>0.94059722901143905</v>
      </c>
      <c r="D1290">
        <v>0.87534189466975598</v>
      </c>
      <c r="E1290">
        <v>0.83153691788314699</v>
      </c>
      <c r="F1290">
        <v>0.400705203461862</v>
      </c>
      <c r="G1290">
        <v>0.20460217827767599</v>
      </c>
      <c r="H1290">
        <v>9.7009734041113502E-2</v>
      </c>
      <c r="I1290">
        <v>6.6597157039452098E-2</v>
      </c>
      <c r="J1290">
        <v>5.8051120975223101E-2</v>
      </c>
      <c r="K1290">
        <v>4.37738520118739E-2</v>
      </c>
      <c r="L1290">
        <v>1211.1388357635899</v>
      </c>
      <c r="M1290">
        <v>23.152445006309701</v>
      </c>
      <c r="N1290">
        <v>52.571479036168199</v>
      </c>
      <c r="O1290">
        <v>51.925900052052199</v>
      </c>
      <c r="P1290">
        <v>-0.105440770217752</v>
      </c>
      <c r="Q1290">
        <v>5.4094080202416503E-2</v>
      </c>
      <c r="R1290">
        <v>0.986930118554187</v>
      </c>
      <c r="S1290" t="s">
        <v>5586</v>
      </c>
      <c r="T1290" t="s">
        <v>8590</v>
      </c>
      <c r="U1290" t="s">
        <v>8590</v>
      </c>
      <c r="V1290" t="s">
        <v>8590</v>
      </c>
      <c r="W1290">
        <v>35</v>
      </c>
      <c r="X1290" t="s">
        <v>9880</v>
      </c>
      <c r="Y1290">
        <v>0.45229131363699338</v>
      </c>
      <c r="Z1290" t="str">
        <f>HYPERLINK("Melting_Curves/meltCurve_sp_P53618_COPB_HUMAN_.pdf", "Melting_Curves/meltCurve_sp_P53618_COPB_HUMAN_.pdf")</f>
        <v>Melting_Curves/meltCurve_sp_P53618_COPB_HUMAN_.pdf</v>
      </c>
      <c r="AA1290" t="s">
        <v>14154</v>
      </c>
      <c r="AB1290" t="s">
        <v>18103</v>
      </c>
    </row>
    <row r="1291" spans="1:28" x14ac:dyDescent="0.25">
      <c r="A1291" t="s">
        <v>1295</v>
      </c>
      <c r="B1291">
        <v>0.99876560204751996</v>
      </c>
      <c r="C1291">
        <v>0.94067050955929898</v>
      </c>
      <c r="D1291">
        <v>0.92571895299057405</v>
      </c>
      <c r="E1291">
        <v>0.86188856977559902</v>
      </c>
      <c r="F1291">
        <v>0.34971346637864797</v>
      </c>
      <c r="G1291">
        <v>0.11920898230992</v>
      </c>
      <c r="H1291">
        <v>6.9529103717325194E-2</v>
      </c>
      <c r="I1291">
        <v>5.4517985960525497E-2</v>
      </c>
      <c r="J1291">
        <v>5.0498641712476602E-2</v>
      </c>
      <c r="K1291">
        <v>4.5276623211687399E-2</v>
      </c>
      <c r="L1291">
        <v>2116.64594988724</v>
      </c>
      <c r="M1291">
        <v>40.691177446664803</v>
      </c>
      <c r="N1291">
        <v>52.183212198001598</v>
      </c>
      <c r="O1291">
        <v>51.892166941195498</v>
      </c>
      <c r="P1291">
        <v>-0.18414409095343501</v>
      </c>
      <c r="Q1291">
        <v>6.06694971173279E-2</v>
      </c>
      <c r="R1291">
        <v>0.99394370566351598</v>
      </c>
      <c r="S1291" t="s">
        <v>5587</v>
      </c>
      <c r="T1291" t="s">
        <v>8590</v>
      </c>
      <c r="U1291" t="s">
        <v>8590</v>
      </c>
      <c r="V1291" t="s">
        <v>8590</v>
      </c>
      <c r="W1291">
        <v>49</v>
      </c>
      <c r="X1291" t="s">
        <v>9881</v>
      </c>
      <c r="Y1291">
        <v>0.44020547607239591</v>
      </c>
      <c r="Z1291" t="str">
        <f>HYPERLINK("Melting_Curves/meltCurve_sp_P53621_COPA_HUMAN_.pdf", "Melting_Curves/meltCurve_sp_P53621_COPA_HUMAN_.pdf")</f>
        <v>Melting_Curves/meltCurve_sp_P53621_COPA_HUMAN_.pdf</v>
      </c>
      <c r="AA1291" t="s">
        <v>14155</v>
      </c>
      <c r="AB1291" t="s">
        <v>18375</v>
      </c>
    </row>
    <row r="1292" spans="1:28" x14ac:dyDescent="0.25">
      <c r="A1292" t="s">
        <v>1296</v>
      </c>
      <c r="B1292">
        <v>0.99876560204751996</v>
      </c>
      <c r="C1292">
        <v>0.99419220483899196</v>
      </c>
      <c r="D1292">
        <v>0.80894210653538001</v>
      </c>
      <c r="E1292">
        <v>0.80323656854552405</v>
      </c>
      <c r="F1292">
        <v>0.57480100005913803</v>
      </c>
      <c r="G1292">
        <v>0.39192960217387401</v>
      </c>
      <c r="H1292">
        <v>0.21364470167822699</v>
      </c>
      <c r="I1292">
        <v>0.14547783475047499</v>
      </c>
      <c r="J1292">
        <v>7.3231596195209997E-2</v>
      </c>
      <c r="K1292">
        <v>3.6374659252004997E-2</v>
      </c>
      <c r="L1292">
        <v>665.78576269833502</v>
      </c>
      <c r="M1292">
        <v>12.202452866721799</v>
      </c>
      <c r="N1292">
        <v>54.561633582656903</v>
      </c>
      <c r="O1292">
        <v>53.1583235210284</v>
      </c>
      <c r="P1292">
        <v>-5.7400276553495201E-2</v>
      </c>
      <c r="Q1292">
        <v>0</v>
      </c>
      <c r="R1292">
        <v>0.98864384029121</v>
      </c>
      <c r="S1292" t="s">
        <v>5588</v>
      </c>
      <c r="T1292" t="s">
        <v>8590</v>
      </c>
      <c r="U1292" t="s">
        <v>8590</v>
      </c>
      <c r="V1292" t="s">
        <v>8590</v>
      </c>
      <c r="W1292">
        <v>6</v>
      </c>
      <c r="X1292" t="s">
        <v>9882</v>
      </c>
      <c r="Y1292">
        <v>0.50971952014103949</v>
      </c>
      <c r="Z1292" t="str">
        <f>HYPERLINK("Melting_Curves/meltCurve_sp_P53634_CATC_HUMAN_.pdf", "Melting_Curves/meltCurve_sp_P53634_CATC_HUMAN_.pdf")</f>
        <v>Melting_Curves/meltCurve_sp_P53634_CATC_HUMAN_.pdf</v>
      </c>
      <c r="AA1292" t="s">
        <v>14156</v>
      </c>
      <c r="AB1292" t="s">
        <v>18376</v>
      </c>
    </row>
    <row r="1293" spans="1:28" x14ac:dyDescent="0.25">
      <c r="A1293" t="s">
        <v>1297</v>
      </c>
      <c r="B1293">
        <v>0.99876560204751996</v>
      </c>
      <c r="C1293">
        <v>1.0171261805577501</v>
      </c>
      <c r="D1293">
        <v>1.0156495014087801</v>
      </c>
      <c r="E1293">
        <v>0.94394382279814004</v>
      </c>
      <c r="F1293">
        <v>0.60154337632257704</v>
      </c>
      <c r="G1293">
        <v>0.29336711072285798</v>
      </c>
      <c r="H1293">
        <v>9.4606848059311202E-2</v>
      </c>
      <c r="I1293">
        <v>8.2852491134639203E-2</v>
      </c>
      <c r="J1293">
        <v>3.4548466337263599E-2</v>
      </c>
      <c r="K1293">
        <v>0</v>
      </c>
      <c r="L1293">
        <v>1282.52750416048</v>
      </c>
      <c r="M1293">
        <v>23.615603183699701</v>
      </c>
      <c r="N1293">
        <v>54.438605094219099</v>
      </c>
      <c r="O1293">
        <v>53.923552624023401</v>
      </c>
      <c r="P1293">
        <v>-0.106483702260612</v>
      </c>
      <c r="Q1293">
        <v>2.7442540191514798E-2</v>
      </c>
      <c r="R1293">
        <v>0.99485446338168904</v>
      </c>
      <c r="S1293" t="s">
        <v>5589</v>
      </c>
      <c r="T1293" t="s">
        <v>8590</v>
      </c>
      <c r="U1293" t="s">
        <v>8590</v>
      </c>
      <c r="V1293" t="s">
        <v>8590</v>
      </c>
      <c r="W1293">
        <v>16</v>
      </c>
      <c r="X1293" t="s">
        <v>9883</v>
      </c>
      <c r="Y1293">
        <v>0.50126774498399818</v>
      </c>
      <c r="Z1293" t="str">
        <f>HYPERLINK("Melting_Curves/meltCurve_sp_P53675_2_CLH2_HUMAN_.pdf", "Melting_Curves/meltCurve_sp_P53675_2_CLH2_HUMAN_.pdf")</f>
        <v>Melting_Curves/meltCurve_sp_P53675_2_CLH2_HUMAN_.pdf</v>
      </c>
      <c r="AA1293" t="s">
        <v>14157</v>
      </c>
      <c r="AB1293" t="s">
        <v>18377</v>
      </c>
    </row>
    <row r="1294" spans="1:28" x14ac:dyDescent="0.25">
      <c r="A1294" t="s">
        <v>1298</v>
      </c>
      <c r="B1294">
        <v>0.99876560204751996</v>
      </c>
      <c r="C1294">
        <v>0.98262412524365395</v>
      </c>
      <c r="D1294">
        <v>0.92759492856704595</v>
      </c>
      <c r="E1294">
        <v>0.78086112370366001</v>
      </c>
      <c r="F1294">
        <v>0.54097057150308703</v>
      </c>
      <c r="G1294">
        <v>0.27609548917487597</v>
      </c>
      <c r="H1294">
        <v>0.120917051167136</v>
      </c>
      <c r="I1294">
        <v>8.7635907019193507E-2</v>
      </c>
      <c r="J1294">
        <v>4.9454262496751701E-2</v>
      </c>
      <c r="K1294">
        <v>5.3651352602320401E-2</v>
      </c>
      <c r="L1294">
        <v>923.54156835227104</v>
      </c>
      <c r="M1294">
        <v>17.2999115439086</v>
      </c>
      <c r="N1294">
        <v>53.573351453921603</v>
      </c>
      <c r="O1294">
        <v>52.686188547535401</v>
      </c>
      <c r="P1294">
        <v>-7.9661830777653694E-2</v>
      </c>
      <c r="Q1294">
        <v>2.9628280799603699E-2</v>
      </c>
      <c r="R1294">
        <v>0.99956737012013996</v>
      </c>
      <c r="S1294" t="s">
        <v>5590</v>
      </c>
      <c r="T1294" t="s">
        <v>8590</v>
      </c>
      <c r="U1294" t="s">
        <v>8590</v>
      </c>
      <c r="V1294" t="s">
        <v>8590</v>
      </c>
      <c r="W1294">
        <v>4</v>
      </c>
      <c r="X1294" t="s">
        <v>9884</v>
      </c>
      <c r="Y1294">
        <v>0.4793032196107827</v>
      </c>
      <c r="Z1294" t="str">
        <f>HYPERLINK("Melting_Curves/meltCurve_sp_P53680_AP2S1_HUMAN_.pdf", "Melting_Curves/meltCurve_sp_P53680_AP2S1_HUMAN_.pdf")</f>
        <v>Melting_Curves/meltCurve_sp_P53680_AP2S1_HUMAN_.pdf</v>
      </c>
      <c r="AA1294" t="s">
        <v>14158</v>
      </c>
      <c r="AB1294" t="s">
        <v>18378</v>
      </c>
    </row>
    <row r="1295" spans="1:28" x14ac:dyDescent="0.25">
      <c r="A1295" t="s">
        <v>1299</v>
      </c>
      <c r="B1295">
        <v>0.99876560204751996</v>
      </c>
      <c r="C1295">
        <v>0.93174290768811796</v>
      </c>
      <c r="D1295">
        <v>0.959182471320847</v>
      </c>
      <c r="E1295">
        <v>0.802385955180421</v>
      </c>
      <c r="F1295">
        <v>0.51274034627730503</v>
      </c>
      <c r="G1295">
        <v>0.164724664011585</v>
      </c>
      <c r="H1295">
        <v>8.8764507262260206E-2</v>
      </c>
      <c r="I1295">
        <v>6.6725521832031495E-2</v>
      </c>
      <c r="J1295">
        <v>6.9474680276212897E-2</v>
      </c>
      <c r="K1295">
        <v>5.9029746120739898E-2</v>
      </c>
      <c r="L1295">
        <v>1301.0797858303899</v>
      </c>
      <c r="M1295">
        <v>24.670175846417798</v>
      </c>
      <c r="N1295">
        <v>52.990967303015601</v>
      </c>
      <c r="O1295">
        <v>52.396128185737297</v>
      </c>
      <c r="P1295">
        <v>-0.11119644669232399</v>
      </c>
      <c r="Q1295">
        <v>5.5348667820679702E-2</v>
      </c>
      <c r="R1295">
        <v>0.99672774446497503</v>
      </c>
      <c r="S1295" t="s">
        <v>5591</v>
      </c>
      <c r="T1295" t="s">
        <v>8590</v>
      </c>
      <c r="U1295" t="s">
        <v>8590</v>
      </c>
      <c r="V1295" t="s">
        <v>8590</v>
      </c>
      <c r="W1295">
        <v>7</v>
      </c>
      <c r="X1295" t="s">
        <v>9885</v>
      </c>
      <c r="Y1295">
        <v>0.46537920626716212</v>
      </c>
      <c r="Z1295" t="str">
        <f>HYPERLINK("Melting_Curves/meltCurve_sp_P53990_2_IST1_HUMAN_.pdf", "Melting_Curves/meltCurve_sp_P53990_2_IST1_HUMAN_.pdf")</f>
        <v>Melting_Curves/meltCurve_sp_P53990_2_IST1_HUMAN_.pdf</v>
      </c>
      <c r="AA1295" t="s">
        <v>14159</v>
      </c>
      <c r="AB1295" t="s">
        <v>18379</v>
      </c>
    </row>
    <row r="1296" spans="1:28" x14ac:dyDescent="0.25">
      <c r="A1296" t="s">
        <v>1300</v>
      </c>
      <c r="B1296">
        <v>0.99876560204751996</v>
      </c>
      <c r="C1296">
        <v>1.0355464631092699</v>
      </c>
      <c r="D1296">
        <v>0.97280545934847096</v>
      </c>
      <c r="E1296">
        <v>0.86654658806978602</v>
      </c>
      <c r="F1296">
        <v>0.26539386685947702</v>
      </c>
      <c r="G1296">
        <v>0.10270360377634299</v>
      </c>
      <c r="H1296">
        <v>8.4592067035647603E-2</v>
      </c>
      <c r="I1296">
        <v>4.23549128173197E-2</v>
      </c>
      <c r="J1296">
        <v>3.9946756876599002E-2</v>
      </c>
      <c r="K1296">
        <v>2.8607971576303699E-2</v>
      </c>
      <c r="L1296">
        <v>2651.1915176706898</v>
      </c>
      <c r="M1296">
        <v>51.256091045854198</v>
      </c>
      <c r="N1296">
        <v>51.847466862780799</v>
      </c>
      <c r="O1296">
        <v>51.645862729360502</v>
      </c>
      <c r="P1296">
        <v>-0.23390434552551001</v>
      </c>
      <c r="Q1296">
        <v>5.7268487286914402E-2</v>
      </c>
      <c r="R1296">
        <v>0.99713254994121903</v>
      </c>
      <c r="S1296" t="s">
        <v>5592</v>
      </c>
      <c r="T1296" t="s">
        <v>8590</v>
      </c>
      <c r="U1296" t="s">
        <v>8590</v>
      </c>
      <c r="V1296" t="s">
        <v>8590</v>
      </c>
      <c r="W1296">
        <v>22</v>
      </c>
      <c r="X1296" t="s">
        <v>9886</v>
      </c>
      <c r="Y1296">
        <v>0.42774726846250061</v>
      </c>
      <c r="Z1296" t="str">
        <f>HYPERLINK("Melting_Curves/meltCurve_sp_P53992_SC24C_HUMAN_.pdf", "Melting_Curves/meltCurve_sp_P53992_SC24C_HUMAN_.pdf")</f>
        <v>Melting_Curves/meltCurve_sp_P53992_SC24C_HUMAN_.pdf</v>
      </c>
      <c r="AA1296" t="s">
        <v>14160</v>
      </c>
      <c r="AB1296" t="s">
        <v>18380</v>
      </c>
    </row>
    <row r="1297" spans="1:28" x14ac:dyDescent="0.25">
      <c r="A1297" t="s">
        <v>1301</v>
      </c>
      <c r="B1297">
        <v>0.99876560204751996</v>
      </c>
      <c r="C1297">
        <v>0.93534023999556404</v>
      </c>
      <c r="D1297">
        <v>0.99494333198717499</v>
      </c>
      <c r="E1297">
        <v>0.88736286609960202</v>
      </c>
      <c r="F1297">
        <v>0.80154252708899199</v>
      </c>
      <c r="G1297">
        <v>0.58076818055292001</v>
      </c>
      <c r="H1297">
        <v>0.47550225054883</v>
      </c>
      <c r="I1297">
        <v>0.45867324815658</v>
      </c>
      <c r="J1297">
        <v>0.58737177415570097</v>
      </c>
      <c r="K1297">
        <v>0.56486079176311299</v>
      </c>
      <c r="L1297">
        <v>1422.6952423013299</v>
      </c>
      <c r="M1297">
        <v>26.748803919388699</v>
      </c>
      <c r="O1297">
        <v>52.8926439545954</v>
      </c>
      <c r="P1297">
        <v>-6.1017495438819201E-2</v>
      </c>
      <c r="Q1297">
        <v>0.51738499809067695</v>
      </c>
      <c r="R1297">
        <v>0.95094206760995503</v>
      </c>
      <c r="S1297" t="s">
        <v>5593</v>
      </c>
      <c r="T1297" t="s">
        <v>8590</v>
      </c>
      <c r="U1297" t="s">
        <v>8590</v>
      </c>
      <c r="V1297" t="s">
        <v>8590</v>
      </c>
      <c r="W1297">
        <v>7</v>
      </c>
      <c r="X1297" t="s">
        <v>9887</v>
      </c>
      <c r="Y1297">
        <v>0.73344653296286699</v>
      </c>
      <c r="Z1297" t="str">
        <f>HYPERLINK("Melting_Curves/meltCurve_sp_P53999_TCP4_HUMAN_.pdf", "Melting_Curves/meltCurve_sp_P53999_TCP4_HUMAN_.pdf")</f>
        <v>Melting_Curves/meltCurve_sp_P53999_TCP4_HUMAN_.pdf</v>
      </c>
      <c r="AA1297" t="s">
        <v>14161</v>
      </c>
      <c r="AB1297" t="s">
        <v>18381</v>
      </c>
    </row>
    <row r="1298" spans="1:28" x14ac:dyDescent="0.25">
      <c r="A1298" t="s">
        <v>1302</v>
      </c>
      <c r="B1298">
        <v>0.99876560204751996</v>
      </c>
      <c r="C1298">
        <v>0.84295063962190098</v>
      </c>
      <c r="D1298">
        <v>0.70961208720371305</v>
      </c>
      <c r="E1298">
        <v>0.49050232261919802</v>
      </c>
      <c r="F1298">
        <v>0.34657215105617001</v>
      </c>
      <c r="G1298">
        <v>0.21311164781320899</v>
      </c>
      <c r="H1298">
        <v>0.12784284110719099</v>
      </c>
      <c r="I1298">
        <v>0.14152130820644601</v>
      </c>
      <c r="J1298">
        <v>0.148233528478665</v>
      </c>
      <c r="K1298">
        <v>0.15122663599737801</v>
      </c>
      <c r="L1298">
        <v>654.23571005806195</v>
      </c>
      <c r="M1298">
        <v>13.456150008645301</v>
      </c>
      <c r="N1298">
        <v>49.568778452468699</v>
      </c>
      <c r="O1298">
        <v>47.583701720290001</v>
      </c>
      <c r="P1298">
        <v>-6.2679262539869801E-2</v>
      </c>
      <c r="Q1298">
        <v>0.11355009214975301</v>
      </c>
      <c r="R1298">
        <v>0.99387916885490002</v>
      </c>
      <c r="S1298" t="s">
        <v>5594</v>
      </c>
      <c r="T1298" t="s">
        <v>8590</v>
      </c>
      <c r="U1298" t="s">
        <v>8590</v>
      </c>
      <c r="V1298" t="s">
        <v>8590</v>
      </c>
      <c r="W1298">
        <v>2</v>
      </c>
      <c r="X1298" t="s">
        <v>9888</v>
      </c>
      <c r="Y1298">
        <v>0.39546958604611698</v>
      </c>
      <c r="Z1298" t="str">
        <f>HYPERLINK("Melting_Curves/meltCurve_sp_P54098_DPOG1_HUMAN_.pdf", "Melting_Curves/meltCurve_sp_P54098_DPOG1_HUMAN_.pdf")</f>
        <v>Melting_Curves/meltCurve_sp_P54098_DPOG1_HUMAN_.pdf</v>
      </c>
      <c r="AA1298" t="s">
        <v>14162</v>
      </c>
      <c r="AB1298" t="s">
        <v>18382</v>
      </c>
    </row>
    <row r="1299" spans="1:28" x14ac:dyDescent="0.25">
      <c r="A1299" t="s">
        <v>1303</v>
      </c>
      <c r="B1299">
        <v>0.99876560204751996</v>
      </c>
      <c r="C1299">
        <v>0.89291439040992204</v>
      </c>
      <c r="D1299">
        <v>0.499063089593349</v>
      </c>
      <c r="E1299">
        <v>0.23971910388288201</v>
      </c>
      <c r="F1299">
        <v>0.10240176850714</v>
      </c>
      <c r="G1299">
        <v>5.84923983620423E-2</v>
      </c>
      <c r="H1299">
        <v>3.6930218477310102E-2</v>
      </c>
      <c r="I1299">
        <v>3.0007367820967901E-2</v>
      </c>
      <c r="J1299">
        <v>2.7957315208803801E-2</v>
      </c>
      <c r="K1299">
        <v>2.33593661290049E-2</v>
      </c>
      <c r="L1299">
        <v>996.96145873609805</v>
      </c>
      <c r="M1299">
        <v>21.536804748248201</v>
      </c>
      <c r="N1299">
        <v>46.4487384986422</v>
      </c>
      <c r="O1299">
        <v>45.897522240592501</v>
      </c>
      <c r="P1299">
        <v>-0.113176684526183</v>
      </c>
      <c r="Q1299">
        <v>3.5251415018141698E-2</v>
      </c>
      <c r="R1299">
        <v>0.99412691609189796</v>
      </c>
      <c r="S1299" t="s">
        <v>5595</v>
      </c>
      <c r="T1299" t="s">
        <v>8590</v>
      </c>
      <c r="U1299" t="s">
        <v>8590</v>
      </c>
      <c r="V1299" t="s">
        <v>8590</v>
      </c>
      <c r="W1299">
        <v>28</v>
      </c>
      <c r="X1299" t="s">
        <v>9889</v>
      </c>
      <c r="Y1299">
        <v>0.24992298348034289</v>
      </c>
      <c r="Z1299" t="str">
        <f>HYPERLINK("Melting_Curves/meltCurve_sp_P54136_SYRC_HUMAN_.pdf", "Melting_Curves/meltCurve_sp_P54136_SYRC_HUMAN_.pdf")</f>
        <v>Melting_Curves/meltCurve_sp_P54136_SYRC_HUMAN_.pdf</v>
      </c>
      <c r="AA1299" t="s">
        <v>14163</v>
      </c>
      <c r="AB1299" t="s">
        <v>18383</v>
      </c>
    </row>
    <row r="1300" spans="1:28" x14ac:dyDescent="0.25">
      <c r="A1300" t="s">
        <v>1304</v>
      </c>
      <c r="B1300">
        <v>0.99876560204751996</v>
      </c>
      <c r="C1300">
        <v>1.0350184579498301</v>
      </c>
      <c r="D1300">
        <v>1.00835067457911</v>
      </c>
      <c r="E1300">
        <v>0.95163793257606799</v>
      </c>
      <c r="F1300">
        <v>1.01127984407272</v>
      </c>
      <c r="G1300">
        <v>0.64424587842627901</v>
      </c>
      <c r="H1300">
        <v>0.39525832191523802</v>
      </c>
      <c r="I1300">
        <v>0.35803569260560603</v>
      </c>
      <c r="J1300">
        <v>0.40220025904934098</v>
      </c>
      <c r="K1300">
        <v>0.39069380877042398</v>
      </c>
      <c r="L1300">
        <v>6429.2896757690096</v>
      </c>
      <c r="M1300">
        <v>113.116532807506</v>
      </c>
      <c r="N1300">
        <v>57.5925846250205</v>
      </c>
      <c r="O1300">
        <v>56.819994764992998</v>
      </c>
      <c r="P1300">
        <v>-0.30534989853102701</v>
      </c>
      <c r="Q1300">
        <v>0.38647415223701798</v>
      </c>
      <c r="R1300">
        <v>0.99422054773655499</v>
      </c>
      <c r="S1300" t="s">
        <v>5596</v>
      </c>
      <c r="T1300" t="s">
        <v>8590</v>
      </c>
      <c r="U1300" t="s">
        <v>8590</v>
      </c>
      <c r="V1300" t="s">
        <v>8590</v>
      </c>
      <c r="W1300">
        <v>2</v>
      </c>
      <c r="X1300" t="s">
        <v>9890</v>
      </c>
      <c r="Y1300">
        <v>0.7311199191209794</v>
      </c>
      <c r="Z1300" t="str">
        <f>HYPERLINK("Melting_Curves/meltCurve_sp_P54253_ATX1_HUMAN_.pdf", "Melting_Curves/meltCurve_sp_P54253_ATX1_HUMAN_.pdf")</f>
        <v>Melting_Curves/meltCurve_sp_P54253_ATX1_HUMAN_.pdf</v>
      </c>
      <c r="AA1300" t="s">
        <v>14164</v>
      </c>
      <c r="AB1300" t="s">
        <v>18384</v>
      </c>
    </row>
    <row r="1301" spans="1:28" x14ac:dyDescent="0.25">
      <c r="A1301" t="s">
        <v>1305</v>
      </c>
      <c r="B1301">
        <v>0.99876560204751996</v>
      </c>
      <c r="C1301">
        <v>1.13015562869376</v>
      </c>
      <c r="D1301">
        <v>1.0204056389349601</v>
      </c>
      <c r="E1301">
        <v>0.33815733439163598</v>
      </c>
      <c r="F1301">
        <v>0.28007045360302502</v>
      </c>
      <c r="G1301">
        <v>0.112640761765231</v>
      </c>
      <c r="H1301">
        <v>9.6047323346717298E-2</v>
      </c>
      <c r="I1301">
        <v>0</v>
      </c>
      <c r="J1301">
        <v>0</v>
      </c>
      <c r="K1301">
        <v>0</v>
      </c>
      <c r="L1301">
        <v>1743.6053557001901</v>
      </c>
      <c r="M1301">
        <v>35.373957619273099</v>
      </c>
      <c r="N1301">
        <v>49.466660089098603</v>
      </c>
      <c r="O1301">
        <v>49.1339405243397</v>
      </c>
      <c r="P1301">
        <v>-0.169345831830675</v>
      </c>
      <c r="Q1301">
        <v>5.9127449546166402E-2</v>
      </c>
      <c r="R1301">
        <v>0.96521266255492699</v>
      </c>
      <c r="S1301" t="s">
        <v>5597</v>
      </c>
      <c r="T1301" t="s">
        <v>8590</v>
      </c>
      <c r="U1301" t="s">
        <v>8590</v>
      </c>
      <c r="V1301" t="s">
        <v>8590</v>
      </c>
      <c r="W1301">
        <v>1</v>
      </c>
      <c r="X1301" t="s">
        <v>9891</v>
      </c>
      <c r="Y1301">
        <v>0.35461974192662332</v>
      </c>
      <c r="Z1301" t="str">
        <f>HYPERLINK("Melting_Curves/meltCurve_sp_P54278_3_PMS2_HUMAN_.pdf", "Melting_Curves/meltCurve_sp_P54278_3_PMS2_HUMAN_.pdf")</f>
        <v>Melting_Curves/meltCurve_sp_P54278_3_PMS2_HUMAN_.pdf</v>
      </c>
      <c r="AA1301" t="s">
        <v>14165</v>
      </c>
      <c r="AB1301" t="s">
        <v>18385</v>
      </c>
    </row>
    <row r="1302" spans="1:28" x14ac:dyDescent="0.25">
      <c r="A1302" t="s">
        <v>1306</v>
      </c>
      <c r="B1302">
        <v>0.99876560204751996</v>
      </c>
      <c r="C1302">
        <v>0.90395410341706695</v>
      </c>
      <c r="D1302">
        <v>0.77038483922680401</v>
      </c>
      <c r="E1302">
        <v>0.44733222563469499</v>
      </c>
      <c r="F1302">
        <v>0.22578845159982799</v>
      </c>
      <c r="G1302">
        <v>0.126030573677503</v>
      </c>
      <c r="H1302">
        <v>9.7808911121646205E-2</v>
      </c>
      <c r="I1302">
        <v>7.9757084306185305E-2</v>
      </c>
      <c r="J1302">
        <v>9.1291253336827902E-2</v>
      </c>
      <c r="K1302">
        <v>8.2777085709992704E-2</v>
      </c>
      <c r="L1302">
        <v>900.79319408692504</v>
      </c>
      <c r="M1302">
        <v>18.489346324631299</v>
      </c>
      <c r="N1302">
        <v>49.147492274835201</v>
      </c>
      <c r="O1302">
        <v>48.160390417526401</v>
      </c>
      <c r="P1302">
        <v>-8.8846345718210804E-2</v>
      </c>
      <c r="Q1302">
        <v>7.4345845544092598E-2</v>
      </c>
      <c r="R1302">
        <v>0.99854310782850697</v>
      </c>
      <c r="S1302" t="s">
        <v>5598</v>
      </c>
      <c r="T1302" t="s">
        <v>8590</v>
      </c>
      <c r="U1302" t="s">
        <v>8590</v>
      </c>
      <c r="V1302" t="s">
        <v>8590</v>
      </c>
      <c r="W1302">
        <v>28</v>
      </c>
      <c r="X1302" t="s">
        <v>9892</v>
      </c>
      <c r="Y1302">
        <v>0.35866046890869419</v>
      </c>
      <c r="Z1302" t="str">
        <f>HYPERLINK("Melting_Curves/meltCurve_sp_P54577_SYYC_HUMAN_.pdf", "Melting_Curves/meltCurve_sp_P54577_SYYC_HUMAN_.pdf")</f>
        <v>Melting_Curves/meltCurve_sp_P54577_SYYC_HUMAN_.pdf</v>
      </c>
      <c r="AA1302" t="s">
        <v>14166</v>
      </c>
      <c r="AB1302" t="s">
        <v>18386</v>
      </c>
    </row>
    <row r="1303" spans="1:28" x14ac:dyDescent="0.25">
      <c r="A1303" t="s">
        <v>1307</v>
      </c>
      <c r="B1303">
        <v>0.99876560204751996</v>
      </c>
      <c r="C1303">
        <v>0.96750179290527605</v>
      </c>
      <c r="D1303">
        <v>1.0565976441290299</v>
      </c>
      <c r="E1303">
        <v>0.94156423664113098</v>
      </c>
      <c r="F1303">
        <v>0.60811895427924301</v>
      </c>
      <c r="G1303">
        <v>0.23052607200171399</v>
      </c>
      <c r="H1303">
        <v>0.13591604861356901</v>
      </c>
      <c r="I1303">
        <v>0.104840440059563</v>
      </c>
      <c r="J1303">
        <v>0.12064356032479601</v>
      </c>
      <c r="K1303">
        <v>0.11195824608126199</v>
      </c>
      <c r="L1303">
        <v>1814.73956208046</v>
      </c>
      <c r="M1303">
        <v>33.948440949929697</v>
      </c>
      <c r="N1303">
        <v>53.878549997055501</v>
      </c>
      <c r="O1303">
        <v>53.271297715511302</v>
      </c>
      <c r="P1303">
        <v>-0.140689530139853</v>
      </c>
      <c r="Q1303">
        <v>0.116933454942627</v>
      </c>
      <c r="R1303">
        <v>0.996409750589488</v>
      </c>
      <c r="S1303" t="s">
        <v>5599</v>
      </c>
      <c r="T1303" t="s">
        <v>8590</v>
      </c>
      <c r="U1303" t="s">
        <v>8590</v>
      </c>
      <c r="V1303" t="s">
        <v>8590</v>
      </c>
      <c r="W1303">
        <v>11</v>
      </c>
      <c r="X1303" t="s">
        <v>9893</v>
      </c>
      <c r="Y1303">
        <v>0.51753002515026614</v>
      </c>
      <c r="Z1303" t="str">
        <f>HYPERLINK("Melting_Curves/meltCurve_sp_P54578_2_UBP14_HUMAN_.pdf", "Melting_Curves/meltCurve_sp_P54578_2_UBP14_HUMAN_.pdf")</f>
        <v>Melting_Curves/meltCurve_sp_P54578_2_UBP14_HUMAN_.pdf</v>
      </c>
      <c r="AA1303" t="s">
        <v>14167</v>
      </c>
      <c r="AB1303" t="s">
        <v>18387</v>
      </c>
    </row>
    <row r="1304" spans="1:28" x14ac:dyDescent="0.25">
      <c r="A1304" t="s">
        <v>1308</v>
      </c>
      <c r="B1304">
        <v>0.99876560204751996</v>
      </c>
      <c r="C1304">
        <v>1.03144698770045</v>
      </c>
      <c r="D1304">
        <v>0.971843687487977</v>
      </c>
      <c r="E1304">
        <v>0.82962344038705904</v>
      </c>
      <c r="F1304">
        <v>0.45139436842582398</v>
      </c>
      <c r="G1304">
        <v>0.20384696606354899</v>
      </c>
      <c r="H1304">
        <v>0.204368571161618</v>
      </c>
      <c r="I1304">
        <v>8.9284680337388803E-2</v>
      </c>
      <c r="J1304">
        <v>7.8593296645875499E-2</v>
      </c>
      <c r="K1304">
        <v>5.18765634610521E-2</v>
      </c>
      <c r="L1304">
        <v>1385.3792542143101</v>
      </c>
      <c r="M1304">
        <v>26.4368830061841</v>
      </c>
      <c r="N1304">
        <v>52.834414096636799</v>
      </c>
      <c r="O1304">
        <v>52.106191098171003</v>
      </c>
      <c r="P1304">
        <v>-0.114536278242223</v>
      </c>
      <c r="Q1304">
        <v>9.7021414638311806E-2</v>
      </c>
      <c r="R1304">
        <v>0.99165364030640502</v>
      </c>
      <c r="S1304" t="s">
        <v>5600</v>
      </c>
      <c r="T1304" t="s">
        <v>8590</v>
      </c>
      <c r="U1304" t="s">
        <v>8590</v>
      </c>
      <c r="V1304" t="s">
        <v>8590</v>
      </c>
      <c r="W1304">
        <v>13</v>
      </c>
      <c r="X1304" t="s">
        <v>9894</v>
      </c>
      <c r="Y1304">
        <v>0.47778381125454772</v>
      </c>
      <c r="Z1304" t="str">
        <f>HYPERLINK("Melting_Curves/meltCurve_sp_P54619_2_AAKG1_HUMAN_.pdf", "Melting_Curves/meltCurve_sp_P54619_2_AAKG1_HUMAN_.pdf")</f>
        <v>Melting_Curves/meltCurve_sp_P54619_2_AAKG1_HUMAN_.pdf</v>
      </c>
      <c r="AA1304" t="s">
        <v>14168</v>
      </c>
      <c r="AB1304" t="s">
        <v>18388</v>
      </c>
    </row>
    <row r="1305" spans="1:28" x14ac:dyDescent="0.25">
      <c r="A1305" t="s">
        <v>1309</v>
      </c>
      <c r="B1305">
        <v>0.99876560204751996</v>
      </c>
      <c r="C1305">
        <v>0.907393463484508</v>
      </c>
      <c r="D1305">
        <v>1.0015447606871599</v>
      </c>
      <c r="E1305">
        <v>0.87040516085191399</v>
      </c>
      <c r="F1305">
        <v>0.99315763251229905</v>
      </c>
      <c r="G1305">
        <v>0.79278927746878602</v>
      </c>
      <c r="H1305">
        <v>0.768179815703386</v>
      </c>
      <c r="I1305">
        <v>0.77041379744199401</v>
      </c>
      <c r="J1305">
        <v>0.95005241614451197</v>
      </c>
      <c r="K1305">
        <v>0.93291811305912098</v>
      </c>
      <c r="L1305">
        <v>690.99606482482295</v>
      </c>
      <c r="M1305">
        <v>14.2227382012265</v>
      </c>
      <c r="O1305">
        <v>47.653707032278597</v>
      </c>
      <c r="P1305">
        <v>-1.1094134882246901E-2</v>
      </c>
      <c r="Q1305">
        <v>0.85133357776756402</v>
      </c>
      <c r="R1305">
        <v>0.27206075389403001</v>
      </c>
      <c r="S1305" t="s">
        <v>5601</v>
      </c>
      <c r="T1305" t="s">
        <v>8590</v>
      </c>
      <c r="U1305" t="s">
        <v>8590</v>
      </c>
      <c r="V1305" t="s">
        <v>8590</v>
      </c>
      <c r="W1305">
        <v>18</v>
      </c>
      <c r="X1305" t="s">
        <v>9895</v>
      </c>
      <c r="Y1305">
        <v>0.89799779807980784</v>
      </c>
      <c r="Z1305" t="str">
        <f>HYPERLINK("Melting_Curves/meltCurve_sp_P54727_RD23B_HUMAN_.pdf", "Melting_Curves/meltCurve_sp_P54727_RD23B_HUMAN_.pdf")</f>
        <v>Melting_Curves/meltCurve_sp_P54727_RD23B_HUMAN_.pdf</v>
      </c>
      <c r="AA1305" t="s">
        <v>14169</v>
      </c>
      <c r="AB1305" t="s">
        <v>18389</v>
      </c>
    </row>
    <row r="1306" spans="1:28" x14ac:dyDescent="0.25">
      <c r="A1306" t="s">
        <v>1310</v>
      </c>
      <c r="B1306">
        <v>0.99876560204751996</v>
      </c>
      <c r="C1306">
        <v>1.00533138457566</v>
      </c>
      <c r="D1306">
        <v>0.87657684932344004</v>
      </c>
      <c r="E1306">
        <v>1.0083593131367501</v>
      </c>
      <c r="F1306">
        <v>0.90153124070177304</v>
      </c>
      <c r="G1306">
        <v>0.62365125853092795</v>
      </c>
      <c r="H1306">
        <v>0.25814369681722299</v>
      </c>
      <c r="I1306">
        <v>9.2501608697256502E-2</v>
      </c>
      <c r="J1306">
        <v>6.9893800762923994E-2</v>
      </c>
      <c r="K1306">
        <v>5.6066704986276403E-2</v>
      </c>
      <c r="L1306">
        <v>1452.89850862617</v>
      </c>
      <c r="M1306">
        <v>25.0580106096393</v>
      </c>
      <c r="N1306">
        <v>58.139318200629098</v>
      </c>
      <c r="O1306">
        <v>57.615908836128099</v>
      </c>
      <c r="P1306">
        <v>-0.10515300585404801</v>
      </c>
      <c r="Q1306">
        <v>3.2899246378316899E-2</v>
      </c>
      <c r="R1306">
        <v>0.98968146628572096</v>
      </c>
      <c r="S1306" t="s">
        <v>5602</v>
      </c>
      <c r="T1306" t="s">
        <v>8590</v>
      </c>
      <c r="U1306" t="s">
        <v>8590</v>
      </c>
      <c r="V1306" t="s">
        <v>8590</v>
      </c>
      <c r="W1306">
        <v>20</v>
      </c>
      <c r="X1306" t="s">
        <v>9896</v>
      </c>
      <c r="Y1306">
        <v>0.62095202658468618</v>
      </c>
      <c r="Z1306" t="str">
        <f>HYPERLINK("Melting_Curves/meltCurve_sp_P54802_ANAG_HUMAN_.pdf", "Melting_Curves/meltCurve_sp_P54802_ANAG_HUMAN_.pdf")</f>
        <v>Melting_Curves/meltCurve_sp_P54802_ANAG_HUMAN_.pdf</v>
      </c>
      <c r="AA1306" t="s">
        <v>14170</v>
      </c>
      <c r="AB1306" t="s">
        <v>18390</v>
      </c>
    </row>
    <row r="1307" spans="1:28" x14ac:dyDescent="0.25">
      <c r="A1307" t="s">
        <v>1311</v>
      </c>
      <c r="B1307">
        <v>0.99876560204751996</v>
      </c>
      <c r="C1307">
        <v>0.98705153678030699</v>
      </c>
      <c r="D1307">
        <v>0.793226209435277</v>
      </c>
      <c r="E1307">
        <v>0.47531154712274298</v>
      </c>
      <c r="F1307">
        <v>0.25452713847557901</v>
      </c>
      <c r="G1307">
        <v>0.12436743190871601</v>
      </c>
      <c r="H1307">
        <v>9.5611967779796705E-2</v>
      </c>
      <c r="I1307">
        <v>8.7289416908208198E-2</v>
      </c>
      <c r="J1307">
        <v>0.102991317328437</v>
      </c>
      <c r="K1307">
        <v>7.7599335804766495E-2</v>
      </c>
      <c r="L1307">
        <v>995.44573968917496</v>
      </c>
      <c r="M1307">
        <v>20.245941263802901</v>
      </c>
      <c r="N1307">
        <v>49.602369866980297</v>
      </c>
      <c r="O1307">
        <v>48.695525576584799</v>
      </c>
      <c r="P1307">
        <v>-9.5495058571624894E-2</v>
      </c>
      <c r="Q1307">
        <v>8.1289868238876004E-2</v>
      </c>
      <c r="R1307">
        <v>0.998294759683507</v>
      </c>
      <c r="S1307" t="s">
        <v>5603</v>
      </c>
      <c r="T1307" t="s">
        <v>8590</v>
      </c>
      <c r="U1307" t="s">
        <v>8590</v>
      </c>
      <c r="V1307" t="s">
        <v>8590</v>
      </c>
      <c r="W1307">
        <v>9</v>
      </c>
      <c r="X1307" t="s">
        <v>9897</v>
      </c>
      <c r="Y1307">
        <v>0.37457438870038051</v>
      </c>
      <c r="Z1307" t="str">
        <f>HYPERLINK("Melting_Curves/meltCurve_sp_P54840_GYS2_HUMAN_.pdf", "Melting_Curves/meltCurve_sp_P54840_GYS2_HUMAN_.pdf")</f>
        <v>Melting_Curves/meltCurve_sp_P54840_GYS2_HUMAN_.pdf</v>
      </c>
      <c r="AA1307" t="s">
        <v>14171</v>
      </c>
      <c r="AB1307" t="s">
        <v>18391</v>
      </c>
    </row>
    <row r="1308" spans="1:28" x14ac:dyDescent="0.25">
      <c r="A1308" t="s">
        <v>1312</v>
      </c>
      <c r="B1308">
        <v>0.99876560204751996</v>
      </c>
      <c r="C1308">
        <v>1.20233913431615</v>
      </c>
      <c r="D1308">
        <v>0.71392653287128705</v>
      </c>
      <c r="E1308">
        <v>0.44977533920211299</v>
      </c>
      <c r="F1308">
        <v>0.193647328809674</v>
      </c>
      <c r="G1308">
        <v>0.12779540231059</v>
      </c>
      <c r="H1308">
        <v>7.3567269967348706E-2</v>
      </c>
      <c r="I1308">
        <v>7.1849785284625406E-2</v>
      </c>
      <c r="J1308">
        <v>0.100833198771185</v>
      </c>
      <c r="K1308">
        <v>5.3043960179758702E-2</v>
      </c>
      <c r="L1308">
        <v>1141.9598661986599</v>
      </c>
      <c r="M1308">
        <v>23.397094194438999</v>
      </c>
      <c r="N1308">
        <v>49.159472633710699</v>
      </c>
      <c r="O1308">
        <v>48.455433967231698</v>
      </c>
      <c r="P1308">
        <v>-0.111413487466929</v>
      </c>
      <c r="Q1308">
        <v>7.7066244281750906E-2</v>
      </c>
      <c r="R1308">
        <v>0.95666081777563305</v>
      </c>
      <c r="S1308" t="s">
        <v>5604</v>
      </c>
      <c r="T1308" t="s">
        <v>8590</v>
      </c>
      <c r="U1308" t="s">
        <v>8590</v>
      </c>
      <c r="V1308" t="s">
        <v>8590</v>
      </c>
      <c r="W1308">
        <v>2</v>
      </c>
      <c r="X1308" t="s">
        <v>9898</v>
      </c>
      <c r="Y1308">
        <v>0.35740387751842279</v>
      </c>
      <c r="Z1308" t="str">
        <f>HYPERLINK("Melting_Curves/meltCurve_sp_P54855_UDB15_HUMAN_.pdf", "Melting_Curves/meltCurve_sp_P54855_UDB15_HUMAN_.pdf")</f>
        <v>Melting_Curves/meltCurve_sp_P54855_UDB15_HUMAN_.pdf</v>
      </c>
      <c r="AA1308" t="s">
        <v>14172</v>
      </c>
      <c r="AB1308" t="s">
        <v>18392</v>
      </c>
    </row>
    <row r="1309" spans="1:28" x14ac:dyDescent="0.25">
      <c r="A1309" t="s">
        <v>1313</v>
      </c>
      <c r="B1309">
        <v>0.99876560204751996</v>
      </c>
      <c r="C1309">
        <v>0.94047999583164099</v>
      </c>
      <c r="D1309">
        <v>0.91154711176941505</v>
      </c>
      <c r="E1309">
        <v>0.328206170370203</v>
      </c>
      <c r="F1309">
        <v>0.10070297019542</v>
      </c>
      <c r="G1309">
        <v>5.7540396317431401E-2</v>
      </c>
      <c r="H1309">
        <v>3.5946681590244001E-2</v>
      </c>
      <c r="I1309">
        <v>2.96731655751554E-2</v>
      </c>
      <c r="J1309">
        <v>2.88741266082022E-2</v>
      </c>
      <c r="K1309">
        <v>2.3432224062031999E-2</v>
      </c>
      <c r="L1309">
        <v>1691.1455981469101</v>
      </c>
      <c r="M1309">
        <v>34.619574519543903</v>
      </c>
      <c r="N1309">
        <v>48.949033854518198</v>
      </c>
      <c r="O1309">
        <v>48.687272474339501</v>
      </c>
      <c r="P1309">
        <v>-0.17171843142989501</v>
      </c>
      <c r="Q1309">
        <v>3.4018022878152698E-2</v>
      </c>
      <c r="R1309">
        <v>0.99796080210789695</v>
      </c>
      <c r="S1309" t="s">
        <v>5605</v>
      </c>
      <c r="T1309" t="s">
        <v>8590</v>
      </c>
      <c r="U1309" t="s">
        <v>8590</v>
      </c>
      <c r="V1309" t="s">
        <v>8590</v>
      </c>
      <c r="W1309">
        <v>41</v>
      </c>
      <c r="X1309" t="s">
        <v>9899</v>
      </c>
      <c r="Y1309">
        <v>0.32334307174263632</v>
      </c>
      <c r="Z1309" t="str">
        <f>HYPERLINK("Melting_Curves/meltCurve_sp_P54868_HMCS2_HUMAN_.pdf", "Melting_Curves/meltCurve_sp_P54868_HMCS2_HUMAN_.pdf")</f>
        <v>Melting_Curves/meltCurve_sp_P54868_HMCS2_HUMAN_.pdf</v>
      </c>
      <c r="AA1309" t="s">
        <v>14173</v>
      </c>
      <c r="AB1309" t="s">
        <v>18393</v>
      </c>
    </row>
    <row r="1310" spans="1:28" x14ac:dyDescent="0.25">
      <c r="A1310" t="s">
        <v>1314</v>
      </c>
      <c r="B1310">
        <v>0.99876560204751996</v>
      </c>
      <c r="C1310">
        <v>1.0546415005088401</v>
      </c>
      <c r="D1310">
        <v>0.92371735660022003</v>
      </c>
      <c r="E1310">
        <v>0.73879745375769901</v>
      </c>
      <c r="F1310">
        <v>0.35345114025574198</v>
      </c>
      <c r="G1310">
        <v>0.118181083427603</v>
      </c>
      <c r="H1310">
        <v>6.6256771101345993E-2</v>
      </c>
      <c r="I1310">
        <v>5.0479601376681602E-2</v>
      </c>
      <c r="J1310">
        <v>4.5877015464675E-2</v>
      </c>
      <c r="K1310">
        <v>4.0498597854606098E-2</v>
      </c>
      <c r="L1310">
        <v>1400.10774897495</v>
      </c>
      <c r="M1310">
        <v>27.106774922149899</v>
      </c>
      <c r="N1310">
        <v>51.831941991726602</v>
      </c>
      <c r="O1310">
        <v>51.372924913701901</v>
      </c>
      <c r="P1310">
        <v>-0.125976217350425</v>
      </c>
      <c r="Q1310">
        <v>4.5005781625897801E-2</v>
      </c>
      <c r="R1310">
        <v>0.996687670833171</v>
      </c>
      <c r="S1310" t="s">
        <v>5606</v>
      </c>
      <c r="T1310" t="s">
        <v>8590</v>
      </c>
      <c r="U1310" t="s">
        <v>8590</v>
      </c>
      <c r="V1310" t="s">
        <v>8590</v>
      </c>
      <c r="W1310">
        <v>24</v>
      </c>
      <c r="X1310" t="s">
        <v>9900</v>
      </c>
      <c r="Y1310">
        <v>0.42332936728964943</v>
      </c>
      <c r="Z1310" t="str">
        <f>HYPERLINK("Melting_Curves/meltCurve_sp_P54886_2_P5CS_HUMAN_.pdf", "Melting_Curves/meltCurve_sp_P54886_2_P5CS_HUMAN_.pdf")</f>
        <v>Melting_Curves/meltCurve_sp_P54886_2_P5CS_HUMAN_.pdf</v>
      </c>
      <c r="AA1310" t="s">
        <v>14174</v>
      </c>
      <c r="AB1310" t="s">
        <v>18394</v>
      </c>
    </row>
    <row r="1311" spans="1:28" x14ac:dyDescent="0.25">
      <c r="A1311" t="s">
        <v>1315</v>
      </c>
      <c r="B1311">
        <v>0.99876560204751996</v>
      </c>
      <c r="C1311">
        <v>0.98012870094744098</v>
      </c>
      <c r="D1311">
        <v>1.03103504701419</v>
      </c>
      <c r="E1311">
        <v>0.92097114044376804</v>
      </c>
      <c r="F1311">
        <v>0.80973050313912998</v>
      </c>
      <c r="G1311">
        <v>0.50747209773082702</v>
      </c>
      <c r="H1311">
        <v>0.124822137721775</v>
      </c>
      <c r="I1311">
        <v>0.100094092394599</v>
      </c>
      <c r="J1311">
        <v>9.8862114554548894E-2</v>
      </c>
      <c r="K1311">
        <v>7.8844347574686502E-2</v>
      </c>
      <c r="L1311">
        <v>1354.6530377752599</v>
      </c>
      <c r="M1311">
        <v>24.0474168396306</v>
      </c>
      <c r="N1311">
        <v>56.6113434168618</v>
      </c>
      <c r="O1311">
        <v>55.947356263804203</v>
      </c>
      <c r="P1311">
        <v>-0.10145730218006201</v>
      </c>
      <c r="Q1311">
        <v>5.5835589925400199E-2</v>
      </c>
      <c r="R1311">
        <v>0.99398304049965402</v>
      </c>
      <c r="S1311" t="s">
        <v>5607</v>
      </c>
      <c r="T1311" t="s">
        <v>8590</v>
      </c>
      <c r="U1311" t="s">
        <v>8590</v>
      </c>
      <c r="V1311" t="s">
        <v>8590</v>
      </c>
      <c r="W1311">
        <v>18</v>
      </c>
      <c r="X1311" t="s">
        <v>9901</v>
      </c>
      <c r="Y1311">
        <v>0.57903627747876074</v>
      </c>
      <c r="Z1311" t="str">
        <f>HYPERLINK("Melting_Curves/meltCurve_sp_P54920_SNAA_HUMAN_.pdf", "Melting_Curves/meltCurve_sp_P54920_SNAA_HUMAN_.pdf")</f>
        <v>Melting_Curves/meltCurve_sp_P54920_SNAA_HUMAN_.pdf</v>
      </c>
      <c r="AA1311" t="s">
        <v>14175</v>
      </c>
      <c r="AB1311" t="s">
        <v>18395</v>
      </c>
    </row>
    <row r="1312" spans="1:28" x14ac:dyDescent="0.25">
      <c r="A1312" t="s">
        <v>1316</v>
      </c>
      <c r="B1312">
        <v>0.99876560204751996</v>
      </c>
      <c r="C1312">
        <v>0.903226170668325</v>
      </c>
      <c r="D1312">
        <v>0.88717033177946703</v>
      </c>
      <c r="E1312">
        <v>0.84530955395401997</v>
      </c>
      <c r="F1312">
        <v>0.62024938367112603</v>
      </c>
      <c r="G1312">
        <v>0.50363681263816096</v>
      </c>
      <c r="H1312">
        <v>0.412823399532258</v>
      </c>
      <c r="I1312">
        <v>0.350426549853738</v>
      </c>
      <c r="J1312">
        <v>0.38796276485280801</v>
      </c>
      <c r="K1312">
        <v>0.37134114074456998</v>
      </c>
      <c r="L1312">
        <v>711.14597222407895</v>
      </c>
      <c r="M1312">
        <v>13.5223784173086</v>
      </c>
      <c r="N1312">
        <v>57.1715279179123</v>
      </c>
      <c r="O1312">
        <v>51.4801315779617</v>
      </c>
      <c r="P1312">
        <v>-4.3951224582046998E-2</v>
      </c>
      <c r="Q1312">
        <v>0.33080647372473398</v>
      </c>
      <c r="R1312">
        <v>0.97834996606055202</v>
      </c>
      <c r="S1312" t="s">
        <v>5608</v>
      </c>
      <c r="T1312" t="s">
        <v>8590</v>
      </c>
      <c r="U1312" t="s">
        <v>8590</v>
      </c>
      <c r="V1312" t="s">
        <v>8590</v>
      </c>
      <c r="W1312">
        <v>4</v>
      </c>
      <c r="X1312" t="s">
        <v>9902</v>
      </c>
      <c r="Y1312">
        <v>0.62856073540085622</v>
      </c>
      <c r="Z1312" t="str">
        <f>HYPERLINK("Melting_Curves/meltCurve_sp_P55008_AIF1_HUMAN_.pdf", "Melting_Curves/meltCurve_sp_P55008_AIF1_HUMAN_.pdf")</f>
        <v>Melting_Curves/meltCurve_sp_P55008_AIF1_HUMAN_.pdf</v>
      </c>
      <c r="AA1312" t="s">
        <v>14176</v>
      </c>
      <c r="AB1312" t="s">
        <v>18396</v>
      </c>
    </row>
    <row r="1313" spans="1:28" x14ac:dyDescent="0.25">
      <c r="A1313" t="s">
        <v>1317</v>
      </c>
      <c r="B1313">
        <v>0.99876560204751996</v>
      </c>
      <c r="C1313">
        <v>0.868510209464878</v>
      </c>
      <c r="D1313">
        <v>0.89821444721060695</v>
      </c>
      <c r="E1313">
        <v>0.85251291940916696</v>
      </c>
      <c r="F1313">
        <v>0.65539207860522497</v>
      </c>
      <c r="G1313">
        <v>0.24767041342829799</v>
      </c>
      <c r="H1313">
        <v>0.13605374548469901</v>
      </c>
      <c r="I1313">
        <v>0.103600417164201</v>
      </c>
      <c r="J1313">
        <v>0.103922557801004</v>
      </c>
      <c r="K1313">
        <v>9.2890242157873504E-2</v>
      </c>
      <c r="L1313">
        <v>1216.2828917745801</v>
      </c>
      <c r="M1313">
        <v>22.608078079329299</v>
      </c>
      <c r="N1313">
        <v>54.220289851199198</v>
      </c>
      <c r="O1313">
        <v>53.382994016208698</v>
      </c>
      <c r="P1313">
        <v>-9.7342904387381607E-2</v>
      </c>
      <c r="Q1313">
        <v>8.0620504880492994E-2</v>
      </c>
      <c r="R1313">
        <v>0.98083905128487303</v>
      </c>
      <c r="S1313" t="s">
        <v>5609</v>
      </c>
      <c r="T1313" t="s">
        <v>8590</v>
      </c>
      <c r="U1313" t="s">
        <v>8590</v>
      </c>
      <c r="V1313" t="s">
        <v>8590</v>
      </c>
      <c r="W1313">
        <v>14</v>
      </c>
      <c r="X1313" t="s">
        <v>9903</v>
      </c>
      <c r="Y1313">
        <v>0.51367563172359099</v>
      </c>
      <c r="Z1313" t="str">
        <f>HYPERLINK("Melting_Curves/meltCurve_sp_P55010_IF5_HUMAN_.pdf", "Melting_Curves/meltCurve_sp_P55010_IF5_HUMAN_.pdf")</f>
        <v>Melting_Curves/meltCurve_sp_P55010_IF5_HUMAN_.pdf</v>
      </c>
      <c r="AA1313" t="s">
        <v>14177</v>
      </c>
      <c r="AB1313" t="s">
        <v>18397</v>
      </c>
    </row>
    <row r="1314" spans="1:28" x14ac:dyDescent="0.25">
      <c r="A1314" t="s">
        <v>1318</v>
      </c>
      <c r="B1314">
        <v>0.99876560204751996</v>
      </c>
      <c r="C1314">
        <v>0.95882045455225795</v>
      </c>
      <c r="D1314">
        <v>0.95727902931322695</v>
      </c>
      <c r="E1314">
        <v>0.80893129937380603</v>
      </c>
      <c r="F1314">
        <v>0.85999046197409101</v>
      </c>
      <c r="G1314">
        <v>0.70239730631333797</v>
      </c>
      <c r="H1314">
        <v>0.54143168142001097</v>
      </c>
      <c r="I1314">
        <v>0.512663368527432</v>
      </c>
      <c r="J1314">
        <v>0.56929434943609103</v>
      </c>
      <c r="K1314">
        <v>0.53794135286792999</v>
      </c>
      <c r="L1314">
        <v>661.378774366519</v>
      </c>
      <c r="M1314">
        <v>12.0994558707071</v>
      </c>
      <c r="O1314">
        <v>53.232969190164198</v>
      </c>
      <c r="P1314">
        <v>-2.9441571790196099E-2</v>
      </c>
      <c r="Q1314">
        <v>0.481994412062622</v>
      </c>
      <c r="R1314">
        <v>0.94988950100726799</v>
      </c>
      <c r="S1314" t="s">
        <v>5610</v>
      </c>
      <c r="T1314" t="s">
        <v>8590</v>
      </c>
      <c r="U1314" t="s">
        <v>8590</v>
      </c>
      <c r="V1314" t="s">
        <v>8590</v>
      </c>
      <c r="W1314">
        <v>8</v>
      </c>
      <c r="X1314" t="s">
        <v>9904</v>
      </c>
      <c r="Y1314">
        <v>0.747713302376109</v>
      </c>
      <c r="Z1314" t="str">
        <f>HYPERLINK("Melting_Curves/meltCurve_sp_P55036_PSMD4_HUMAN_.pdf", "Melting_Curves/meltCurve_sp_P55036_PSMD4_HUMAN_.pdf")</f>
        <v>Melting_Curves/meltCurve_sp_P55036_PSMD4_HUMAN_.pdf</v>
      </c>
      <c r="AA1314" t="s">
        <v>14178</v>
      </c>
      <c r="AB1314" t="s">
        <v>18398</v>
      </c>
    </row>
    <row r="1315" spans="1:28" x14ac:dyDescent="0.25">
      <c r="A1315" t="s">
        <v>1319</v>
      </c>
      <c r="B1315">
        <v>0.99876560204751996</v>
      </c>
      <c r="C1315">
        <v>0.86742450590327602</v>
      </c>
      <c r="D1315">
        <v>0.65108890136613196</v>
      </c>
      <c r="E1315">
        <v>0.305126290511404</v>
      </c>
      <c r="F1315">
        <v>0.15046713644422299</v>
      </c>
      <c r="G1315">
        <v>9.3111253760583504E-2</v>
      </c>
      <c r="H1315">
        <v>4.9083761916276003E-2</v>
      </c>
      <c r="I1315">
        <v>4.60227667548729E-2</v>
      </c>
      <c r="J1315">
        <v>2.6824448666669099E-2</v>
      </c>
      <c r="K1315">
        <v>2.64035631076237E-2</v>
      </c>
      <c r="L1315">
        <v>866.69812538390795</v>
      </c>
      <c r="M1315">
        <v>18.268810660695401</v>
      </c>
      <c r="N1315">
        <v>47.6138947300038</v>
      </c>
      <c r="O1315">
        <v>46.883908897751802</v>
      </c>
      <c r="P1315">
        <v>-9.4300367726024806E-2</v>
      </c>
      <c r="Q1315">
        <v>3.2018958412583703E-2</v>
      </c>
      <c r="R1315">
        <v>0.99877277147224397</v>
      </c>
      <c r="S1315" t="s">
        <v>5611</v>
      </c>
      <c r="T1315" t="s">
        <v>8590</v>
      </c>
      <c r="U1315" t="s">
        <v>8590</v>
      </c>
      <c r="V1315" t="s">
        <v>8590</v>
      </c>
      <c r="W1315">
        <v>7</v>
      </c>
      <c r="X1315" t="s">
        <v>9905</v>
      </c>
      <c r="Y1315">
        <v>0.28908885860409861</v>
      </c>
      <c r="Z1315" t="str">
        <f>HYPERLINK("Melting_Curves/meltCurve_sp_P55039_DRG2_HUMAN_.pdf", "Melting_Curves/meltCurve_sp_P55039_DRG2_HUMAN_.pdf")</f>
        <v>Melting_Curves/meltCurve_sp_P55039_DRG2_HUMAN_.pdf</v>
      </c>
      <c r="AA1315" t="s">
        <v>14179</v>
      </c>
      <c r="AB1315" t="s">
        <v>18399</v>
      </c>
    </row>
    <row r="1316" spans="1:28" x14ac:dyDescent="0.25">
      <c r="A1316" t="s">
        <v>1320</v>
      </c>
      <c r="B1316">
        <v>0.99876560204751996</v>
      </c>
      <c r="C1316">
        <v>1.1165115732094699</v>
      </c>
      <c r="D1316">
        <v>1.00315544851869</v>
      </c>
      <c r="E1316">
        <v>0.84446493006230805</v>
      </c>
      <c r="F1316">
        <v>0.77522155247950597</v>
      </c>
      <c r="G1316">
        <v>0.58435516753382999</v>
      </c>
      <c r="H1316">
        <v>0.51956877609776098</v>
      </c>
      <c r="I1316">
        <v>0.32818202391006401</v>
      </c>
      <c r="J1316">
        <v>0.34097293590245997</v>
      </c>
      <c r="K1316">
        <v>0.240998583265677</v>
      </c>
      <c r="L1316">
        <v>691.56990792651402</v>
      </c>
      <c r="M1316">
        <v>12.0308796261633</v>
      </c>
      <c r="N1316">
        <v>59.736285012619703</v>
      </c>
      <c r="O1316">
        <v>55.9638368318708</v>
      </c>
      <c r="P1316">
        <v>-4.3951316549585798E-2</v>
      </c>
      <c r="Q1316">
        <v>0.182404796639587</v>
      </c>
      <c r="R1316">
        <v>0.96814116121678195</v>
      </c>
      <c r="S1316" t="s">
        <v>5612</v>
      </c>
      <c r="T1316" t="s">
        <v>8590</v>
      </c>
      <c r="U1316" t="s">
        <v>8590</v>
      </c>
      <c r="V1316" t="s">
        <v>8590</v>
      </c>
      <c r="W1316">
        <v>1</v>
      </c>
      <c r="X1316" t="s">
        <v>9906</v>
      </c>
      <c r="Y1316">
        <v>0.67107374584195811</v>
      </c>
      <c r="Z1316" t="str">
        <f>HYPERLINK("Melting_Curves/meltCurve_sp_P55058_PLTP_HUMAN_.pdf", "Melting_Curves/meltCurve_sp_P55058_PLTP_HUMAN_.pdf")</f>
        <v>Melting_Curves/meltCurve_sp_P55058_PLTP_HUMAN_.pdf</v>
      </c>
      <c r="AA1316" t="s">
        <v>14180</v>
      </c>
      <c r="AB1316" t="s">
        <v>18400</v>
      </c>
    </row>
    <row r="1317" spans="1:28" x14ac:dyDescent="0.25">
      <c r="A1317" t="s">
        <v>1321</v>
      </c>
      <c r="B1317">
        <v>0.99876560204751996</v>
      </c>
      <c r="C1317">
        <v>1.0293997725692301</v>
      </c>
      <c r="D1317">
        <v>0.99556262847932697</v>
      </c>
      <c r="E1317">
        <v>0.91565866996767198</v>
      </c>
      <c r="F1317">
        <v>0.19546786545519801</v>
      </c>
      <c r="G1317">
        <v>8.2383574428502596E-2</v>
      </c>
      <c r="H1317">
        <v>4.69190796459149E-2</v>
      </c>
      <c r="I1317">
        <v>3.4353216932054398E-2</v>
      </c>
      <c r="J1317">
        <v>3.3114037194106397E-2</v>
      </c>
      <c r="K1317">
        <v>2.3749008675554E-2</v>
      </c>
      <c r="L1317">
        <v>3517.2233081982799</v>
      </c>
      <c r="M1317">
        <v>68.021267084987997</v>
      </c>
      <c r="N1317">
        <v>51.777092034555601</v>
      </c>
      <c r="O1317">
        <v>51.663048255903597</v>
      </c>
      <c r="P1317">
        <v>-0.31481579312844798</v>
      </c>
      <c r="Q1317">
        <v>4.35730003617514E-2</v>
      </c>
      <c r="R1317">
        <v>0.998598116168814</v>
      </c>
      <c r="S1317" t="s">
        <v>5613</v>
      </c>
      <c r="T1317" t="s">
        <v>8590</v>
      </c>
      <c r="U1317" t="s">
        <v>8590</v>
      </c>
      <c r="V1317" t="s">
        <v>8590</v>
      </c>
      <c r="W1317">
        <v>18</v>
      </c>
      <c r="X1317" t="s">
        <v>9907</v>
      </c>
      <c r="Y1317">
        <v>0.4180006810138524</v>
      </c>
      <c r="Z1317" t="str">
        <f>HYPERLINK("Melting_Curves/meltCurve_sp_P55060_3_XPO2_HUMAN_.pdf", "Melting_Curves/meltCurve_sp_P55060_3_XPO2_HUMAN_.pdf")</f>
        <v>Melting_Curves/meltCurve_sp_P55060_3_XPO2_HUMAN_.pdf</v>
      </c>
      <c r="AA1317" t="s">
        <v>14181</v>
      </c>
      <c r="AB1317" t="s">
        <v>18401</v>
      </c>
    </row>
    <row r="1318" spans="1:28" x14ac:dyDescent="0.25">
      <c r="A1318" t="s">
        <v>1322</v>
      </c>
      <c r="B1318">
        <v>0.99876560204751996</v>
      </c>
      <c r="C1318">
        <v>1.08741492989382</v>
      </c>
      <c r="D1318">
        <v>1.0416240728961099</v>
      </c>
      <c r="E1318">
        <v>1.0862252130996899</v>
      </c>
      <c r="F1318">
        <v>0.99388587015220298</v>
      </c>
      <c r="G1318">
        <v>0.84643200325586099</v>
      </c>
      <c r="H1318">
        <v>0.69193888091989797</v>
      </c>
      <c r="I1318">
        <v>0.57660376929261703</v>
      </c>
      <c r="J1318">
        <v>0.46837476010944001</v>
      </c>
      <c r="K1318">
        <v>7.3111703552912397E-2</v>
      </c>
      <c r="L1318">
        <v>1109.3959930499</v>
      </c>
      <c r="M1318">
        <v>17.168857250476901</v>
      </c>
      <c r="N1318">
        <v>64.616763984798098</v>
      </c>
      <c r="O1318">
        <v>63.759241059185797</v>
      </c>
      <c r="P1318">
        <v>-6.7323087668827705E-2</v>
      </c>
      <c r="Q1318">
        <v>0</v>
      </c>
      <c r="R1318">
        <v>0.94222369914655801</v>
      </c>
      <c r="S1318" t="s">
        <v>5614</v>
      </c>
      <c r="T1318" t="s">
        <v>8590</v>
      </c>
      <c r="U1318" t="s">
        <v>8590</v>
      </c>
      <c r="V1318" t="s">
        <v>8590</v>
      </c>
      <c r="W1318">
        <v>48</v>
      </c>
      <c r="X1318" t="s">
        <v>9908</v>
      </c>
      <c r="Y1318">
        <v>0.80509486621855586</v>
      </c>
      <c r="Z1318" t="str">
        <f>HYPERLINK("Melting_Curves/meltCurve_sp_P55072_TERA_HUMAN_.pdf", "Melting_Curves/meltCurve_sp_P55072_TERA_HUMAN_.pdf")</f>
        <v>Melting_Curves/meltCurve_sp_P55072_TERA_HUMAN_.pdf</v>
      </c>
      <c r="AA1318" t="s">
        <v>14182</v>
      </c>
      <c r="AB1318" t="s">
        <v>18402</v>
      </c>
    </row>
    <row r="1319" spans="1:28" x14ac:dyDescent="0.25">
      <c r="A1319" t="s">
        <v>1323</v>
      </c>
      <c r="B1319">
        <v>0.99876560204751996</v>
      </c>
      <c r="C1319">
        <v>0.89705552430767999</v>
      </c>
      <c r="D1319">
        <v>1.0495789173294501</v>
      </c>
      <c r="E1319">
        <v>0.71412273993094799</v>
      </c>
      <c r="F1319">
        <v>0.80531907612820897</v>
      </c>
      <c r="G1319">
        <v>0.62325446771173898</v>
      </c>
      <c r="H1319">
        <v>0.50306163834210305</v>
      </c>
      <c r="I1319">
        <v>0.52250847638798004</v>
      </c>
      <c r="J1319">
        <v>0.78935075049218195</v>
      </c>
      <c r="K1319">
        <v>0.78200017363680496</v>
      </c>
      <c r="L1319">
        <v>5215.0627571189798</v>
      </c>
      <c r="M1319">
        <v>106.166255590086</v>
      </c>
      <c r="O1319">
        <v>49.1042388016904</v>
      </c>
      <c r="P1319">
        <v>-0.177952119820842</v>
      </c>
      <c r="Q1319">
        <v>0.67077286959856497</v>
      </c>
      <c r="R1319">
        <v>0.64016610321994605</v>
      </c>
      <c r="S1319" t="s">
        <v>5615</v>
      </c>
      <c r="T1319" t="s">
        <v>8590</v>
      </c>
      <c r="U1319" t="s">
        <v>8590</v>
      </c>
      <c r="V1319" t="s">
        <v>8590</v>
      </c>
      <c r="W1319">
        <v>3</v>
      </c>
      <c r="X1319" t="s">
        <v>9909</v>
      </c>
      <c r="Y1319">
        <v>0.7710336776927158</v>
      </c>
      <c r="Z1319" t="str">
        <f>HYPERLINK("Melting_Curves/meltCurve_sp_P55081_MFAP1_HUMAN_.pdf", "Melting_Curves/meltCurve_sp_P55081_MFAP1_HUMAN_.pdf")</f>
        <v>Melting_Curves/meltCurve_sp_P55081_MFAP1_HUMAN_.pdf</v>
      </c>
      <c r="AA1319" t="s">
        <v>14183</v>
      </c>
      <c r="AB1319" t="s">
        <v>18403</v>
      </c>
    </row>
    <row r="1320" spans="1:28" x14ac:dyDescent="0.25">
      <c r="A1320" t="s">
        <v>1324</v>
      </c>
      <c r="B1320">
        <v>0.99876560204751996</v>
      </c>
      <c r="C1320">
        <v>1.0197757924172199</v>
      </c>
      <c r="D1320">
        <v>0.85177281800305005</v>
      </c>
      <c r="E1320">
        <v>0.61966465899483003</v>
      </c>
      <c r="F1320">
        <v>0.32408924464078998</v>
      </c>
      <c r="G1320">
        <v>0.14925567412988699</v>
      </c>
      <c r="H1320">
        <v>5.8971543663326798E-2</v>
      </c>
      <c r="I1320">
        <v>4.4412646553179898E-2</v>
      </c>
      <c r="J1320">
        <v>4.1550845580155399E-2</v>
      </c>
      <c r="K1320">
        <v>3.33388446314489E-2</v>
      </c>
      <c r="L1320">
        <v>973.42623373605602</v>
      </c>
      <c r="M1320">
        <v>19.1156884035906</v>
      </c>
      <c r="N1320">
        <v>51.072288020435899</v>
      </c>
      <c r="O1320">
        <v>50.375428548911103</v>
      </c>
      <c r="P1320">
        <v>-9.22902971425828E-2</v>
      </c>
      <c r="Q1320">
        <v>2.7190262806034898E-2</v>
      </c>
      <c r="R1320">
        <v>0.99720105955153304</v>
      </c>
      <c r="S1320" t="s">
        <v>5616</v>
      </c>
      <c r="T1320" t="s">
        <v>8590</v>
      </c>
      <c r="U1320" t="s">
        <v>8590</v>
      </c>
      <c r="V1320" t="s">
        <v>8590</v>
      </c>
      <c r="W1320">
        <v>29</v>
      </c>
      <c r="X1320" t="s">
        <v>9910</v>
      </c>
      <c r="Y1320">
        <v>0.39608197069211742</v>
      </c>
      <c r="Z1320" t="str">
        <f>HYPERLINK("Melting_Curves/meltCurve_sp_P55084_ECHB_HUMAN_.pdf", "Melting_Curves/meltCurve_sp_P55084_ECHB_HUMAN_.pdf")</f>
        <v>Melting_Curves/meltCurve_sp_P55084_ECHB_HUMAN_.pdf</v>
      </c>
      <c r="AA1320" t="s">
        <v>14184</v>
      </c>
      <c r="AB1320" t="s">
        <v>18404</v>
      </c>
    </row>
    <row r="1321" spans="1:28" x14ac:dyDescent="0.25">
      <c r="A1321" t="s">
        <v>1325</v>
      </c>
      <c r="B1321">
        <v>0.99876560204751996</v>
      </c>
      <c r="C1321">
        <v>0.86722739380969804</v>
      </c>
      <c r="D1321">
        <v>0.72954251587732699</v>
      </c>
      <c r="E1321">
        <v>0.64019042262302395</v>
      </c>
      <c r="F1321">
        <v>0.516337566122265</v>
      </c>
      <c r="G1321">
        <v>0.354860464981961</v>
      </c>
      <c r="H1321">
        <v>0.112617555305182</v>
      </c>
      <c r="I1321">
        <v>0</v>
      </c>
      <c r="J1321">
        <v>0</v>
      </c>
      <c r="K1321">
        <v>0</v>
      </c>
      <c r="L1321">
        <v>610.34257353217697</v>
      </c>
      <c r="M1321">
        <v>11.7157250840985</v>
      </c>
      <c r="N1321">
        <v>52.095991658129002</v>
      </c>
      <c r="O1321">
        <v>50.647668911993001</v>
      </c>
      <c r="P1321">
        <v>-5.7844834228089698E-2</v>
      </c>
      <c r="Q1321">
        <v>0</v>
      </c>
      <c r="R1321">
        <v>0.96611917316031204</v>
      </c>
      <c r="S1321" t="s">
        <v>5617</v>
      </c>
      <c r="T1321" t="s">
        <v>8590</v>
      </c>
      <c r="U1321" t="s">
        <v>8590</v>
      </c>
      <c r="V1321" t="s">
        <v>8590</v>
      </c>
      <c r="W1321">
        <v>2</v>
      </c>
      <c r="X1321" t="s">
        <v>9911</v>
      </c>
      <c r="Y1321">
        <v>0.43453481900775409</v>
      </c>
      <c r="Z1321" t="str">
        <f>HYPERLINK("Melting_Curves/meltCurve_sp_P55103_INHBC_HUMAN_.pdf", "Melting_Curves/meltCurve_sp_P55103_INHBC_HUMAN_.pdf")</f>
        <v>Melting_Curves/meltCurve_sp_P55103_INHBC_HUMAN_.pdf</v>
      </c>
      <c r="AA1321" t="s">
        <v>14185</v>
      </c>
      <c r="AB1321" t="s">
        <v>18405</v>
      </c>
    </row>
    <row r="1322" spans="1:28" x14ac:dyDescent="0.25">
      <c r="A1322" t="s">
        <v>1326</v>
      </c>
      <c r="B1322">
        <v>0.99876560204751996</v>
      </c>
      <c r="C1322">
        <v>0.86419773232698904</v>
      </c>
      <c r="D1322">
        <v>0.95036742125389895</v>
      </c>
      <c r="E1322">
        <v>0.88949521763231698</v>
      </c>
      <c r="F1322">
        <v>0.91272631787579905</v>
      </c>
      <c r="G1322">
        <v>0.76797628788140704</v>
      </c>
      <c r="H1322">
        <v>0.70600208355591099</v>
      </c>
      <c r="I1322">
        <v>0.65046982338522996</v>
      </c>
      <c r="J1322">
        <v>0.79153672041498202</v>
      </c>
      <c r="K1322">
        <v>0.80099932277577002</v>
      </c>
      <c r="L1322">
        <v>477.054346207668</v>
      </c>
      <c r="M1322">
        <v>9.2734440895625294</v>
      </c>
      <c r="O1322">
        <v>49.220640778273697</v>
      </c>
      <c r="P1322">
        <v>-1.36564760219802E-2</v>
      </c>
      <c r="Q1322">
        <v>0.71025006529503398</v>
      </c>
      <c r="R1322">
        <v>0.65115014112232406</v>
      </c>
      <c r="S1322" t="s">
        <v>5618</v>
      </c>
      <c r="T1322" t="s">
        <v>8590</v>
      </c>
      <c r="U1322" t="s">
        <v>8590</v>
      </c>
      <c r="V1322" t="s">
        <v>8590</v>
      </c>
      <c r="W1322">
        <v>16</v>
      </c>
      <c r="X1322" t="s">
        <v>9912</v>
      </c>
      <c r="Y1322">
        <v>0.83339147624134191</v>
      </c>
      <c r="Z1322" t="str">
        <f>HYPERLINK("Melting_Curves/meltCurve_sp_P55145_MANF_HUMAN_.pdf", "Melting_Curves/meltCurve_sp_P55145_MANF_HUMAN_.pdf")</f>
        <v>Melting_Curves/meltCurve_sp_P55145_MANF_HUMAN_.pdf</v>
      </c>
      <c r="AA1322" t="s">
        <v>14186</v>
      </c>
      <c r="AB1322" t="s">
        <v>18406</v>
      </c>
    </row>
    <row r="1323" spans="1:28" x14ac:dyDescent="0.25">
      <c r="A1323" t="s">
        <v>1327</v>
      </c>
      <c r="B1323">
        <v>0.99876560204751996</v>
      </c>
      <c r="C1323">
        <v>1.04729542368483</v>
      </c>
      <c r="D1323">
        <v>0.96461333149244</v>
      </c>
      <c r="E1323">
        <v>0.97859661143951904</v>
      </c>
      <c r="F1323">
        <v>0.77390995818737895</v>
      </c>
      <c r="G1323">
        <v>0.325472411522022</v>
      </c>
      <c r="H1323">
        <v>0.100234741338495</v>
      </c>
      <c r="I1323">
        <v>7.2783638301709599E-2</v>
      </c>
      <c r="J1323">
        <v>6.8361446595391298E-2</v>
      </c>
      <c r="K1323">
        <v>5.3112494240168902E-2</v>
      </c>
      <c r="L1323">
        <v>1632.6934921186601</v>
      </c>
      <c r="M1323">
        <v>29.5930145151437</v>
      </c>
      <c r="N1323">
        <v>55.392684851859997</v>
      </c>
      <c r="O1323">
        <v>54.9214878637422</v>
      </c>
      <c r="P1323">
        <v>-0.12720297838754999</v>
      </c>
      <c r="Q1323">
        <v>5.5705692707321501E-2</v>
      </c>
      <c r="R1323">
        <v>0.99776726655546699</v>
      </c>
      <c r="S1323" t="s">
        <v>5619</v>
      </c>
      <c r="T1323" t="s">
        <v>8590</v>
      </c>
      <c r="U1323" t="s">
        <v>8590</v>
      </c>
      <c r="V1323" t="s">
        <v>8590</v>
      </c>
      <c r="W1323">
        <v>46</v>
      </c>
      <c r="X1323" t="s">
        <v>9913</v>
      </c>
      <c r="Y1323">
        <v>0.5396882447461</v>
      </c>
      <c r="Z1323" t="str">
        <f>HYPERLINK("Melting_Curves/meltCurve_sp_P55157_MTP_HUMAN_.pdf", "Melting_Curves/meltCurve_sp_P55157_MTP_HUMAN_.pdf")</f>
        <v>Melting_Curves/meltCurve_sp_P55157_MTP_HUMAN_.pdf</v>
      </c>
      <c r="AA1323" t="s">
        <v>14187</v>
      </c>
      <c r="AB1323" t="s">
        <v>18407</v>
      </c>
    </row>
    <row r="1324" spans="1:28" x14ac:dyDescent="0.25">
      <c r="A1324" t="s">
        <v>1328</v>
      </c>
      <c r="B1324">
        <v>0.99876560204751996</v>
      </c>
      <c r="C1324">
        <v>0.96110758657979201</v>
      </c>
      <c r="D1324">
        <v>0.90513335458747801</v>
      </c>
      <c r="E1324">
        <v>0.75317397194105595</v>
      </c>
      <c r="F1324">
        <v>0.58003276194918596</v>
      </c>
      <c r="G1324">
        <v>0.57672453434555804</v>
      </c>
      <c r="H1324">
        <v>0.38820607536239499</v>
      </c>
      <c r="I1324">
        <v>0.51889879003664796</v>
      </c>
      <c r="J1324">
        <v>0.48639483766011998</v>
      </c>
      <c r="K1324">
        <v>0.54031437197454801</v>
      </c>
      <c r="L1324">
        <v>977.50381046461496</v>
      </c>
      <c r="M1324">
        <v>19.641717786508199</v>
      </c>
      <c r="N1324">
        <v>61.081684081906303</v>
      </c>
      <c r="O1324">
        <v>49.259465046710602</v>
      </c>
      <c r="P1324">
        <v>-5.1154730123737502E-2</v>
      </c>
      <c r="Q1324">
        <v>0.48685407640557699</v>
      </c>
      <c r="R1324">
        <v>0.95288353680499405</v>
      </c>
      <c r="S1324" t="s">
        <v>5620</v>
      </c>
      <c r="T1324" t="s">
        <v>8590</v>
      </c>
      <c r="U1324" t="s">
        <v>8590</v>
      </c>
      <c r="V1324" t="s">
        <v>8590</v>
      </c>
      <c r="W1324">
        <v>43</v>
      </c>
      <c r="X1324" t="s">
        <v>9914</v>
      </c>
      <c r="Y1324">
        <v>0.66132188838382</v>
      </c>
      <c r="Z1324" t="str">
        <f>HYPERLINK("Melting_Curves/meltCurve_sp_P55196_3_AFAD_HUMAN_.pdf", "Melting_Curves/meltCurve_sp_P55196_3_AFAD_HUMAN_.pdf")</f>
        <v>Melting_Curves/meltCurve_sp_P55196_3_AFAD_HUMAN_.pdf</v>
      </c>
      <c r="AA1324" t="s">
        <v>14188</v>
      </c>
      <c r="AB1324" t="s">
        <v>18408</v>
      </c>
    </row>
    <row r="1325" spans="1:28" x14ac:dyDescent="0.25">
      <c r="A1325" t="s">
        <v>1329</v>
      </c>
      <c r="B1325">
        <v>0.99876560204751996</v>
      </c>
      <c r="C1325">
        <v>0.95188590644999704</v>
      </c>
      <c r="D1325">
        <v>0.99685685208637098</v>
      </c>
      <c r="E1325">
        <v>0.88672782374576697</v>
      </c>
      <c r="F1325">
        <v>0.68564883453581904</v>
      </c>
      <c r="G1325">
        <v>0.477991391477812</v>
      </c>
      <c r="H1325">
        <v>0.388572459140479</v>
      </c>
      <c r="I1325">
        <v>0.38315008956784202</v>
      </c>
      <c r="J1325">
        <v>0.45520151598516201</v>
      </c>
      <c r="K1325">
        <v>0.445263965092146</v>
      </c>
      <c r="L1325">
        <v>1519.88690237632</v>
      </c>
      <c r="M1325">
        <v>28.875893201842199</v>
      </c>
      <c r="N1325">
        <v>56.095848670181802</v>
      </c>
      <c r="O1325">
        <v>52.384645662538098</v>
      </c>
      <c r="P1325">
        <v>-8.0507304228655402E-2</v>
      </c>
      <c r="Q1325">
        <v>0.415801323339485</v>
      </c>
      <c r="R1325">
        <v>0.98826461027956103</v>
      </c>
      <c r="S1325" t="s">
        <v>5621</v>
      </c>
      <c r="T1325" t="s">
        <v>8590</v>
      </c>
      <c r="U1325" t="s">
        <v>8590</v>
      </c>
      <c r="V1325" t="s">
        <v>8590</v>
      </c>
      <c r="W1325">
        <v>46</v>
      </c>
      <c r="X1325" t="s">
        <v>9915</v>
      </c>
      <c r="Y1325">
        <v>0.6659113093775999</v>
      </c>
      <c r="Z1325" t="str">
        <f>HYPERLINK("Melting_Curves/meltCurve_sp_P55196_AFAD_HUMAN_.pdf", "Melting_Curves/meltCurve_sp_P55196_AFAD_HUMAN_.pdf")</f>
        <v>Melting_Curves/meltCurve_sp_P55196_AFAD_HUMAN_.pdf</v>
      </c>
      <c r="AA1325" t="s">
        <v>14188</v>
      </c>
      <c r="AB1325" t="s">
        <v>18409</v>
      </c>
    </row>
    <row r="1326" spans="1:28" x14ac:dyDescent="0.25">
      <c r="A1326" t="s">
        <v>1330</v>
      </c>
      <c r="B1326">
        <v>0.99876560204751996</v>
      </c>
      <c r="C1326">
        <v>1.0082996026366999</v>
      </c>
      <c r="D1326">
        <v>1.36661314982758</v>
      </c>
      <c r="E1326">
        <v>1.05855459065256</v>
      </c>
      <c r="F1326">
        <v>0.93088662699480695</v>
      </c>
      <c r="G1326">
        <v>0.61354206550079904</v>
      </c>
      <c r="H1326">
        <v>0.18963796449534501</v>
      </c>
      <c r="I1326">
        <v>0.60507667577692403</v>
      </c>
      <c r="J1326">
        <v>0.333634177214921</v>
      </c>
      <c r="K1326">
        <v>0.342898289859358</v>
      </c>
      <c r="L1326">
        <v>14224.1910423913</v>
      </c>
      <c r="M1326">
        <v>250</v>
      </c>
      <c r="N1326">
        <v>57.201170321591903</v>
      </c>
      <c r="O1326">
        <v>56.893123128958301</v>
      </c>
      <c r="P1326">
        <v>-0.69449103570976201</v>
      </c>
      <c r="Q1326">
        <v>0.367811776356742</v>
      </c>
      <c r="R1326">
        <v>0.82507383547754998</v>
      </c>
      <c r="S1326" t="s">
        <v>5622</v>
      </c>
      <c r="T1326" t="s">
        <v>8590</v>
      </c>
      <c r="U1326" t="s">
        <v>8590</v>
      </c>
      <c r="V1326" t="s">
        <v>8590</v>
      </c>
      <c r="W1326">
        <v>1</v>
      </c>
      <c r="X1326" t="s">
        <v>9916</v>
      </c>
      <c r="Y1326">
        <v>0.72393941306261234</v>
      </c>
      <c r="Z1326" t="str">
        <f>HYPERLINK("Melting_Curves/meltCurve_sp_P55199_ELL_HUMAN_.pdf", "Melting_Curves/meltCurve_sp_P55199_ELL_HUMAN_.pdf")</f>
        <v>Melting_Curves/meltCurve_sp_P55199_ELL_HUMAN_.pdf</v>
      </c>
      <c r="AA1326" t="s">
        <v>14189</v>
      </c>
      <c r="AB1326" t="s">
        <v>18410</v>
      </c>
    </row>
    <row r="1327" spans="1:28" x14ac:dyDescent="0.25">
      <c r="A1327" t="s">
        <v>1331</v>
      </c>
      <c r="B1327">
        <v>0.99876560204751996</v>
      </c>
      <c r="C1327">
        <v>0.96113940727252001</v>
      </c>
      <c r="D1327">
        <v>0.88274645673505503</v>
      </c>
      <c r="E1327">
        <v>0.66723088823051702</v>
      </c>
      <c r="F1327">
        <v>0.493428560493056</v>
      </c>
      <c r="G1327">
        <v>0.343729817398779</v>
      </c>
      <c r="H1327">
        <v>0.20872850129746601</v>
      </c>
      <c r="I1327">
        <v>0.123979229462774</v>
      </c>
      <c r="J1327">
        <v>0.11395553488052</v>
      </c>
      <c r="K1327">
        <v>7.5513784997209996E-2</v>
      </c>
      <c r="L1327">
        <v>650.70825335657901</v>
      </c>
      <c r="M1327">
        <v>12.3089905725978</v>
      </c>
      <c r="N1327">
        <v>53.224002052619802</v>
      </c>
      <c r="O1327">
        <v>51.527267663550703</v>
      </c>
      <c r="P1327">
        <v>-5.7350752970714097E-2</v>
      </c>
      <c r="Q1327">
        <v>3.9894535588758197E-2</v>
      </c>
      <c r="R1327">
        <v>0.99795427880201304</v>
      </c>
      <c r="S1327" t="s">
        <v>5623</v>
      </c>
      <c r="T1327" t="s">
        <v>8590</v>
      </c>
      <c r="U1327" t="s">
        <v>8590</v>
      </c>
      <c r="V1327" t="s">
        <v>8590</v>
      </c>
      <c r="W1327">
        <v>7</v>
      </c>
      <c r="X1327" t="s">
        <v>9917</v>
      </c>
      <c r="Y1327">
        <v>0.47842568000587182</v>
      </c>
      <c r="Z1327" t="str">
        <f>HYPERLINK("Melting_Curves/meltCurve_sp_P55210_CASP7_HUMAN_.pdf", "Melting_Curves/meltCurve_sp_P55210_CASP7_HUMAN_.pdf")</f>
        <v>Melting_Curves/meltCurve_sp_P55210_CASP7_HUMAN_.pdf</v>
      </c>
      <c r="AA1327" t="s">
        <v>14190</v>
      </c>
      <c r="AB1327" t="s">
        <v>18411</v>
      </c>
    </row>
    <row r="1328" spans="1:28" x14ac:dyDescent="0.25">
      <c r="A1328" t="s">
        <v>1332</v>
      </c>
      <c r="B1328">
        <v>0.99876560204751996</v>
      </c>
      <c r="C1328">
        <v>0.98000199222191997</v>
      </c>
      <c r="D1328">
        <v>0.936139440115211</v>
      </c>
      <c r="E1328">
        <v>0.785287447223871</v>
      </c>
      <c r="F1328">
        <v>0.67203893859497899</v>
      </c>
      <c r="G1328">
        <v>0.52046082521901404</v>
      </c>
      <c r="H1328">
        <v>0.42521362529611301</v>
      </c>
      <c r="I1328">
        <v>0.40918138846318602</v>
      </c>
      <c r="J1328">
        <v>0.46554223837446401</v>
      </c>
      <c r="K1328">
        <v>0.38448392461056202</v>
      </c>
      <c r="L1328">
        <v>834.34698039085004</v>
      </c>
      <c r="M1328">
        <v>16.011948307022202</v>
      </c>
      <c r="N1328">
        <v>57.769093562207601</v>
      </c>
      <c r="O1328">
        <v>51.315354495149201</v>
      </c>
      <c r="P1328">
        <v>-4.7128900039369502E-2</v>
      </c>
      <c r="Q1328">
        <v>0.39588964075013999</v>
      </c>
      <c r="R1328">
        <v>0.99207244908365999</v>
      </c>
      <c r="S1328" t="s">
        <v>5624</v>
      </c>
      <c r="T1328" t="s">
        <v>8590</v>
      </c>
      <c r="U1328" t="s">
        <v>8590</v>
      </c>
      <c r="V1328" t="s">
        <v>8590</v>
      </c>
      <c r="W1328">
        <v>14</v>
      </c>
      <c r="X1328" t="s">
        <v>9918</v>
      </c>
      <c r="Y1328">
        <v>0.65186520792778968</v>
      </c>
      <c r="Z1328" t="str">
        <f>HYPERLINK("Melting_Curves/meltCurve_sp_P55212_CASP6_HUMAN_.pdf", "Melting_Curves/meltCurve_sp_P55212_CASP6_HUMAN_.pdf")</f>
        <v>Melting_Curves/meltCurve_sp_P55212_CASP6_HUMAN_.pdf</v>
      </c>
      <c r="AA1328" t="s">
        <v>14191</v>
      </c>
      <c r="AB1328" t="s">
        <v>18412</v>
      </c>
    </row>
    <row r="1329" spans="1:28" x14ac:dyDescent="0.25">
      <c r="A1329" t="s">
        <v>1333</v>
      </c>
      <c r="B1329">
        <v>0.99876560204751996</v>
      </c>
      <c r="C1329">
        <v>0.881719937191632</v>
      </c>
      <c r="D1329">
        <v>0.95718726289470901</v>
      </c>
      <c r="E1329">
        <v>0.68834469815605603</v>
      </c>
      <c r="F1329">
        <v>0.29559333131996102</v>
      </c>
      <c r="G1329">
        <v>0.10432563845236199</v>
      </c>
      <c r="H1329">
        <v>5.69344332162557E-2</v>
      </c>
      <c r="I1329">
        <v>4.6739593482317598E-2</v>
      </c>
      <c r="J1329">
        <v>4.5886120084554401E-2</v>
      </c>
      <c r="K1329">
        <v>3.6530994031092598E-2</v>
      </c>
      <c r="L1329">
        <v>1428.7874951439701</v>
      </c>
      <c r="M1329">
        <v>27.910102705825999</v>
      </c>
      <c r="N1329">
        <v>51.357938905890002</v>
      </c>
      <c r="O1329">
        <v>50.931841152486498</v>
      </c>
      <c r="P1329">
        <v>-0.13110874672092199</v>
      </c>
      <c r="Q1329">
        <v>4.2991436175587497E-2</v>
      </c>
      <c r="R1329">
        <v>0.99145878121152498</v>
      </c>
      <c r="S1329" t="s">
        <v>5625</v>
      </c>
      <c r="T1329" t="s">
        <v>8590</v>
      </c>
      <c r="U1329" t="s">
        <v>8590</v>
      </c>
      <c r="V1329" t="s">
        <v>8590</v>
      </c>
      <c r="W1329">
        <v>19</v>
      </c>
      <c r="X1329" t="s">
        <v>9919</v>
      </c>
      <c r="Y1329">
        <v>0.40700561180225031</v>
      </c>
      <c r="Z1329" t="str">
        <f>HYPERLINK("Melting_Curves/meltCurve_sp_P55263_ADK_HUMAN_.pdf", "Melting_Curves/meltCurve_sp_P55263_ADK_HUMAN_.pdf")</f>
        <v>Melting_Curves/meltCurve_sp_P55263_ADK_HUMAN_.pdf</v>
      </c>
      <c r="AA1329" t="s">
        <v>14192</v>
      </c>
      <c r="AB1329" t="s">
        <v>18413</v>
      </c>
    </row>
    <row r="1330" spans="1:28" x14ac:dyDescent="0.25">
      <c r="A1330" t="s">
        <v>1334</v>
      </c>
      <c r="B1330">
        <v>0.99876560204751996</v>
      </c>
      <c r="C1330">
        <v>1.0067051964856699</v>
      </c>
      <c r="D1330">
        <v>1.0002125694391799</v>
      </c>
      <c r="E1330">
        <v>0.949716701802236</v>
      </c>
      <c r="F1330">
        <v>0.82754623454133402</v>
      </c>
      <c r="G1330">
        <v>0.48007391646846498</v>
      </c>
      <c r="H1330">
        <v>0.30414467075025198</v>
      </c>
      <c r="I1330">
        <v>0.27382232650548</v>
      </c>
      <c r="J1330">
        <v>0.31198567252215798</v>
      </c>
      <c r="K1330">
        <v>0.28625033876758799</v>
      </c>
      <c r="L1330">
        <v>1618.86122283026</v>
      </c>
      <c r="M1330">
        <v>29.4093943520752</v>
      </c>
      <c r="N1330">
        <v>56.641346075458202</v>
      </c>
      <c r="O1330">
        <v>54.793090269487202</v>
      </c>
      <c r="P1330">
        <v>-9.6392421785617702E-2</v>
      </c>
      <c r="Q1330">
        <v>0.28164431108353999</v>
      </c>
      <c r="R1330">
        <v>0.99836810470817905</v>
      </c>
      <c r="S1330" t="s">
        <v>5626</v>
      </c>
      <c r="T1330" t="s">
        <v>8590</v>
      </c>
      <c r="U1330" t="s">
        <v>8590</v>
      </c>
      <c r="V1330" t="s">
        <v>8590</v>
      </c>
      <c r="W1330">
        <v>23</v>
      </c>
      <c r="X1330" t="s">
        <v>9920</v>
      </c>
      <c r="Y1330">
        <v>0.64686517574324409</v>
      </c>
      <c r="Z1330" t="str">
        <f>HYPERLINK("Melting_Curves/meltCurve_sp_P55265_3_DSRAD_HUMAN_.pdf", "Melting_Curves/meltCurve_sp_P55265_3_DSRAD_HUMAN_.pdf")</f>
        <v>Melting_Curves/meltCurve_sp_P55265_3_DSRAD_HUMAN_.pdf</v>
      </c>
      <c r="AA1330" t="s">
        <v>14193</v>
      </c>
      <c r="AB1330" t="s">
        <v>18414</v>
      </c>
    </row>
    <row r="1331" spans="1:28" x14ac:dyDescent="0.25">
      <c r="A1331" t="s">
        <v>1335</v>
      </c>
      <c r="B1331">
        <v>0.99876560204751996</v>
      </c>
      <c r="C1331">
        <v>1.02989034093223</v>
      </c>
      <c r="D1331">
        <v>0.992930987172429</v>
      </c>
      <c r="E1331">
        <v>0.93046167824297898</v>
      </c>
      <c r="F1331">
        <v>0.61364901896434298</v>
      </c>
      <c r="G1331">
        <v>0.43531967477626399</v>
      </c>
      <c r="H1331">
        <v>0.23375390061842</v>
      </c>
      <c r="I1331">
        <v>0.141995885132365</v>
      </c>
      <c r="J1331">
        <v>0.17117993358660699</v>
      </c>
      <c r="K1331">
        <v>0.112502671235021</v>
      </c>
      <c r="L1331">
        <v>1038.0595262423999</v>
      </c>
      <c r="M1331">
        <v>18.9941329652866</v>
      </c>
      <c r="N1331">
        <v>55.438212697005</v>
      </c>
      <c r="O1331">
        <v>54.056619755656399</v>
      </c>
      <c r="P1331">
        <v>-7.7470347884691093E-2</v>
      </c>
      <c r="Q1331">
        <v>0.118123895512024</v>
      </c>
      <c r="R1331">
        <v>0.99005988774329401</v>
      </c>
      <c r="S1331" t="s">
        <v>5627</v>
      </c>
      <c r="T1331" t="s">
        <v>8590</v>
      </c>
      <c r="U1331" t="s">
        <v>8590</v>
      </c>
      <c r="V1331" t="s">
        <v>8590</v>
      </c>
      <c r="W1331">
        <v>6</v>
      </c>
      <c r="X1331" t="s">
        <v>9921</v>
      </c>
      <c r="Y1331">
        <v>0.56161723897361193</v>
      </c>
      <c r="Z1331" t="str">
        <f>HYPERLINK("Melting_Curves/meltCurve_sp_P55268_LAMB2_HUMAN_.pdf", "Melting_Curves/meltCurve_sp_P55268_LAMB2_HUMAN_.pdf")</f>
        <v>Melting_Curves/meltCurve_sp_P55268_LAMB2_HUMAN_.pdf</v>
      </c>
      <c r="AA1331" t="s">
        <v>14194</v>
      </c>
      <c r="AB1331" t="s">
        <v>18415</v>
      </c>
    </row>
    <row r="1332" spans="1:28" x14ac:dyDescent="0.25">
      <c r="A1332" t="s">
        <v>1336</v>
      </c>
      <c r="B1332">
        <v>0.99876560204751996</v>
      </c>
      <c r="C1332">
        <v>0.99474032484324204</v>
      </c>
      <c r="D1332">
        <v>1.09918899421803</v>
      </c>
      <c r="E1332">
        <v>0.91205292369258095</v>
      </c>
      <c r="F1332">
        <v>0.95112246605182804</v>
      </c>
      <c r="G1332">
        <v>0.71472626390451999</v>
      </c>
      <c r="H1332">
        <v>0.63749192216899597</v>
      </c>
      <c r="I1332">
        <v>0.60587666832765996</v>
      </c>
      <c r="J1332">
        <v>0.77258699097918904</v>
      </c>
      <c r="K1332">
        <v>0.72572658647350696</v>
      </c>
      <c r="L1332">
        <v>2798.2560981716701</v>
      </c>
      <c r="M1332">
        <v>51.283660514605103</v>
      </c>
      <c r="O1332">
        <v>54.481511842228301</v>
      </c>
      <c r="P1332">
        <v>-7.4163841951549903E-2</v>
      </c>
      <c r="Q1332">
        <v>0.684846632663342</v>
      </c>
      <c r="R1332">
        <v>0.86623152747645105</v>
      </c>
      <c r="S1332" t="s">
        <v>5628</v>
      </c>
      <c r="T1332" t="s">
        <v>8590</v>
      </c>
      <c r="U1332" t="s">
        <v>8590</v>
      </c>
      <c r="V1332" t="s">
        <v>8590</v>
      </c>
      <c r="W1332">
        <v>10</v>
      </c>
      <c r="X1332" t="s">
        <v>9922</v>
      </c>
      <c r="Y1332">
        <v>0.83856663866389658</v>
      </c>
      <c r="Z1332" t="str">
        <f>HYPERLINK("Melting_Curves/meltCurve_sp_P55327_2_TPD52_HUMAN_.pdf", "Melting_Curves/meltCurve_sp_P55327_2_TPD52_HUMAN_.pdf")</f>
        <v>Melting_Curves/meltCurve_sp_P55327_2_TPD52_HUMAN_.pdf</v>
      </c>
      <c r="AA1332" t="s">
        <v>14195</v>
      </c>
      <c r="AB1332" t="s">
        <v>18416</v>
      </c>
    </row>
    <row r="1333" spans="1:28" x14ac:dyDescent="0.25">
      <c r="A1333" t="s">
        <v>1337</v>
      </c>
      <c r="B1333">
        <v>0.99876560204751996</v>
      </c>
      <c r="C1333">
        <v>1.1101846354167899</v>
      </c>
      <c r="D1333">
        <v>1.0469646846001901</v>
      </c>
      <c r="E1333">
        <v>1.0520430693618601</v>
      </c>
      <c r="F1333">
        <v>0.81022089836144695</v>
      </c>
      <c r="G1333">
        <v>0.23513055957600601</v>
      </c>
      <c r="H1333">
        <v>6.7937947276093202E-2</v>
      </c>
      <c r="I1333">
        <v>4.4069473016739101E-2</v>
      </c>
      <c r="J1333">
        <v>3.33998609125312E-2</v>
      </c>
      <c r="K1333">
        <v>2.3747699213377198E-2</v>
      </c>
      <c r="L1333">
        <v>2176.9368130803</v>
      </c>
      <c r="M1333">
        <v>39.568176850772097</v>
      </c>
      <c r="N1333">
        <v>55.123490070551703</v>
      </c>
      <c r="O1333">
        <v>54.8773985160948</v>
      </c>
      <c r="P1333">
        <v>-0.17364676839589699</v>
      </c>
      <c r="Q1333">
        <v>3.6674112964604197E-2</v>
      </c>
      <c r="R1333">
        <v>0.99102669069691796</v>
      </c>
      <c r="S1333" t="s">
        <v>5629</v>
      </c>
      <c r="T1333" t="s">
        <v>8590</v>
      </c>
      <c r="U1333" t="s">
        <v>8590</v>
      </c>
      <c r="V1333" t="s">
        <v>8590</v>
      </c>
      <c r="W1333">
        <v>10</v>
      </c>
      <c r="X1333" t="s">
        <v>9923</v>
      </c>
      <c r="Y1333">
        <v>0.52262410581759255</v>
      </c>
      <c r="Z1333" t="str">
        <f>HYPERLINK("Melting_Curves/meltCurve_sp_P55735_SEC13_HUMAN_.pdf", "Melting_Curves/meltCurve_sp_P55735_SEC13_HUMAN_.pdf")</f>
        <v>Melting_Curves/meltCurve_sp_P55735_SEC13_HUMAN_.pdf</v>
      </c>
      <c r="AA1333" t="s">
        <v>14196</v>
      </c>
      <c r="AB1333" t="s">
        <v>18417</v>
      </c>
    </row>
    <row r="1334" spans="1:28" x14ac:dyDescent="0.25">
      <c r="A1334" t="s">
        <v>1338</v>
      </c>
      <c r="B1334">
        <v>0.99876560204751996</v>
      </c>
      <c r="C1334">
        <v>0.92511117754459904</v>
      </c>
      <c r="D1334">
        <v>0.83495744732765997</v>
      </c>
      <c r="E1334">
        <v>0.57933328848261501</v>
      </c>
      <c r="F1334">
        <v>0.36357406287500599</v>
      </c>
      <c r="G1334">
        <v>0.172106510840216</v>
      </c>
      <c r="H1334">
        <v>8.5753510762183696E-2</v>
      </c>
      <c r="I1334">
        <v>6.8326870555431102E-2</v>
      </c>
      <c r="J1334">
        <v>5.7002952637971303E-2</v>
      </c>
      <c r="K1334">
        <v>5.3197325521356698E-2</v>
      </c>
      <c r="L1334">
        <v>787.918826822494</v>
      </c>
      <c r="M1334">
        <v>15.528799303436401</v>
      </c>
      <c r="N1334">
        <v>50.948919598862098</v>
      </c>
      <c r="O1334">
        <v>49.920106873839302</v>
      </c>
      <c r="P1334">
        <v>-7.5367399141032299E-2</v>
      </c>
      <c r="Q1334">
        <v>3.0957450220738501E-2</v>
      </c>
      <c r="R1334">
        <v>0.99925351641558202</v>
      </c>
      <c r="S1334" t="s">
        <v>5630</v>
      </c>
      <c r="T1334" t="s">
        <v>8590</v>
      </c>
      <c r="U1334" t="s">
        <v>8590</v>
      </c>
      <c r="V1334" t="s">
        <v>8590</v>
      </c>
      <c r="W1334">
        <v>4</v>
      </c>
      <c r="X1334" t="s">
        <v>9924</v>
      </c>
      <c r="Y1334">
        <v>0.39913146804055072</v>
      </c>
      <c r="Z1334" t="str">
        <f>HYPERLINK("Melting_Curves/meltCurve_sp_P55769_NH2L1_HUMAN_.pdf", "Melting_Curves/meltCurve_sp_P55769_NH2L1_HUMAN_.pdf")</f>
        <v>Melting_Curves/meltCurve_sp_P55769_NH2L1_HUMAN_.pdf</v>
      </c>
      <c r="AA1334" t="s">
        <v>14197</v>
      </c>
      <c r="AB1334" t="s">
        <v>18418</v>
      </c>
    </row>
    <row r="1335" spans="1:28" x14ac:dyDescent="0.25">
      <c r="A1335" t="s">
        <v>1339</v>
      </c>
      <c r="B1335">
        <v>0.99876560204751996</v>
      </c>
      <c r="C1335">
        <v>0.91337885058897195</v>
      </c>
      <c r="D1335">
        <v>0.98699155017152396</v>
      </c>
      <c r="E1335">
        <v>0.81751027196838399</v>
      </c>
      <c r="F1335">
        <v>0.87935934347742895</v>
      </c>
      <c r="G1335">
        <v>0.63916737416149405</v>
      </c>
      <c r="H1335">
        <v>0.62650356232536597</v>
      </c>
      <c r="I1335">
        <v>0.61062385416662601</v>
      </c>
      <c r="J1335">
        <v>0.72207737964072005</v>
      </c>
      <c r="K1335">
        <v>0.69336893544442402</v>
      </c>
      <c r="L1335">
        <v>910.92923221064905</v>
      </c>
      <c r="M1335">
        <v>17.695921371631801</v>
      </c>
      <c r="O1335">
        <v>50.832909880977802</v>
      </c>
      <c r="P1335">
        <v>-3.04141763234177E-2</v>
      </c>
      <c r="Q1335">
        <v>0.650550095325788</v>
      </c>
      <c r="R1335">
        <v>0.834464438243808</v>
      </c>
      <c r="S1335" t="s">
        <v>5631</v>
      </c>
      <c r="T1335" t="s">
        <v>8590</v>
      </c>
      <c r="U1335" t="s">
        <v>8590</v>
      </c>
      <c r="V1335" t="s">
        <v>8590</v>
      </c>
      <c r="W1335">
        <v>4</v>
      </c>
      <c r="X1335" t="s">
        <v>9925</v>
      </c>
      <c r="Y1335">
        <v>0.79026749224840509</v>
      </c>
      <c r="Z1335" t="str">
        <f>HYPERLINK("Melting_Curves/meltCurve_sp_P55789_ALR_HUMAN_.pdf", "Melting_Curves/meltCurve_sp_P55789_ALR_HUMAN_.pdf")</f>
        <v>Melting_Curves/meltCurve_sp_P55789_ALR_HUMAN_.pdf</v>
      </c>
      <c r="AA1335" t="s">
        <v>14198</v>
      </c>
      <c r="AB1335" t="s">
        <v>18419</v>
      </c>
    </row>
    <row r="1336" spans="1:28" x14ac:dyDescent="0.25">
      <c r="A1336" t="s">
        <v>1340</v>
      </c>
      <c r="B1336">
        <v>0.99876560204751996</v>
      </c>
      <c r="C1336">
        <v>0.908346843092666</v>
      </c>
      <c r="D1336">
        <v>0.91832677171128196</v>
      </c>
      <c r="E1336">
        <v>0.64845396643562903</v>
      </c>
      <c r="F1336">
        <v>0.36003411911414701</v>
      </c>
      <c r="G1336">
        <v>0.24727763483825199</v>
      </c>
      <c r="H1336">
        <v>0.18389278488282301</v>
      </c>
      <c r="I1336">
        <v>0.15785002805738499</v>
      </c>
      <c r="J1336">
        <v>0.15893007583747401</v>
      </c>
      <c r="K1336">
        <v>0.13440238797406201</v>
      </c>
      <c r="L1336">
        <v>1026.4858620416301</v>
      </c>
      <c r="M1336">
        <v>20.272184118176099</v>
      </c>
      <c r="N1336">
        <v>51.523765875024303</v>
      </c>
      <c r="O1336">
        <v>50.150190775285097</v>
      </c>
      <c r="P1336">
        <v>-8.6151729038601702E-2</v>
      </c>
      <c r="Q1336">
        <v>0.147523067142391</v>
      </c>
      <c r="R1336">
        <v>0.99353371956400005</v>
      </c>
      <c r="S1336" t="s">
        <v>5632</v>
      </c>
      <c r="T1336" t="s">
        <v>8590</v>
      </c>
      <c r="U1336" t="s">
        <v>8590</v>
      </c>
      <c r="V1336" t="s">
        <v>8590</v>
      </c>
      <c r="W1336">
        <v>9</v>
      </c>
      <c r="X1336" t="s">
        <v>9926</v>
      </c>
      <c r="Y1336">
        <v>0.46127496317803451</v>
      </c>
      <c r="Z1336" t="str">
        <f>HYPERLINK("Melting_Curves/meltCurve_sp_P55795_HNRH2_HUMAN_.pdf", "Melting_Curves/meltCurve_sp_P55795_HNRH2_HUMAN_.pdf")</f>
        <v>Melting_Curves/meltCurve_sp_P55795_HNRH2_HUMAN_.pdf</v>
      </c>
      <c r="AA1336" t="s">
        <v>14199</v>
      </c>
      <c r="AB1336" t="s">
        <v>18420</v>
      </c>
    </row>
    <row r="1337" spans="1:28" x14ac:dyDescent="0.25">
      <c r="A1337" t="s">
        <v>1341</v>
      </c>
      <c r="B1337">
        <v>0.99876560204751996</v>
      </c>
      <c r="C1337">
        <v>0.85837592395262097</v>
      </c>
      <c r="D1337">
        <v>0.99392197300547602</v>
      </c>
      <c r="E1337">
        <v>0.93801506682817204</v>
      </c>
      <c r="F1337">
        <v>0.98917030979034204</v>
      </c>
      <c r="G1337">
        <v>0.83386559283759698</v>
      </c>
      <c r="H1337">
        <v>0.795970987487163</v>
      </c>
      <c r="I1337">
        <v>0.74166898842947504</v>
      </c>
      <c r="J1337">
        <v>0.83277224287955398</v>
      </c>
      <c r="K1337">
        <v>0.96371032568933701</v>
      </c>
      <c r="L1337">
        <v>5711.0611175272597</v>
      </c>
      <c r="M1337">
        <v>105.109034908615</v>
      </c>
      <c r="O1337">
        <v>54.314957972261098</v>
      </c>
      <c r="P1337">
        <v>-8.0620914330809604E-2</v>
      </c>
      <c r="Q1337">
        <v>0.83335694125483495</v>
      </c>
      <c r="R1337">
        <v>0.35172875924889002</v>
      </c>
      <c r="S1337" t="s">
        <v>5633</v>
      </c>
      <c r="T1337" t="s">
        <v>8590</v>
      </c>
      <c r="U1337" t="s">
        <v>8590</v>
      </c>
      <c r="V1337" t="s">
        <v>8590</v>
      </c>
      <c r="W1337">
        <v>3</v>
      </c>
      <c r="X1337" t="s">
        <v>9927</v>
      </c>
      <c r="Y1337">
        <v>0.91307251391551125</v>
      </c>
      <c r="Z1337" t="str">
        <f>HYPERLINK("Melting_Curves/meltCurve_sp_P55854_SUMO3_HUMAN_.pdf", "Melting_Curves/meltCurve_sp_P55854_SUMO3_HUMAN_.pdf")</f>
        <v>Melting_Curves/meltCurve_sp_P55854_SUMO3_HUMAN_.pdf</v>
      </c>
      <c r="AA1337" t="s">
        <v>14200</v>
      </c>
      <c r="AB1337" t="s">
        <v>18421</v>
      </c>
    </row>
    <row r="1338" spans="1:28" x14ac:dyDescent="0.25">
      <c r="A1338" t="s">
        <v>1342</v>
      </c>
      <c r="B1338">
        <v>0.99876560204751996</v>
      </c>
      <c r="C1338">
        <v>0.97039987430463004</v>
      </c>
      <c r="D1338">
        <v>0.84955714485204803</v>
      </c>
      <c r="E1338">
        <v>0.68154326537181498</v>
      </c>
      <c r="F1338">
        <v>0.43944814673652</v>
      </c>
      <c r="G1338">
        <v>0.210523519501539</v>
      </c>
      <c r="H1338">
        <v>0.10479362323413401</v>
      </c>
      <c r="I1338">
        <v>8.2451099429848906E-2</v>
      </c>
      <c r="J1338">
        <v>7.4994146271577897E-2</v>
      </c>
      <c r="K1338">
        <v>6.2411469214959402E-2</v>
      </c>
      <c r="L1338">
        <v>826.06287730474799</v>
      </c>
      <c r="M1338">
        <v>15.9348729886598</v>
      </c>
      <c r="N1338">
        <v>52.106453836527599</v>
      </c>
      <c r="O1338">
        <v>51.044134071975797</v>
      </c>
      <c r="P1338">
        <v>-7.4996297312099502E-2</v>
      </c>
      <c r="Q1338">
        <v>3.9135128536984601E-2</v>
      </c>
      <c r="R1338">
        <v>0.99804889924004303</v>
      </c>
      <c r="S1338" t="s">
        <v>5634</v>
      </c>
      <c r="T1338" t="s">
        <v>8590</v>
      </c>
      <c r="U1338" t="s">
        <v>8590</v>
      </c>
      <c r="V1338" t="s">
        <v>8590</v>
      </c>
      <c r="W1338">
        <v>7</v>
      </c>
      <c r="X1338" t="s">
        <v>9928</v>
      </c>
      <c r="Y1338">
        <v>0.43798794605061919</v>
      </c>
      <c r="Z1338" t="str">
        <f>HYPERLINK("Melting_Curves/meltCurve_sp_P55884_EIF3B_HUMAN_.pdf", "Melting_Curves/meltCurve_sp_P55884_EIF3B_HUMAN_.pdf")</f>
        <v>Melting_Curves/meltCurve_sp_P55884_EIF3B_HUMAN_.pdf</v>
      </c>
      <c r="AA1338" t="s">
        <v>14201</v>
      </c>
      <c r="AB1338" t="s">
        <v>18422</v>
      </c>
    </row>
    <row r="1339" spans="1:28" x14ac:dyDescent="0.25">
      <c r="A1339" t="s">
        <v>1343</v>
      </c>
      <c r="B1339">
        <v>0.99876560204751996</v>
      </c>
      <c r="C1339">
        <v>0.99727011608537597</v>
      </c>
      <c r="D1339">
        <v>0.94384375631449602</v>
      </c>
      <c r="E1339">
        <v>0.88845199894339599</v>
      </c>
      <c r="F1339">
        <v>0.76523075450611999</v>
      </c>
      <c r="G1339">
        <v>0.55208585046275505</v>
      </c>
      <c r="H1339">
        <v>0.48222844683329102</v>
      </c>
      <c r="I1339">
        <v>0.45171767364763099</v>
      </c>
      <c r="J1339">
        <v>0.57668526915971297</v>
      </c>
      <c r="K1339">
        <v>0.56242284968089096</v>
      </c>
      <c r="L1339">
        <v>1407.14575229607</v>
      </c>
      <c r="M1339">
        <v>26.705125759600701</v>
      </c>
      <c r="O1339">
        <v>52.399167589160697</v>
      </c>
      <c r="P1339">
        <v>-6.2102838805059603E-2</v>
      </c>
      <c r="Q1339">
        <v>0.512587455732189</v>
      </c>
      <c r="R1339">
        <v>0.96346947819460005</v>
      </c>
      <c r="S1339" t="s">
        <v>5635</v>
      </c>
      <c r="T1339" t="s">
        <v>8590</v>
      </c>
      <c r="U1339" t="s">
        <v>8590</v>
      </c>
      <c r="V1339" t="s">
        <v>8590</v>
      </c>
      <c r="W1339">
        <v>13</v>
      </c>
      <c r="X1339" t="s">
        <v>9929</v>
      </c>
      <c r="Y1339">
        <v>0.72274228003110708</v>
      </c>
      <c r="Z1339" t="str">
        <f>HYPERLINK("Melting_Curves/meltCurve_sp_P56181_2_NDUV3_HUMAN_.pdf", "Melting_Curves/meltCurve_sp_P56181_2_NDUV3_HUMAN_.pdf")</f>
        <v>Melting_Curves/meltCurve_sp_P56181_2_NDUV3_HUMAN_.pdf</v>
      </c>
      <c r="AA1339" t="s">
        <v>14202</v>
      </c>
      <c r="AB1339" t="s">
        <v>18423</v>
      </c>
    </row>
    <row r="1340" spans="1:28" x14ac:dyDescent="0.25">
      <c r="A1340" t="s">
        <v>1344</v>
      </c>
      <c r="B1340">
        <v>0.99876560204751996</v>
      </c>
      <c r="C1340">
        <v>0.799425190241285</v>
      </c>
      <c r="D1340">
        <v>1.07705984576558</v>
      </c>
      <c r="E1340">
        <v>0.82546893494234796</v>
      </c>
      <c r="F1340">
        <v>0.71108278822640703</v>
      </c>
      <c r="G1340">
        <v>0.42435359983709198</v>
      </c>
      <c r="H1340">
        <v>0.45589247526948701</v>
      </c>
      <c r="I1340">
        <v>0.38575122834094999</v>
      </c>
      <c r="J1340">
        <v>0.35121412055845502</v>
      </c>
      <c r="K1340">
        <v>0.41913749089762298</v>
      </c>
      <c r="L1340">
        <v>1282.0333690499599</v>
      </c>
      <c r="M1340">
        <v>24.332608177943101</v>
      </c>
      <c r="N1340">
        <v>56.124533066098401</v>
      </c>
      <c r="O1340">
        <v>52.335864875822701</v>
      </c>
      <c r="P1340">
        <v>-7.1216009724716395E-2</v>
      </c>
      <c r="Q1340">
        <v>0.38730834979312501</v>
      </c>
      <c r="R1340">
        <v>0.91130619939889501</v>
      </c>
      <c r="S1340" t="s">
        <v>5636</v>
      </c>
      <c r="T1340" t="s">
        <v>8590</v>
      </c>
      <c r="U1340" t="s">
        <v>8590</v>
      </c>
      <c r="V1340" t="s">
        <v>8590</v>
      </c>
      <c r="W1340">
        <v>1</v>
      </c>
      <c r="X1340" t="s">
        <v>9930</v>
      </c>
      <c r="Y1340">
        <v>0.65235591953672101</v>
      </c>
      <c r="Z1340" t="str">
        <f>HYPERLINK("Melting_Curves/meltCurve_sp_P56181_NDUV3_HUMAN_.pdf", "Melting_Curves/meltCurve_sp_P56181_NDUV3_HUMAN_.pdf")</f>
        <v>Melting_Curves/meltCurve_sp_P56181_NDUV3_HUMAN_.pdf</v>
      </c>
      <c r="AA1340" t="s">
        <v>14202</v>
      </c>
      <c r="AB1340" t="s">
        <v>18424</v>
      </c>
    </row>
    <row r="1341" spans="1:28" x14ac:dyDescent="0.25">
      <c r="A1341" t="s">
        <v>1345</v>
      </c>
      <c r="B1341">
        <v>0.99876560204751996</v>
      </c>
      <c r="C1341">
        <v>0.90523209644864</v>
      </c>
      <c r="D1341">
        <v>0.54342051347657105</v>
      </c>
      <c r="E1341">
        <v>0.28813492788665201</v>
      </c>
      <c r="F1341">
        <v>0.15634066054688101</v>
      </c>
      <c r="G1341">
        <v>8.6813792015206406E-2</v>
      </c>
      <c r="H1341">
        <v>6.0715224476835798E-2</v>
      </c>
      <c r="I1341">
        <v>5.3396076409180503E-2</v>
      </c>
      <c r="J1341">
        <v>4.7113089124969899E-2</v>
      </c>
      <c r="K1341">
        <v>3.8688188635102302E-2</v>
      </c>
      <c r="L1341">
        <v>912.17639502874795</v>
      </c>
      <c r="M1341">
        <v>19.521426599919</v>
      </c>
      <c r="N1341">
        <v>46.9959711776878</v>
      </c>
      <c r="O1341">
        <v>46.244883231817099</v>
      </c>
      <c r="P1341">
        <v>-9.9957159405707999E-2</v>
      </c>
      <c r="Q1341">
        <v>5.2868074311944097E-2</v>
      </c>
      <c r="R1341">
        <v>0.99358969612842496</v>
      </c>
      <c r="S1341" t="s">
        <v>5637</v>
      </c>
      <c r="T1341" t="s">
        <v>8590</v>
      </c>
      <c r="U1341" t="s">
        <v>8590</v>
      </c>
      <c r="V1341" t="s">
        <v>8590</v>
      </c>
      <c r="W1341">
        <v>10</v>
      </c>
      <c r="X1341" t="s">
        <v>9931</v>
      </c>
      <c r="Y1341">
        <v>0.28005578581041818</v>
      </c>
      <c r="Z1341" t="str">
        <f>HYPERLINK("Melting_Curves/meltCurve_sp_P56192_SYMC_HUMAN_.pdf", "Melting_Curves/meltCurve_sp_P56192_SYMC_HUMAN_.pdf")</f>
        <v>Melting_Curves/meltCurve_sp_P56192_SYMC_HUMAN_.pdf</v>
      </c>
      <c r="AA1341" t="s">
        <v>14203</v>
      </c>
      <c r="AB1341" t="s">
        <v>18425</v>
      </c>
    </row>
    <row r="1342" spans="1:28" x14ac:dyDescent="0.25">
      <c r="A1342" t="s">
        <v>1346</v>
      </c>
      <c r="B1342">
        <v>0.99876560204751996</v>
      </c>
      <c r="C1342">
        <v>0.999909585309817</v>
      </c>
      <c r="D1342">
        <v>0.71504076658065097</v>
      </c>
      <c r="E1342">
        <v>0.62307063676573304</v>
      </c>
      <c r="F1342">
        <v>0.48603858816460999</v>
      </c>
      <c r="G1342">
        <v>0.31370412073333598</v>
      </c>
      <c r="H1342">
        <v>0.23547681089735401</v>
      </c>
      <c r="I1342">
        <v>0.20960900446314101</v>
      </c>
      <c r="J1342">
        <v>0.23540344661774601</v>
      </c>
      <c r="K1342">
        <v>0.189686819890303</v>
      </c>
      <c r="L1342">
        <v>646.17820015517702</v>
      </c>
      <c r="M1342">
        <v>12.845090618576201</v>
      </c>
      <c r="N1342">
        <v>52.041441392610302</v>
      </c>
      <c r="O1342">
        <v>49.1329982062014</v>
      </c>
      <c r="P1342">
        <v>-5.3979943405051398E-2</v>
      </c>
      <c r="Q1342">
        <v>0.17425086125758801</v>
      </c>
      <c r="R1342">
        <v>0.97933429261015303</v>
      </c>
      <c r="S1342" t="s">
        <v>5638</v>
      </c>
      <c r="T1342" t="s">
        <v>8590</v>
      </c>
      <c r="U1342" t="s">
        <v>8590</v>
      </c>
      <c r="V1342" t="s">
        <v>8590</v>
      </c>
      <c r="W1342">
        <v>3</v>
      </c>
      <c r="X1342" t="s">
        <v>9932</v>
      </c>
      <c r="Y1342">
        <v>0.48315819981731989</v>
      </c>
      <c r="Z1342" t="str">
        <f>HYPERLINK("Melting_Curves/meltCurve_sp_P56199_ITA1_HUMAN_.pdf", "Melting_Curves/meltCurve_sp_P56199_ITA1_HUMAN_.pdf")</f>
        <v>Melting_Curves/meltCurve_sp_P56199_ITA1_HUMAN_.pdf</v>
      </c>
      <c r="AA1342" t="s">
        <v>14204</v>
      </c>
      <c r="AB1342" t="s">
        <v>18426</v>
      </c>
    </row>
    <row r="1343" spans="1:28" x14ac:dyDescent="0.25">
      <c r="A1343" t="s">
        <v>1347</v>
      </c>
      <c r="B1343">
        <v>0.99876560204751996</v>
      </c>
      <c r="C1343">
        <v>0.92711161473803005</v>
      </c>
      <c r="D1343">
        <v>1.0345092335486801</v>
      </c>
      <c r="E1343">
        <v>0.92856092059890705</v>
      </c>
      <c r="F1343">
        <v>0.92130034973849395</v>
      </c>
      <c r="G1343">
        <v>0.73336313441637502</v>
      </c>
      <c r="H1343">
        <v>0.70667861336953297</v>
      </c>
      <c r="I1343">
        <v>0.69455512116992302</v>
      </c>
      <c r="J1343">
        <v>0.89007269383980203</v>
      </c>
      <c r="K1343">
        <v>0.85955147318517999</v>
      </c>
      <c r="L1343">
        <v>4401.16140840559</v>
      </c>
      <c r="M1343">
        <v>82.475385833033997</v>
      </c>
      <c r="O1343">
        <v>53.331984859757497</v>
      </c>
      <c r="P1343">
        <v>-8.6306760378848699E-2</v>
      </c>
      <c r="Q1343">
        <v>0.77676199599042794</v>
      </c>
      <c r="R1343">
        <v>0.65401831670065902</v>
      </c>
      <c r="S1343" t="s">
        <v>5639</v>
      </c>
      <c r="T1343" t="s">
        <v>8590</v>
      </c>
      <c r="U1343" t="s">
        <v>8590</v>
      </c>
      <c r="V1343" t="s">
        <v>8590</v>
      </c>
      <c r="W1343">
        <v>6</v>
      </c>
      <c r="X1343" t="s">
        <v>9933</v>
      </c>
      <c r="Y1343">
        <v>0.87639456009596439</v>
      </c>
      <c r="Z1343" t="str">
        <f>HYPERLINK("Melting_Curves/meltCurve_sp_P56277_CMC4_HUMAN_.pdf", "Melting_Curves/meltCurve_sp_P56277_CMC4_HUMAN_.pdf")</f>
        <v>Melting_Curves/meltCurve_sp_P56277_CMC4_HUMAN_.pdf</v>
      </c>
      <c r="AA1343" t="s">
        <v>14205</v>
      </c>
      <c r="AB1343" t="s">
        <v>18427</v>
      </c>
    </row>
    <row r="1344" spans="1:28" x14ac:dyDescent="0.25">
      <c r="A1344" t="s">
        <v>1348</v>
      </c>
      <c r="B1344">
        <v>0.99876560204751996</v>
      </c>
      <c r="C1344">
        <v>0.95294931647014103</v>
      </c>
      <c r="D1344">
        <v>1.0537047554010299</v>
      </c>
      <c r="E1344">
        <v>0.89950714886163896</v>
      </c>
      <c r="F1344">
        <v>0.76915244713537401</v>
      </c>
      <c r="G1344">
        <v>0.43738315515225501</v>
      </c>
      <c r="H1344">
        <v>0.14493206407321699</v>
      </c>
      <c r="I1344">
        <v>7.1263459340245902E-2</v>
      </c>
      <c r="J1344">
        <v>4.9923675101232703E-2</v>
      </c>
      <c r="K1344">
        <v>4.4076019150821398E-2</v>
      </c>
      <c r="L1344">
        <v>1184.4731682033701</v>
      </c>
      <c r="M1344">
        <v>21.1513228355183</v>
      </c>
      <c r="N1344">
        <v>56.089152813662601</v>
      </c>
      <c r="O1344">
        <v>55.506602320605403</v>
      </c>
      <c r="P1344">
        <v>-9.3691831234868003E-2</v>
      </c>
      <c r="Q1344">
        <v>1.65382659070023E-2</v>
      </c>
      <c r="R1344">
        <v>0.99530706638756705</v>
      </c>
      <c r="S1344" t="s">
        <v>5640</v>
      </c>
      <c r="T1344" t="s">
        <v>8590</v>
      </c>
      <c r="U1344" t="s">
        <v>8590</v>
      </c>
      <c r="V1344" t="s">
        <v>8590</v>
      </c>
      <c r="W1344">
        <v>10</v>
      </c>
      <c r="X1344" t="s">
        <v>9934</v>
      </c>
      <c r="Y1344">
        <v>0.55276226295189645</v>
      </c>
      <c r="Z1344" t="str">
        <f>HYPERLINK("Melting_Curves/meltCurve_sp_P56470_LEG4_HUMAN_.pdf", "Melting_Curves/meltCurve_sp_P56470_LEG4_HUMAN_.pdf")</f>
        <v>Melting_Curves/meltCurve_sp_P56470_LEG4_HUMAN_.pdf</v>
      </c>
      <c r="AA1344" t="s">
        <v>14206</v>
      </c>
      <c r="AB1344" t="s">
        <v>18428</v>
      </c>
    </row>
    <row r="1345" spans="1:28" x14ac:dyDescent="0.25">
      <c r="A1345" t="s">
        <v>1349</v>
      </c>
      <c r="B1345">
        <v>0.99876560204751996</v>
      </c>
      <c r="C1345">
        <v>1.0127137825824699</v>
      </c>
      <c r="D1345">
        <v>0.96457614404016301</v>
      </c>
      <c r="E1345">
        <v>0.83235435178639205</v>
      </c>
      <c r="F1345">
        <v>0.71431412315473797</v>
      </c>
      <c r="G1345">
        <v>0.48310153295973601</v>
      </c>
      <c r="H1345">
        <v>0.378487193124312</v>
      </c>
      <c r="I1345">
        <v>0.31269094252209101</v>
      </c>
      <c r="J1345">
        <v>0.389459408754943</v>
      </c>
      <c r="K1345">
        <v>0.35037932612815098</v>
      </c>
      <c r="L1345">
        <v>1026.7223052142101</v>
      </c>
      <c r="M1345">
        <v>19.2397280076319</v>
      </c>
      <c r="N1345">
        <v>56.612519413551297</v>
      </c>
      <c r="O1345">
        <v>52.798221800140702</v>
      </c>
      <c r="P1345">
        <v>-6.0657719472618103E-2</v>
      </c>
      <c r="Q1345">
        <v>0.33419057348377801</v>
      </c>
      <c r="R1345">
        <v>0.992277411065419</v>
      </c>
      <c r="S1345" t="s">
        <v>5641</v>
      </c>
      <c r="T1345" t="s">
        <v>8590</v>
      </c>
      <c r="U1345" t="s">
        <v>8590</v>
      </c>
      <c r="V1345" t="s">
        <v>8590</v>
      </c>
      <c r="W1345">
        <v>4</v>
      </c>
      <c r="X1345" t="s">
        <v>9935</v>
      </c>
      <c r="Y1345">
        <v>0.64053103535096578</v>
      </c>
      <c r="Z1345" t="str">
        <f>HYPERLINK("Melting_Curves/meltCurve_sp_P56524_HDAC4_HUMAN_.pdf", "Melting_Curves/meltCurve_sp_P56524_HDAC4_HUMAN_.pdf")</f>
        <v>Melting_Curves/meltCurve_sp_P56524_HDAC4_HUMAN_.pdf</v>
      </c>
      <c r="AA1345" t="s">
        <v>14207</v>
      </c>
      <c r="AB1345" t="s">
        <v>18429</v>
      </c>
    </row>
    <row r="1346" spans="1:28" x14ac:dyDescent="0.25">
      <c r="A1346" t="s">
        <v>1350</v>
      </c>
      <c r="B1346">
        <v>0.99876560204751996</v>
      </c>
      <c r="C1346">
        <v>0.91493313549180499</v>
      </c>
      <c r="D1346">
        <v>1.0331661675853101</v>
      </c>
      <c r="E1346">
        <v>0.86437932522982897</v>
      </c>
      <c r="F1346">
        <v>0.85338426491629604</v>
      </c>
      <c r="G1346">
        <v>0.569798958617591</v>
      </c>
      <c r="H1346">
        <v>0.189416395385515</v>
      </c>
      <c r="I1346">
        <v>6.4527590934614396E-2</v>
      </c>
      <c r="J1346">
        <v>5.9479395326853098E-2</v>
      </c>
      <c r="K1346">
        <v>4.2232596736014101E-2</v>
      </c>
      <c r="L1346">
        <v>1216.71736279059</v>
      </c>
      <c r="M1346">
        <v>21.225780130330801</v>
      </c>
      <c r="N1346">
        <v>57.3226256389692</v>
      </c>
      <c r="O1346">
        <v>56.821107836525201</v>
      </c>
      <c r="P1346">
        <v>-9.3391045998974298E-2</v>
      </c>
      <c r="Q1346">
        <v>0</v>
      </c>
      <c r="R1346">
        <v>0.98679206182234402</v>
      </c>
      <c r="S1346" t="s">
        <v>5642</v>
      </c>
      <c r="T1346" t="s">
        <v>8590</v>
      </c>
      <c r="U1346" t="s">
        <v>8590</v>
      </c>
      <c r="V1346" t="s">
        <v>8590</v>
      </c>
      <c r="W1346">
        <v>5</v>
      </c>
      <c r="X1346" t="s">
        <v>9936</v>
      </c>
      <c r="Y1346">
        <v>0.58859169485660445</v>
      </c>
      <c r="Z1346" t="str">
        <f>HYPERLINK("Melting_Curves/meltCurve_sp_P56537_IF6_HUMAN_.pdf", "Melting_Curves/meltCurve_sp_P56537_IF6_HUMAN_.pdf")</f>
        <v>Melting_Curves/meltCurve_sp_P56537_IF6_HUMAN_.pdf</v>
      </c>
      <c r="AA1346" t="s">
        <v>14208</v>
      </c>
      <c r="AB1346" t="s">
        <v>18430</v>
      </c>
    </row>
    <row r="1347" spans="1:28" x14ac:dyDescent="0.25">
      <c r="A1347" t="s">
        <v>1351</v>
      </c>
      <c r="B1347">
        <v>0.99876560204751996</v>
      </c>
      <c r="C1347">
        <v>0.85090165386348204</v>
      </c>
      <c r="D1347">
        <v>1.2390640545440299</v>
      </c>
      <c r="E1347">
        <v>0.90055730661282696</v>
      </c>
      <c r="F1347">
        <v>1.5742125002229499</v>
      </c>
      <c r="G1347">
        <v>1.1252618938037899</v>
      </c>
      <c r="H1347">
        <v>1.15807340526406</v>
      </c>
      <c r="I1347">
        <v>0.95298241624151603</v>
      </c>
      <c r="J1347">
        <v>1.5240638128802799</v>
      </c>
      <c r="K1347">
        <v>1.3132187733787699</v>
      </c>
      <c r="L1347">
        <v>12837.2043545985</v>
      </c>
      <c r="M1347">
        <v>250</v>
      </c>
      <c r="O1347">
        <v>51.345531452376797</v>
      </c>
      <c r="P1347">
        <v>0.33427224073791401</v>
      </c>
      <c r="Q1347">
        <v>1.27461417319084</v>
      </c>
      <c r="R1347">
        <v>0.325448030850706</v>
      </c>
      <c r="S1347" t="s">
        <v>5643</v>
      </c>
      <c r="T1347" t="s">
        <v>8590</v>
      </c>
      <c r="U1347" t="s">
        <v>8590</v>
      </c>
      <c r="V1347" t="s">
        <v>8590</v>
      </c>
      <c r="W1347">
        <v>1</v>
      </c>
      <c r="X1347" t="s">
        <v>9937</v>
      </c>
      <c r="Y1347">
        <v>1.170704555555264</v>
      </c>
      <c r="Z1347" t="str">
        <f>HYPERLINK("Melting_Curves/meltCurve_sp_P56937_2_DHB7_HUMAN_.pdf", "Melting_Curves/meltCurve_sp_P56937_2_DHB7_HUMAN_.pdf")</f>
        <v>Melting_Curves/meltCurve_sp_P56937_2_DHB7_HUMAN_.pdf</v>
      </c>
      <c r="AA1347" t="s">
        <v>14209</v>
      </c>
      <c r="AB1347" t="s">
        <v>18431</v>
      </c>
    </row>
    <row r="1348" spans="1:28" x14ac:dyDescent="0.25">
      <c r="A1348" t="s">
        <v>1352</v>
      </c>
      <c r="B1348">
        <v>0.99876560204751996</v>
      </c>
      <c r="C1348">
        <v>1.03167125015178</v>
      </c>
      <c r="D1348">
        <v>0.85895667521193897</v>
      </c>
      <c r="E1348">
        <v>0.75052099125103899</v>
      </c>
      <c r="F1348">
        <v>0.59140941026842897</v>
      </c>
      <c r="G1348">
        <v>0.37518654677823199</v>
      </c>
      <c r="H1348">
        <v>0.31360465183227398</v>
      </c>
      <c r="I1348">
        <v>0.25466813159799401</v>
      </c>
      <c r="J1348">
        <v>0.20861599557965599</v>
      </c>
      <c r="K1348">
        <v>0.25800932682489502</v>
      </c>
      <c r="L1348">
        <v>776.45357304642596</v>
      </c>
      <c r="M1348">
        <v>14.802653377391501</v>
      </c>
      <c r="N1348">
        <v>54.4505922475714</v>
      </c>
      <c r="O1348">
        <v>51.524282189233297</v>
      </c>
      <c r="P1348">
        <v>-5.6785432494707001E-2</v>
      </c>
      <c r="Q1348">
        <v>0.20946133071926701</v>
      </c>
      <c r="R1348">
        <v>0.99010748840996199</v>
      </c>
      <c r="S1348" t="s">
        <v>5644</v>
      </c>
      <c r="T1348" t="s">
        <v>8590</v>
      </c>
      <c r="U1348" t="s">
        <v>8590</v>
      </c>
      <c r="V1348" t="s">
        <v>8590</v>
      </c>
      <c r="W1348">
        <v>1</v>
      </c>
      <c r="X1348" t="s">
        <v>9938</v>
      </c>
      <c r="Y1348">
        <v>0.55535690334459109</v>
      </c>
      <c r="Z1348" t="str">
        <f>HYPERLINK("Melting_Curves/meltCurve_sp_P57060_RWD2B_HUMAN_.pdf", "Melting_Curves/meltCurve_sp_P57060_RWD2B_HUMAN_.pdf")</f>
        <v>Melting_Curves/meltCurve_sp_P57060_RWD2B_HUMAN_.pdf</v>
      </c>
      <c r="AA1348" t="s">
        <v>14210</v>
      </c>
      <c r="AB1348" t="s">
        <v>18432</v>
      </c>
    </row>
    <row r="1349" spans="1:28" x14ac:dyDescent="0.25">
      <c r="A1349" t="s">
        <v>1353</v>
      </c>
      <c r="B1349">
        <v>0.99876560204751996</v>
      </c>
      <c r="C1349">
        <v>0.93043347035282897</v>
      </c>
      <c r="D1349">
        <v>1.09303748170266</v>
      </c>
      <c r="E1349">
        <v>0.52981170461287097</v>
      </c>
      <c r="F1349">
        <v>0.109243512768588</v>
      </c>
      <c r="G1349">
        <v>6.6492875334536294E-2</v>
      </c>
      <c r="H1349">
        <v>5.89027567906781E-2</v>
      </c>
      <c r="I1349">
        <v>3.9368427370256399E-2</v>
      </c>
      <c r="J1349">
        <v>1.56110275099514E-2</v>
      </c>
      <c r="K1349">
        <v>2.44513286649711E-2</v>
      </c>
      <c r="L1349">
        <v>2825.8433885902</v>
      </c>
      <c r="M1349">
        <v>56.458056882288801</v>
      </c>
      <c r="N1349">
        <v>50.135772755177399</v>
      </c>
      <c r="O1349">
        <v>49.989407765624797</v>
      </c>
      <c r="P1349">
        <v>-0.26965325864946699</v>
      </c>
      <c r="Q1349">
        <v>4.4968989710743701E-2</v>
      </c>
      <c r="R1349">
        <v>0.99071197304047498</v>
      </c>
      <c r="S1349" t="s">
        <v>5645</v>
      </c>
      <c r="T1349" t="s">
        <v>8590</v>
      </c>
      <c r="U1349" t="s">
        <v>8590</v>
      </c>
      <c r="V1349" t="s">
        <v>8590</v>
      </c>
      <c r="W1349">
        <v>1</v>
      </c>
      <c r="X1349" t="s">
        <v>9939</v>
      </c>
      <c r="Y1349">
        <v>0.36662245966662588</v>
      </c>
      <c r="Z1349" t="str">
        <f>HYPERLINK("Melting_Curves/meltCurve_sp_P57076_CU059_HUMAN_.pdf", "Melting_Curves/meltCurve_sp_P57076_CU059_HUMAN_.pdf")</f>
        <v>Melting_Curves/meltCurve_sp_P57076_CU059_HUMAN_.pdf</v>
      </c>
      <c r="AA1349" t="s">
        <v>14211</v>
      </c>
      <c r="AB1349" t="s">
        <v>18433</v>
      </c>
    </row>
    <row r="1350" spans="1:28" x14ac:dyDescent="0.25">
      <c r="A1350" t="s">
        <v>1354</v>
      </c>
      <c r="B1350">
        <v>0.99876560204751996</v>
      </c>
      <c r="C1350">
        <v>1.0001455606190499</v>
      </c>
      <c r="D1350">
        <v>0.90001354204581696</v>
      </c>
      <c r="E1350">
        <v>0.98683205673575902</v>
      </c>
      <c r="F1350">
        <v>0.75017846860182202</v>
      </c>
      <c r="G1350">
        <v>0.191796176876144</v>
      </c>
      <c r="H1350">
        <v>0.116063704611443</v>
      </c>
      <c r="I1350">
        <v>0.106780094083852</v>
      </c>
      <c r="J1350">
        <v>8.4667253460470604E-2</v>
      </c>
      <c r="K1350">
        <v>0.105345859262332</v>
      </c>
      <c r="L1350">
        <v>2378.6766236578701</v>
      </c>
      <c r="M1350">
        <v>43.9191078975485</v>
      </c>
      <c r="N1350">
        <v>54.440754704983902</v>
      </c>
      <c r="O1350">
        <v>54.048476423044903</v>
      </c>
      <c r="P1350">
        <v>-0.18258702344397201</v>
      </c>
      <c r="Q1350">
        <v>0.101207942645961</v>
      </c>
      <c r="R1350">
        <v>0.99379970677342699</v>
      </c>
      <c r="S1350" t="s">
        <v>5646</v>
      </c>
      <c r="T1350" t="s">
        <v>8590</v>
      </c>
      <c r="U1350" t="s">
        <v>8590</v>
      </c>
      <c r="V1350" t="s">
        <v>8590</v>
      </c>
      <c r="W1350">
        <v>2</v>
      </c>
      <c r="X1350" t="s">
        <v>9940</v>
      </c>
      <c r="Y1350">
        <v>0.52823440381938613</v>
      </c>
      <c r="Z1350" t="str">
        <f>HYPERLINK("Melting_Curves/meltCurve_sp_P57081_2_WDR4_HUMAN_.pdf", "Melting_Curves/meltCurve_sp_P57081_2_WDR4_HUMAN_.pdf")</f>
        <v>Melting_Curves/meltCurve_sp_P57081_2_WDR4_HUMAN_.pdf</v>
      </c>
      <c r="AA1350" t="s">
        <v>14212</v>
      </c>
      <c r="AB1350" t="s">
        <v>18434</v>
      </c>
    </row>
    <row r="1351" spans="1:28" x14ac:dyDescent="0.25">
      <c r="A1351" t="s">
        <v>1355</v>
      </c>
      <c r="B1351">
        <v>0.99876560204751996</v>
      </c>
      <c r="C1351">
        <v>1.0927808868669</v>
      </c>
      <c r="D1351">
        <v>0.79044845127866903</v>
      </c>
      <c r="E1351">
        <v>0.61913334373742901</v>
      </c>
      <c r="F1351">
        <v>0.297663692713664</v>
      </c>
      <c r="G1351">
        <v>9.2735610229988705E-2</v>
      </c>
      <c r="H1351">
        <v>6.7625759701874094E-2</v>
      </c>
      <c r="I1351">
        <v>1.7319970270517199E-2</v>
      </c>
      <c r="J1351">
        <v>2.0957951363626302E-2</v>
      </c>
      <c r="K1351">
        <v>3.2517702094660497E-2</v>
      </c>
      <c r="L1351">
        <v>996.59173659999601</v>
      </c>
      <c r="M1351">
        <v>19.6519174708355</v>
      </c>
      <c r="N1351">
        <v>50.786392357835197</v>
      </c>
      <c r="O1351">
        <v>50.195832886362403</v>
      </c>
      <c r="P1351">
        <v>-9.6494405343981599E-2</v>
      </c>
      <c r="Q1351">
        <v>1.41525750885065E-2</v>
      </c>
      <c r="R1351">
        <v>0.98433396871147305</v>
      </c>
      <c r="S1351" t="s">
        <v>5647</v>
      </c>
      <c r="T1351" t="s">
        <v>8590</v>
      </c>
      <c r="U1351" t="s">
        <v>8590</v>
      </c>
      <c r="V1351" t="s">
        <v>8590</v>
      </c>
      <c r="W1351">
        <v>4</v>
      </c>
      <c r="X1351" t="s">
        <v>9941</v>
      </c>
      <c r="Y1351">
        <v>0.38032879817440618</v>
      </c>
      <c r="Z1351" t="str">
        <f>HYPERLINK("Melting_Curves/meltCurve_sp_P57737_3_CORO7_HUMAN_.pdf", "Melting_Curves/meltCurve_sp_P57737_3_CORO7_HUMAN_.pdf")</f>
        <v>Melting_Curves/meltCurve_sp_P57737_3_CORO7_HUMAN_.pdf</v>
      </c>
      <c r="AA1351" t="s">
        <v>14213</v>
      </c>
      <c r="AB1351" t="s">
        <v>18435</v>
      </c>
    </row>
    <row r="1352" spans="1:28" x14ac:dyDescent="0.25">
      <c r="A1352" t="s">
        <v>1356</v>
      </c>
      <c r="B1352">
        <v>0.99876560204751996</v>
      </c>
      <c r="C1352">
        <v>0.95422120625354601</v>
      </c>
      <c r="D1352">
        <v>0.88672370717740001</v>
      </c>
      <c r="E1352">
        <v>0.66720282430433198</v>
      </c>
      <c r="F1352">
        <v>0.32899071633603399</v>
      </c>
      <c r="G1352">
        <v>0.17081283986576701</v>
      </c>
      <c r="H1352">
        <v>0.100699375081822</v>
      </c>
      <c r="I1352">
        <v>7.7354649930934896E-2</v>
      </c>
      <c r="J1352">
        <v>8.5824908534356106E-2</v>
      </c>
      <c r="K1352">
        <v>5.6491099221805403E-2</v>
      </c>
      <c r="L1352">
        <v>1054.0252383674999</v>
      </c>
      <c r="M1352">
        <v>20.655513339952702</v>
      </c>
      <c r="N1352">
        <v>51.378614421139801</v>
      </c>
      <c r="O1352">
        <v>50.557690434356203</v>
      </c>
      <c r="P1352">
        <v>-9.54404423374169E-2</v>
      </c>
      <c r="Q1352">
        <v>6.5603449195691194E-2</v>
      </c>
      <c r="R1352">
        <v>0.99704801647214902</v>
      </c>
      <c r="S1352" t="s">
        <v>5648</v>
      </c>
      <c r="T1352" t="s">
        <v>8590</v>
      </c>
      <c r="U1352" t="s">
        <v>8590</v>
      </c>
      <c r="V1352" t="s">
        <v>8590</v>
      </c>
      <c r="W1352">
        <v>7</v>
      </c>
      <c r="X1352" t="s">
        <v>9942</v>
      </c>
      <c r="Y1352">
        <v>0.42131875868658331</v>
      </c>
      <c r="Z1352" t="str">
        <f>HYPERLINK("Melting_Curves/meltCurve_sp_P57764_GSDMD_HUMAN_.pdf", "Melting_Curves/meltCurve_sp_P57764_GSDMD_HUMAN_.pdf")</f>
        <v>Melting_Curves/meltCurve_sp_P57764_GSDMD_HUMAN_.pdf</v>
      </c>
      <c r="AA1352" t="s">
        <v>14214</v>
      </c>
      <c r="AB1352" t="s">
        <v>18436</v>
      </c>
    </row>
    <row r="1353" spans="1:28" x14ac:dyDescent="0.25">
      <c r="A1353" t="s">
        <v>1357</v>
      </c>
      <c r="B1353">
        <v>0.99876560204751996</v>
      </c>
      <c r="C1353">
        <v>0.80034382094662804</v>
      </c>
      <c r="D1353">
        <v>0.57784681677896998</v>
      </c>
      <c r="E1353">
        <v>0.320332195419257</v>
      </c>
      <c r="F1353">
        <v>0.126924352125215</v>
      </c>
      <c r="G1353">
        <v>7.0576626456107905E-2</v>
      </c>
      <c r="H1353">
        <v>2.8797240645098601E-2</v>
      </c>
      <c r="I1353">
        <v>2.5036547859725498E-2</v>
      </c>
      <c r="J1353">
        <v>1.20725614317809E-2</v>
      </c>
      <c r="K1353">
        <v>6.8978248079284397E-3</v>
      </c>
      <c r="L1353">
        <v>743.26804381063903</v>
      </c>
      <c r="M1353">
        <v>15.7887278071307</v>
      </c>
      <c r="N1353">
        <v>47.103987348853103</v>
      </c>
      <c r="O1353">
        <v>46.340102810599703</v>
      </c>
      <c r="P1353">
        <v>-8.4786199624877101E-2</v>
      </c>
      <c r="Q1353">
        <v>4.6885757776021098E-3</v>
      </c>
      <c r="R1353">
        <v>0.99536384084353402</v>
      </c>
      <c r="S1353" t="s">
        <v>5649</v>
      </c>
      <c r="T1353" t="s">
        <v>8590</v>
      </c>
      <c r="U1353" t="s">
        <v>8590</v>
      </c>
      <c r="V1353" t="s">
        <v>8590</v>
      </c>
      <c r="W1353">
        <v>5</v>
      </c>
      <c r="X1353" t="s">
        <v>9943</v>
      </c>
      <c r="Y1353">
        <v>0.26364782665060588</v>
      </c>
      <c r="Z1353" t="str">
        <f>HYPERLINK("Melting_Curves/meltCurve_sp_P57772_SELB_HUMAN_.pdf", "Melting_Curves/meltCurve_sp_P57772_SELB_HUMAN_.pdf")</f>
        <v>Melting_Curves/meltCurve_sp_P57772_SELB_HUMAN_.pdf</v>
      </c>
      <c r="AA1353" t="s">
        <v>14215</v>
      </c>
      <c r="AB1353" t="s">
        <v>18437</v>
      </c>
    </row>
    <row r="1354" spans="1:28" x14ac:dyDescent="0.25">
      <c r="A1354" t="s">
        <v>1358</v>
      </c>
      <c r="B1354">
        <v>0.99876560204751996</v>
      </c>
      <c r="C1354">
        <v>0.93881537565207396</v>
      </c>
      <c r="D1354">
        <v>1.0684256033672199</v>
      </c>
      <c r="E1354">
        <v>0.98230107230278596</v>
      </c>
      <c r="F1354">
        <v>0.93744911862636504</v>
      </c>
      <c r="G1354">
        <v>0.70221604503886803</v>
      </c>
      <c r="H1354">
        <v>0.51412069623126</v>
      </c>
      <c r="I1354">
        <v>0.49096559872363599</v>
      </c>
      <c r="J1354">
        <v>0.604868354063688</v>
      </c>
      <c r="K1354">
        <v>0.64006157866595503</v>
      </c>
      <c r="L1354">
        <v>2315.67475245271</v>
      </c>
      <c r="M1354">
        <v>41.564432099727</v>
      </c>
      <c r="O1354">
        <v>55.584402492066502</v>
      </c>
      <c r="P1354">
        <v>-8.18721729342443E-2</v>
      </c>
      <c r="Q1354">
        <v>0.56204795527990004</v>
      </c>
      <c r="R1354">
        <v>0.93995775575395002</v>
      </c>
      <c r="S1354" t="s">
        <v>5650</v>
      </c>
      <c r="T1354" t="s">
        <v>8590</v>
      </c>
      <c r="U1354" t="s">
        <v>8590</v>
      </c>
      <c r="V1354" t="s">
        <v>8590</v>
      </c>
      <c r="W1354">
        <v>6</v>
      </c>
      <c r="X1354" t="s">
        <v>9944</v>
      </c>
      <c r="Y1354">
        <v>0.79298567889837257</v>
      </c>
      <c r="Z1354" t="str">
        <f>HYPERLINK("Melting_Curves/meltCurve_sp_P58546_MTPN_HUMAN_.pdf", "Melting_Curves/meltCurve_sp_P58546_MTPN_HUMAN_.pdf")</f>
        <v>Melting_Curves/meltCurve_sp_P58546_MTPN_HUMAN_.pdf</v>
      </c>
      <c r="AA1354" t="s">
        <v>14216</v>
      </c>
      <c r="AB1354" t="s">
        <v>18438</v>
      </c>
    </row>
    <row r="1355" spans="1:28" x14ac:dyDescent="0.25">
      <c r="A1355" t="s">
        <v>1359</v>
      </c>
      <c r="B1355">
        <v>0.99876560204751996</v>
      </c>
      <c r="C1355">
        <v>0.88998443195026</v>
      </c>
      <c r="D1355">
        <v>0.609691182060207</v>
      </c>
      <c r="E1355">
        <v>0.42213487811707301</v>
      </c>
      <c r="F1355">
        <v>0.247056021413115</v>
      </c>
      <c r="G1355">
        <v>0.114539730866977</v>
      </c>
      <c r="H1355">
        <v>9.43200836130276E-2</v>
      </c>
      <c r="I1355">
        <v>8.9609212841874494E-2</v>
      </c>
      <c r="J1355">
        <v>9.3641515855230201E-2</v>
      </c>
      <c r="K1355">
        <v>9.7752679561284805E-2</v>
      </c>
      <c r="L1355">
        <v>747.42657553753202</v>
      </c>
      <c r="M1355">
        <v>15.665525658923301</v>
      </c>
      <c r="N1355">
        <v>48.2255159207199</v>
      </c>
      <c r="O1355">
        <v>46.954373394951801</v>
      </c>
      <c r="P1355">
        <v>-7.7002253787105707E-2</v>
      </c>
      <c r="Q1355">
        <v>7.6881410161978997E-2</v>
      </c>
      <c r="R1355">
        <v>0.99178786337236002</v>
      </c>
      <c r="S1355" t="s">
        <v>5651</v>
      </c>
      <c r="T1355" t="s">
        <v>8590</v>
      </c>
      <c r="U1355" t="s">
        <v>8590</v>
      </c>
      <c r="V1355" t="s">
        <v>8590</v>
      </c>
      <c r="W1355">
        <v>3</v>
      </c>
      <c r="X1355" t="s">
        <v>9945</v>
      </c>
      <c r="Y1355">
        <v>0.33624034656602941</v>
      </c>
      <c r="Z1355" t="str">
        <f>HYPERLINK("Melting_Curves/meltCurve_sp_P59666_DEF3_HUMAN_.pdf", "Melting_Curves/meltCurve_sp_P59666_DEF3_HUMAN_.pdf")</f>
        <v>Melting_Curves/meltCurve_sp_P59666_DEF3_HUMAN_.pdf</v>
      </c>
      <c r="AA1355" t="s">
        <v>14217</v>
      </c>
      <c r="AB1355" t="s">
        <v>18439</v>
      </c>
    </row>
    <row r="1356" spans="1:28" x14ac:dyDescent="0.25">
      <c r="A1356" t="s">
        <v>1360</v>
      </c>
      <c r="B1356">
        <v>0.99876560204751996</v>
      </c>
      <c r="C1356">
        <v>1.07612434957988</v>
      </c>
      <c r="D1356">
        <v>0.98912500932454805</v>
      </c>
      <c r="E1356">
        <v>1.0878978783556801</v>
      </c>
      <c r="F1356">
        <v>0.86949078560960702</v>
      </c>
      <c r="G1356">
        <v>0.50421116089610996</v>
      </c>
      <c r="H1356">
        <v>0.121805599072213</v>
      </c>
      <c r="I1356">
        <v>5.8450118029889801E-2</v>
      </c>
      <c r="J1356">
        <v>2.8183843087873198E-2</v>
      </c>
      <c r="K1356">
        <v>3.2530913956070003E-2</v>
      </c>
      <c r="L1356">
        <v>1758.43179927341</v>
      </c>
      <c r="M1356">
        <v>30.924683442736399</v>
      </c>
      <c r="N1356">
        <v>56.952837674884002</v>
      </c>
      <c r="O1356">
        <v>56.625569722018902</v>
      </c>
      <c r="P1356">
        <v>-0.133238724919748</v>
      </c>
      <c r="Q1356">
        <v>2.4122584784040502E-2</v>
      </c>
      <c r="R1356">
        <v>0.99113116532545997</v>
      </c>
      <c r="S1356" t="s">
        <v>5652</v>
      </c>
      <c r="T1356" t="s">
        <v>8590</v>
      </c>
      <c r="U1356" t="s">
        <v>8590</v>
      </c>
      <c r="V1356" t="s">
        <v>8590</v>
      </c>
      <c r="W1356">
        <v>10</v>
      </c>
      <c r="X1356" t="s">
        <v>9946</v>
      </c>
      <c r="Y1356">
        <v>0.57878328197056428</v>
      </c>
      <c r="Z1356" t="str">
        <f>HYPERLINK("Melting_Curves/meltCurve_sp_P59998_ARPC4_HUMAN_.pdf", "Melting_Curves/meltCurve_sp_P59998_ARPC4_HUMAN_.pdf")</f>
        <v>Melting_Curves/meltCurve_sp_P59998_ARPC4_HUMAN_.pdf</v>
      </c>
      <c r="AA1356" t="s">
        <v>14218</v>
      </c>
      <c r="AB1356" t="s">
        <v>18440</v>
      </c>
    </row>
    <row r="1357" spans="1:28" x14ac:dyDescent="0.25">
      <c r="A1357" t="s">
        <v>1361</v>
      </c>
      <c r="B1357">
        <v>0.99876560204751996</v>
      </c>
      <c r="C1357">
        <v>0.94654742291037897</v>
      </c>
      <c r="D1357">
        <v>1.06167215376613</v>
      </c>
      <c r="E1357">
        <v>0.96754013986804599</v>
      </c>
      <c r="F1357">
        <v>0.93685011621040004</v>
      </c>
      <c r="G1357">
        <v>0.78120253527558303</v>
      </c>
      <c r="H1357">
        <v>0.53788524904570501</v>
      </c>
      <c r="I1357">
        <v>0.31601766026238998</v>
      </c>
      <c r="J1357">
        <v>0.29457640566058901</v>
      </c>
      <c r="K1357">
        <v>0.27319138813778998</v>
      </c>
      <c r="L1357">
        <v>1319.0775708291001</v>
      </c>
      <c r="M1357">
        <v>22.206169502775701</v>
      </c>
      <c r="N1357">
        <v>61.117333748852502</v>
      </c>
      <c r="O1357">
        <v>58.925955938501602</v>
      </c>
      <c r="P1357">
        <v>-7.2360560134743096E-2</v>
      </c>
      <c r="Q1357">
        <v>0.23195681033454499</v>
      </c>
      <c r="R1357">
        <v>0.98854698033974897</v>
      </c>
      <c r="S1357" t="s">
        <v>5653</v>
      </c>
      <c r="T1357" t="s">
        <v>8590</v>
      </c>
      <c r="U1357" t="s">
        <v>8590</v>
      </c>
      <c r="V1357" t="s">
        <v>8590</v>
      </c>
      <c r="W1357">
        <v>27</v>
      </c>
      <c r="X1357" t="s">
        <v>9947</v>
      </c>
      <c r="Y1357">
        <v>0.73545283355313151</v>
      </c>
      <c r="Z1357" t="str">
        <f>HYPERLINK("Melting_Curves/meltCurve_sp_P60174_1_TPIS_HUMAN_.pdf", "Melting_Curves/meltCurve_sp_P60174_1_TPIS_HUMAN_.pdf")</f>
        <v>Melting_Curves/meltCurve_sp_P60174_1_TPIS_HUMAN_.pdf</v>
      </c>
      <c r="AA1357" t="s">
        <v>14219</v>
      </c>
      <c r="AB1357" t="s">
        <v>18441</v>
      </c>
    </row>
    <row r="1358" spans="1:28" x14ac:dyDescent="0.25">
      <c r="A1358" t="s">
        <v>1362</v>
      </c>
      <c r="B1358">
        <v>0.99876560204751996</v>
      </c>
      <c r="C1358">
        <v>1.05798513800644</v>
      </c>
      <c r="D1358">
        <v>0.84001259661248295</v>
      </c>
      <c r="E1358">
        <v>0.37981894228601099</v>
      </c>
      <c r="F1358">
        <v>0.19449147304254899</v>
      </c>
      <c r="G1358">
        <v>0.137535776164321</v>
      </c>
      <c r="H1358">
        <v>8.6088195162220493E-2</v>
      </c>
      <c r="I1358">
        <v>5.5401906333665797E-2</v>
      </c>
      <c r="J1358">
        <v>4.6122956680066898E-2</v>
      </c>
      <c r="K1358">
        <v>2.6522830163621801E-2</v>
      </c>
      <c r="L1358">
        <v>1274.1669724713499</v>
      </c>
      <c r="M1358">
        <v>26.070689197844199</v>
      </c>
      <c r="N1358">
        <v>49.137500973477501</v>
      </c>
      <c r="O1358">
        <v>48.588707403868199</v>
      </c>
      <c r="P1358">
        <v>-0.12537627814129099</v>
      </c>
      <c r="Q1358">
        <v>6.5340871395536404E-2</v>
      </c>
      <c r="R1358">
        <v>0.99212012569513197</v>
      </c>
      <c r="S1358" t="s">
        <v>5654</v>
      </c>
      <c r="T1358" t="s">
        <v>8590</v>
      </c>
      <c r="U1358" t="s">
        <v>8590</v>
      </c>
      <c r="V1358" t="s">
        <v>8590</v>
      </c>
      <c r="W1358">
        <v>2</v>
      </c>
      <c r="X1358" t="s">
        <v>9948</v>
      </c>
      <c r="Y1358">
        <v>0.34938775701571101</v>
      </c>
      <c r="Z1358" t="str">
        <f>HYPERLINK("Melting_Curves/meltCurve_sp_P60228_EIF3E_HUMAN_.pdf", "Melting_Curves/meltCurve_sp_P60228_EIF3E_HUMAN_.pdf")</f>
        <v>Melting_Curves/meltCurve_sp_P60228_EIF3E_HUMAN_.pdf</v>
      </c>
      <c r="AA1358" t="s">
        <v>14220</v>
      </c>
      <c r="AB1358" t="s">
        <v>18442</v>
      </c>
    </row>
    <row r="1359" spans="1:28" x14ac:dyDescent="0.25">
      <c r="A1359" t="s">
        <v>1363</v>
      </c>
      <c r="B1359">
        <v>0.99876560204751996</v>
      </c>
      <c r="C1359">
        <v>1.00329594432672</v>
      </c>
      <c r="D1359">
        <v>1.03053677443417</v>
      </c>
      <c r="E1359">
        <v>1.0740221837275099</v>
      </c>
      <c r="F1359">
        <v>1.5033523358004</v>
      </c>
      <c r="G1359">
        <v>1.50981168934549</v>
      </c>
      <c r="H1359">
        <v>0.965649940660251</v>
      </c>
      <c r="I1359">
        <v>1.7642954820146799</v>
      </c>
      <c r="J1359">
        <v>1.6788522081327699</v>
      </c>
      <c r="K1359">
        <v>2.1133010077580101</v>
      </c>
      <c r="L1359">
        <v>12587.5010479544</v>
      </c>
      <c r="M1359">
        <v>250</v>
      </c>
      <c r="O1359">
        <v>50.346782840329503</v>
      </c>
      <c r="P1359">
        <v>0.62069508153724495</v>
      </c>
      <c r="Q1359">
        <v>1.5</v>
      </c>
      <c r="R1359">
        <v>0.48304561697343501</v>
      </c>
      <c r="S1359" t="s">
        <v>5655</v>
      </c>
      <c r="T1359" t="s">
        <v>8590</v>
      </c>
      <c r="U1359" t="s">
        <v>8590</v>
      </c>
      <c r="V1359" t="s">
        <v>8590</v>
      </c>
      <c r="W1359">
        <v>2</v>
      </c>
      <c r="X1359" t="s">
        <v>9949</v>
      </c>
      <c r="Y1359">
        <v>1.3274557483995051</v>
      </c>
      <c r="Z1359" t="str">
        <f>HYPERLINK("Melting_Curves/meltCurve_sp_P60468_SC61B_HUMAN_.pdf", "Melting_Curves/meltCurve_sp_P60468_SC61B_HUMAN_.pdf")</f>
        <v>Melting_Curves/meltCurve_sp_P60468_SC61B_HUMAN_.pdf</v>
      </c>
      <c r="AA1359" t="s">
        <v>14221</v>
      </c>
      <c r="AB1359" t="s">
        <v>18443</v>
      </c>
    </row>
    <row r="1360" spans="1:28" x14ac:dyDescent="0.25">
      <c r="A1360" t="s">
        <v>1364</v>
      </c>
      <c r="B1360">
        <v>0.99876560204751996</v>
      </c>
      <c r="C1360">
        <v>0.93047093869880804</v>
      </c>
      <c r="D1360">
        <v>0.96853242642203596</v>
      </c>
      <c r="E1360">
        <v>0.695015394983172</v>
      </c>
      <c r="F1360">
        <v>0.29462529969603601</v>
      </c>
      <c r="G1360">
        <v>0.155970581926513</v>
      </c>
      <c r="H1360">
        <v>4.8720476832158403E-2</v>
      </c>
      <c r="I1360">
        <v>3.4541308077174197E-2</v>
      </c>
      <c r="J1360">
        <v>2.85801539813881E-2</v>
      </c>
      <c r="K1360">
        <v>2.2478099054492801E-2</v>
      </c>
      <c r="L1360">
        <v>1341.89604772138</v>
      </c>
      <c r="M1360">
        <v>26.146310020446201</v>
      </c>
      <c r="N1360">
        <v>51.468612516395197</v>
      </c>
      <c r="O1360">
        <v>51.025179781180199</v>
      </c>
      <c r="P1360">
        <v>-0.123526641515235</v>
      </c>
      <c r="Q1360">
        <v>3.5749496357583198E-2</v>
      </c>
      <c r="R1360">
        <v>0.99459180465437902</v>
      </c>
      <c r="S1360" t="s">
        <v>5656</v>
      </c>
      <c r="T1360" t="s">
        <v>8590</v>
      </c>
      <c r="U1360" t="s">
        <v>8590</v>
      </c>
      <c r="V1360" t="s">
        <v>8590</v>
      </c>
      <c r="W1360">
        <v>25</v>
      </c>
      <c r="X1360" t="s">
        <v>9950</v>
      </c>
      <c r="Y1360">
        <v>0.40768198481459073</v>
      </c>
      <c r="Z1360" t="str">
        <f>HYPERLINK("Melting_Curves/meltCurve_sp_P60842_IF4A1_HUMAN_.pdf", "Melting_Curves/meltCurve_sp_P60842_IF4A1_HUMAN_.pdf")</f>
        <v>Melting_Curves/meltCurve_sp_P60842_IF4A1_HUMAN_.pdf</v>
      </c>
      <c r="AA1360" t="s">
        <v>14222</v>
      </c>
      <c r="AB1360" t="s">
        <v>18444</v>
      </c>
    </row>
    <row r="1361" spans="1:28" x14ac:dyDescent="0.25">
      <c r="A1361" t="s">
        <v>1365</v>
      </c>
      <c r="B1361">
        <v>0.99876560204751996</v>
      </c>
      <c r="C1361">
        <v>0.94673907816479896</v>
      </c>
      <c r="D1361">
        <v>0.90627490071391503</v>
      </c>
      <c r="E1361">
        <v>0.63664525568999597</v>
      </c>
      <c r="F1361">
        <v>0.38365965998782497</v>
      </c>
      <c r="G1361">
        <v>0.226972100570206</v>
      </c>
      <c r="H1361">
        <v>0.144576123841689</v>
      </c>
      <c r="I1361">
        <v>0.13881823245293601</v>
      </c>
      <c r="J1361">
        <v>0.17509527071323</v>
      </c>
      <c r="K1361">
        <v>0.126997082710227</v>
      </c>
      <c r="L1361">
        <v>1019.81976354505</v>
      </c>
      <c r="M1361">
        <v>20.1074639287393</v>
      </c>
      <c r="N1361">
        <v>51.522841434805997</v>
      </c>
      <c r="O1361">
        <v>50.224809764391701</v>
      </c>
      <c r="P1361">
        <v>-8.6607463792865699E-2</v>
      </c>
      <c r="Q1361">
        <v>0.134708426736842</v>
      </c>
      <c r="R1361">
        <v>0.99762895758674297</v>
      </c>
      <c r="S1361" t="s">
        <v>5657</v>
      </c>
      <c r="T1361" t="s">
        <v>8590</v>
      </c>
      <c r="U1361" t="s">
        <v>8590</v>
      </c>
      <c r="V1361" t="s">
        <v>8590</v>
      </c>
      <c r="W1361">
        <v>2</v>
      </c>
      <c r="X1361" t="s">
        <v>9951</v>
      </c>
      <c r="Y1361">
        <v>0.45576021196090483</v>
      </c>
      <c r="Z1361" t="str">
        <f>HYPERLINK("Melting_Curves/meltCurve_sp_P60866_RS20_HUMAN_.pdf", "Melting_Curves/meltCurve_sp_P60866_RS20_HUMAN_.pdf")</f>
        <v>Melting_Curves/meltCurve_sp_P60866_RS20_HUMAN_.pdf</v>
      </c>
      <c r="AA1361" t="s">
        <v>14223</v>
      </c>
      <c r="AB1361" t="s">
        <v>18445</v>
      </c>
    </row>
    <row r="1362" spans="1:28" x14ac:dyDescent="0.25">
      <c r="A1362" t="s">
        <v>1366</v>
      </c>
      <c r="B1362">
        <v>0.99876560204751996</v>
      </c>
      <c r="C1362">
        <v>1.08465339060078</v>
      </c>
      <c r="D1362">
        <v>1.08357436282429</v>
      </c>
      <c r="E1362">
        <v>0.967260194646549</v>
      </c>
      <c r="F1362">
        <v>0.73465601728174001</v>
      </c>
      <c r="G1362">
        <v>0.36670438147358703</v>
      </c>
      <c r="H1362">
        <v>0.15434941091919199</v>
      </c>
      <c r="I1362">
        <v>0.107882081180351</v>
      </c>
      <c r="J1362">
        <v>6.6828367858068199E-2</v>
      </c>
      <c r="K1362">
        <v>5.2153518903684699E-2</v>
      </c>
      <c r="L1362">
        <v>1377.6528659394201</v>
      </c>
      <c r="M1362">
        <v>24.928996596518001</v>
      </c>
      <c r="N1362">
        <v>55.562102818686697</v>
      </c>
      <c r="O1362">
        <v>54.911137313429798</v>
      </c>
      <c r="P1362">
        <v>-0.106373326291354</v>
      </c>
      <c r="Q1362">
        <v>6.2778019788041803E-2</v>
      </c>
      <c r="R1362">
        <v>0.99049554913621696</v>
      </c>
      <c r="S1362" t="s">
        <v>5658</v>
      </c>
      <c r="T1362" t="s">
        <v>8590</v>
      </c>
      <c r="U1362" t="s">
        <v>8590</v>
      </c>
      <c r="V1362" t="s">
        <v>8590</v>
      </c>
      <c r="W1362">
        <v>10</v>
      </c>
      <c r="X1362" t="s">
        <v>9952</v>
      </c>
      <c r="Y1362">
        <v>0.54831066329068989</v>
      </c>
      <c r="Z1362" t="str">
        <f>HYPERLINK("Melting_Curves/meltCurve_sp_P60891_PRPS1_HUMAN_.pdf", "Melting_Curves/meltCurve_sp_P60891_PRPS1_HUMAN_.pdf")</f>
        <v>Melting_Curves/meltCurve_sp_P60891_PRPS1_HUMAN_.pdf</v>
      </c>
      <c r="AA1362" t="s">
        <v>14224</v>
      </c>
      <c r="AB1362" t="s">
        <v>18446</v>
      </c>
    </row>
    <row r="1363" spans="1:28" x14ac:dyDescent="0.25">
      <c r="A1363" t="s">
        <v>1367</v>
      </c>
      <c r="B1363">
        <v>0.99876560204751996</v>
      </c>
      <c r="C1363">
        <v>1.0230581828301999</v>
      </c>
      <c r="D1363">
        <v>0.93271599158053498</v>
      </c>
      <c r="E1363">
        <v>1.02548401886366</v>
      </c>
      <c r="F1363">
        <v>0.92346021942909495</v>
      </c>
      <c r="G1363">
        <v>0.88381306139745297</v>
      </c>
      <c r="H1363">
        <v>0.72943694845807305</v>
      </c>
      <c r="I1363">
        <v>0.66619906200546697</v>
      </c>
      <c r="J1363">
        <v>0.76030996190974298</v>
      </c>
      <c r="K1363">
        <v>0.60730819125284397</v>
      </c>
      <c r="L1363">
        <v>1133.13361527745</v>
      </c>
      <c r="M1363">
        <v>19.470309868886002</v>
      </c>
      <c r="O1363">
        <v>57.594536595388703</v>
      </c>
      <c r="P1363">
        <v>-2.99338239960249E-2</v>
      </c>
      <c r="Q1363">
        <v>0.64582745873638603</v>
      </c>
      <c r="R1363">
        <v>0.90598378245975297</v>
      </c>
      <c r="S1363" t="s">
        <v>5659</v>
      </c>
      <c r="T1363" t="s">
        <v>8590</v>
      </c>
      <c r="U1363" t="s">
        <v>8590</v>
      </c>
      <c r="V1363" t="s">
        <v>8590</v>
      </c>
      <c r="W1363">
        <v>19</v>
      </c>
      <c r="X1363" t="s">
        <v>9953</v>
      </c>
      <c r="Y1363">
        <v>0.86469704474020659</v>
      </c>
      <c r="Z1363" t="str">
        <f>HYPERLINK("Melting_Curves/meltCurve_sp_P60900_PSA6_HUMAN_.pdf", "Melting_Curves/meltCurve_sp_P60900_PSA6_HUMAN_.pdf")</f>
        <v>Melting_Curves/meltCurve_sp_P60900_PSA6_HUMAN_.pdf</v>
      </c>
      <c r="AA1363" t="s">
        <v>14225</v>
      </c>
      <c r="AB1363" t="s">
        <v>18447</v>
      </c>
    </row>
    <row r="1364" spans="1:28" x14ac:dyDescent="0.25">
      <c r="A1364" t="s">
        <v>1368</v>
      </c>
      <c r="B1364">
        <v>0.99876560204751996</v>
      </c>
      <c r="C1364">
        <v>1.1208357678053</v>
      </c>
      <c r="D1364">
        <v>0.88611869632653095</v>
      </c>
      <c r="E1364">
        <v>0.68446107973224701</v>
      </c>
      <c r="F1364">
        <v>0.70797719001139303</v>
      </c>
      <c r="G1364">
        <v>0.392683938366644</v>
      </c>
      <c r="H1364">
        <v>0.37997509345105202</v>
      </c>
      <c r="I1364">
        <v>0.266819665236948</v>
      </c>
      <c r="J1364">
        <v>0.362908181836605</v>
      </c>
      <c r="K1364">
        <v>0.28540899324791502</v>
      </c>
      <c r="L1364">
        <v>804.60044977944699</v>
      </c>
      <c r="M1364">
        <v>15.3680093772101</v>
      </c>
      <c r="N1364">
        <v>55.360876830860697</v>
      </c>
      <c r="O1364">
        <v>51.493062809383296</v>
      </c>
      <c r="P1364">
        <v>-5.3508853290583497E-2</v>
      </c>
      <c r="Q1364">
        <v>0.28290475064486098</v>
      </c>
      <c r="R1364">
        <v>0.94542947552236101</v>
      </c>
      <c r="S1364" t="s">
        <v>5660</v>
      </c>
      <c r="T1364" t="s">
        <v>8590</v>
      </c>
      <c r="U1364" t="s">
        <v>8590</v>
      </c>
      <c r="V1364" t="s">
        <v>8590</v>
      </c>
      <c r="W1364">
        <v>1</v>
      </c>
      <c r="X1364" t="s">
        <v>9954</v>
      </c>
      <c r="Y1364">
        <v>0.5935067219833523</v>
      </c>
      <c r="Z1364" t="str">
        <f>HYPERLINK("Melting_Curves/meltCurve_sp_P60903_S10AA_HUMAN_.pdf", "Melting_Curves/meltCurve_sp_P60903_S10AA_HUMAN_.pdf")</f>
        <v>Melting_Curves/meltCurve_sp_P60903_S10AA_HUMAN_.pdf</v>
      </c>
      <c r="AA1364" t="s">
        <v>14226</v>
      </c>
      <c r="AB1364" t="s">
        <v>18448</v>
      </c>
    </row>
    <row r="1365" spans="1:28" x14ac:dyDescent="0.25">
      <c r="A1365" t="s">
        <v>1369</v>
      </c>
      <c r="B1365">
        <v>0.99876560204751996</v>
      </c>
      <c r="C1365">
        <v>0.96386793953211203</v>
      </c>
      <c r="D1365">
        <v>0.99794066500424194</v>
      </c>
      <c r="E1365">
        <v>0.65610690860470899</v>
      </c>
      <c r="F1365">
        <v>0.29465886628271198</v>
      </c>
      <c r="G1365">
        <v>0.105465289931698</v>
      </c>
      <c r="H1365">
        <v>4.1866239512204202E-2</v>
      </c>
      <c r="I1365">
        <v>3.56721212515188E-2</v>
      </c>
      <c r="J1365">
        <v>3.7193753615648903E-2</v>
      </c>
      <c r="K1365">
        <v>2.71512554247153E-2</v>
      </c>
      <c r="L1365">
        <v>1445.3467614445101</v>
      </c>
      <c r="M1365">
        <v>28.272770400936398</v>
      </c>
      <c r="N1365">
        <v>51.257001284347197</v>
      </c>
      <c r="O1365">
        <v>50.867809663733603</v>
      </c>
      <c r="P1365">
        <v>-0.13395077142838399</v>
      </c>
      <c r="Q1365">
        <v>3.6001635929528597E-2</v>
      </c>
      <c r="R1365">
        <v>0.99823810248017897</v>
      </c>
      <c r="S1365" t="s">
        <v>5661</v>
      </c>
      <c r="T1365" t="s">
        <v>8590</v>
      </c>
      <c r="U1365" t="s">
        <v>8590</v>
      </c>
      <c r="V1365" t="s">
        <v>8590</v>
      </c>
      <c r="W1365">
        <v>7</v>
      </c>
      <c r="X1365" t="s">
        <v>9955</v>
      </c>
      <c r="Y1365">
        <v>0.40020866025363921</v>
      </c>
      <c r="Z1365" t="str">
        <f>HYPERLINK("Melting_Curves/meltCurve_sp_P60953_CDC42_HUMAN_.pdf", "Melting_Curves/meltCurve_sp_P60953_CDC42_HUMAN_.pdf")</f>
        <v>Melting_Curves/meltCurve_sp_P60953_CDC42_HUMAN_.pdf</v>
      </c>
      <c r="AA1365" t="s">
        <v>14227</v>
      </c>
      <c r="AB1365" t="s">
        <v>18449</v>
      </c>
    </row>
    <row r="1366" spans="1:28" x14ac:dyDescent="0.25">
      <c r="A1366" t="s">
        <v>1370</v>
      </c>
      <c r="B1366">
        <v>0.99876560204751996</v>
      </c>
      <c r="C1366">
        <v>0.94171385112266004</v>
      </c>
      <c r="D1366">
        <v>1.0334959440920899</v>
      </c>
      <c r="E1366">
        <v>0.79041334698539301</v>
      </c>
      <c r="F1366">
        <v>0.50832871704628202</v>
      </c>
      <c r="G1366">
        <v>0.19340095257263701</v>
      </c>
      <c r="H1366">
        <v>0.11392422857260399</v>
      </c>
      <c r="I1366">
        <v>9.5346992170061706E-2</v>
      </c>
      <c r="J1366">
        <v>8.2749473851430694E-2</v>
      </c>
      <c r="K1366">
        <v>6.9054371900292094E-2</v>
      </c>
      <c r="L1366">
        <v>1321.67543590474</v>
      </c>
      <c r="M1366">
        <v>25.1015535721906</v>
      </c>
      <c r="N1366">
        <v>53.013516609781398</v>
      </c>
      <c r="O1366">
        <v>52.322353568491003</v>
      </c>
      <c r="P1366">
        <v>-0.110530952328061</v>
      </c>
      <c r="Q1366">
        <v>7.8437176452792606E-2</v>
      </c>
      <c r="R1366">
        <v>0.99562560767505004</v>
      </c>
      <c r="S1366" t="s">
        <v>5662</v>
      </c>
      <c r="T1366" t="s">
        <v>8590</v>
      </c>
      <c r="U1366" t="s">
        <v>8590</v>
      </c>
      <c r="V1366" t="s">
        <v>8590</v>
      </c>
      <c r="W1366">
        <v>11</v>
      </c>
      <c r="X1366" t="s">
        <v>9956</v>
      </c>
      <c r="Y1366">
        <v>0.47552356338744539</v>
      </c>
      <c r="Z1366" t="str">
        <f>HYPERLINK("Melting_Curves/meltCurve_sp_P60981_2_DEST_HUMAN_.pdf", "Melting_Curves/meltCurve_sp_P60981_2_DEST_HUMAN_.pdf")</f>
        <v>Melting_Curves/meltCurve_sp_P60981_2_DEST_HUMAN_.pdf</v>
      </c>
      <c r="AA1366" t="s">
        <v>14228</v>
      </c>
      <c r="AB1366" t="s">
        <v>18450</v>
      </c>
    </row>
    <row r="1367" spans="1:28" x14ac:dyDescent="0.25">
      <c r="A1367" t="s">
        <v>1371</v>
      </c>
      <c r="B1367">
        <v>0.99876560204751996</v>
      </c>
      <c r="C1367">
        <v>0.95630614754643395</v>
      </c>
      <c r="D1367">
        <v>1.0997217854749</v>
      </c>
      <c r="E1367">
        <v>0.94257103101010697</v>
      </c>
      <c r="F1367">
        <v>0.92380016140753396</v>
      </c>
      <c r="G1367">
        <v>0.77129882048447196</v>
      </c>
      <c r="H1367">
        <v>0.69667287765034702</v>
      </c>
      <c r="I1367">
        <v>0.70051363589758198</v>
      </c>
      <c r="J1367">
        <v>0.85494302419916302</v>
      </c>
      <c r="K1367">
        <v>0.81963991701956096</v>
      </c>
      <c r="L1367">
        <v>2326.05434672506</v>
      </c>
      <c r="M1367">
        <v>43.3940323533254</v>
      </c>
      <c r="O1367">
        <v>53.489645670641004</v>
      </c>
      <c r="P1367">
        <v>-4.74909174761746E-2</v>
      </c>
      <c r="Q1367">
        <v>0.76584173994746496</v>
      </c>
      <c r="R1367">
        <v>0.77856057730268402</v>
      </c>
      <c r="S1367" t="s">
        <v>5663</v>
      </c>
      <c r="T1367" t="s">
        <v>8590</v>
      </c>
      <c r="U1367" t="s">
        <v>8590</v>
      </c>
      <c r="V1367" t="s">
        <v>8590</v>
      </c>
      <c r="W1367">
        <v>7</v>
      </c>
      <c r="X1367" t="s">
        <v>9957</v>
      </c>
      <c r="Y1367">
        <v>0.87275337253911967</v>
      </c>
      <c r="Z1367" t="str">
        <f>HYPERLINK("Melting_Curves/meltCurve_sp_P60983_GMFB_HUMAN_.pdf", "Melting_Curves/meltCurve_sp_P60983_GMFB_HUMAN_.pdf")</f>
        <v>Melting_Curves/meltCurve_sp_P60983_GMFB_HUMAN_.pdf</v>
      </c>
      <c r="AA1367" t="s">
        <v>14229</v>
      </c>
      <c r="AB1367" t="s">
        <v>18451</v>
      </c>
    </row>
    <row r="1368" spans="1:28" x14ac:dyDescent="0.25">
      <c r="A1368" t="s">
        <v>1372</v>
      </c>
      <c r="B1368">
        <v>0.99876560204751996</v>
      </c>
      <c r="C1368">
        <v>0.90090109771671201</v>
      </c>
      <c r="D1368">
        <v>0.79658126541691099</v>
      </c>
      <c r="E1368">
        <v>0.66439983937557001</v>
      </c>
      <c r="F1368">
        <v>0.50403019940166305</v>
      </c>
      <c r="G1368">
        <v>0.22202067113028401</v>
      </c>
      <c r="H1368">
        <v>0.10209435410970701</v>
      </c>
      <c r="I1368">
        <v>7.0122783389048704E-2</v>
      </c>
      <c r="J1368">
        <v>5.4710854286154298E-2</v>
      </c>
      <c r="K1368">
        <v>4.4935593387960202E-2</v>
      </c>
      <c r="L1368">
        <v>670.35490773732101</v>
      </c>
      <c r="M1368">
        <v>12.843575561758501</v>
      </c>
      <c r="N1368">
        <v>52.193771233150301</v>
      </c>
      <c r="O1368">
        <v>50.977042237768501</v>
      </c>
      <c r="P1368">
        <v>-6.2998721810833505E-2</v>
      </c>
      <c r="Q1368">
        <v>0</v>
      </c>
      <c r="R1368">
        <v>0.99184978520991296</v>
      </c>
      <c r="S1368" t="s">
        <v>5664</v>
      </c>
      <c r="T1368" t="s">
        <v>8590</v>
      </c>
      <c r="U1368" t="s">
        <v>8590</v>
      </c>
      <c r="V1368" t="s">
        <v>8590</v>
      </c>
      <c r="W1368">
        <v>8</v>
      </c>
      <c r="X1368" t="s">
        <v>9958</v>
      </c>
      <c r="Y1368">
        <v>0.43412546165319799</v>
      </c>
      <c r="Z1368" t="str">
        <f>HYPERLINK("Melting_Curves/meltCurve_sp_P61006_RAB8A_HUMAN_.pdf", "Melting_Curves/meltCurve_sp_P61006_RAB8A_HUMAN_.pdf")</f>
        <v>Melting_Curves/meltCurve_sp_P61006_RAB8A_HUMAN_.pdf</v>
      </c>
      <c r="AA1368" t="s">
        <v>14230</v>
      </c>
      <c r="AB1368" t="s">
        <v>18452</v>
      </c>
    </row>
    <row r="1369" spans="1:28" x14ac:dyDescent="0.25">
      <c r="A1369" t="s">
        <v>1373</v>
      </c>
      <c r="B1369">
        <v>0.99876560204751996</v>
      </c>
      <c r="C1369">
        <v>1.06728152842735</v>
      </c>
      <c r="D1369">
        <v>0.85100411354789296</v>
      </c>
      <c r="E1369">
        <v>0.41902917720333099</v>
      </c>
      <c r="F1369">
        <v>0.193094834942938</v>
      </c>
      <c r="G1369">
        <v>9.8266322112846902E-2</v>
      </c>
      <c r="H1369">
        <v>5.6670864105418203E-2</v>
      </c>
      <c r="I1369">
        <v>4.4013993724717197E-2</v>
      </c>
      <c r="J1369">
        <v>3.6409124047929897E-2</v>
      </c>
      <c r="K1369">
        <v>2.6204517281344999E-2</v>
      </c>
      <c r="L1369">
        <v>1258.9045944539901</v>
      </c>
      <c r="M1369">
        <v>25.569697681990199</v>
      </c>
      <c r="N1369">
        <v>49.418162230544702</v>
      </c>
      <c r="O1369">
        <v>48.936059685601997</v>
      </c>
      <c r="P1369">
        <v>-0.124700640421003</v>
      </c>
      <c r="Q1369">
        <v>4.5388330871814597E-2</v>
      </c>
      <c r="R1369">
        <v>0.99425664230580602</v>
      </c>
      <c r="S1369" t="s">
        <v>5665</v>
      </c>
      <c r="T1369" t="s">
        <v>8590</v>
      </c>
      <c r="U1369" t="s">
        <v>8590</v>
      </c>
      <c r="V1369" t="s">
        <v>8590</v>
      </c>
      <c r="W1369">
        <v>10</v>
      </c>
      <c r="X1369" t="s">
        <v>9959</v>
      </c>
      <c r="Y1369">
        <v>0.34731639328536767</v>
      </c>
      <c r="Z1369" t="str">
        <f>HYPERLINK("Melting_Curves/meltCurve_sp_P61011_SRP54_HUMAN_.pdf", "Melting_Curves/meltCurve_sp_P61011_SRP54_HUMAN_.pdf")</f>
        <v>Melting_Curves/meltCurve_sp_P61011_SRP54_HUMAN_.pdf</v>
      </c>
      <c r="AA1369" t="s">
        <v>14231</v>
      </c>
      <c r="AB1369" t="s">
        <v>18453</v>
      </c>
    </row>
    <row r="1370" spans="1:28" x14ac:dyDescent="0.25">
      <c r="A1370" t="s">
        <v>1374</v>
      </c>
      <c r="B1370">
        <v>0.99876560204751996</v>
      </c>
      <c r="C1370">
        <v>0.95395090784678604</v>
      </c>
      <c r="D1370">
        <v>0.92330632585100203</v>
      </c>
      <c r="E1370">
        <v>0.68044042401459803</v>
      </c>
      <c r="F1370">
        <v>0.35005415692206399</v>
      </c>
      <c r="G1370">
        <v>0.17021547008933299</v>
      </c>
      <c r="H1370">
        <v>9.1431429187928404E-2</v>
      </c>
      <c r="I1370">
        <v>6.6569229801140897E-2</v>
      </c>
      <c r="J1370">
        <v>6.2744776581583103E-2</v>
      </c>
      <c r="K1370">
        <v>4.8036217791199702E-2</v>
      </c>
      <c r="L1370">
        <v>1104.8583312882199</v>
      </c>
      <c r="M1370">
        <v>21.519258857557599</v>
      </c>
      <c r="N1370">
        <v>51.622317484478998</v>
      </c>
      <c r="O1370">
        <v>50.905559902566701</v>
      </c>
      <c r="P1370">
        <v>-9.9872344931523596E-2</v>
      </c>
      <c r="Q1370">
        <v>5.4998377986742203E-2</v>
      </c>
      <c r="R1370">
        <v>0.99836950997273</v>
      </c>
      <c r="S1370" t="s">
        <v>5666</v>
      </c>
      <c r="T1370" t="s">
        <v>8590</v>
      </c>
      <c r="U1370" t="s">
        <v>8590</v>
      </c>
      <c r="V1370" t="s">
        <v>8590</v>
      </c>
      <c r="W1370">
        <v>11</v>
      </c>
      <c r="X1370" t="s">
        <v>9960</v>
      </c>
      <c r="Y1370">
        <v>0.42372830516263232</v>
      </c>
      <c r="Z1370" t="str">
        <f>HYPERLINK("Melting_Curves/meltCurve_sp_P61019_RAB2A_HUMAN_.pdf", "Melting_Curves/meltCurve_sp_P61019_RAB2A_HUMAN_.pdf")</f>
        <v>Melting_Curves/meltCurve_sp_P61019_RAB2A_HUMAN_.pdf</v>
      </c>
      <c r="AA1370" t="s">
        <v>14232</v>
      </c>
      <c r="AB1370" t="s">
        <v>18454</v>
      </c>
    </row>
    <row r="1371" spans="1:28" x14ac:dyDescent="0.25">
      <c r="A1371" t="s">
        <v>1375</v>
      </c>
      <c r="B1371">
        <v>0.99876560204751996</v>
      </c>
      <c r="C1371">
        <v>1.02364723787485</v>
      </c>
      <c r="D1371">
        <v>1.0023053101439801</v>
      </c>
      <c r="E1371">
        <v>0.84564790651490496</v>
      </c>
      <c r="F1371">
        <v>0.56387025924718603</v>
      </c>
      <c r="G1371">
        <v>0.212558627893081</v>
      </c>
      <c r="H1371">
        <v>8.1194763539738604E-2</v>
      </c>
      <c r="I1371">
        <v>6.88091574449336E-2</v>
      </c>
      <c r="J1371">
        <v>4.2528428796395498E-2</v>
      </c>
      <c r="K1371">
        <v>2.2972175732834201E-2</v>
      </c>
      <c r="L1371">
        <v>1296.34395661953</v>
      </c>
      <c r="M1371">
        <v>24.254281359932602</v>
      </c>
      <c r="N1371">
        <v>53.611928198448297</v>
      </c>
      <c r="O1371">
        <v>53.088664423721603</v>
      </c>
      <c r="P1371">
        <v>-0.110136652643955</v>
      </c>
      <c r="Q1371">
        <v>3.5729566888819897E-2</v>
      </c>
      <c r="R1371">
        <v>0.99907691577328395</v>
      </c>
      <c r="S1371" t="s">
        <v>5667</v>
      </c>
      <c r="T1371" t="s">
        <v>8590</v>
      </c>
      <c r="U1371" t="s">
        <v>8590</v>
      </c>
      <c r="V1371" t="s">
        <v>8590</v>
      </c>
      <c r="W1371">
        <v>6</v>
      </c>
      <c r="X1371" t="s">
        <v>9961</v>
      </c>
      <c r="Y1371">
        <v>0.47739546383891268</v>
      </c>
      <c r="Z1371" t="str">
        <f>HYPERLINK("Melting_Curves/meltCurve_sp_P61020_RAB5B_HUMAN_.pdf", "Melting_Curves/meltCurve_sp_P61020_RAB5B_HUMAN_.pdf")</f>
        <v>Melting_Curves/meltCurve_sp_P61020_RAB5B_HUMAN_.pdf</v>
      </c>
      <c r="AA1371" t="s">
        <v>14233</v>
      </c>
      <c r="AB1371" t="s">
        <v>18455</v>
      </c>
    </row>
    <row r="1372" spans="1:28" x14ac:dyDescent="0.25">
      <c r="A1372" t="s">
        <v>1376</v>
      </c>
      <c r="B1372">
        <v>0.99876560204751996</v>
      </c>
      <c r="C1372">
        <v>0.99690181811856904</v>
      </c>
      <c r="D1372">
        <v>0.94356964786575703</v>
      </c>
      <c r="E1372">
        <v>0.72866778416400901</v>
      </c>
      <c r="F1372">
        <v>0.52081685523950605</v>
      </c>
      <c r="G1372">
        <v>0.23096450948983599</v>
      </c>
      <c r="H1372">
        <v>0.116484010601973</v>
      </c>
      <c r="I1372">
        <v>7.27278197234449E-2</v>
      </c>
      <c r="J1372">
        <v>7.1646337748516795E-2</v>
      </c>
      <c r="K1372">
        <v>5.1514279672310502E-2</v>
      </c>
      <c r="L1372">
        <v>961.51940201053503</v>
      </c>
      <c r="M1372">
        <v>18.2144808892707</v>
      </c>
      <c r="N1372">
        <v>53.041731928636501</v>
      </c>
      <c r="O1372">
        <v>52.164780231952399</v>
      </c>
      <c r="P1372">
        <v>-8.3665036737088694E-2</v>
      </c>
      <c r="Q1372">
        <v>4.1605901929057297E-2</v>
      </c>
      <c r="R1372">
        <v>0.99937536342261202</v>
      </c>
      <c r="S1372" t="s">
        <v>5668</v>
      </c>
      <c r="T1372" t="s">
        <v>8590</v>
      </c>
      <c r="U1372" t="s">
        <v>8590</v>
      </c>
      <c r="V1372" t="s">
        <v>8590</v>
      </c>
      <c r="W1372">
        <v>4</v>
      </c>
      <c r="X1372" t="s">
        <v>9962</v>
      </c>
      <c r="Y1372">
        <v>0.46561331698866898</v>
      </c>
      <c r="Z1372" t="str">
        <f>HYPERLINK("Melting_Curves/meltCurve_sp_P61026_RAB10_HUMAN_.pdf", "Melting_Curves/meltCurve_sp_P61026_RAB10_HUMAN_.pdf")</f>
        <v>Melting_Curves/meltCurve_sp_P61026_RAB10_HUMAN_.pdf</v>
      </c>
      <c r="AA1372" t="s">
        <v>14234</v>
      </c>
      <c r="AB1372" t="s">
        <v>18456</v>
      </c>
    </row>
    <row r="1373" spans="1:28" x14ac:dyDescent="0.25">
      <c r="A1373" t="s">
        <v>1377</v>
      </c>
      <c r="B1373">
        <v>0.99876560204751996</v>
      </c>
      <c r="C1373">
        <v>0.95253649901188997</v>
      </c>
      <c r="D1373">
        <v>1.0530223588341801</v>
      </c>
      <c r="E1373">
        <v>0.86107248524733404</v>
      </c>
      <c r="F1373">
        <v>0.55648879836800202</v>
      </c>
      <c r="G1373">
        <v>0.23997459904715501</v>
      </c>
      <c r="H1373">
        <v>0.14060633426833399</v>
      </c>
      <c r="I1373">
        <v>0.114091275017474</v>
      </c>
      <c r="J1373">
        <v>0.11952291476957901</v>
      </c>
      <c r="K1373">
        <v>0.100514590595375</v>
      </c>
      <c r="L1373">
        <v>1464.9343917967101</v>
      </c>
      <c r="M1373">
        <v>27.5984388879893</v>
      </c>
      <c r="N1373">
        <v>53.570200746839397</v>
      </c>
      <c r="O1373">
        <v>52.803996946976902</v>
      </c>
      <c r="P1373">
        <v>-0.11609371616639</v>
      </c>
      <c r="Q1373">
        <v>0.11152129476091301</v>
      </c>
      <c r="R1373">
        <v>0.99552608715326596</v>
      </c>
      <c r="S1373" t="s">
        <v>5669</v>
      </c>
      <c r="T1373" t="s">
        <v>8590</v>
      </c>
      <c r="U1373" t="s">
        <v>8590</v>
      </c>
      <c r="V1373" t="s">
        <v>8590</v>
      </c>
      <c r="W1373">
        <v>4</v>
      </c>
      <c r="X1373" t="s">
        <v>9963</v>
      </c>
      <c r="Y1373">
        <v>0.50569065503958266</v>
      </c>
      <c r="Z1373" t="str">
        <f>HYPERLINK("Melting_Curves/meltCurve_sp_P61077_UB2D3_HUMAN_.pdf", "Melting_Curves/meltCurve_sp_P61077_UB2D3_HUMAN_.pdf")</f>
        <v>Melting_Curves/meltCurve_sp_P61077_UB2D3_HUMAN_.pdf</v>
      </c>
      <c r="AA1373" t="s">
        <v>14235</v>
      </c>
      <c r="AB1373" t="s">
        <v>18457</v>
      </c>
    </row>
    <row r="1374" spans="1:28" x14ac:dyDescent="0.25">
      <c r="A1374" t="s">
        <v>1378</v>
      </c>
      <c r="B1374">
        <v>0.99876560204751996</v>
      </c>
      <c r="C1374">
        <v>0.91017257221055003</v>
      </c>
      <c r="D1374">
        <v>0.959075867971383</v>
      </c>
      <c r="E1374">
        <v>0.85559995467602201</v>
      </c>
      <c r="F1374">
        <v>0.75811300576320695</v>
      </c>
      <c r="G1374">
        <v>0.46216605690687301</v>
      </c>
      <c r="H1374">
        <v>0.14884029979989899</v>
      </c>
      <c r="I1374">
        <v>9.8414854701963705E-2</v>
      </c>
      <c r="J1374">
        <v>8.0915662637233904E-2</v>
      </c>
      <c r="K1374">
        <v>7.7942524149328701E-2</v>
      </c>
      <c r="L1374">
        <v>1016.97938091271</v>
      </c>
      <c r="M1374">
        <v>18.1948445617105</v>
      </c>
      <c r="N1374">
        <v>56.058046860369103</v>
      </c>
      <c r="O1374">
        <v>55.231765758942501</v>
      </c>
      <c r="P1374">
        <v>-8.0223290027277405E-2</v>
      </c>
      <c r="Q1374">
        <v>2.5951682306568399E-2</v>
      </c>
      <c r="R1374">
        <v>0.98961657418111404</v>
      </c>
      <c r="S1374" t="s">
        <v>5670</v>
      </c>
      <c r="T1374" t="s">
        <v>8590</v>
      </c>
      <c r="U1374" t="s">
        <v>8590</v>
      </c>
      <c r="V1374" t="s">
        <v>8590</v>
      </c>
      <c r="W1374">
        <v>6</v>
      </c>
      <c r="X1374" t="s">
        <v>9964</v>
      </c>
      <c r="Y1374">
        <v>0.55624603730340061</v>
      </c>
      <c r="Z1374" t="str">
        <f>HYPERLINK("Melting_Curves/meltCurve_sp_P61081_UBC12_HUMAN_.pdf", "Melting_Curves/meltCurve_sp_P61081_UBC12_HUMAN_.pdf")</f>
        <v>Melting_Curves/meltCurve_sp_P61081_UBC12_HUMAN_.pdf</v>
      </c>
      <c r="AA1374" t="s">
        <v>14236</v>
      </c>
      <c r="AB1374" t="s">
        <v>18458</v>
      </c>
    </row>
    <row r="1375" spans="1:28" x14ac:dyDescent="0.25">
      <c r="A1375" t="s">
        <v>1379</v>
      </c>
      <c r="B1375">
        <v>0.99876560204751996</v>
      </c>
      <c r="C1375">
        <v>0.94744673924688405</v>
      </c>
      <c r="D1375">
        <v>0.98811410231016605</v>
      </c>
      <c r="E1375">
        <v>0.87904943097625399</v>
      </c>
      <c r="F1375">
        <v>0.81309835643144701</v>
      </c>
      <c r="G1375">
        <v>0.58501139738601504</v>
      </c>
      <c r="H1375">
        <v>0.20292957829898201</v>
      </c>
      <c r="I1375">
        <v>9.5491004605918306E-2</v>
      </c>
      <c r="J1375">
        <v>5.8914377221757699E-2</v>
      </c>
      <c r="K1375">
        <v>4.6461054039467702E-2</v>
      </c>
      <c r="L1375">
        <v>1094.08764467674</v>
      </c>
      <c r="M1375">
        <v>19.085991558261199</v>
      </c>
      <c r="N1375">
        <v>57.324120008069897</v>
      </c>
      <c r="O1375">
        <v>56.705941362940102</v>
      </c>
      <c r="P1375">
        <v>-8.4147879831380099E-2</v>
      </c>
      <c r="Q1375">
        <v>0</v>
      </c>
      <c r="R1375">
        <v>0.991995803036818</v>
      </c>
      <c r="S1375" t="s">
        <v>5671</v>
      </c>
      <c r="T1375" t="s">
        <v>8590</v>
      </c>
      <c r="U1375" t="s">
        <v>8590</v>
      </c>
      <c r="V1375" t="s">
        <v>8590</v>
      </c>
      <c r="W1375">
        <v>8</v>
      </c>
      <c r="X1375" t="s">
        <v>9965</v>
      </c>
      <c r="Y1375">
        <v>0.59006532836992376</v>
      </c>
      <c r="Z1375" t="str">
        <f>HYPERLINK("Melting_Curves/meltCurve_sp_P61086_UBE2K_HUMAN_.pdf", "Melting_Curves/meltCurve_sp_P61086_UBE2K_HUMAN_.pdf")</f>
        <v>Melting_Curves/meltCurve_sp_P61086_UBE2K_HUMAN_.pdf</v>
      </c>
      <c r="AA1375" t="s">
        <v>14237</v>
      </c>
      <c r="AB1375" t="s">
        <v>18459</v>
      </c>
    </row>
    <row r="1376" spans="1:28" x14ac:dyDescent="0.25">
      <c r="A1376" t="s">
        <v>1380</v>
      </c>
      <c r="B1376">
        <v>0.99876560204751996</v>
      </c>
      <c r="C1376">
        <v>0.89939100304330999</v>
      </c>
      <c r="D1376">
        <v>0.99483421476101497</v>
      </c>
      <c r="E1376">
        <v>0.80435700165471802</v>
      </c>
      <c r="F1376">
        <v>0.71261409757337701</v>
      </c>
      <c r="G1376">
        <v>0.36961353827599203</v>
      </c>
      <c r="H1376">
        <v>0.130320962101554</v>
      </c>
      <c r="I1376">
        <v>7.8012956902804506E-2</v>
      </c>
      <c r="J1376">
        <v>5.8779039858632899E-2</v>
      </c>
      <c r="K1376">
        <v>4.3966492388210501E-2</v>
      </c>
      <c r="L1376">
        <v>955.23067157327796</v>
      </c>
      <c r="M1376">
        <v>17.321097454891699</v>
      </c>
      <c r="N1376">
        <v>55.171390796884197</v>
      </c>
      <c r="O1376">
        <v>54.429050104300003</v>
      </c>
      <c r="P1376">
        <v>-7.9276478394826197E-2</v>
      </c>
      <c r="Q1376">
        <v>3.5974144634573798E-3</v>
      </c>
      <c r="R1376">
        <v>0.98984918349990503</v>
      </c>
      <c r="S1376" t="s">
        <v>5672</v>
      </c>
      <c r="T1376" t="s">
        <v>8590</v>
      </c>
      <c r="U1376" t="s">
        <v>8590</v>
      </c>
      <c r="V1376" t="s">
        <v>8590</v>
      </c>
      <c r="W1376">
        <v>10</v>
      </c>
      <c r="X1376" t="s">
        <v>9966</v>
      </c>
      <c r="Y1376">
        <v>0.52283039974929102</v>
      </c>
      <c r="Z1376" t="str">
        <f>HYPERLINK("Melting_Curves/meltCurve_sp_P61088_UBE2N_HUMAN_.pdf", "Melting_Curves/meltCurve_sp_P61088_UBE2N_HUMAN_.pdf")</f>
        <v>Melting_Curves/meltCurve_sp_P61088_UBE2N_HUMAN_.pdf</v>
      </c>
      <c r="AA1376" t="s">
        <v>14238</v>
      </c>
      <c r="AB1376" t="s">
        <v>18460</v>
      </c>
    </row>
    <row r="1377" spans="1:28" x14ac:dyDescent="0.25">
      <c r="A1377" t="s">
        <v>1381</v>
      </c>
      <c r="B1377">
        <v>0.99876560204751996</v>
      </c>
      <c r="C1377">
        <v>0.91669167599376999</v>
      </c>
      <c r="D1377">
        <v>0.78127218189242298</v>
      </c>
      <c r="E1377">
        <v>0.63363192248579003</v>
      </c>
      <c r="F1377">
        <v>0.38699171301449198</v>
      </c>
      <c r="G1377">
        <v>0.180490977087743</v>
      </c>
      <c r="H1377">
        <v>9.3019827609568104E-2</v>
      </c>
      <c r="I1377">
        <v>6.7534330304227994E-2</v>
      </c>
      <c r="J1377">
        <v>5.2545307789794701E-2</v>
      </c>
      <c r="K1377">
        <v>4.16975569150244E-2</v>
      </c>
      <c r="L1377">
        <v>691.97018977875496</v>
      </c>
      <c r="M1377">
        <v>13.508683591806999</v>
      </c>
      <c r="N1377">
        <v>51.251951266938299</v>
      </c>
      <c r="O1377">
        <v>50.140670691214297</v>
      </c>
      <c r="P1377">
        <v>-6.7117861674866497E-2</v>
      </c>
      <c r="Q1377">
        <v>3.6566927678532298E-3</v>
      </c>
      <c r="R1377">
        <v>0.99545903834693705</v>
      </c>
      <c r="S1377" t="s">
        <v>5673</v>
      </c>
      <c r="T1377" t="s">
        <v>8590</v>
      </c>
      <c r="U1377" t="s">
        <v>8590</v>
      </c>
      <c r="V1377" t="s">
        <v>8590</v>
      </c>
      <c r="W1377">
        <v>12</v>
      </c>
      <c r="X1377" t="s">
        <v>9967</v>
      </c>
      <c r="Y1377">
        <v>0.40338188066563768</v>
      </c>
      <c r="Z1377" t="str">
        <f>HYPERLINK("Melting_Curves/meltCurve_sp_P61106_RAB14_HUMAN_.pdf", "Melting_Curves/meltCurve_sp_P61106_RAB14_HUMAN_.pdf")</f>
        <v>Melting_Curves/meltCurve_sp_P61106_RAB14_HUMAN_.pdf</v>
      </c>
      <c r="AA1377" t="s">
        <v>14239</v>
      </c>
      <c r="AB1377" t="s">
        <v>18461</v>
      </c>
    </row>
    <row r="1378" spans="1:28" x14ac:dyDescent="0.25">
      <c r="A1378" t="s">
        <v>1382</v>
      </c>
      <c r="B1378">
        <v>0.99876560204751996</v>
      </c>
      <c r="C1378">
        <v>1.0273762026756399</v>
      </c>
      <c r="D1378">
        <v>0.91283179261261505</v>
      </c>
      <c r="E1378">
        <v>1.02453711133459</v>
      </c>
      <c r="F1378">
        <v>0.89476902148991899</v>
      </c>
      <c r="G1378">
        <v>0.53475989491820197</v>
      </c>
      <c r="H1378">
        <v>0.148966892130627</v>
      </c>
      <c r="I1378">
        <v>8.7723170511250004E-2</v>
      </c>
      <c r="J1378">
        <v>7.4330409157086705E-2</v>
      </c>
      <c r="K1378">
        <v>6.66491602412215E-2</v>
      </c>
      <c r="L1378">
        <v>1791.66134129125</v>
      </c>
      <c r="M1378">
        <v>31.460880945292001</v>
      </c>
      <c r="N1378">
        <v>57.181651857487701</v>
      </c>
      <c r="O1378">
        <v>56.7202551129608</v>
      </c>
      <c r="P1378">
        <v>-0.130332225617459</v>
      </c>
      <c r="Q1378">
        <v>6.0110614599601903E-2</v>
      </c>
      <c r="R1378">
        <v>0.99394170020339201</v>
      </c>
      <c r="S1378" t="s">
        <v>5674</v>
      </c>
      <c r="T1378" t="s">
        <v>8590</v>
      </c>
      <c r="U1378" t="s">
        <v>8590</v>
      </c>
      <c r="V1378" t="s">
        <v>8590</v>
      </c>
      <c r="W1378">
        <v>21</v>
      </c>
      <c r="X1378" t="s">
        <v>9968</v>
      </c>
      <c r="Y1378">
        <v>0.59686415744648802</v>
      </c>
      <c r="Z1378" t="str">
        <f>HYPERLINK("Melting_Curves/meltCurve_sp_P61158_ARP3_HUMAN_.pdf", "Melting_Curves/meltCurve_sp_P61158_ARP3_HUMAN_.pdf")</f>
        <v>Melting_Curves/meltCurve_sp_P61158_ARP3_HUMAN_.pdf</v>
      </c>
      <c r="AA1378" t="s">
        <v>14240</v>
      </c>
      <c r="AB1378" t="s">
        <v>18462</v>
      </c>
    </row>
    <row r="1379" spans="1:28" x14ac:dyDescent="0.25">
      <c r="A1379" t="s">
        <v>1383</v>
      </c>
      <c r="B1379">
        <v>0.99876560204751996</v>
      </c>
      <c r="C1379">
        <v>1.08400033330131</v>
      </c>
      <c r="D1379">
        <v>0.96013925647665999</v>
      </c>
      <c r="E1379">
        <v>1.0698772789489801</v>
      </c>
      <c r="F1379">
        <v>0.90932983894153296</v>
      </c>
      <c r="G1379">
        <v>0.50120700077680203</v>
      </c>
      <c r="H1379">
        <v>0.13617669762762599</v>
      </c>
      <c r="I1379">
        <v>8.1915863103025094E-2</v>
      </c>
      <c r="J1379">
        <v>6.27083776503327E-2</v>
      </c>
      <c r="K1379">
        <v>4.82213751208432E-2</v>
      </c>
      <c r="L1379">
        <v>1946.6121979730101</v>
      </c>
      <c r="M1379">
        <v>34.269820206602702</v>
      </c>
      <c r="N1379">
        <v>56.997631043274303</v>
      </c>
      <c r="O1379">
        <v>56.610153046055302</v>
      </c>
      <c r="P1379">
        <v>-0.14296545911976499</v>
      </c>
      <c r="Q1379">
        <v>5.5347877797305399E-2</v>
      </c>
      <c r="R1379">
        <v>0.99209089948714702</v>
      </c>
      <c r="S1379" t="s">
        <v>5675</v>
      </c>
      <c r="T1379" t="s">
        <v>8590</v>
      </c>
      <c r="U1379" t="s">
        <v>8590</v>
      </c>
      <c r="V1379" t="s">
        <v>8590</v>
      </c>
      <c r="W1379">
        <v>17</v>
      </c>
      <c r="X1379" t="s">
        <v>9969</v>
      </c>
      <c r="Y1379">
        <v>0.58936964539696901</v>
      </c>
      <c r="Z1379" t="str">
        <f>HYPERLINK("Melting_Curves/meltCurve_sp_P61160_ARP2_HUMAN_.pdf", "Melting_Curves/meltCurve_sp_P61160_ARP2_HUMAN_.pdf")</f>
        <v>Melting_Curves/meltCurve_sp_P61160_ARP2_HUMAN_.pdf</v>
      </c>
      <c r="AA1379" t="s">
        <v>14241</v>
      </c>
      <c r="AB1379" t="s">
        <v>18463</v>
      </c>
    </row>
    <row r="1380" spans="1:28" x14ac:dyDescent="0.25">
      <c r="A1380" t="s">
        <v>1384</v>
      </c>
      <c r="B1380">
        <v>0.99876560204751996</v>
      </c>
      <c r="C1380">
        <v>0.97311107808084696</v>
      </c>
      <c r="D1380">
        <v>0.82118611937818997</v>
      </c>
      <c r="E1380">
        <v>0.84080709684351096</v>
      </c>
      <c r="F1380">
        <v>0.52674955733643203</v>
      </c>
      <c r="G1380">
        <v>0.26951846400455398</v>
      </c>
      <c r="H1380">
        <v>0.106277181450736</v>
      </c>
      <c r="I1380">
        <v>5.7531417813755197E-2</v>
      </c>
      <c r="J1380">
        <v>5.0015720244459903E-2</v>
      </c>
      <c r="K1380">
        <v>3.8449009204932001E-2</v>
      </c>
      <c r="L1380">
        <v>877.25642926377498</v>
      </c>
      <c r="M1380">
        <v>16.3781729250362</v>
      </c>
      <c r="N1380">
        <v>53.5842841958817</v>
      </c>
      <c r="O1380">
        <v>52.7831193654538</v>
      </c>
      <c r="P1380">
        <v>-7.7321513269414804E-2</v>
      </c>
      <c r="Q1380">
        <v>3.3128308978110799E-3</v>
      </c>
      <c r="R1380">
        <v>0.98634881362664995</v>
      </c>
      <c r="S1380" t="s">
        <v>5676</v>
      </c>
      <c r="T1380" t="s">
        <v>8590</v>
      </c>
      <c r="U1380" t="s">
        <v>8590</v>
      </c>
      <c r="V1380" t="s">
        <v>8590</v>
      </c>
      <c r="W1380">
        <v>10</v>
      </c>
      <c r="X1380" t="s">
        <v>9970</v>
      </c>
      <c r="Y1380">
        <v>0.47244487851566919</v>
      </c>
      <c r="Z1380" t="str">
        <f>HYPERLINK("Melting_Curves/meltCurve_sp_P61163_ACTZ_HUMAN_.pdf", "Melting_Curves/meltCurve_sp_P61163_ACTZ_HUMAN_.pdf")</f>
        <v>Melting_Curves/meltCurve_sp_P61163_ACTZ_HUMAN_.pdf</v>
      </c>
      <c r="AA1380" t="s">
        <v>14242</v>
      </c>
      <c r="AB1380" t="s">
        <v>18464</v>
      </c>
    </row>
    <row r="1381" spans="1:28" x14ac:dyDescent="0.25">
      <c r="A1381" t="s">
        <v>1385</v>
      </c>
      <c r="B1381">
        <v>0.99876560204751996</v>
      </c>
      <c r="C1381">
        <v>1.09184468236569</v>
      </c>
      <c r="D1381">
        <v>1.0334354722324099</v>
      </c>
      <c r="E1381">
        <v>1.0538284821258099</v>
      </c>
      <c r="F1381">
        <v>0.847762359709614</v>
      </c>
      <c r="G1381">
        <v>0.32297926811583599</v>
      </c>
      <c r="H1381">
        <v>0.118396844860525</v>
      </c>
      <c r="I1381">
        <v>8.2023239673212303E-2</v>
      </c>
      <c r="J1381">
        <v>7.0820988013884506E-2</v>
      </c>
      <c r="K1381">
        <v>5.02074177810456E-2</v>
      </c>
      <c r="L1381">
        <v>2054.96704271934</v>
      </c>
      <c r="M1381">
        <v>37.033900750807</v>
      </c>
      <c r="N1381">
        <v>55.715190398914103</v>
      </c>
      <c r="O1381">
        <v>55.327772491795102</v>
      </c>
      <c r="P1381">
        <v>-0.155650408049156</v>
      </c>
      <c r="Q1381">
        <v>6.9850731066092103E-2</v>
      </c>
      <c r="R1381">
        <v>0.99235984085077</v>
      </c>
      <c r="S1381" t="s">
        <v>5677</v>
      </c>
      <c r="T1381" t="s">
        <v>8590</v>
      </c>
      <c r="U1381" t="s">
        <v>8590</v>
      </c>
      <c r="V1381" t="s">
        <v>8590</v>
      </c>
      <c r="W1381">
        <v>14</v>
      </c>
      <c r="X1381" t="s">
        <v>9971</v>
      </c>
      <c r="Y1381">
        <v>0.5542134290987687</v>
      </c>
      <c r="Z1381" t="str">
        <f>HYPERLINK("Melting_Curves/meltCurve_sp_P61201_CSN2_HUMAN_.pdf", "Melting_Curves/meltCurve_sp_P61201_CSN2_HUMAN_.pdf")</f>
        <v>Melting_Curves/meltCurve_sp_P61201_CSN2_HUMAN_.pdf</v>
      </c>
      <c r="AA1381" t="s">
        <v>14243</v>
      </c>
      <c r="AB1381" t="s">
        <v>18465</v>
      </c>
    </row>
    <row r="1382" spans="1:28" x14ac:dyDescent="0.25">
      <c r="A1382" t="s">
        <v>1386</v>
      </c>
      <c r="B1382">
        <v>0.99876560204751996</v>
      </c>
      <c r="C1382">
        <v>0.90988921568978398</v>
      </c>
      <c r="D1382">
        <v>0.71962463189670101</v>
      </c>
      <c r="E1382">
        <v>0.80235849239031598</v>
      </c>
      <c r="F1382">
        <v>0.63521791961151397</v>
      </c>
      <c r="G1382">
        <v>0.60963207845774003</v>
      </c>
      <c r="H1382">
        <v>0.57033939659048705</v>
      </c>
      <c r="I1382">
        <v>0.56774621952922899</v>
      </c>
      <c r="J1382">
        <v>0.59083755078199096</v>
      </c>
      <c r="K1382">
        <v>0.596912167914178</v>
      </c>
      <c r="L1382">
        <v>573.35771812182304</v>
      </c>
      <c r="M1382">
        <v>12.222265569114899</v>
      </c>
      <c r="O1382">
        <v>45.708108766412998</v>
      </c>
      <c r="P1382">
        <v>-2.8731663660980698E-2</v>
      </c>
      <c r="Q1382">
        <v>0.57030036903233505</v>
      </c>
      <c r="R1382">
        <v>0.89997778047034005</v>
      </c>
      <c r="S1382" t="s">
        <v>5678</v>
      </c>
      <c r="T1382" t="s">
        <v>8590</v>
      </c>
      <c r="U1382" t="s">
        <v>8590</v>
      </c>
      <c r="V1382" t="s">
        <v>8590</v>
      </c>
      <c r="W1382">
        <v>2</v>
      </c>
      <c r="X1382" t="s">
        <v>9972</v>
      </c>
      <c r="Y1382">
        <v>0.68684416092827538</v>
      </c>
      <c r="Z1382" t="str">
        <f>HYPERLINK("Melting_Curves/meltCurve_sp_P61218_RPAB2_HUMAN_.pdf", "Melting_Curves/meltCurve_sp_P61218_RPAB2_HUMAN_.pdf")</f>
        <v>Melting_Curves/meltCurve_sp_P61218_RPAB2_HUMAN_.pdf</v>
      </c>
      <c r="AA1382" t="s">
        <v>14244</v>
      </c>
      <c r="AB1382" t="s">
        <v>18466</v>
      </c>
    </row>
    <row r="1383" spans="1:28" x14ac:dyDescent="0.25">
      <c r="A1383" t="s">
        <v>1387</v>
      </c>
      <c r="B1383">
        <v>0.99876560204751996</v>
      </c>
      <c r="C1383">
        <v>0.79871993360762805</v>
      </c>
      <c r="D1383">
        <v>0.65599743437664504</v>
      </c>
      <c r="E1383">
        <v>0.31226038692480501</v>
      </c>
      <c r="F1383">
        <v>0.12524450183552699</v>
      </c>
      <c r="G1383">
        <v>7.1135682430664399E-2</v>
      </c>
      <c r="H1383">
        <v>4.2444096831185399E-2</v>
      </c>
      <c r="I1383">
        <v>3.8330042773905698E-2</v>
      </c>
      <c r="J1383">
        <v>3.2322130948674102E-2</v>
      </c>
      <c r="K1383">
        <v>3.1211107400280099E-2</v>
      </c>
      <c r="L1383">
        <v>807.97374998874602</v>
      </c>
      <c r="M1383">
        <v>17.079357435992499</v>
      </c>
      <c r="N1383">
        <v>47.429915004368503</v>
      </c>
      <c r="O1383">
        <v>46.672769389616001</v>
      </c>
      <c r="P1383">
        <v>-8.9509717740667599E-2</v>
      </c>
      <c r="Q1383">
        <v>2.1646079425636601E-2</v>
      </c>
      <c r="R1383">
        <v>0.99438378950668405</v>
      </c>
      <c r="S1383" t="s">
        <v>5679</v>
      </c>
      <c r="T1383" t="s">
        <v>8590</v>
      </c>
      <c r="U1383" t="s">
        <v>8590</v>
      </c>
      <c r="V1383" t="s">
        <v>8590</v>
      </c>
      <c r="W1383">
        <v>10</v>
      </c>
      <c r="X1383" t="s">
        <v>9973</v>
      </c>
      <c r="Y1383">
        <v>0.27985461340059892</v>
      </c>
      <c r="Z1383" t="str">
        <f>HYPERLINK("Melting_Curves/meltCurve_sp_P61221_ABCE1_HUMAN_.pdf", "Melting_Curves/meltCurve_sp_P61221_ABCE1_HUMAN_.pdf")</f>
        <v>Melting_Curves/meltCurve_sp_P61221_ABCE1_HUMAN_.pdf</v>
      </c>
      <c r="AA1383" t="s">
        <v>14245</v>
      </c>
      <c r="AB1383" t="s">
        <v>18467</v>
      </c>
    </row>
    <row r="1384" spans="1:28" x14ac:dyDescent="0.25">
      <c r="A1384" t="s">
        <v>1388</v>
      </c>
      <c r="B1384">
        <v>0.99876560204751996</v>
      </c>
      <c r="C1384">
        <v>0.81246319300358405</v>
      </c>
      <c r="D1384">
        <v>0.74766819874235002</v>
      </c>
      <c r="E1384">
        <v>0.394303628034192</v>
      </c>
      <c r="F1384">
        <v>0.208065363934479</v>
      </c>
      <c r="G1384">
        <v>0.12513231193241001</v>
      </c>
      <c r="H1384">
        <v>8.6340702575094699E-2</v>
      </c>
      <c r="I1384">
        <v>7.7305952217021801E-2</v>
      </c>
      <c r="J1384">
        <v>5.3750336401428803E-2</v>
      </c>
      <c r="K1384">
        <v>5.6816759171350498E-2</v>
      </c>
      <c r="L1384">
        <v>771.706707739987</v>
      </c>
      <c r="M1384">
        <v>15.9942313261003</v>
      </c>
      <c r="N1384">
        <v>48.5600308276533</v>
      </c>
      <c r="O1384">
        <v>47.513717669869003</v>
      </c>
      <c r="P1384">
        <v>-8.0065991385735003E-2</v>
      </c>
      <c r="Q1384">
        <v>4.8673456289599799E-2</v>
      </c>
      <c r="R1384">
        <v>0.99209052187868896</v>
      </c>
      <c r="S1384" t="s">
        <v>5680</v>
      </c>
      <c r="T1384" t="s">
        <v>8590</v>
      </c>
      <c r="U1384" t="s">
        <v>8590</v>
      </c>
      <c r="V1384" t="s">
        <v>8590</v>
      </c>
      <c r="W1384">
        <v>6</v>
      </c>
      <c r="X1384" t="s">
        <v>9974</v>
      </c>
      <c r="Y1384">
        <v>0.33157497335609543</v>
      </c>
      <c r="Z1384" t="str">
        <f>HYPERLINK("Melting_Curves/meltCurve_sp_P61224_3_RAP1B_HUMAN_.pdf", "Melting_Curves/meltCurve_sp_P61224_3_RAP1B_HUMAN_.pdf")</f>
        <v>Melting_Curves/meltCurve_sp_P61224_3_RAP1B_HUMAN_.pdf</v>
      </c>
      <c r="AA1384" t="s">
        <v>14246</v>
      </c>
      <c r="AB1384" t="s">
        <v>18468</v>
      </c>
    </row>
    <row r="1385" spans="1:28" x14ac:dyDescent="0.25">
      <c r="A1385" t="s">
        <v>1389</v>
      </c>
      <c r="B1385">
        <v>0.99876560204751996</v>
      </c>
      <c r="C1385">
        <v>1.14222821555869</v>
      </c>
      <c r="D1385">
        <v>0.92604344936037597</v>
      </c>
      <c r="E1385">
        <v>0.69150762831290302</v>
      </c>
      <c r="F1385">
        <v>0.49133408368214698</v>
      </c>
      <c r="G1385">
        <v>0.26439462522817597</v>
      </c>
      <c r="H1385">
        <v>0.120551872644341</v>
      </c>
      <c r="I1385">
        <v>5.9808497679963803E-2</v>
      </c>
      <c r="J1385">
        <v>3.6439559432208703E-2</v>
      </c>
      <c r="K1385">
        <v>3.7005809755951503E-2</v>
      </c>
      <c r="L1385">
        <v>902.31515437510996</v>
      </c>
      <c r="M1385">
        <v>17.100087992534899</v>
      </c>
      <c r="N1385">
        <v>52.913939740885503</v>
      </c>
      <c r="O1385">
        <v>52.060922108524103</v>
      </c>
      <c r="P1385">
        <v>-8.0212752202730303E-2</v>
      </c>
      <c r="Q1385">
        <v>2.3233639718024699E-2</v>
      </c>
      <c r="R1385">
        <v>0.98336285524948297</v>
      </c>
      <c r="S1385" t="s">
        <v>5681</v>
      </c>
      <c r="T1385" t="s">
        <v>8590</v>
      </c>
      <c r="U1385" t="s">
        <v>8590</v>
      </c>
      <c r="V1385" t="s">
        <v>8590</v>
      </c>
      <c r="W1385">
        <v>4</v>
      </c>
      <c r="X1385" t="s">
        <v>9975</v>
      </c>
      <c r="Y1385">
        <v>0.45633828295037793</v>
      </c>
      <c r="Z1385" t="str">
        <f>HYPERLINK("Melting_Curves/meltCurve_sp_P61247_RS3A_HUMAN_.pdf", "Melting_Curves/meltCurve_sp_P61247_RS3A_HUMAN_.pdf")</f>
        <v>Melting_Curves/meltCurve_sp_P61247_RS3A_HUMAN_.pdf</v>
      </c>
      <c r="AA1385" t="s">
        <v>14247</v>
      </c>
      <c r="AB1385" t="s">
        <v>18469</v>
      </c>
    </row>
    <row r="1386" spans="1:28" x14ac:dyDescent="0.25">
      <c r="A1386" t="s">
        <v>1390</v>
      </c>
      <c r="B1386">
        <v>0.99876560204751996</v>
      </c>
      <c r="C1386">
        <v>0.99993385427691905</v>
      </c>
      <c r="D1386">
        <v>1.03808966109009</v>
      </c>
      <c r="E1386">
        <v>0.89216562750893702</v>
      </c>
      <c r="F1386">
        <v>0.63845818132838295</v>
      </c>
      <c r="G1386">
        <v>0.44324278593590599</v>
      </c>
      <c r="H1386">
        <v>0.38498110145532699</v>
      </c>
      <c r="I1386">
        <v>0.30602749131830698</v>
      </c>
      <c r="J1386">
        <v>0.43880644101355398</v>
      </c>
      <c r="K1386">
        <v>0.29873709040774199</v>
      </c>
      <c r="L1386">
        <v>1513.1120916427999</v>
      </c>
      <c r="M1386">
        <v>28.708163243009899</v>
      </c>
      <c r="N1386">
        <v>55.091019698973099</v>
      </c>
      <c r="O1386">
        <v>52.452931057411803</v>
      </c>
      <c r="P1386">
        <v>-8.8163577728467196E-2</v>
      </c>
      <c r="Q1386">
        <v>0.35566735183513498</v>
      </c>
      <c r="R1386">
        <v>0.98113861365009702</v>
      </c>
      <c r="S1386" t="s">
        <v>5682</v>
      </c>
      <c r="T1386" t="s">
        <v>8590</v>
      </c>
      <c r="U1386" t="s">
        <v>8590</v>
      </c>
      <c r="V1386" t="s">
        <v>8590</v>
      </c>
      <c r="W1386">
        <v>8</v>
      </c>
      <c r="X1386" t="s">
        <v>9976</v>
      </c>
      <c r="Y1386">
        <v>0.63311432351521069</v>
      </c>
      <c r="Z1386" t="str">
        <f>HYPERLINK("Melting_Curves/meltCurve_sp_P61289_PSME3_HUMAN_.pdf", "Melting_Curves/meltCurve_sp_P61289_PSME3_HUMAN_.pdf")</f>
        <v>Melting_Curves/meltCurve_sp_P61289_PSME3_HUMAN_.pdf</v>
      </c>
      <c r="AA1386" t="s">
        <v>14248</v>
      </c>
      <c r="AB1386" t="s">
        <v>18470</v>
      </c>
    </row>
    <row r="1387" spans="1:28" x14ac:dyDescent="0.25">
      <c r="A1387" t="s">
        <v>1391</v>
      </c>
      <c r="B1387">
        <v>0.99876560204751996</v>
      </c>
      <c r="C1387">
        <v>0.86405872921363602</v>
      </c>
      <c r="D1387">
        <v>0.935521966837084</v>
      </c>
      <c r="E1387">
        <v>0.64929607069327699</v>
      </c>
      <c r="F1387">
        <v>0.273693310718857</v>
      </c>
      <c r="G1387">
        <v>0.13218838962141999</v>
      </c>
      <c r="H1387">
        <v>9.4238235851149099E-2</v>
      </c>
      <c r="I1387">
        <v>7.3378246529384406E-2</v>
      </c>
      <c r="J1387">
        <v>6.7589084253898299E-2</v>
      </c>
      <c r="K1387">
        <v>6.1611763721182898E-2</v>
      </c>
      <c r="L1387">
        <v>1311.3468436257899</v>
      </c>
      <c r="M1387">
        <v>25.836182723371198</v>
      </c>
      <c r="N1387">
        <v>51.049172909628197</v>
      </c>
      <c r="O1387">
        <v>50.455066573813099</v>
      </c>
      <c r="P1387">
        <v>-0.11919698840649</v>
      </c>
      <c r="Q1387">
        <v>6.8899476977908505E-2</v>
      </c>
      <c r="R1387">
        <v>0.98730829717603297</v>
      </c>
      <c r="S1387" t="s">
        <v>5683</v>
      </c>
      <c r="T1387" t="s">
        <v>8590</v>
      </c>
      <c r="U1387" t="s">
        <v>8590</v>
      </c>
      <c r="V1387" t="s">
        <v>8590</v>
      </c>
      <c r="W1387">
        <v>6</v>
      </c>
      <c r="X1387" t="s">
        <v>9977</v>
      </c>
      <c r="Y1387">
        <v>0.41059634857318922</v>
      </c>
      <c r="Z1387" t="str">
        <f>HYPERLINK("Melting_Curves/meltCurve_sp_P61326_MGN_HUMAN_.pdf", "Melting_Curves/meltCurve_sp_P61326_MGN_HUMAN_.pdf")</f>
        <v>Melting_Curves/meltCurve_sp_P61326_MGN_HUMAN_.pdf</v>
      </c>
      <c r="AA1387" t="s">
        <v>14249</v>
      </c>
      <c r="AB1387" t="s">
        <v>18471</v>
      </c>
    </row>
    <row r="1388" spans="1:28" x14ac:dyDescent="0.25">
      <c r="A1388" t="s">
        <v>1392</v>
      </c>
      <c r="B1388">
        <v>0.99876560204751996</v>
      </c>
      <c r="C1388">
        <v>1.0005475006161599</v>
      </c>
      <c r="D1388">
        <v>1.0472925818710199</v>
      </c>
      <c r="E1388">
        <v>0.90808485198201605</v>
      </c>
      <c r="F1388">
        <v>0.77629128501899003</v>
      </c>
      <c r="G1388">
        <v>0.56651729770764103</v>
      </c>
      <c r="H1388">
        <v>0.45732436822642403</v>
      </c>
      <c r="I1388">
        <v>0.41857620646212601</v>
      </c>
      <c r="J1388">
        <v>0.33991582128475401</v>
      </c>
      <c r="K1388">
        <v>0.31473669555637301</v>
      </c>
      <c r="L1388">
        <v>942.35916504504803</v>
      </c>
      <c r="M1388">
        <v>16.988814324482199</v>
      </c>
      <c r="N1388">
        <v>58.993959571225702</v>
      </c>
      <c r="O1388">
        <v>54.717942715943202</v>
      </c>
      <c r="P1388">
        <v>-5.2878230250760598E-2</v>
      </c>
      <c r="Q1388">
        <v>0.31879690278671402</v>
      </c>
      <c r="R1388">
        <v>0.99063996214116201</v>
      </c>
      <c r="S1388" t="s">
        <v>5684</v>
      </c>
      <c r="T1388" t="s">
        <v>8590</v>
      </c>
      <c r="U1388" t="s">
        <v>8590</v>
      </c>
      <c r="V1388" t="s">
        <v>8590</v>
      </c>
      <c r="W1388">
        <v>10</v>
      </c>
      <c r="X1388" t="s">
        <v>9978</v>
      </c>
      <c r="Y1388">
        <v>0.68113939961057146</v>
      </c>
      <c r="Z1388" t="str">
        <f>HYPERLINK("Melting_Curves/meltCurve_sp_P61457_PHS_HUMAN_.pdf", "Melting_Curves/meltCurve_sp_P61457_PHS_HUMAN_.pdf")</f>
        <v>Melting_Curves/meltCurve_sp_P61457_PHS_HUMAN_.pdf</v>
      </c>
      <c r="AA1388" t="s">
        <v>14250</v>
      </c>
      <c r="AB1388" t="s">
        <v>18472</v>
      </c>
    </row>
    <row r="1389" spans="1:28" x14ac:dyDescent="0.25">
      <c r="A1389" t="s">
        <v>1393</v>
      </c>
      <c r="B1389">
        <v>0.99876560204751996</v>
      </c>
      <c r="C1389">
        <v>0.86557158929481803</v>
      </c>
      <c r="D1389">
        <v>0.83934751559232401</v>
      </c>
      <c r="E1389">
        <v>0.50902982453295897</v>
      </c>
      <c r="F1389">
        <v>0.25041283382023399</v>
      </c>
      <c r="G1389">
        <v>0.12644592627811199</v>
      </c>
      <c r="H1389">
        <v>8.2182758702321002E-2</v>
      </c>
      <c r="I1389">
        <v>7.3086660521632901E-2</v>
      </c>
      <c r="J1389">
        <v>7.0536599626770405E-2</v>
      </c>
      <c r="K1389">
        <v>6.1232836852922502E-2</v>
      </c>
      <c r="L1389">
        <v>896.94945870221295</v>
      </c>
      <c r="M1389">
        <v>18.099823750975201</v>
      </c>
      <c r="N1389">
        <v>49.864703994613201</v>
      </c>
      <c r="O1389">
        <v>48.962669108333003</v>
      </c>
      <c r="P1389">
        <v>-8.7517991118402999E-2</v>
      </c>
      <c r="Q1389">
        <v>5.3049982971218303E-2</v>
      </c>
      <c r="R1389">
        <v>0.99341974524279797</v>
      </c>
      <c r="S1389" t="s">
        <v>5685</v>
      </c>
      <c r="T1389" t="s">
        <v>8590</v>
      </c>
      <c r="U1389" t="s">
        <v>8590</v>
      </c>
      <c r="V1389" t="s">
        <v>8590</v>
      </c>
      <c r="W1389">
        <v>10</v>
      </c>
      <c r="X1389" t="s">
        <v>9979</v>
      </c>
      <c r="Y1389">
        <v>0.37075151902188258</v>
      </c>
      <c r="Z1389" t="str">
        <f>HYPERLINK("Melting_Curves/meltCurve_sp_P61586_RHOA_HUMAN_.pdf", "Melting_Curves/meltCurve_sp_P61586_RHOA_HUMAN_.pdf")</f>
        <v>Melting_Curves/meltCurve_sp_P61586_RHOA_HUMAN_.pdf</v>
      </c>
      <c r="AA1389" t="s">
        <v>14251</v>
      </c>
      <c r="AB1389" t="s">
        <v>18473</v>
      </c>
    </row>
    <row r="1390" spans="1:28" x14ac:dyDescent="0.25">
      <c r="A1390" t="s">
        <v>1394</v>
      </c>
      <c r="B1390">
        <v>0.99876560204751996</v>
      </c>
      <c r="C1390">
        <v>1.01125645082131</v>
      </c>
      <c r="D1390">
        <v>1.04502725190265</v>
      </c>
      <c r="E1390">
        <v>1.0181345493237099</v>
      </c>
      <c r="F1390">
        <v>1.03342569892796</v>
      </c>
      <c r="G1390">
        <v>0.84927406849921405</v>
      </c>
      <c r="H1390">
        <v>0.76949604231589797</v>
      </c>
      <c r="I1390">
        <v>0.86296862638915095</v>
      </c>
      <c r="J1390">
        <v>1.1028355908713099</v>
      </c>
      <c r="K1390">
        <v>0.99817308550567196</v>
      </c>
      <c r="L1390">
        <v>3314.4588746703898</v>
      </c>
      <c r="M1390">
        <v>60.659109079746798</v>
      </c>
      <c r="O1390">
        <v>54.5814521529499</v>
      </c>
      <c r="P1390">
        <v>-2.2879768171633699E-2</v>
      </c>
      <c r="Q1390">
        <v>0.91765058881935002</v>
      </c>
      <c r="R1390">
        <v>0.23573390206685199</v>
      </c>
      <c r="S1390" t="s">
        <v>5686</v>
      </c>
      <c r="T1390" t="s">
        <v>8590</v>
      </c>
      <c r="U1390" t="s">
        <v>8590</v>
      </c>
      <c r="V1390" t="s">
        <v>8590</v>
      </c>
      <c r="W1390">
        <v>18</v>
      </c>
      <c r="X1390" t="s">
        <v>9980</v>
      </c>
      <c r="Y1390">
        <v>0.95797374990419859</v>
      </c>
      <c r="Z1390" t="str">
        <f>HYPERLINK("Melting_Curves/meltCurve_sp_P61604_CH10_HUMAN_.pdf", "Melting_Curves/meltCurve_sp_P61604_CH10_HUMAN_.pdf")</f>
        <v>Melting_Curves/meltCurve_sp_P61604_CH10_HUMAN_.pdf</v>
      </c>
      <c r="AA1390" t="s">
        <v>14252</v>
      </c>
      <c r="AB1390" t="s">
        <v>18474</v>
      </c>
    </row>
    <row r="1391" spans="1:28" x14ac:dyDescent="0.25">
      <c r="A1391" t="s">
        <v>1395</v>
      </c>
      <c r="B1391">
        <v>0.99876560204751996</v>
      </c>
      <c r="C1391">
        <v>0.99707965755401495</v>
      </c>
      <c r="D1391">
        <v>0.96507370020860295</v>
      </c>
      <c r="E1391">
        <v>0.90643172027558705</v>
      </c>
      <c r="F1391">
        <v>0.80856573597567705</v>
      </c>
      <c r="G1391">
        <v>0.64405215909193303</v>
      </c>
      <c r="H1391">
        <v>0.47701660782033001</v>
      </c>
      <c r="I1391">
        <v>0.39813694432610303</v>
      </c>
      <c r="J1391">
        <v>0.463387057274536</v>
      </c>
      <c r="K1391">
        <v>0.46853242133379103</v>
      </c>
      <c r="L1391">
        <v>1042.2215326604301</v>
      </c>
      <c r="M1391">
        <v>18.982128191435599</v>
      </c>
      <c r="N1391">
        <v>60.894005074157299</v>
      </c>
      <c r="O1391">
        <v>54.306936133768602</v>
      </c>
      <c r="P1391">
        <v>-5.0449376470270701E-2</v>
      </c>
      <c r="Q1391">
        <v>0.42269035016899897</v>
      </c>
      <c r="R1391">
        <v>0.98637596448308795</v>
      </c>
      <c r="S1391" t="s">
        <v>5687</v>
      </c>
      <c r="T1391" t="s">
        <v>8590</v>
      </c>
      <c r="U1391" t="s">
        <v>8590</v>
      </c>
      <c r="V1391" t="s">
        <v>8590</v>
      </c>
      <c r="W1391">
        <v>10</v>
      </c>
      <c r="X1391" t="s">
        <v>9981</v>
      </c>
      <c r="Y1391">
        <v>0.71784669227312936</v>
      </c>
      <c r="Z1391" t="str">
        <f>HYPERLINK("Melting_Curves/meltCurve_sp_P61758_PFD3_HUMAN_.pdf", "Melting_Curves/meltCurve_sp_P61758_PFD3_HUMAN_.pdf")</f>
        <v>Melting_Curves/meltCurve_sp_P61758_PFD3_HUMAN_.pdf</v>
      </c>
      <c r="AA1391" t="s">
        <v>14253</v>
      </c>
      <c r="AB1391" t="s">
        <v>18475</v>
      </c>
    </row>
    <row r="1392" spans="1:28" x14ac:dyDescent="0.25">
      <c r="A1392" t="s">
        <v>1396</v>
      </c>
      <c r="B1392">
        <v>0.99876560204751996</v>
      </c>
      <c r="C1392">
        <v>0.96666247355308399</v>
      </c>
      <c r="D1392">
        <v>0.91260874055367802</v>
      </c>
      <c r="E1392">
        <v>0.91100470190376404</v>
      </c>
      <c r="F1392">
        <v>0.49142221361009197</v>
      </c>
      <c r="G1392">
        <v>0.429009424506198</v>
      </c>
      <c r="H1392">
        <v>0.41286012568585501</v>
      </c>
      <c r="I1392">
        <v>0.23153963356344801</v>
      </c>
      <c r="J1392">
        <v>9.8227232418216695E-2</v>
      </c>
      <c r="K1392">
        <v>6.0565323319634802E-2</v>
      </c>
      <c r="L1392">
        <v>602.32545171903303</v>
      </c>
      <c r="M1392">
        <v>10.7598211845206</v>
      </c>
      <c r="N1392">
        <v>55.979154230764699</v>
      </c>
      <c r="O1392">
        <v>54.149516593949699</v>
      </c>
      <c r="P1392">
        <v>-4.9694687745714103E-2</v>
      </c>
      <c r="Q1392">
        <v>0</v>
      </c>
      <c r="R1392">
        <v>0.95042956884590302</v>
      </c>
      <c r="S1392" t="s">
        <v>5688</v>
      </c>
      <c r="T1392" t="s">
        <v>8590</v>
      </c>
      <c r="U1392" t="s">
        <v>8590</v>
      </c>
      <c r="V1392" t="s">
        <v>8590</v>
      </c>
      <c r="W1392">
        <v>5</v>
      </c>
      <c r="X1392" t="s">
        <v>9982</v>
      </c>
      <c r="Y1392">
        <v>0.55372171122440383</v>
      </c>
      <c r="Z1392" t="str">
        <f>HYPERLINK("Melting_Curves/meltCurve_sp_P61923_COPZ1_HUMAN_.pdf", "Melting_Curves/meltCurve_sp_P61923_COPZ1_HUMAN_.pdf")</f>
        <v>Melting_Curves/meltCurve_sp_P61923_COPZ1_HUMAN_.pdf</v>
      </c>
      <c r="AA1392" t="s">
        <v>14254</v>
      </c>
      <c r="AB1392" t="s">
        <v>18476</v>
      </c>
    </row>
    <row r="1393" spans="1:28" x14ac:dyDescent="0.25">
      <c r="A1393" t="s">
        <v>1397</v>
      </c>
      <c r="B1393">
        <v>0.99876560204751996</v>
      </c>
      <c r="C1393">
        <v>0.93644961358203904</v>
      </c>
      <c r="D1393">
        <v>1.14176285988667</v>
      </c>
      <c r="E1393">
        <v>0.96630338539155403</v>
      </c>
      <c r="F1393">
        <v>1.10433060050054</v>
      </c>
      <c r="G1393">
        <v>0.86910611420052797</v>
      </c>
      <c r="H1393">
        <v>0.81692931114237</v>
      </c>
      <c r="I1393">
        <v>0.843381724291558</v>
      </c>
      <c r="J1393">
        <v>1.0364753593882099</v>
      </c>
      <c r="K1393">
        <v>1.09961775954986</v>
      </c>
      <c r="L1393">
        <v>2615.5659051674302</v>
      </c>
      <c r="M1393">
        <v>47.414054480977498</v>
      </c>
      <c r="O1393">
        <v>55.066495647472202</v>
      </c>
      <c r="P1393">
        <v>-1.3651566149018499E-2</v>
      </c>
      <c r="Q1393">
        <v>0.93658056670934697</v>
      </c>
      <c r="R1393">
        <v>0.12840036591354101</v>
      </c>
      <c r="S1393" t="s">
        <v>5689</v>
      </c>
      <c r="T1393" t="s">
        <v>8590</v>
      </c>
      <c r="U1393" t="s">
        <v>8590</v>
      </c>
      <c r="V1393" t="s">
        <v>8590</v>
      </c>
      <c r="W1393">
        <v>3</v>
      </c>
      <c r="X1393" t="s">
        <v>9983</v>
      </c>
      <c r="Y1393">
        <v>0.96880927398615813</v>
      </c>
      <c r="Z1393" t="str">
        <f>HYPERLINK("Melting_Curves/meltCurve_sp_P61956_2_SUMO2_HUMAN_.pdf", "Melting_Curves/meltCurve_sp_P61956_2_SUMO2_HUMAN_.pdf")</f>
        <v>Melting_Curves/meltCurve_sp_P61956_2_SUMO2_HUMAN_.pdf</v>
      </c>
      <c r="AA1393" t="s">
        <v>14255</v>
      </c>
      <c r="AB1393" t="s">
        <v>18477</v>
      </c>
    </row>
    <row r="1394" spans="1:28" x14ac:dyDescent="0.25">
      <c r="A1394" t="s">
        <v>1398</v>
      </c>
      <c r="B1394">
        <v>0.99876560204751996</v>
      </c>
      <c r="C1394">
        <v>1.0508759340214899</v>
      </c>
      <c r="D1394">
        <v>0.99106194627202704</v>
      </c>
      <c r="E1394">
        <v>0.87198824542532305</v>
      </c>
      <c r="F1394">
        <v>0.77769682565132703</v>
      </c>
      <c r="G1394">
        <v>0.59591093191559297</v>
      </c>
      <c r="H1394">
        <v>0.429470087094942</v>
      </c>
      <c r="I1394">
        <v>0.28763469416057502</v>
      </c>
      <c r="J1394">
        <v>0.23094770227540801</v>
      </c>
      <c r="K1394">
        <v>0.13835891824893401</v>
      </c>
      <c r="L1394">
        <v>681.14793896297203</v>
      </c>
      <c r="M1394">
        <v>11.5631249637559</v>
      </c>
      <c r="N1394">
        <v>59.091007322659799</v>
      </c>
      <c r="O1394">
        <v>57.227747814651202</v>
      </c>
      <c r="P1394">
        <v>-4.9633771631333999E-2</v>
      </c>
      <c r="Q1394">
        <v>1.7691747754730602E-2</v>
      </c>
      <c r="R1394">
        <v>0.99423854979249604</v>
      </c>
      <c r="S1394" t="s">
        <v>5690</v>
      </c>
      <c r="T1394" t="s">
        <v>8590</v>
      </c>
      <c r="U1394" t="s">
        <v>8590</v>
      </c>
      <c r="V1394" t="s">
        <v>8590</v>
      </c>
      <c r="W1394">
        <v>5</v>
      </c>
      <c r="X1394" t="s">
        <v>9984</v>
      </c>
      <c r="Y1394">
        <v>0.64431777286331837</v>
      </c>
      <c r="Z1394" t="str">
        <f>HYPERLINK("Melting_Curves/meltCurve_sp_P61964_WDR5_HUMAN_.pdf", "Melting_Curves/meltCurve_sp_P61964_WDR5_HUMAN_.pdf")</f>
        <v>Melting_Curves/meltCurve_sp_P61964_WDR5_HUMAN_.pdf</v>
      </c>
      <c r="AA1394" t="s">
        <v>14256</v>
      </c>
      <c r="AB1394" t="s">
        <v>18478</v>
      </c>
    </row>
    <row r="1395" spans="1:28" x14ac:dyDescent="0.25">
      <c r="A1395" t="s">
        <v>1399</v>
      </c>
      <c r="B1395">
        <v>0.99876560204751996</v>
      </c>
      <c r="C1395">
        <v>1.2230639513685599</v>
      </c>
      <c r="D1395">
        <v>1.0222137759265399</v>
      </c>
      <c r="E1395">
        <v>1.0828956511808101</v>
      </c>
      <c r="F1395">
        <v>0.85197889857147302</v>
      </c>
      <c r="G1395">
        <v>0.45121633272023798</v>
      </c>
      <c r="H1395">
        <v>0.120862824719169</v>
      </c>
      <c r="I1395">
        <v>6.1179321759848797E-2</v>
      </c>
      <c r="J1395">
        <v>4.2661777498681899E-2</v>
      </c>
      <c r="K1395">
        <v>2.5642709338402701E-2</v>
      </c>
      <c r="L1395">
        <v>1732.3560106207501</v>
      </c>
      <c r="M1395">
        <v>30.685654297949799</v>
      </c>
      <c r="N1395">
        <v>56.575664451545599</v>
      </c>
      <c r="O1395">
        <v>56.216776527959901</v>
      </c>
      <c r="P1395">
        <v>-0.132136629417305</v>
      </c>
      <c r="Q1395">
        <v>3.1697217491724099E-2</v>
      </c>
      <c r="R1395">
        <v>0.97198766019948502</v>
      </c>
      <c r="S1395" t="s">
        <v>5691</v>
      </c>
      <c r="T1395" t="s">
        <v>8590</v>
      </c>
      <c r="U1395" t="s">
        <v>8590</v>
      </c>
      <c r="V1395" t="s">
        <v>8590</v>
      </c>
      <c r="W1395">
        <v>2</v>
      </c>
      <c r="X1395" t="s">
        <v>9985</v>
      </c>
      <c r="Y1395">
        <v>0.56900903835482808</v>
      </c>
      <c r="Z1395" t="str">
        <f>HYPERLINK("Melting_Curves/meltCurve_sp_P61966_AP1S1_HUMAN_.pdf", "Melting_Curves/meltCurve_sp_P61966_AP1S1_HUMAN_.pdf")</f>
        <v>Melting_Curves/meltCurve_sp_P61966_AP1S1_HUMAN_.pdf</v>
      </c>
      <c r="AA1395" t="s">
        <v>14257</v>
      </c>
      <c r="AB1395" t="s">
        <v>18479</v>
      </c>
    </row>
    <row r="1396" spans="1:28" x14ac:dyDescent="0.25">
      <c r="A1396" t="s">
        <v>1400</v>
      </c>
      <c r="B1396">
        <v>0.99876560204751996</v>
      </c>
      <c r="C1396">
        <v>0.93706571323516696</v>
      </c>
      <c r="D1396">
        <v>1.0127721055444501</v>
      </c>
      <c r="E1396">
        <v>0.91250441552172501</v>
      </c>
      <c r="F1396">
        <v>0.84080559260217003</v>
      </c>
      <c r="G1396">
        <v>0.67575715293712602</v>
      </c>
      <c r="H1396">
        <v>0.50837477180507396</v>
      </c>
      <c r="I1396">
        <v>0.41920510813495399</v>
      </c>
      <c r="J1396">
        <v>0.37773161874021999</v>
      </c>
      <c r="K1396">
        <v>0.23358594198946001</v>
      </c>
      <c r="L1396">
        <v>643.938498210136</v>
      </c>
      <c r="M1396">
        <v>10.659206148472601</v>
      </c>
      <c r="N1396">
        <v>61.639981545870903</v>
      </c>
      <c r="O1396">
        <v>58.401572782015698</v>
      </c>
      <c r="P1396">
        <v>-4.1278095545423603E-2</v>
      </c>
      <c r="Q1396">
        <v>9.5696632305211499E-2</v>
      </c>
      <c r="R1396">
        <v>0.98883864088430196</v>
      </c>
      <c r="S1396" t="s">
        <v>5692</v>
      </c>
      <c r="T1396" t="s">
        <v>8590</v>
      </c>
      <c r="U1396" t="s">
        <v>8590</v>
      </c>
      <c r="V1396" t="s">
        <v>8590</v>
      </c>
      <c r="W1396">
        <v>4</v>
      </c>
      <c r="X1396" t="s">
        <v>9986</v>
      </c>
      <c r="Y1396">
        <v>0.70692691450382916</v>
      </c>
      <c r="Z1396" t="str">
        <f>HYPERLINK("Melting_Curves/meltCurve_sp_P61970_NTF2_HUMAN_.pdf", "Melting_Curves/meltCurve_sp_P61970_NTF2_HUMAN_.pdf")</f>
        <v>Melting_Curves/meltCurve_sp_P61970_NTF2_HUMAN_.pdf</v>
      </c>
      <c r="AA1396" t="s">
        <v>14258</v>
      </c>
      <c r="AB1396" t="s">
        <v>18480</v>
      </c>
    </row>
    <row r="1397" spans="1:28" x14ac:dyDescent="0.25">
      <c r="A1397" t="s">
        <v>1401</v>
      </c>
      <c r="B1397">
        <v>0.99876560204751996</v>
      </c>
      <c r="C1397">
        <v>0.966735294003357</v>
      </c>
      <c r="D1397">
        <v>1.0520321600073299</v>
      </c>
      <c r="E1397">
        <v>0.93916928108071096</v>
      </c>
      <c r="F1397">
        <v>0.945094973203077</v>
      </c>
      <c r="G1397">
        <v>0.70919669789719497</v>
      </c>
      <c r="H1397">
        <v>0.58025743062456603</v>
      </c>
      <c r="I1397">
        <v>0.54373216505247002</v>
      </c>
      <c r="J1397">
        <v>0.60239370680995996</v>
      </c>
      <c r="K1397">
        <v>0.59754093084290005</v>
      </c>
      <c r="L1397">
        <v>1972.76520183766</v>
      </c>
      <c r="M1397">
        <v>35.442449528428398</v>
      </c>
      <c r="O1397">
        <v>55.484801697308498</v>
      </c>
      <c r="P1397">
        <v>-6.7698974840332202E-2</v>
      </c>
      <c r="Q1397">
        <v>0.576073311538711</v>
      </c>
      <c r="R1397">
        <v>0.97491599016311403</v>
      </c>
      <c r="S1397" t="s">
        <v>5693</v>
      </c>
      <c r="T1397" t="s">
        <v>8590</v>
      </c>
      <c r="U1397" t="s">
        <v>8590</v>
      </c>
      <c r="V1397" t="s">
        <v>8590</v>
      </c>
      <c r="W1397">
        <v>23</v>
      </c>
      <c r="X1397" t="s">
        <v>9987</v>
      </c>
      <c r="Y1397">
        <v>0.79943492861916343</v>
      </c>
      <c r="Z1397" t="str">
        <f>HYPERLINK("Melting_Curves/meltCurve_sp_P61978_3_HNRPK_HUMAN_.pdf", "Melting_Curves/meltCurve_sp_P61978_3_HNRPK_HUMAN_.pdf")</f>
        <v>Melting_Curves/meltCurve_sp_P61978_3_HNRPK_HUMAN_.pdf</v>
      </c>
      <c r="AA1397" t="s">
        <v>14259</v>
      </c>
      <c r="AB1397" t="s">
        <v>18481</v>
      </c>
    </row>
    <row r="1398" spans="1:28" x14ac:dyDescent="0.25">
      <c r="A1398" t="s">
        <v>1402</v>
      </c>
      <c r="B1398">
        <v>0.99876560204751996</v>
      </c>
      <c r="C1398">
        <v>0.97329003282403703</v>
      </c>
      <c r="D1398">
        <v>1.0159617335950799</v>
      </c>
      <c r="E1398">
        <v>1.0038428450638499</v>
      </c>
      <c r="F1398">
        <v>1.01695873593227</v>
      </c>
      <c r="G1398">
        <v>0.81131115740199999</v>
      </c>
      <c r="H1398">
        <v>0.413859993734847</v>
      </c>
      <c r="I1398">
        <v>0.21514234674983901</v>
      </c>
      <c r="J1398">
        <v>0.12457957253792699</v>
      </c>
      <c r="K1398">
        <v>8.6288998690263297E-2</v>
      </c>
      <c r="L1398">
        <v>1708.1762344182</v>
      </c>
      <c r="M1398">
        <v>28.552792619719899</v>
      </c>
      <c r="N1398">
        <v>60.197250257076298</v>
      </c>
      <c r="O1398">
        <v>59.534041883175298</v>
      </c>
      <c r="P1398">
        <v>-0.11020312890820499</v>
      </c>
      <c r="Q1398">
        <v>8.08905191710549E-2</v>
      </c>
      <c r="R1398">
        <v>0.99804981368613299</v>
      </c>
      <c r="S1398" t="s">
        <v>5694</v>
      </c>
      <c r="T1398" t="s">
        <v>8590</v>
      </c>
      <c r="U1398" t="s">
        <v>8590</v>
      </c>
      <c r="V1398" t="s">
        <v>8590</v>
      </c>
      <c r="W1398">
        <v>19</v>
      </c>
      <c r="X1398" t="s">
        <v>9988</v>
      </c>
      <c r="Y1398">
        <v>0.69429713367436929</v>
      </c>
      <c r="Z1398" t="str">
        <f>HYPERLINK("Melting_Curves/meltCurve_sp_P61981_1433G_HUMAN_.pdf", "Melting_Curves/meltCurve_sp_P61981_1433G_HUMAN_.pdf")</f>
        <v>Melting_Curves/meltCurve_sp_P61981_1433G_HUMAN_.pdf</v>
      </c>
      <c r="AA1398" t="s">
        <v>14260</v>
      </c>
      <c r="AB1398" t="s">
        <v>18482</v>
      </c>
    </row>
    <row r="1399" spans="1:28" x14ac:dyDescent="0.25">
      <c r="A1399" t="s">
        <v>1403</v>
      </c>
      <c r="B1399">
        <v>0.99876560204751996</v>
      </c>
      <c r="C1399">
        <v>0.86847483482767895</v>
      </c>
      <c r="D1399">
        <v>0.65424243060091702</v>
      </c>
      <c r="E1399">
        <v>0.55096207128566499</v>
      </c>
      <c r="F1399">
        <v>0.33029466185166201</v>
      </c>
      <c r="G1399">
        <v>0.13260989546182</v>
      </c>
      <c r="H1399">
        <v>8.7925357569493601E-2</v>
      </c>
      <c r="I1399">
        <v>2.42588435882874E-2</v>
      </c>
      <c r="J1399">
        <v>2.5707041720585799E-2</v>
      </c>
      <c r="K1399">
        <v>2.7748855785945901E-2</v>
      </c>
      <c r="L1399">
        <v>618.79154671885601</v>
      </c>
      <c r="M1399">
        <v>12.4565658793575</v>
      </c>
      <c r="N1399">
        <v>49.675934131723103</v>
      </c>
      <c r="O1399">
        <v>48.4477753011316</v>
      </c>
      <c r="P1399">
        <v>-6.4291717556902203E-2</v>
      </c>
      <c r="Q1399">
        <v>0</v>
      </c>
      <c r="R1399">
        <v>0.98736429550492699</v>
      </c>
      <c r="S1399" t="s">
        <v>5695</v>
      </c>
      <c r="T1399" t="s">
        <v>8590</v>
      </c>
      <c r="U1399" t="s">
        <v>8590</v>
      </c>
      <c r="V1399" t="s">
        <v>8590</v>
      </c>
      <c r="W1399">
        <v>2</v>
      </c>
      <c r="X1399" t="s">
        <v>9989</v>
      </c>
      <c r="Y1399">
        <v>0.35574509750715849</v>
      </c>
      <c r="Z1399" t="str">
        <f>HYPERLINK("Melting_Curves/meltCurve_sp_P62070_RRAS2_HUMAN_.pdf", "Melting_Curves/meltCurve_sp_P62070_RRAS2_HUMAN_.pdf")</f>
        <v>Melting_Curves/meltCurve_sp_P62070_RRAS2_HUMAN_.pdf</v>
      </c>
      <c r="AA1399" t="s">
        <v>14261</v>
      </c>
      <c r="AB1399" t="s">
        <v>18483</v>
      </c>
    </row>
    <row r="1400" spans="1:28" x14ac:dyDescent="0.25">
      <c r="A1400" t="s">
        <v>1404</v>
      </c>
      <c r="B1400">
        <v>0.99876560204751996</v>
      </c>
      <c r="C1400">
        <v>1.0072807597892499</v>
      </c>
      <c r="D1400">
        <v>1.05053439826439</v>
      </c>
      <c r="E1400">
        <v>0.87910551985614005</v>
      </c>
      <c r="F1400">
        <v>0.88554557621952901</v>
      </c>
      <c r="G1400">
        <v>0.70452124471987598</v>
      </c>
      <c r="H1400">
        <v>0.61138249331106398</v>
      </c>
      <c r="I1400">
        <v>0.56518875593545703</v>
      </c>
      <c r="J1400">
        <v>0.71017179709098299</v>
      </c>
      <c r="K1400">
        <v>0.668830402503788</v>
      </c>
      <c r="L1400">
        <v>1310.9921502590901</v>
      </c>
      <c r="M1400">
        <v>24.440727009668599</v>
      </c>
      <c r="O1400">
        <v>53.284428217570401</v>
      </c>
      <c r="P1400">
        <v>-4.1905947237347398E-2</v>
      </c>
      <c r="Q1400">
        <v>0.63456053250060496</v>
      </c>
      <c r="R1400">
        <v>0.91678714960432095</v>
      </c>
      <c r="S1400" t="s">
        <v>5696</v>
      </c>
      <c r="T1400" t="s">
        <v>8590</v>
      </c>
      <c r="U1400" t="s">
        <v>8590</v>
      </c>
      <c r="V1400" t="s">
        <v>8590</v>
      </c>
      <c r="W1400">
        <v>2</v>
      </c>
      <c r="X1400" t="s">
        <v>9990</v>
      </c>
      <c r="Y1400">
        <v>0.80422985674337588</v>
      </c>
      <c r="Z1400" t="str">
        <f>HYPERLINK("Melting_Curves/meltCurve_sp_P62072_TIM10_HUMAN_.pdf", "Melting_Curves/meltCurve_sp_P62072_TIM10_HUMAN_.pdf")</f>
        <v>Melting_Curves/meltCurve_sp_P62072_TIM10_HUMAN_.pdf</v>
      </c>
      <c r="AA1400" t="s">
        <v>14262</v>
      </c>
      <c r="AB1400" t="s">
        <v>18484</v>
      </c>
    </row>
    <row r="1401" spans="1:28" x14ac:dyDescent="0.25">
      <c r="A1401" t="s">
        <v>1405</v>
      </c>
      <c r="B1401">
        <v>0.99876560204751996</v>
      </c>
      <c r="C1401">
        <v>0.95276181433068596</v>
      </c>
      <c r="D1401">
        <v>0.87913310291026903</v>
      </c>
      <c r="E1401">
        <v>0.74641265730800499</v>
      </c>
      <c r="F1401">
        <v>0.55184611571311104</v>
      </c>
      <c r="G1401">
        <v>0.33912423260874502</v>
      </c>
      <c r="H1401">
        <v>0.18459304562371601</v>
      </c>
      <c r="I1401">
        <v>0.137241541785145</v>
      </c>
      <c r="J1401">
        <v>0.11020285093167199</v>
      </c>
      <c r="K1401">
        <v>8.8108971563409993E-2</v>
      </c>
      <c r="L1401">
        <v>706.74240256919302</v>
      </c>
      <c r="M1401">
        <v>13.205199026963699</v>
      </c>
      <c r="N1401">
        <v>53.871080292529001</v>
      </c>
      <c r="O1401">
        <v>52.337290051608697</v>
      </c>
      <c r="P1401">
        <v>-6.0486927759266902E-2</v>
      </c>
      <c r="Q1401">
        <v>4.1227396897344198E-2</v>
      </c>
      <c r="R1401">
        <v>0.99892243111356804</v>
      </c>
      <c r="S1401" t="s">
        <v>5697</v>
      </c>
      <c r="T1401" t="s">
        <v>8590</v>
      </c>
      <c r="U1401" t="s">
        <v>8590</v>
      </c>
      <c r="V1401" t="s">
        <v>8590</v>
      </c>
      <c r="W1401">
        <v>14</v>
      </c>
      <c r="X1401" t="s">
        <v>9991</v>
      </c>
      <c r="Y1401">
        <v>0.49689479549929683</v>
      </c>
      <c r="Z1401" t="str">
        <f>HYPERLINK("Melting_Curves/meltCurve_sp_P62136_PP1A_HUMAN_.pdf", "Melting_Curves/meltCurve_sp_P62136_PP1A_HUMAN_.pdf")</f>
        <v>Melting_Curves/meltCurve_sp_P62136_PP1A_HUMAN_.pdf</v>
      </c>
      <c r="AA1401" t="s">
        <v>14263</v>
      </c>
      <c r="AB1401" t="s">
        <v>18485</v>
      </c>
    </row>
    <row r="1402" spans="1:28" x14ac:dyDescent="0.25">
      <c r="A1402" t="s">
        <v>1406</v>
      </c>
      <c r="B1402">
        <v>0.99876560204751996</v>
      </c>
      <c r="C1402">
        <v>0.92429401522892396</v>
      </c>
      <c r="D1402">
        <v>0.82401194796754695</v>
      </c>
      <c r="E1402">
        <v>0.75868527475955005</v>
      </c>
      <c r="F1402">
        <v>0.53454669925064602</v>
      </c>
      <c r="G1402">
        <v>0.29029815393168301</v>
      </c>
      <c r="H1402">
        <v>0.14131192255733799</v>
      </c>
      <c r="I1402">
        <v>7.9985506656018196E-2</v>
      </c>
      <c r="J1402">
        <v>7.3308926272858801E-2</v>
      </c>
      <c r="K1402">
        <v>5.4727236819801697E-2</v>
      </c>
      <c r="L1402">
        <v>700.65465935613997</v>
      </c>
      <c r="M1402">
        <v>13.1316209894023</v>
      </c>
      <c r="N1402">
        <v>53.3562992361244</v>
      </c>
      <c r="O1402">
        <v>52.1644299594534</v>
      </c>
      <c r="P1402">
        <v>-6.2944480092864005E-2</v>
      </c>
      <c r="Q1402">
        <v>0</v>
      </c>
      <c r="R1402">
        <v>0.99244637858502904</v>
      </c>
      <c r="S1402" t="s">
        <v>5698</v>
      </c>
      <c r="T1402" t="s">
        <v>8590</v>
      </c>
      <c r="U1402" t="s">
        <v>8590</v>
      </c>
      <c r="V1402" t="s">
        <v>8590</v>
      </c>
      <c r="W1402">
        <v>12</v>
      </c>
      <c r="X1402" t="s">
        <v>9992</v>
      </c>
      <c r="Y1402">
        <v>0.47024042059457882</v>
      </c>
      <c r="Z1402" t="str">
        <f>HYPERLINK("Melting_Curves/meltCurve_sp_P62140_PP1B_HUMAN_.pdf", "Melting_Curves/meltCurve_sp_P62140_PP1B_HUMAN_.pdf")</f>
        <v>Melting_Curves/meltCurve_sp_P62140_PP1B_HUMAN_.pdf</v>
      </c>
      <c r="AA1402" t="s">
        <v>14264</v>
      </c>
      <c r="AB1402" t="s">
        <v>18486</v>
      </c>
    </row>
    <row r="1403" spans="1:28" x14ac:dyDescent="0.25">
      <c r="A1403" t="s">
        <v>1407</v>
      </c>
      <c r="B1403">
        <v>0.99876560204751996</v>
      </c>
      <c r="C1403">
        <v>0.96034767288497203</v>
      </c>
      <c r="D1403">
        <v>1.07225409026914</v>
      </c>
      <c r="E1403">
        <v>0.94321568733813599</v>
      </c>
      <c r="F1403">
        <v>1.02977940756497</v>
      </c>
      <c r="G1403">
        <v>0.76043409031505305</v>
      </c>
      <c r="H1403">
        <v>0.68999136329028798</v>
      </c>
      <c r="I1403">
        <v>0.697869752370604</v>
      </c>
      <c r="J1403">
        <v>0.93556539037930597</v>
      </c>
      <c r="K1403">
        <v>0.88615130647282603</v>
      </c>
      <c r="L1403">
        <v>6312.10218812331</v>
      </c>
      <c r="M1403">
        <v>114.969325559575</v>
      </c>
      <c r="O1403">
        <v>54.885874263113799</v>
      </c>
      <c r="P1403">
        <v>-0.107999932554163</v>
      </c>
      <c r="Q1403">
        <v>0.79376511120229198</v>
      </c>
      <c r="R1403">
        <v>0.635842201795212</v>
      </c>
      <c r="S1403" t="s">
        <v>5699</v>
      </c>
      <c r="T1403" t="s">
        <v>8590</v>
      </c>
      <c r="U1403" t="s">
        <v>8590</v>
      </c>
      <c r="V1403" t="s">
        <v>8590</v>
      </c>
      <c r="W1403">
        <v>9</v>
      </c>
      <c r="X1403" t="s">
        <v>9993</v>
      </c>
      <c r="Y1403">
        <v>0.89630625771605243</v>
      </c>
      <c r="Z1403" t="str">
        <f>HYPERLINK("Melting_Curves/meltCurve_sp_P62158_CALM_HUMAN_.pdf", "Melting_Curves/meltCurve_sp_P62158_CALM_HUMAN_.pdf")</f>
        <v>Melting_Curves/meltCurve_sp_P62158_CALM_HUMAN_.pdf</v>
      </c>
      <c r="AA1403" t="s">
        <v>14265</v>
      </c>
      <c r="AB1403" t="s">
        <v>18487</v>
      </c>
    </row>
    <row r="1404" spans="1:28" x14ac:dyDescent="0.25">
      <c r="A1404" t="s">
        <v>1408</v>
      </c>
      <c r="B1404">
        <v>0.99876560204751996</v>
      </c>
      <c r="C1404">
        <v>0.95295136092921895</v>
      </c>
      <c r="D1404">
        <v>0.75287774642466598</v>
      </c>
      <c r="E1404">
        <v>0.499617026841852</v>
      </c>
      <c r="F1404">
        <v>0.28127655193809997</v>
      </c>
      <c r="G1404">
        <v>0.130504318929687</v>
      </c>
      <c r="H1404">
        <v>7.5501435115249496E-2</v>
      </c>
      <c r="I1404">
        <v>5.7376103401073297E-2</v>
      </c>
      <c r="J1404">
        <v>5.3144594199781403E-2</v>
      </c>
      <c r="K1404">
        <v>4.3768915564303498E-2</v>
      </c>
      <c r="L1404">
        <v>804.48416302839905</v>
      </c>
      <c r="M1404">
        <v>16.237780327780101</v>
      </c>
      <c r="N1404">
        <v>49.761916243031301</v>
      </c>
      <c r="O1404">
        <v>48.810822883614797</v>
      </c>
      <c r="P1404">
        <v>-8.0318280809812403E-2</v>
      </c>
      <c r="Q1404">
        <v>3.4323378552773301E-2</v>
      </c>
      <c r="R1404">
        <v>0.99820586658411403</v>
      </c>
      <c r="S1404" t="s">
        <v>5700</v>
      </c>
      <c r="T1404" t="s">
        <v>8590</v>
      </c>
      <c r="U1404" t="s">
        <v>8590</v>
      </c>
      <c r="V1404" t="s">
        <v>8590</v>
      </c>
      <c r="W1404">
        <v>14</v>
      </c>
      <c r="X1404" t="s">
        <v>9994</v>
      </c>
      <c r="Y1404">
        <v>0.36172066186919588</v>
      </c>
      <c r="Z1404" t="str">
        <f>HYPERLINK("Melting_Curves/meltCurve_sp_P62191_PRS4_HUMAN_.pdf", "Melting_Curves/meltCurve_sp_P62191_PRS4_HUMAN_.pdf")</f>
        <v>Melting_Curves/meltCurve_sp_P62191_PRS4_HUMAN_.pdf</v>
      </c>
      <c r="AA1404" t="s">
        <v>14266</v>
      </c>
      <c r="AB1404" t="s">
        <v>18488</v>
      </c>
    </row>
    <row r="1405" spans="1:28" x14ac:dyDescent="0.25">
      <c r="A1405" t="s">
        <v>1409</v>
      </c>
      <c r="B1405">
        <v>0.99876560204751996</v>
      </c>
      <c r="C1405">
        <v>0.914909727430678</v>
      </c>
      <c r="D1405">
        <v>0.65977362972729103</v>
      </c>
      <c r="E1405">
        <v>0.41759607584469899</v>
      </c>
      <c r="F1405">
        <v>0.20834014701254699</v>
      </c>
      <c r="G1405">
        <v>8.7392722611777801E-2</v>
      </c>
      <c r="H1405">
        <v>7.01837786860674E-2</v>
      </c>
      <c r="I1405">
        <v>5.0424067484533402E-2</v>
      </c>
      <c r="J1405">
        <v>5.29692556267869E-2</v>
      </c>
      <c r="K1405">
        <v>4.2800137710360703E-2</v>
      </c>
      <c r="L1405">
        <v>797.61886487951494</v>
      </c>
      <c r="M1405">
        <v>16.530493803002901</v>
      </c>
      <c r="N1405">
        <v>48.4719195785</v>
      </c>
      <c r="O1405">
        <v>47.561818996659397</v>
      </c>
      <c r="P1405">
        <v>-8.3747678070066403E-2</v>
      </c>
      <c r="Q1405">
        <v>3.6225661564996701E-2</v>
      </c>
      <c r="R1405">
        <v>0.99606587225501997</v>
      </c>
      <c r="S1405" t="s">
        <v>5701</v>
      </c>
      <c r="T1405" t="s">
        <v>8590</v>
      </c>
      <c r="U1405" t="s">
        <v>8590</v>
      </c>
      <c r="V1405" t="s">
        <v>8590</v>
      </c>
      <c r="W1405">
        <v>11</v>
      </c>
      <c r="X1405" t="s">
        <v>9995</v>
      </c>
      <c r="Y1405">
        <v>0.32151446846322879</v>
      </c>
      <c r="Z1405" t="str">
        <f>HYPERLINK("Melting_Curves/meltCurve_sp_P62195_2_PRS8_HUMAN_.pdf", "Melting_Curves/meltCurve_sp_P62195_2_PRS8_HUMAN_.pdf")</f>
        <v>Melting_Curves/meltCurve_sp_P62195_2_PRS8_HUMAN_.pdf</v>
      </c>
      <c r="AA1405" t="s">
        <v>14267</v>
      </c>
      <c r="AB1405" t="s">
        <v>18489</v>
      </c>
    </row>
    <row r="1406" spans="1:28" x14ac:dyDescent="0.25">
      <c r="A1406" t="s">
        <v>1410</v>
      </c>
      <c r="B1406">
        <v>0.99876560204751996</v>
      </c>
      <c r="C1406">
        <v>1.0812315777953501</v>
      </c>
      <c r="D1406">
        <v>0.86968657884371203</v>
      </c>
      <c r="E1406">
        <v>0.62908465709029604</v>
      </c>
      <c r="F1406">
        <v>0.44156638761240802</v>
      </c>
      <c r="G1406">
        <v>0.312554738883005</v>
      </c>
      <c r="H1406">
        <v>0.17240592987011299</v>
      </c>
      <c r="I1406">
        <v>9.2412199052959096E-2</v>
      </c>
      <c r="J1406">
        <v>7.6890901456367997E-2</v>
      </c>
      <c r="K1406">
        <v>5.5170413625715599E-2</v>
      </c>
      <c r="L1406">
        <v>756.85500246634194</v>
      </c>
      <c r="M1406">
        <v>14.533510934349</v>
      </c>
      <c r="N1406">
        <v>52.4503850382428</v>
      </c>
      <c r="O1406">
        <v>51.120388540396398</v>
      </c>
      <c r="P1406">
        <v>-6.7585640277673803E-2</v>
      </c>
      <c r="Q1406">
        <v>4.9201740938997499E-2</v>
      </c>
      <c r="R1406">
        <v>0.98549313672315697</v>
      </c>
      <c r="S1406" t="s">
        <v>5702</v>
      </c>
      <c r="T1406" t="s">
        <v>8590</v>
      </c>
      <c r="U1406" t="s">
        <v>8590</v>
      </c>
      <c r="V1406" t="s">
        <v>8590</v>
      </c>
      <c r="W1406">
        <v>4</v>
      </c>
      <c r="X1406" t="s">
        <v>9996</v>
      </c>
      <c r="Y1406">
        <v>0.45417620021972799</v>
      </c>
      <c r="Z1406" t="str">
        <f>HYPERLINK("Melting_Curves/meltCurve_sp_P62241_RS8_HUMAN_.pdf", "Melting_Curves/meltCurve_sp_P62241_RS8_HUMAN_.pdf")</f>
        <v>Melting_Curves/meltCurve_sp_P62241_RS8_HUMAN_.pdf</v>
      </c>
      <c r="AA1406" t="s">
        <v>14268</v>
      </c>
      <c r="AB1406" t="s">
        <v>18490</v>
      </c>
    </row>
    <row r="1407" spans="1:28" x14ac:dyDescent="0.25">
      <c r="A1407" t="s">
        <v>1411</v>
      </c>
      <c r="B1407">
        <v>0.99876560204751996</v>
      </c>
      <c r="C1407">
        <v>0.99646838712709696</v>
      </c>
      <c r="D1407">
        <v>1.04717550064756</v>
      </c>
      <c r="E1407">
        <v>0.98875793851730098</v>
      </c>
      <c r="F1407">
        <v>0.972673129900402</v>
      </c>
      <c r="G1407">
        <v>0.80596669015406797</v>
      </c>
      <c r="H1407">
        <v>0.37981194725127698</v>
      </c>
      <c r="I1407">
        <v>0.13000693049249301</v>
      </c>
      <c r="J1407">
        <v>6.8922944009502204E-2</v>
      </c>
      <c r="K1407">
        <v>5.0223047690700497E-2</v>
      </c>
      <c r="L1407">
        <v>1771.1392966968699</v>
      </c>
      <c r="M1407">
        <v>29.658419591547901</v>
      </c>
      <c r="N1407">
        <v>59.843801341899301</v>
      </c>
      <c r="O1407">
        <v>59.448405153031203</v>
      </c>
      <c r="P1407">
        <v>-0.12095224357458</v>
      </c>
      <c r="Q1407">
        <v>3.0242482274075201E-2</v>
      </c>
      <c r="R1407">
        <v>0.99830323025732204</v>
      </c>
      <c r="S1407" t="s">
        <v>5703</v>
      </c>
      <c r="T1407" t="s">
        <v>8590</v>
      </c>
      <c r="U1407" t="s">
        <v>8590</v>
      </c>
      <c r="V1407" t="s">
        <v>8590</v>
      </c>
      <c r="W1407">
        <v>23</v>
      </c>
      <c r="X1407" t="s">
        <v>9997</v>
      </c>
      <c r="Y1407">
        <v>0.67372416160220894</v>
      </c>
      <c r="Z1407" t="str">
        <f>HYPERLINK("Melting_Curves/meltCurve_sp_P62258_1433E_HUMAN_.pdf", "Melting_Curves/meltCurve_sp_P62258_1433E_HUMAN_.pdf")</f>
        <v>Melting_Curves/meltCurve_sp_P62258_1433E_HUMAN_.pdf</v>
      </c>
      <c r="AA1407" t="s">
        <v>14269</v>
      </c>
      <c r="AB1407" t="s">
        <v>18491</v>
      </c>
    </row>
    <row r="1408" spans="1:28" x14ac:dyDescent="0.25">
      <c r="A1408" t="s">
        <v>1412</v>
      </c>
      <c r="B1408">
        <v>0.99876560204751996</v>
      </c>
      <c r="C1408">
        <v>0.97892427987711295</v>
      </c>
      <c r="D1408">
        <v>0.99673025669730997</v>
      </c>
      <c r="E1408">
        <v>0.79788619386989501</v>
      </c>
      <c r="F1408">
        <v>0.58553885204108003</v>
      </c>
      <c r="G1408">
        <v>0.38230113923583903</v>
      </c>
      <c r="H1408">
        <v>0.40293881606586501</v>
      </c>
      <c r="I1408">
        <v>0.37420652119729497</v>
      </c>
      <c r="J1408">
        <v>0.40186892218589199</v>
      </c>
      <c r="K1408">
        <v>0.29817563754494403</v>
      </c>
      <c r="L1408">
        <v>1372.8723496647499</v>
      </c>
      <c r="M1408">
        <v>26.603916646637199</v>
      </c>
      <c r="N1408">
        <v>54.206597293066999</v>
      </c>
      <c r="O1408">
        <v>51.315229596899798</v>
      </c>
      <c r="P1408">
        <v>-8.2873829122078996E-2</v>
      </c>
      <c r="Q1408">
        <v>0.36059882400207299</v>
      </c>
      <c r="R1408">
        <v>0.98897386621850703</v>
      </c>
      <c r="S1408" t="s">
        <v>5704</v>
      </c>
      <c r="T1408" t="s">
        <v>8590</v>
      </c>
      <c r="U1408" t="s">
        <v>8590</v>
      </c>
      <c r="V1408" t="s">
        <v>8590</v>
      </c>
      <c r="W1408">
        <v>4</v>
      </c>
      <c r="X1408" t="s">
        <v>9998</v>
      </c>
      <c r="Y1408">
        <v>0.61307127089032754</v>
      </c>
      <c r="Z1408" t="str">
        <f>HYPERLINK("Melting_Curves/meltCurve_sp_P62277_RS13_HUMAN_.pdf", "Melting_Curves/meltCurve_sp_P62277_RS13_HUMAN_.pdf")</f>
        <v>Melting_Curves/meltCurve_sp_P62277_RS13_HUMAN_.pdf</v>
      </c>
      <c r="AA1408" t="s">
        <v>14270</v>
      </c>
      <c r="AB1408" t="s">
        <v>18492</v>
      </c>
    </row>
    <row r="1409" spans="1:28" x14ac:dyDescent="0.25">
      <c r="A1409" t="s">
        <v>1413</v>
      </c>
      <c r="B1409">
        <v>0.99876560204751996</v>
      </c>
      <c r="C1409">
        <v>1.01192230286239</v>
      </c>
      <c r="D1409">
        <v>0.70116187324421098</v>
      </c>
      <c r="E1409">
        <v>0.46125230024172598</v>
      </c>
      <c r="F1409">
        <v>0.25928112124545399</v>
      </c>
      <c r="G1409">
        <v>0.13517846400686501</v>
      </c>
      <c r="H1409">
        <v>8.0795442624511798E-2</v>
      </c>
      <c r="I1409">
        <v>6.7134396422880799E-2</v>
      </c>
      <c r="J1409">
        <v>6.3897206854115193E-2</v>
      </c>
      <c r="K1409">
        <v>5.58600849960375E-2</v>
      </c>
      <c r="L1409">
        <v>851.25521506002406</v>
      </c>
      <c r="M1409">
        <v>17.387321466077701</v>
      </c>
      <c r="N1409">
        <v>49.289147789069403</v>
      </c>
      <c r="O1409">
        <v>48.324545299001798</v>
      </c>
      <c r="P1409">
        <v>-8.5002450739361898E-2</v>
      </c>
      <c r="Q1409">
        <v>5.5064890589950302E-2</v>
      </c>
      <c r="R1409">
        <v>0.99071062089679496</v>
      </c>
      <c r="S1409" t="s">
        <v>5705</v>
      </c>
      <c r="T1409" t="s">
        <v>8590</v>
      </c>
      <c r="U1409" t="s">
        <v>8590</v>
      </c>
      <c r="V1409" t="s">
        <v>8590</v>
      </c>
      <c r="W1409">
        <v>4</v>
      </c>
      <c r="X1409" t="s">
        <v>9999</v>
      </c>
      <c r="Y1409">
        <v>0.3547831037937027</v>
      </c>
      <c r="Z1409" t="str">
        <f>HYPERLINK("Melting_Curves/meltCurve_sp_P62280_RS11_HUMAN_.pdf", "Melting_Curves/meltCurve_sp_P62280_RS11_HUMAN_.pdf")</f>
        <v>Melting_Curves/meltCurve_sp_P62280_RS11_HUMAN_.pdf</v>
      </c>
      <c r="AA1409" t="s">
        <v>14271</v>
      </c>
      <c r="AB1409" t="s">
        <v>18493</v>
      </c>
    </row>
    <row r="1410" spans="1:28" x14ac:dyDescent="0.25">
      <c r="A1410" t="s">
        <v>1414</v>
      </c>
      <c r="B1410">
        <v>0.99876560204751996</v>
      </c>
      <c r="C1410">
        <v>1.0511221799273001</v>
      </c>
      <c r="D1410">
        <v>0.98668315221234904</v>
      </c>
      <c r="E1410">
        <v>0.95861282034214501</v>
      </c>
      <c r="F1410">
        <v>0.70710233594215999</v>
      </c>
      <c r="G1410">
        <v>0.54637279671081596</v>
      </c>
      <c r="H1410">
        <v>0.41400541427815601</v>
      </c>
      <c r="I1410">
        <v>0.31896210231423699</v>
      </c>
      <c r="J1410">
        <v>0.23120988393820099</v>
      </c>
      <c r="K1410">
        <v>0.13891721106997801</v>
      </c>
      <c r="L1410">
        <v>747.88278457859496</v>
      </c>
      <c r="M1410">
        <v>13.0187513058349</v>
      </c>
      <c r="N1410">
        <v>58.431139710111601</v>
      </c>
      <c r="O1410">
        <v>56.141838584161597</v>
      </c>
      <c r="P1410">
        <v>-5.2272321205552197E-2</v>
      </c>
      <c r="Q1410">
        <v>9.8485358738082798E-2</v>
      </c>
      <c r="R1410">
        <v>0.98369936640322098</v>
      </c>
      <c r="S1410" t="s">
        <v>5706</v>
      </c>
      <c r="T1410" t="s">
        <v>8590</v>
      </c>
      <c r="U1410" t="s">
        <v>8590</v>
      </c>
      <c r="V1410" t="s">
        <v>8590</v>
      </c>
      <c r="W1410">
        <v>2</v>
      </c>
      <c r="X1410" t="s">
        <v>10000</v>
      </c>
      <c r="Y1410">
        <v>0.63651697949995101</v>
      </c>
      <c r="Z1410" t="str">
        <f>HYPERLINK("Melting_Curves/meltCurve_sp_P62304_RUXE_HUMAN_.pdf", "Melting_Curves/meltCurve_sp_P62304_RUXE_HUMAN_.pdf")</f>
        <v>Melting_Curves/meltCurve_sp_P62304_RUXE_HUMAN_.pdf</v>
      </c>
      <c r="AA1410" t="s">
        <v>14272</v>
      </c>
      <c r="AB1410" t="s">
        <v>18494</v>
      </c>
    </row>
    <row r="1411" spans="1:28" x14ac:dyDescent="0.25">
      <c r="A1411" t="s">
        <v>1415</v>
      </c>
      <c r="B1411">
        <v>0.99876560204751996</v>
      </c>
      <c r="C1411">
        <v>0.90541999066286205</v>
      </c>
      <c r="D1411">
        <v>0.87310136427806095</v>
      </c>
      <c r="E1411">
        <v>0.75996172145961904</v>
      </c>
      <c r="F1411">
        <v>0.56969140201115698</v>
      </c>
      <c r="G1411">
        <v>0.632087080809556</v>
      </c>
      <c r="H1411">
        <v>0.46779679145021602</v>
      </c>
      <c r="I1411">
        <v>0.77411087915879695</v>
      </c>
      <c r="J1411">
        <v>0.760387261286257</v>
      </c>
      <c r="K1411">
        <v>0.54447366721177204</v>
      </c>
      <c r="L1411">
        <v>980.83284293298402</v>
      </c>
      <c r="M1411">
        <v>20.8432387324244</v>
      </c>
      <c r="O1411">
        <v>46.630865030072798</v>
      </c>
      <c r="P1411">
        <v>-4.1946217795253399E-2</v>
      </c>
      <c r="Q1411">
        <v>0.62463907376458006</v>
      </c>
      <c r="R1411">
        <v>0.67860391278434395</v>
      </c>
      <c r="S1411" t="s">
        <v>5707</v>
      </c>
      <c r="T1411" t="s">
        <v>8590</v>
      </c>
      <c r="U1411" t="s">
        <v>8590</v>
      </c>
      <c r="V1411" t="s">
        <v>8590</v>
      </c>
      <c r="W1411">
        <v>4</v>
      </c>
      <c r="X1411" t="s">
        <v>10001</v>
      </c>
      <c r="Y1411">
        <v>0.71794856317878009</v>
      </c>
      <c r="Z1411" t="str">
        <f>HYPERLINK("Melting_Curves/meltCurve_sp_P62308_RUXG_HUMAN_.pdf", "Melting_Curves/meltCurve_sp_P62308_RUXG_HUMAN_.pdf")</f>
        <v>Melting_Curves/meltCurve_sp_P62308_RUXG_HUMAN_.pdf</v>
      </c>
      <c r="AA1411" t="s">
        <v>14273</v>
      </c>
      <c r="AB1411" t="s">
        <v>18495</v>
      </c>
    </row>
    <row r="1412" spans="1:28" x14ac:dyDescent="0.25">
      <c r="A1412" t="s">
        <v>1416</v>
      </c>
      <c r="B1412">
        <v>0.99876560204751996</v>
      </c>
      <c r="C1412">
        <v>0.88386332807331902</v>
      </c>
      <c r="D1412">
        <v>0.838591570690704</v>
      </c>
      <c r="E1412">
        <v>0.71663800487250495</v>
      </c>
      <c r="F1412">
        <v>0.52899024865852695</v>
      </c>
      <c r="G1412">
        <v>0.60826038883532196</v>
      </c>
      <c r="H1412">
        <v>0.40096076535513098</v>
      </c>
      <c r="I1412">
        <v>0.84231817951751597</v>
      </c>
      <c r="J1412">
        <v>0.87686268850788196</v>
      </c>
      <c r="K1412">
        <v>0.74600599582624005</v>
      </c>
      <c r="L1412">
        <v>1119.8497402369301</v>
      </c>
      <c r="M1412">
        <v>24.831650314845</v>
      </c>
      <c r="O1412">
        <v>44.808268940201003</v>
      </c>
      <c r="P1412">
        <v>-4.5472998210435302E-2</v>
      </c>
      <c r="Q1412">
        <v>0.67178383116589402</v>
      </c>
      <c r="R1412">
        <v>0.40316609521325403</v>
      </c>
      <c r="S1412" t="s">
        <v>5708</v>
      </c>
      <c r="T1412" t="s">
        <v>8590</v>
      </c>
      <c r="U1412" t="s">
        <v>8590</v>
      </c>
      <c r="V1412" t="s">
        <v>8590</v>
      </c>
      <c r="W1412">
        <v>3</v>
      </c>
      <c r="X1412" t="s">
        <v>10002</v>
      </c>
      <c r="Y1412">
        <v>0.730846163714993</v>
      </c>
      <c r="Z1412" t="str">
        <f>HYPERLINK("Melting_Curves/meltCurve_sp_P62310_LSM3_HUMAN_.pdf", "Melting_Curves/meltCurve_sp_P62310_LSM3_HUMAN_.pdf")</f>
        <v>Melting_Curves/meltCurve_sp_P62310_LSM3_HUMAN_.pdf</v>
      </c>
      <c r="AA1412" t="s">
        <v>14274</v>
      </c>
      <c r="AB1412" t="s">
        <v>18496</v>
      </c>
    </row>
    <row r="1413" spans="1:28" x14ac:dyDescent="0.25">
      <c r="A1413" t="s">
        <v>1417</v>
      </c>
      <c r="B1413">
        <v>0.99876560204751996</v>
      </c>
      <c r="C1413">
        <v>0.915957661593229</v>
      </c>
      <c r="D1413">
        <v>0.90651028193468597</v>
      </c>
      <c r="E1413">
        <v>0.90549066020737001</v>
      </c>
      <c r="F1413">
        <v>0.82016270573239602</v>
      </c>
      <c r="G1413">
        <v>0.77180356421128005</v>
      </c>
      <c r="H1413">
        <v>0.54080730951742495</v>
      </c>
      <c r="I1413">
        <v>0.44558427772966502</v>
      </c>
      <c r="J1413">
        <v>0.33002219190437299</v>
      </c>
      <c r="K1413">
        <v>0.205118853132183</v>
      </c>
      <c r="L1413">
        <v>617.03654771005199</v>
      </c>
      <c r="M1413">
        <v>9.9248768606534004</v>
      </c>
      <c r="N1413">
        <v>62.170720800463499</v>
      </c>
      <c r="O1413">
        <v>59.804649174243103</v>
      </c>
      <c r="P1413">
        <v>-4.1509503975372598E-2</v>
      </c>
      <c r="Q1413">
        <v>0</v>
      </c>
      <c r="R1413">
        <v>0.97731081145207199</v>
      </c>
      <c r="S1413" t="s">
        <v>5709</v>
      </c>
      <c r="T1413" t="s">
        <v>8590</v>
      </c>
      <c r="U1413" t="s">
        <v>8590</v>
      </c>
      <c r="V1413" t="s">
        <v>8590</v>
      </c>
      <c r="W1413">
        <v>7</v>
      </c>
      <c r="X1413" t="s">
        <v>10003</v>
      </c>
      <c r="Y1413">
        <v>0.71569641751480306</v>
      </c>
      <c r="Z1413" t="str">
        <f>HYPERLINK("Melting_Curves/meltCurve_sp_P62312_LSM6_HUMAN_.pdf", "Melting_Curves/meltCurve_sp_P62312_LSM6_HUMAN_.pdf")</f>
        <v>Melting_Curves/meltCurve_sp_P62312_LSM6_HUMAN_.pdf</v>
      </c>
      <c r="AA1413" t="s">
        <v>14275</v>
      </c>
      <c r="AB1413" t="s">
        <v>18497</v>
      </c>
    </row>
    <row r="1414" spans="1:28" x14ac:dyDescent="0.25">
      <c r="A1414" t="s">
        <v>1418</v>
      </c>
      <c r="B1414">
        <v>0.99876560204751996</v>
      </c>
      <c r="C1414">
        <v>1.24204387541948</v>
      </c>
      <c r="D1414">
        <v>0.95759244938398902</v>
      </c>
      <c r="E1414">
        <v>1.13906890052758</v>
      </c>
      <c r="F1414">
        <v>0.92538423042809503</v>
      </c>
      <c r="G1414">
        <v>0.68228027812592296</v>
      </c>
      <c r="H1414">
        <v>0.43349049998365102</v>
      </c>
      <c r="I1414">
        <v>0.37414082157616502</v>
      </c>
      <c r="J1414">
        <v>0.299813421065181</v>
      </c>
      <c r="K1414">
        <v>0.13949494796804299</v>
      </c>
      <c r="L1414">
        <v>1198.65834860114</v>
      </c>
      <c r="M1414">
        <v>20.370239461400701</v>
      </c>
      <c r="N1414">
        <v>60.212277304520697</v>
      </c>
      <c r="O1414">
        <v>58.2853141664324</v>
      </c>
      <c r="P1414">
        <v>-7.1183752329191802E-2</v>
      </c>
      <c r="Q1414">
        <v>0.185313110338825</v>
      </c>
      <c r="R1414">
        <v>0.92557704024569099</v>
      </c>
      <c r="S1414" t="s">
        <v>5710</v>
      </c>
      <c r="T1414" t="s">
        <v>8590</v>
      </c>
      <c r="U1414" t="s">
        <v>8590</v>
      </c>
      <c r="V1414" t="s">
        <v>8590</v>
      </c>
      <c r="W1414">
        <v>3</v>
      </c>
      <c r="X1414" t="s">
        <v>10004</v>
      </c>
      <c r="Y1414">
        <v>0.70530997754119751</v>
      </c>
      <c r="Z1414" t="str">
        <f>HYPERLINK("Melting_Curves/meltCurve_sp_P62314_SMD1_HUMAN_.pdf", "Melting_Curves/meltCurve_sp_P62314_SMD1_HUMAN_.pdf")</f>
        <v>Melting_Curves/meltCurve_sp_P62314_SMD1_HUMAN_.pdf</v>
      </c>
      <c r="AA1414" t="s">
        <v>14276</v>
      </c>
      <c r="AB1414" t="s">
        <v>18498</v>
      </c>
    </row>
    <row r="1415" spans="1:28" x14ac:dyDescent="0.25">
      <c r="A1415" t="s">
        <v>1419</v>
      </c>
      <c r="B1415">
        <v>0.99876560204751996</v>
      </c>
      <c r="C1415">
        <v>1.06348316518811</v>
      </c>
      <c r="D1415">
        <v>0.97936739691544705</v>
      </c>
      <c r="E1415">
        <v>1.0003537611508</v>
      </c>
      <c r="F1415">
        <v>0.912431537500899</v>
      </c>
      <c r="G1415">
        <v>0.70743667587991999</v>
      </c>
      <c r="H1415">
        <v>0.57787969829462604</v>
      </c>
      <c r="I1415">
        <v>0.48394260102027897</v>
      </c>
      <c r="J1415">
        <v>0.45535725935086002</v>
      </c>
      <c r="K1415">
        <v>0.24714916262450601</v>
      </c>
      <c r="L1415">
        <v>738.50264158098798</v>
      </c>
      <c r="M1415">
        <v>12.008673720821299</v>
      </c>
      <c r="N1415">
        <v>63.29203668329</v>
      </c>
      <c r="O1415">
        <v>59.866526485278698</v>
      </c>
      <c r="P1415">
        <v>-4.29221116209225E-2</v>
      </c>
      <c r="Q1415">
        <v>0.14429182065751101</v>
      </c>
      <c r="R1415">
        <v>0.97231812252377503</v>
      </c>
      <c r="S1415" t="s">
        <v>5711</v>
      </c>
      <c r="T1415" t="s">
        <v>8590</v>
      </c>
      <c r="U1415" t="s">
        <v>8590</v>
      </c>
      <c r="V1415" t="s">
        <v>8590</v>
      </c>
      <c r="W1415">
        <v>9</v>
      </c>
      <c r="X1415" t="s">
        <v>10005</v>
      </c>
      <c r="Y1415">
        <v>0.75105017718061229</v>
      </c>
      <c r="Z1415" t="str">
        <f>HYPERLINK("Melting_Curves/meltCurve_sp_P62316_SMD2_HUMAN_.pdf", "Melting_Curves/meltCurve_sp_P62316_SMD2_HUMAN_.pdf")</f>
        <v>Melting_Curves/meltCurve_sp_P62316_SMD2_HUMAN_.pdf</v>
      </c>
      <c r="AA1415" t="s">
        <v>14277</v>
      </c>
      <c r="AB1415" t="s">
        <v>18499</v>
      </c>
    </row>
    <row r="1416" spans="1:28" x14ac:dyDescent="0.25">
      <c r="A1416" t="s">
        <v>1420</v>
      </c>
      <c r="B1416">
        <v>0.99876560204751996</v>
      </c>
      <c r="C1416">
        <v>0.91375835146199902</v>
      </c>
      <c r="D1416">
        <v>1.0807815221343899</v>
      </c>
      <c r="E1416">
        <v>0.90451353514719501</v>
      </c>
      <c r="F1416">
        <v>1.0347859490478599</v>
      </c>
      <c r="G1416">
        <v>0.77090351319767303</v>
      </c>
      <c r="H1416">
        <v>0.80105835480908805</v>
      </c>
      <c r="I1416">
        <v>0.77288357298647203</v>
      </c>
      <c r="J1416">
        <v>0.96323801726209801</v>
      </c>
      <c r="K1416">
        <v>0.96808167169640003</v>
      </c>
      <c r="L1416">
        <v>13709.142024779099</v>
      </c>
      <c r="M1416">
        <v>250</v>
      </c>
      <c r="O1416">
        <v>54.833058965464701</v>
      </c>
      <c r="P1416">
        <v>-0.16500851293798099</v>
      </c>
      <c r="Q1416">
        <v>0.85523325596745703</v>
      </c>
      <c r="R1416">
        <v>0.39162575774519598</v>
      </c>
      <c r="S1416" t="s">
        <v>5712</v>
      </c>
      <c r="T1416" t="s">
        <v>8590</v>
      </c>
      <c r="U1416" t="s">
        <v>8590</v>
      </c>
      <c r="V1416" t="s">
        <v>8590</v>
      </c>
      <c r="W1416">
        <v>6</v>
      </c>
      <c r="X1416" t="s">
        <v>10006</v>
      </c>
      <c r="Y1416">
        <v>0.92684190980897652</v>
      </c>
      <c r="Z1416" t="str">
        <f>HYPERLINK("Melting_Curves/meltCurve_sp_P62328_TYB4_HUMAN_.pdf", "Melting_Curves/meltCurve_sp_P62328_TYB4_HUMAN_.pdf")</f>
        <v>Melting_Curves/meltCurve_sp_P62328_TYB4_HUMAN_.pdf</v>
      </c>
      <c r="AA1416" t="s">
        <v>14278</v>
      </c>
      <c r="AB1416" t="s">
        <v>18500</v>
      </c>
    </row>
    <row r="1417" spans="1:28" x14ac:dyDescent="0.25">
      <c r="A1417" t="s">
        <v>1421</v>
      </c>
      <c r="B1417">
        <v>0.99876560204751996</v>
      </c>
      <c r="C1417">
        <v>0.99149642973137597</v>
      </c>
      <c r="D1417">
        <v>0.84943408289306499</v>
      </c>
      <c r="E1417">
        <v>0.57956182062419503</v>
      </c>
      <c r="F1417">
        <v>0.302459006644416</v>
      </c>
      <c r="G1417">
        <v>0.157368090027725</v>
      </c>
      <c r="H1417">
        <v>9.2525545894213093E-2</v>
      </c>
      <c r="I1417">
        <v>6.8492246057628006E-2</v>
      </c>
      <c r="J1417">
        <v>8.4105472004032802E-2</v>
      </c>
      <c r="K1417">
        <v>5.4134594251876798E-2</v>
      </c>
      <c r="L1417">
        <v>979.162094815052</v>
      </c>
      <c r="M1417">
        <v>19.448277885478699</v>
      </c>
      <c r="N1417">
        <v>50.686969218331598</v>
      </c>
      <c r="O1417">
        <v>49.823740846077797</v>
      </c>
      <c r="P1417">
        <v>-9.1621358169168596E-2</v>
      </c>
      <c r="Q1417">
        <v>6.1150246416658997E-2</v>
      </c>
      <c r="R1417">
        <v>0.998571160815939</v>
      </c>
      <c r="S1417" t="s">
        <v>5713</v>
      </c>
      <c r="T1417" t="s">
        <v>8590</v>
      </c>
      <c r="U1417" t="s">
        <v>8590</v>
      </c>
      <c r="V1417" t="s">
        <v>8590</v>
      </c>
      <c r="W1417">
        <v>4</v>
      </c>
      <c r="X1417" t="s">
        <v>10007</v>
      </c>
      <c r="Y1417">
        <v>0.39873269262205557</v>
      </c>
      <c r="Z1417" t="str">
        <f>HYPERLINK("Melting_Curves/meltCurve_sp_P62330_ARF6_HUMAN_.pdf", "Melting_Curves/meltCurve_sp_P62330_ARF6_HUMAN_.pdf")</f>
        <v>Melting_Curves/meltCurve_sp_P62330_ARF6_HUMAN_.pdf</v>
      </c>
      <c r="AA1417" t="s">
        <v>14279</v>
      </c>
      <c r="AB1417" t="s">
        <v>18501</v>
      </c>
    </row>
    <row r="1418" spans="1:28" x14ac:dyDescent="0.25">
      <c r="A1418" t="s">
        <v>1422</v>
      </c>
      <c r="B1418">
        <v>0.99876560204751996</v>
      </c>
      <c r="C1418">
        <v>0.87874701186902104</v>
      </c>
      <c r="D1418">
        <v>0.67005119340246</v>
      </c>
      <c r="E1418">
        <v>0.40415251363772797</v>
      </c>
      <c r="F1418">
        <v>0.20165393404336401</v>
      </c>
      <c r="G1418">
        <v>0.110088077341</v>
      </c>
      <c r="H1418">
        <v>6.77323345648249E-2</v>
      </c>
      <c r="I1418">
        <v>6.2644450489027503E-2</v>
      </c>
      <c r="J1418">
        <v>5.3044782095045602E-2</v>
      </c>
      <c r="K1418">
        <v>4.83127249831279E-2</v>
      </c>
      <c r="L1418">
        <v>778.76099871476697</v>
      </c>
      <c r="M1418">
        <v>16.1904648517853</v>
      </c>
      <c r="N1418">
        <v>48.358461467529303</v>
      </c>
      <c r="O1418">
        <v>47.384135710723598</v>
      </c>
      <c r="P1418">
        <v>-8.1886446206948196E-2</v>
      </c>
      <c r="Q1418">
        <v>4.1453681734242298E-2</v>
      </c>
      <c r="R1418">
        <v>0.99795356702098204</v>
      </c>
      <c r="S1418" t="s">
        <v>5714</v>
      </c>
      <c r="T1418" t="s">
        <v>8590</v>
      </c>
      <c r="U1418" t="s">
        <v>8590</v>
      </c>
      <c r="V1418" t="s">
        <v>8590</v>
      </c>
      <c r="W1418">
        <v>22</v>
      </c>
      <c r="X1418" t="s">
        <v>10008</v>
      </c>
      <c r="Y1418">
        <v>0.32133829844563938</v>
      </c>
      <c r="Z1418" t="str">
        <f>HYPERLINK("Melting_Curves/meltCurve_sp_P62333_PRS10_HUMAN_.pdf", "Melting_Curves/meltCurve_sp_P62333_PRS10_HUMAN_.pdf")</f>
        <v>Melting_Curves/meltCurve_sp_P62333_PRS10_HUMAN_.pdf</v>
      </c>
      <c r="AA1418" t="s">
        <v>14280</v>
      </c>
      <c r="AB1418" t="s">
        <v>18502</v>
      </c>
    </row>
    <row r="1419" spans="1:28" x14ac:dyDescent="0.25">
      <c r="A1419" t="s">
        <v>1423</v>
      </c>
      <c r="B1419">
        <v>0.99876560204751996</v>
      </c>
      <c r="C1419">
        <v>1.1081493712639501</v>
      </c>
      <c r="D1419">
        <v>1.1695707226599601</v>
      </c>
      <c r="E1419">
        <v>0.68646222464157103</v>
      </c>
      <c r="F1419">
        <v>0.44113114711422802</v>
      </c>
      <c r="G1419">
        <v>0.26708442188347198</v>
      </c>
      <c r="H1419">
        <v>0.26902777568138198</v>
      </c>
      <c r="I1419">
        <v>0.35730606361266698</v>
      </c>
      <c r="J1419">
        <v>0.37883714543403402</v>
      </c>
      <c r="K1419">
        <v>7.2569989929958306E-2</v>
      </c>
      <c r="L1419">
        <v>1895.85738784624</v>
      </c>
      <c r="M1419">
        <v>37.381740318273302</v>
      </c>
      <c r="N1419">
        <v>51.8034762634652</v>
      </c>
      <c r="O1419">
        <v>50.571648845459002</v>
      </c>
      <c r="P1419">
        <v>-0.13455827843643001</v>
      </c>
      <c r="Q1419">
        <v>0.27185671992481703</v>
      </c>
      <c r="R1419">
        <v>0.920628482194769</v>
      </c>
      <c r="S1419" t="s">
        <v>5715</v>
      </c>
      <c r="T1419" t="s">
        <v>8590</v>
      </c>
      <c r="U1419" t="s">
        <v>8590</v>
      </c>
      <c r="V1419" t="s">
        <v>8590</v>
      </c>
      <c r="W1419">
        <v>1</v>
      </c>
      <c r="X1419" t="s">
        <v>10009</v>
      </c>
      <c r="Y1419">
        <v>0.53487870770732138</v>
      </c>
      <c r="Z1419" t="str">
        <f>HYPERLINK("Melting_Curves/meltCurve_sp_P62424_RL7A_HUMAN_.pdf", "Melting_Curves/meltCurve_sp_P62424_RL7A_HUMAN_.pdf")</f>
        <v>Melting_Curves/meltCurve_sp_P62424_RL7A_HUMAN_.pdf</v>
      </c>
      <c r="AA1419" t="s">
        <v>14281</v>
      </c>
      <c r="AB1419" t="s">
        <v>18503</v>
      </c>
    </row>
    <row r="1420" spans="1:28" x14ac:dyDescent="0.25">
      <c r="A1420" t="s">
        <v>1424</v>
      </c>
      <c r="B1420">
        <v>0.99876560204751996</v>
      </c>
      <c r="C1420">
        <v>0.90924095793146498</v>
      </c>
      <c r="D1420">
        <v>0.84625615405519805</v>
      </c>
      <c r="E1420">
        <v>0.79491549670964701</v>
      </c>
      <c r="F1420">
        <v>0.30511948261119498</v>
      </c>
      <c r="G1420">
        <v>0.12655329309389901</v>
      </c>
      <c r="H1420">
        <v>7.4272695331406804E-2</v>
      </c>
      <c r="I1420">
        <v>6.0192848782412399E-2</v>
      </c>
      <c r="J1420">
        <v>6.37691324193769E-2</v>
      </c>
      <c r="K1420">
        <v>6.4768403531447097E-2</v>
      </c>
      <c r="L1420">
        <v>1731.88618084174</v>
      </c>
      <c r="M1420">
        <v>33.592814242943497</v>
      </c>
      <c r="N1420">
        <v>51.775297075000601</v>
      </c>
      <c r="O1420">
        <v>51.373583983670898</v>
      </c>
      <c r="P1420">
        <v>-0.15259931875509899</v>
      </c>
      <c r="Q1420">
        <v>6.6521579709721002E-2</v>
      </c>
      <c r="R1420">
        <v>0.98002026089657501</v>
      </c>
      <c r="S1420" t="s">
        <v>5716</v>
      </c>
      <c r="T1420" t="s">
        <v>8590</v>
      </c>
      <c r="U1420" t="s">
        <v>8590</v>
      </c>
      <c r="V1420" t="s">
        <v>8590</v>
      </c>
      <c r="W1420">
        <v>8</v>
      </c>
      <c r="X1420" t="s">
        <v>10010</v>
      </c>
      <c r="Y1420">
        <v>0.43079792302345482</v>
      </c>
      <c r="Z1420" t="str">
        <f>HYPERLINK("Melting_Curves/meltCurve_sp_P62495_ERF1_HUMAN_.pdf", "Melting_Curves/meltCurve_sp_P62495_ERF1_HUMAN_.pdf")</f>
        <v>Melting_Curves/meltCurve_sp_P62495_ERF1_HUMAN_.pdf</v>
      </c>
      <c r="AA1420" t="s">
        <v>14282</v>
      </c>
      <c r="AB1420" t="s">
        <v>18504</v>
      </c>
    </row>
    <row r="1421" spans="1:28" x14ac:dyDescent="0.25">
      <c r="A1421" t="s">
        <v>1425</v>
      </c>
      <c r="B1421">
        <v>0.99876560204751996</v>
      </c>
      <c r="C1421">
        <v>0.86419943126419496</v>
      </c>
      <c r="D1421">
        <v>1.08449936302081</v>
      </c>
      <c r="E1421">
        <v>0.90894519775361104</v>
      </c>
      <c r="F1421">
        <v>1.0189211076087199</v>
      </c>
      <c r="G1421">
        <v>0.79625770716255495</v>
      </c>
      <c r="H1421">
        <v>0.72249743244323394</v>
      </c>
      <c r="I1421">
        <v>0.85101054496203699</v>
      </c>
      <c r="J1421">
        <v>1.1372748871121701</v>
      </c>
      <c r="K1421">
        <v>1.22628140739739</v>
      </c>
      <c r="L1421">
        <v>15000</v>
      </c>
      <c r="M1421">
        <v>224.313157031891</v>
      </c>
      <c r="O1421">
        <v>66.865483519823499</v>
      </c>
      <c r="P1421">
        <v>0.18979275612643201</v>
      </c>
      <c r="Q1421">
        <v>1.22630120403403</v>
      </c>
      <c r="R1421">
        <v>0.23828461141940499</v>
      </c>
      <c r="S1421" t="s">
        <v>5717</v>
      </c>
      <c r="T1421" t="s">
        <v>8590</v>
      </c>
      <c r="U1421" t="s">
        <v>8590</v>
      </c>
      <c r="V1421" t="s">
        <v>8590</v>
      </c>
      <c r="W1421">
        <v>6</v>
      </c>
      <c r="X1421" t="s">
        <v>10011</v>
      </c>
      <c r="Y1421">
        <v>1.023571852296715</v>
      </c>
      <c r="Z1421" t="str">
        <f>HYPERLINK("Melting_Curves/meltCurve_sp_P62633_2_CNBP_HUMAN_.pdf", "Melting_Curves/meltCurve_sp_P62633_2_CNBP_HUMAN_.pdf")</f>
        <v>Melting_Curves/meltCurve_sp_P62633_2_CNBP_HUMAN_.pdf</v>
      </c>
      <c r="AA1421" t="s">
        <v>14283</v>
      </c>
      <c r="AB1421" t="s">
        <v>18505</v>
      </c>
    </row>
    <row r="1422" spans="1:28" x14ac:dyDescent="0.25">
      <c r="A1422" t="s">
        <v>1426</v>
      </c>
      <c r="B1422">
        <v>0.99876560204751996</v>
      </c>
      <c r="C1422">
        <v>1.1164328995602899</v>
      </c>
      <c r="D1422">
        <v>0.76350158018799197</v>
      </c>
      <c r="E1422">
        <v>0.51333038355125704</v>
      </c>
      <c r="F1422">
        <v>0.242516274803175</v>
      </c>
      <c r="G1422">
        <v>0.22030428296687399</v>
      </c>
      <c r="H1422">
        <v>0.124915362835136</v>
      </c>
      <c r="I1422">
        <v>0.13609811420899801</v>
      </c>
      <c r="J1422">
        <v>0.13459047069877</v>
      </c>
      <c r="K1422">
        <v>5.3963211756134499E-2</v>
      </c>
      <c r="L1422">
        <v>1044.41926732457</v>
      </c>
      <c r="M1422">
        <v>21.218054516604798</v>
      </c>
      <c r="N1422">
        <v>49.839592966167601</v>
      </c>
      <c r="O1422">
        <v>48.792168664651697</v>
      </c>
      <c r="P1422">
        <v>-9.6171630239071104E-2</v>
      </c>
      <c r="Q1422">
        <v>0.115413431169273</v>
      </c>
      <c r="R1422">
        <v>0.97233849092605495</v>
      </c>
      <c r="S1422" t="s">
        <v>5718</v>
      </c>
      <c r="T1422" t="s">
        <v>8590</v>
      </c>
      <c r="U1422" t="s">
        <v>8590</v>
      </c>
      <c r="V1422" t="s">
        <v>8590</v>
      </c>
      <c r="W1422">
        <v>3</v>
      </c>
      <c r="X1422" t="s">
        <v>10012</v>
      </c>
      <c r="Y1422">
        <v>0.39834287818624681</v>
      </c>
      <c r="Z1422" t="str">
        <f>HYPERLINK("Melting_Curves/meltCurve_sp_P62701_RS4X_HUMAN_.pdf", "Melting_Curves/meltCurve_sp_P62701_RS4X_HUMAN_.pdf")</f>
        <v>Melting_Curves/meltCurve_sp_P62701_RS4X_HUMAN_.pdf</v>
      </c>
      <c r="AA1422" t="s">
        <v>14284</v>
      </c>
      <c r="AB1422" t="s">
        <v>18506</v>
      </c>
    </row>
    <row r="1423" spans="1:28" x14ac:dyDescent="0.25">
      <c r="A1423" t="s">
        <v>1427</v>
      </c>
      <c r="B1423">
        <v>0.99876560204751996</v>
      </c>
      <c r="C1423">
        <v>0.92600228948648</v>
      </c>
      <c r="D1423">
        <v>0.97171473648354301</v>
      </c>
      <c r="E1423">
        <v>1.0454017587884401</v>
      </c>
      <c r="F1423">
        <v>1.4501234030535799</v>
      </c>
      <c r="G1423">
        <v>0.84776091637705098</v>
      </c>
      <c r="H1423">
        <v>0.56694259851166295</v>
      </c>
      <c r="I1423">
        <v>0.23019167346802699</v>
      </c>
      <c r="J1423">
        <v>9.7784400540643496E-2</v>
      </c>
      <c r="K1423">
        <v>0.14802889085994</v>
      </c>
      <c r="L1423">
        <v>2220.4271505904298</v>
      </c>
      <c r="M1423">
        <v>36.439202497109498</v>
      </c>
      <c r="N1423">
        <v>61.328551421874401</v>
      </c>
      <c r="O1423">
        <v>60.7524706477178</v>
      </c>
      <c r="P1423">
        <v>-0.13432189231800101</v>
      </c>
      <c r="Q1423">
        <v>0.10422163528747901</v>
      </c>
      <c r="R1423">
        <v>0.87605420356691599</v>
      </c>
      <c r="S1423" t="s">
        <v>5719</v>
      </c>
      <c r="T1423" t="s">
        <v>8590</v>
      </c>
      <c r="U1423" t="s">
        <v>8590</v>
      </c>
      <c r="V1423" t="s">
        <v>8590</v>
      </c>
      <c r="W1423">
        <v>16</v>
      </c>
      <c r="X1423" t="s">
        <v>10013</v>
      </c>
      <c r="Y1423">
        <v>0.73325873641211337</v>
      </c>
      <c r="Z1423" t="str">
        <f>HYPERLINK("Melting_Curves/meltCurve_sp_P62714_PP2AB_HUMAN_.pdf", "Melting_Curves/meltCurve_sp_P62714_PP2AB_HUMAN_.pdf")</f>
        <v>Melting_Curves/meltCurve_sp_P62714_PP2AB_HUMAN_.pdf</v>
      </c>
      <c r="AA1423" t="s">
        <v>14285</v>
      </c>
      <c r="AB1423" t="s">
        <v>18507</v>
      </c>
    </row>
    <row r="1424" spans="1:28" x14ac:dyDescent="0.25">
      <c r="A1424" t="s">
        <v>1428</v>
      </c>
      <c r="B1424">
        <v>0.99876560204751996</v>
      </c>
      <c r="C1424">
        <v>0.91123432029530405</v>
      </c>
      <c r="D1424">
        <v>0.88230782546256303</v>
      </c>
      <c r="E1424">
        <v>0.69304849746869202</v>
      </c>
      <c r="F1424">
        <v>0.46475826999349601</v>
      </c>
      <c r="G1424">
        <v>0.33067084133639002</v>
      </c>
      <c r="H1424">
        <v>0.284557461494855</v>
      </c>
      <c r="I1424">
        <v>0.161339028310275</v>
      </c>
      <c r="J1424">
        <v>0.165247998951739</v>
      </c>
      <c r="K1424">
        <v>0.15349012097515999</v>
      </c>
      <c r="L1424">
        <v>687.07445479637295</v>
      </c>
      <c r="M1424">
        <v>13.2456968933752</v>
      </c>
      <c r="N1424">
        <v>53.047645014988902</v>
      </c>
      <c r="O1424">
        <v>50.731974853522097</v>
      </c>
      <c r="P1424">
        <v>-5.6977029398597098E-2</v>
      </c>
      <c r="Q1424">
        <v>0.12723881040078899</v>
      </c>
      <c r="R1424">
        <v>0.99257083310909</v>
      </c>
      <c r="S1424" t="s">
        <v>5720</v>
      </c>
      <c r="T1424" t="s">
        <v>8590</v>
      </c>
      <c r="U1424" t="s">
        <v>8590</v>
      </c>
      <c r="V1424" t="s">
        <v>8590</v>
      </c>
      <c r="W1424">
        <v>3</v>
      </c>
      <c r="X1424" t="s">
        <v>10014</v>
      </c>
      <c r="Y1424">
        <v>0.49616308594168479</v>
      </c>
      <c r="Z1424" t="str">
        <f>HYPERLINK("Melting_Curves/meltCurve_sp_P62745_RHOB_HUMAN_.pdf", "Melting_Curves/meltCurve_sp_P62745_RHOB_HUMAN_.pdf")</f>
        <v>Melting_Curves/meltCurve_sp_P62745_RHOB_HUMAN_.pdf</v>
      </c>
      <c r="AA1424" t="s">
        <v>14286</v>
      </c>
      <c r="AB1424" t="s">
        <v>18508</v>
      </c>
    </row>
    <row r="1425" spans="1:28" x14ac:dyDescent="0.25">
      <c r="A1425" t="s">
        <v>1429</v>
      </c>
      <c r="B1425">
        <v>0.99876560204751996</v>
      </c>
      <c r="C1425">
        <v>0.98992542759175595</v>
      </c>
      <c r="D1425">
        <v>0.92083279067684498</v>
      </c>
      <c r="E1425">
        <v>0.91352083043038701</v>
      </c>
      <c r="F1425">
        <v>1.0686643632353401</v>
      </c>
      <c r="G1425">
        <v>0.76550733578140495</v>
      </c>
      <c r="H1425">
        <v>0.76080491238571502</v>
      </c>
      <c r="I1425">
        <v>0.73741586551734895</v>
      </c>
      <c r="J1425">
        <v>0.85445801558981804</v>
      </c>
      <c r="K1425">
        <v>0.94215266678264298</v>
      </c>
      <c r="L1425">
        <v>4934.7441671276201</v>
      </c>
      <c r="M1425">
        <v>89.667441366542306</v>
      </c>
      <c r="O1425">
        <v>55.006493395754497</v>
      </c>
      <c r="P1425">
        <v>-7.6895134216418998E-2</v>
      </c>
      <c r="Q1425">
        <v>0.811314743134262</v>
      </c>
      <c r="R1425">
        <v>0.569063485972643</v>
      </c>
      <c r="S1425" t="s">
        <v>5721</v>
      </c>
      <c r="T1425" t="s">
        <v>8590</v>
      </c>
      <c r="U1425" t="s">
        <v>8590</v>
      </c>
      <c r="V1425" t="s">
        <v>8590</v>
      </c>
      <c r="W1425">
        <v>2</v>
      </c>
      <c r="X1425" t="s">
        <v>10015</v>
      </c>
      <c r="Y1425">
        <v>0.90601212121917507</v>
      </c>
      <c r="Z1425" t="str">
        <f>HYPERLINK("Melting_Curves/meltCurve_sp_P62750_RL23A_HUMAN_.pdf", "Melting_Curves/meltCurve_sp_P62750_RL23A_HUMAN_.pdf")</f>
        <v>Melting_Curves/meltCurve_sp_P62750_RL23A_HUMAN_.pdf</v>
      </c>
      <c r="AA1425" t="s">
        <v>14287</v>
      </c>
      <c r="AB1425" t="s">
        <v>18509</v>
      </c>
    </row>
    <row r="1426" spans="1:28" x14ac:dyDescent="0.25">
      <c r="A1426" t="s">
        <v>1430</v>
      </c>
      <c r="B1426">
        <v>0.99876560204751996</v>
      </c>
      <c r="C1426">
        <v>0.96540868072210595</v>
      </c>
      <c r="D1426">
        <v>0.79981310730758604</v>
      </c>
      <c r="E1426">
        <v>0.70621993254676796</v>
      </c>
      <c r="F1426">
        <v>0.52234925116359199</v>
      </c>
      <c r="G1426">
        <v>0.40956115570254498</v>
      </c>
      <c r="H1426">
        <v>0.22582443684754</v>
      </c>
      <c r="I1426">
        <v>0.23124089616243201</v>
      </c>
      <c r="J1426">
        <v>0.33284449840242297</v>
      </c>
      <c r="K1426">
        <v>0.21419632022690699</v>
      </c>
      <c r="L1426">
        <v>665.61962507127998</v>
      </c>
      <c r="M1426">
        <v>12.961534747104601</v>
      </c>
      <c r="N1426">
        <v>53.571650060605798</v>
      </c>
      <c r="O1426">
        <v>50.177170507389597</v>
      </c>
      <c r="P1426">
        <v>-5.11776242939153E-2</v>
      </c>
      <c r="Q1426">
        <v>0.20765878958497799</v>
      </c>
      <c r="R1426">
        <v>0.97571347218207505</v>
      </c>
      <c r="S1426" t="s">
        <v>5722</v>
      </c>
      <c r="T1426" t="s">
        <v>8590</v>
      </c>
      <c r="U1426" t="s">
        <v>8590</v>
      </c>
      <c r="V1426" t="s">
        <v>8590</v>
      </c>
      <c r="W1426">
        <v>2</v>
      </c>
      <c r="X1426" t="s">
        <v>10016</v>
      </c>
      <c r="Y1426">
        <v>0.5301787886362308</v>
      </c>
      <c r="Z1426" t="str">
        <f>HYPERLINK("Melting_Curves/meltCurve_sp_P62753_RS6_HUMAN_.pdf", "Melting_Curves/meltCurve_sp_P62753_RS6_HUMAN_.pdf")</f>
        <v>Melting_Curves/meltCurve_sp_P62753_RS6_HUMAN_.pdf</v>
      </c>
      <c r="AA1426" t="s">
        <v>14288</v>
      </c>
      <c r="AB1426" t="s">
        <v>18510</v>
      </c>
    </row>
    <row r="1427" spans="1:28" x14ac:dyDescent="0.25">
      <c r="A1427" t="s">
        <v>1431</v>
      </c>
      <c r="B1427">
        <v>0.99876560204751996</v>
      </c>
      <c r="C1427">
        <v>0.96852737989054105</v>
      </c>
      <c r="D1427">
        <v>0.92798074269757802</v>
      </c>
      <c r="E1427">
        <v>0.84425034100406404</v>
      </c>
      <c r="F1427">
        <v>0.61566220372647495</v>
      </c>
      <c r="G1427">
        <v>0.35634461114006899</v>
      </c>
      <c r="H1427">
        <v>0.35394030904907797</v>
      </c>
      <c r="I1427">
        <v>0.26498913421652998</v>
      </c>
      <c r="J1427">
        <v>0.29834315889945501</v>
      </c>
      <c r="K1427">
        <v>0.27486626068882603</v>
      </c>
      <c r="L1427">
        <v>1173.7319662124501</v>
      </c>
      <c r="M1427">
        <v>22.312679557118301</v>
      </c>
      <c r="N1427">
        <v>54.598814742972301</v>
      </c>
      <c r="O1427">
        <v>52.186740760620197</v>
      </c>
      <c r="P1427">
        <v>-7.7095638611860404E-2</v>
      </c>
      <c r="Q1427">
        <v>0.27874459282531999</v>
      </c>
      <c r="R1427">
        <v>0.992367695696451</v>
      </c>
      <c r="S1427" t="s">
        <v>5723</v>
      </c>
      <c r="T1427" t="s">
        <v>8590</v>
      </c>
      <c r="U1427" t="s">
        <v>8590</v>
      </c>
      <c r="V1427" t="s">
        <v>8590</v>
      </c>
      <c r="W1427">
        <v>5</v>
      </c>
      <c r="X1427" t="s">
        <v>10017</v>
      </c>
      <c r="Y1427">
        <v>0.58994699292797159</v>
      </c>
      <c r="Z1427" t="str">
        <f>HYPERLINK("Melting_Curves/meltCurve_sp_P62760_VISL1_HUMAN_.pdf", "Melting_Curves/meltCurve_sp_P62760_VISL1_HUMAN_.pdf")</f>
        <v>Melting_Curves/meltCurve_sp_P62760_VISL1_HUMAN_.pdf</v>
      </c>
      <c r="AA1427" t="s">
        <v>14289</v>
      </c>
      <c r="AB1427" t="s">
        <v>18511</v>
      </c>
    </row>
    <row r="1428" spans="1:28" x14ac:dyDescent="0.25">
      <c r="A1428" t="s">
        <v>1432</v>
      </c>
      <c r="B1428">
        <v>0.99876560204751996</v>
      </c>
      <c r="C1428">
        <v>1.0399287870351801</v>
      </c>
      <c r="D1428">
        <v>0.91439093665310001</v>
      </c>
      <c r="E1428">
        <v>0.55071613798334396</v>
      </c>
      <c r="F1428">
        <v>0.31569083622690802</v>
      </c>
      <c r="G1428">
        <v>0.28314759131324901</v>
      </c>
      <c r="H1428">
        <v>9.8211746684488899E-2</v>
      </c>
      <c r="I1428">
        <v>0.15937873066726199</v>
      </c>
      <c r="J1428">
        <v>7.38052647570238E-2</v>
      </c>
      <c r="K1428">
        <v>8.7088983964796807E-2</v>
      </c>
      <c r="L1428">
        <v>1054.7105534867101</v>
      </c>
      <c r="M1428">
        <v>20.990215325514999</v>
      </c>
      <c r="N1428">
        <v>50.8678680577652</v>
      </c>
      <c r="O1428">
        <v>49.798321824642699</v>
      </c>
      <c r="P1428">
        <v>-9.3482915116969503E-2</v>
      </c>
      <c r="Q1428">
        <v>0.11288815516343401</v>
      </c>
      <c r="R1428">
        <v>0.984473190416706</v>
      </c>
      <c r="S1428" t="s">
        <v>5724</v>
      </c>
      <c r="T1428" t="s">
        <v>8590</v>
      </c>
      <c r="U1428" t="s">
        <v>8590</v>
      </c>
      <c r="V1428" t="s">
        <v>8590</v>
      </c>
      <c r="W1428">
        <v>4</v>
      </c>
      <c r="X1428" t="s">
        <v>10018</v>
      </c>
      <c r="Y1428">
        <v>0.42715154460063992</v>
      </c>
      <c r="Z1428" t="str">
        <f>HYPERLINK("Melting_Curves/meltCurve_sp_P62805_H4_HUMAN_.pdf", "Melting_Curves/meltCurve_sp_P62805_H4_HUMAN_.pdf")</f>
        <v>Melting_Curves/meltCurve_sp_P62805_H4_HUMAN_.pdf</v>
      </c>
      <c r="AA1428" t="s">
        <v>14290</v>
      </c>
      <c r="AB1428" t="s">
        <v>18512</v>
      </c>
    </row>
    <row r="1429" spans="1:28" x14ac:dyDescent="0.25">
      <c r="A1429" t="s">
        <v>1433</v>
      </c>
      <c r="B1429">
        <v>0.99876560204751996</v>
      </c>
      <c r="C1429">
        <v>0.88942423091233302</v>
      </c>
      <c r="D1429">
        <v>0.69708221742438303</v>
      </c>
      <c r="E1429">
        <v>0.703664462757981</v>
      </c>
      <c r="F1429">
        <v>0.427261602121976</v>
      </c>
      <c r="G1429">
        <v>0.31844623166462099</v>
      </c>
      <c r="H1429">
        <v>0.19889104664898299</v>
      </c>
      <c r="I1429">
        <v>0.15973639079406499</v>
      </c>
      <c r="J1429">
        <v>0.12998079014976799</v>
      </c>
      <c r="K1429">
        <v>8.5834296633591795E-2</v>
      </c>
      <c r="L1429">
        <v>494.29971746084902</v>
      </c>
      <c r="M1429">
        <v>9.4657942921246896</v>
      </c>
      <c r="N1429">
        <v>52.315714655755798</v>
      </c>
      <c r="O1429">
        <v>50.048184529252502</v>
      </c>
      <c r="P1429">
        <v>-4.6903766910495498E-2</v>
      </c>
      <c r="Q1429">
        <v>8.6231769255276994E-3</v>
      </c>
      <c r="R1429">
        <v>0.97871018678924304</v>
      </c>
      <c r="S1429" t="s">
        <v>5725</v>
      </c>
      <c r="T1429" t="s">
        <v>8590</v>
      </c>
      <c r="U1429" t="s">
        <v>8590</v>
      </c>
      <c r="V1429" t="s">
        <v>8590</v>
      </c>
      <c r="W1429">
        <v>5</v>
      </c>
      <c r="X1429" t="s">
        <v>10019</v>
      </c>
      <c r="Y1429">
        <v>0.45137952588004848</v>
      </c>
      <c r="Z1429" t="str">
        <f>HYPERLINK("Melting_Curves/meltCurve_sp_P62807_H2B1C_HUMAN_.pdf", "Melting_Curves/meltCurve_sp_P62807_H2B1C_HUMAN_.pdf")</f>
        <v>Melting_Curves/meltCurve_sp_P62807_H2B1C_HUMAN_.pdf</v>
      </c>
      <c r="AA1429" t="s">
        <v>14291</v>
      </c>
      <c r="AB1429" t="s">
        <v>18513</v>
      </c>
    </row>
    <row r="1430" spans="1:28" x14ac:dyDescent="0.25">
      <c r="A1430" t="s">
        <v>1434</v>
      </c>
      <c r="B1430">
        <v>0.99876560204751996</v>
      </c>
      <c r="C1430">
        <v>0.93449577127288797</v>
      </c>
      <c r="D1430">
        <v>0.93306264888056101</v>
      </c>
      <c r="E1430">
        <v>0.75149491012005398</v>
      </c>
      <c r="F1430">
        <v>0.46842071488883402</v>
      </c>
      <c r="G1430">
        <v>0.17354793404820701</v>
      </c>
      <c r="H1430">
        <v>8.9011318022247293E-2</v>
      </c>
      <c r="I1430">
        <v>5.9522743015173699E-2</v>
      </c>
      <c r="J1430">
        <v>5.0251583147533897E-2</v>
      </c>
      <c r="K1430">
        <v>4.3137210523786398E-2</v>
      </c>
      <c r="L1430">
        <v>1081.4787713253299</v>
      </c>
      <c r="M1430">
        <v>20.631055156631898</v>
      </c>
      <c r="N1430">
        <v>52.609336424349202</v>
      </c>
      <c r="O1430">
        <v>51.934912798673601</v>
      </c>
      <c r="P1430">
        <v>-9.5760492884807397E-2</v>
      </c>
      <c r="Q1430">
        <v>3.5789761547127798E-2</v>
      </c>
      <c r="R1430">
        <v>0.99754276177190804</v>
      </c>
      <c r="S1430" t="s">
        <v>5726</v>
      </c>
      <c r="T1430" t="s">
        <v>8590</v>
      </c>
      <c r="U1430" t="s">
        <v>8590</v>
      </c>
      <c r="V1430" t="s">
        <v>8590</v>
      </c>
      <c r="W1430">
        <v>13</v>
      </c>
      <c r="X1430" t="s">
        <v>10020</v>
      </c>
      <c r="Y1430">
        <v>0.44757468174304799</v>
      </c>
      <c r="Z1430" t="str">
        <f>HYPERLINK("Melting_Curves/meltCurve_sp_P62820_RAB1A_HUMAN_.pdf", "Melting_Curves/meltCurve_sp_P62820_RAB1A_HUMAN_.pdf")</f>
        <v>Melting_Curves/meltCurve_sp_P62820_RAB1A_HUMAN_.pdf</v>
      </c>
      <c r="AA1430" t="s">
        <v>14292</v>
      </c>
      <c r="AB1430" t="s">
        <v>18514</v>
      </c>
    </row>
    <row r="1431" spans="1:28" x14ac:dyDescent="0.25">
      <c r="A1431" t="s">
        <v>1435</v>
      </c>
      <c r="B1431">
        <v>0.99876560204751996</v>
      </c>
      <c r="C1431">
        <v>0.994550719965414</v>
      </c>
      <c r="D1431">
        <v>1.0866915642697701</v>
      </c>
      <c r="E1431">
        <v>0.90705060993658904</v>
      </c>
      <c r="F1431">
        <v>0.74705245249686403</v>
      </c>
      <c r="G1431">
        <v>0.366401613240118</v>
      </c>
      <c r="H1431">
        <v>9.2331012729917297E-2</v>
      </c>
      <c r="I1431">
        <v>4.9603955272014499E-2</v>
      </c>
      <c r="J1431">
        <v>3.9988939558575499E-2</v>
      </c>
      <c r="K1431">
        <v>3.6391009238241998E-2</v>
      </c>
      <c r="L1431">
        <v>1332.4847236242199</v>
      </c>
      <c r="M1431">
        <v>24.057245725267201</v>
      </c>
      <c r="N1431">
        <v>55.476229574865897</v>
      </c>
      <c r="O1431">
        <v>55.0096238874468</v>
      </c>
      <c r="P1431">
        <v>-0.107283525597429</v>
      </c>
      <c r="Q1431">
        <v>1.87515190785318E-2</v>
      </c>
      <c r="R1431">
        <v>0.99436665190239504</v>
      </c>
      <c r="S1431" t="s">
        <v>5727</v>
      </c>
      <c r="T1431" t="s">
        <v>8590</v>
      </c>
      <c r="U1431" t="s">
        <v>8590</v>
      </c>
      <c r="V1431" t="s">
        <v>8590</v>
      </c>
      <c r="W1431">
        <v>13</v>
      </c>
      <c r="X1431" t="s">
        <v>10021</v>
      </c>
      <c r="Y1431">
        <v>0.53174115488946827</v>
      </c>
      <c r="Z1431" t="str">
        <f>HYPERLINK("Melting_Curves/meltCurve_sp_P62826_RAN_HUMAN_.pdf", "Melting_Curves/meltCurve_sp_P62826_RAN_HUMAN_.pdf")</f>
        <v>Melting_Curves/meltCurve_sp_P62826_RAN_HUMAN_.pdf</v>
      </c>
      <c r="AA1431" t="s">
        <v>14293</v>
      </c>
      <c r="AB1431" t="s">
        <v>18515</v>
      </c>
    </row>
    <row r="1432" spans="1:28" x14ac:dyDescent="0.25">
      <c r="A1432" t="s">
        <v>1436</v>
      </c>
      <c r="B1432">
        <v>0.99876560204751996</v>
      </c>
      <c r="C1432">
        <v>0.95595715843205697</v>
      </c>
      <c r="D1432">
        <v>0.80550345227036901</v>
      </c>
      <c r="E1432">
        <v>0.643866700077104</v>
      </c>
      <c r="F1432">
        <v>0.550182537218042</v>
      </c>
      <c r="G1432">
        <v>0.37131977429600899</v>
      </c>
      <c r="H1432">
        <v>0.333544526645499</v>
      </c>
      <c r="I1432">
        <v>0.32877225782494901</v>
      </c>
      <c r="J1432">
        <v>0.35410396106053499</v>
      </c>
      <c r="K1432">
        <v>0.35390082495834602</v>
      </c>
      <c r="L1432">
        <v>738.880925273613</v>
      </c>
      <c r="M1432">
        <v>14.8978546300216</v>
      </c>
      <c r="N1432">
        <v>53.258586534301799</v>
      </c>
      <c r="O1432">
        <v>48.728572579251399</v>
      </c>
      <c r="P1432">
        <v>-5.1942054090093802E-2</v>
      </c>
      <c r="Q1432">
        <v>0.32049291746457398</v>
      </c>
      <c r="R1432">
        <v>0.98987198381408603</v>
      </c>
      <c r="S1432" t="s">
        <v>5728</v>
      </c>
      <c r="T1432" t="s">
        <v>8590</v>
      </c>
      <c r="U1432" t="s">
        <v>8590</v>
      </c>
      <c r="V1432" t="s">
        <v>8590</v>
      </c>
      <c r="W1432">
        <v>3</v>
      </c>
      <c r="X1432" t="s">
        <v>10022</v>
      </c>
      <c r="Y1432">
        <v>0.5544804319723976</v>
      </c>
      <c r="Z1432" t="str">
        <f>HYPERLINK("Melting_Curves/meltCurve_sp_P62829_RL23_HUMAN_.pdf", "Melting_Curves/meltCurve_sp_P62829_RL23_HUMAN_.pdf")</f>
        <v>Melting_Curves/meltCurve_sp_P62829_RL23_HUMAN_.pdf</v>
      </c>
      <c r="AA1432" t="s">
        <v>14294</v>
      </c>
      <c r="AB1432" t="s">
        <v>18516</v>
      </c>
    </row>
    <row r="1433" spans="1:28" x14ac:dyDescent="0.25">
      <c r="A1433" t="s">
        <v>1437</v>
      </c>
      <c r="B1433">
        <v>0.99876560204751996</v>
      </c>
      <c r="C1433">
        <v>0.85498668390812504</v>
      </c>
      <c r="D1433">
        <v>0.73546056390247705</v>
      </c>
      <c r="E1433">
        <v>0.44004172636695299</v>
      </c>
      <c r="F1433">
        <v>0.24476579987960601</v>
      </c>
      <c r="G1433">
        <v>0.12858578479237701</v>
      </c>
      <c r="H1433">
        <v>8.4114910054858993E-2</v>
      </c>
      <c r="I1433">
        <v>6.8657604911959894E-2</v>
      </c>
      <c r="J1433">
        <v>6.2670324240928402E-2</v>
      </c>
      <c r="K1433">
        <v>4.62476796102042E-2</v>
      </c>
      <c r="L1433">
        <v>744.19168543319495</v>
      </c>
      <c r="M1433">
        <v>15.272849932146499</v>
      </c>
      <c r="N1433">
        <v>48.998528329054999</v>
      </c>
      <c r="O1433">
        <v>47.913986168925703</v>
      </c>
      <c r="P1433">
        <v>-7.6456259282339206E-2</v>
      </c>
      <c r="Q1433">
        <v>4.0655832072809601E-2</v>
      </c>
      <c r="R1433">
        <v>0.99752076256603495</v>
      </c>
      <c r="S1433" t="s">
        <v>5729</v>
      </c>
      <c r="T1433" t="s">
        <v>8590</v>
      </c>
      <c r="U1433" t="s">
        <v>8590</v>
      </c>
      <c r="V1433" t="s">
        <v>8590</v>
      </c>
      <c r="W1433">
        <v>6</v>
      </c>
      <c r="X1433" t="s">
        <v>10023</v>
      </c>
      <c r="Y1433">
        <v>0.34282568179870782</v>
      </c>
      <c r="Z1433" t="str">
        <f>HYPERLINK("Melting_Curves/meltCurve_sp_P62834_RAP1A_HUMAN_.pdf", "Melting_Curves/meltCurve_sp_P62834_RAP1A_HUMAN_.pdf")</f>
        <v>Melting_Curves/meltCurve_sp_P62834_RAP1A_HUMAN_.pdf</v>
      </c>
      <c r="AA1433" t="s">
        <v>14295</v>
      </c>
      <c r="AB1433" t="s">
        <v>18517</v>
      </c>
    </row>
    <row r="1434" spans="1:28" x14ac:dyDescent="0.25">
      <c r="A1434" t="s">
        <v>1438</v>
      </c>
      <c r="B1434">
        <v>0.99876560204751996</v>
      </c>
      <c r="C1434">
        <v>1.0432115284551999</v>
      </c>
      <c r="D1434">
        <v>0.87003131925294197</v>
      </c>
      <c r="E1434">
        <v>0.67586357565052402</v>
      </c>
      <c r="F1434">
        <v>0.46320826066326498</v>
      </c>
      <c r="G1434">
        <v>0.20310802459569199</v>
      </c>
      <c r="H1434">
        <v>0.16006730915327699</v>
      </c>
      <c r="I1434">
        <v>0.122316991711667</v>
      </c>
      <c r="J1434">
        <v>0.156635812261056</v>
      </c>
      <c r="K1434">
        <v>6.5411466943448196E-2</v>
      </c>
      <c r="L1434">
        <v>932.01551253297396</v>
      </c>
      <c r="M1434">
        <v>18.0635190133133</v>
      </c>
      <c r="N1434">
        <v>52.2178038524941</v>
      </c>
      <c r="O1434">
        <v>50.976667892713799</v>
      </c>
      <c r="P1434">
        <v>-8.0025704892000005E-2</v>
      </c>
      <c r="Q1434">
        <v>9.6688681178704203E-2</v>
      </c>
      <c r="R1434">
        <v>0.99183014712921802</v>
      </c>
      <c r="S1434" t="s">
        <v>5730</v>
      </c>
      <c r="T1434" t="s">
        <v>8590</v>
      </c>
      <c r="U1434" t="s">
        <v>8590</v>
      </c>
      <c r="V1434" t="s">
        <v>8590</v>
      </c>
      <c r="W1434">
        <v>1</v>
      </c>
      <c r="X1434" t="s">
        <v>10024</v>
      </c>
      <c r="Y1434">
        <v>0.46088451883199089</v>
      </c>
      <c r="Z1434" t="str">
        <f>HYPERLINK("Melting_Curves/meltCurve_sp_P62851_RS25_HUMAN_.pdf", "Melting_Curves/meltCurve_sp_P62851_RS25_HUMAN_.pdf")</f>
        <v>Melting_Curves/meltCurve_sp_P62851_RS25_HUMAN_.pdf</v>
      </c>
      <c r="AA1434" t="s">
        <v>14296</v>
      </c>
      <c r="AB1434" t="s">
        <v>18518</v>
      </c>
    </row>
    <row r="1435" spans="1:28" x14ac:dyDescent="0.25">
      <c r="A1435" t="s">
        <v>1439</v>
      </c>
      <c r="B1435">
        <v>0.99876560204751996</v>
      </c>
      <c r="C1435">
        <v>1.0416496194039599</v>
      </c>
      <c r="D1435">
        <v>0.73496489121123898</v>
      </c>
      <c r="E1435">
        <v>0.509226469915397</v>
      </c>
      <c r="F1435">
        <v>0.324315288496004</v>
      </c>
      <c r="G1435">
        <v>0.19083445506598001</v>
      </c>
      <c r="H1435">
        <v>0.13643179556989499</v>
      </c>
      <c r="I1435">
        <v>0.111984711543136</v>
      </c>
      <c r="J1435">
        <v>0.117994878130995</v>
      </c>
      <c r="K1435">
        <v>8.2060430497154002E-2</v>
      </c>
      <c r="L1435">
        <v>844.52340640442799</v>
      </c>
      <c r="M1435">
        <v>17.096690827818701</v>
      </c>
      <c r="N1435">
        <v>50.038907380982103</v>
      </c>
      <c r="O1435">
        <v>48.735934122644998</v>
      </c>
      <c r="P1435">
        <v>-7.9068495467875199E-2</v>
      </c>
      <c r="Q1435">
        <v>9.8481888365273898E-2</v>
      </c>
      <c r="R1435">
        <v>0.98708847320108395</v>
      </c>
      <c r="S1435" t="s">
        <v>5731</v>
      </c>
      <c r="T1435" t="s">
        <v>8590</v>
      </c>
      <c r="U1435" t="s">
        <v>8590</v>
      </c>
      <c r="V1435" t="s">
        <v>8590</v>
      </c>
      <c r="W1435">
        <v>1</v>
      </c>
      <c r="X1435" t="s">
        <v>10025</v>
      </c>
      <c r="Y1435">
        <v>0.39800341890991292</v>
      </c>
      <c r="Z1435" t="str">
        <f>HYPERLINK("Melting_Curves/meltCurve_sp_P62854_RS26_HUMAN_.pdf", "Melting_Curves/meltCurve_sp_P62854_RS26_HUMAN_.pdf")</f>
        <v>Melting_Curves/meltCurve_sp_P62854_RS26_HUMAN_.pdf</v>
      </c>
      <c r="AA1435" t="s">
        <v>14297</v>
      </c>
      <c r="AB1435" t="s">
        <v>18519</v>
      </c>
    </row>
    <row r="1436" spans="1:28" x14ac:dyDescent="0.25">
      <c r="A1436" t="s">
        <v>1440</v>
      </c>
      <c r="B1436">
        <v>0.99876560204751996</v>
      </c>
      <c r="C1436">
        <v>1.0317233297394801</v>
      </c>
      <c r="D1436">
        <v>0.88710488606691495</v>
      </c>
      <c r="E1436">
        <v>0.68228965362182503</v>
      </c>
      <c r="F1436">
        <v>0.35871048855443199</v>
      </c>
      <c r="G1436">
        <v>0.20806819911852401</v>
      </c>
      <c r="H1436">
        <v>0.172998142721903</v>
      </c>
      <c r="I1436">
        <v>8.2891448379919699E-2</v>
      </c>
      <c r="J1436">
        <v>7.3955330461287702E-2</v>
      </c>
      <c r="K1436">
        <v>7.3125336771506302E-2</v>
      </c>
      <c r="L1436">
        <v>1022.1951721205</v>
      </c>
      <c r="M1436">
        <v>19.9437031329029</v>
      </c>
      <c r="N1436">
        <v>51.728038190683897</v>
      </c>
      <c r="O1436">
        <v>50.747066421624801</v>
      </c>
      <c r="P1436">
        <v>-9.0048584562485406E-2</v>
      </c>
      <c r="Q1436">
        <v>8.3509969109648793E-2</v>
      </c>
      <c r="R1436">
        <v>0.99346659218427402</v>
      </c>
      <c r="S1436" t="s">
        <v>5732</v>
      </c>
      <c r="T1436" t="s">
        <v>8590</v>
      </c>
      <c r="U1436" t="s">
        <v>8590</v>
      </c>
      <c r="V1436" t="s">
        <v>8590</v>
      </c>
      <c r="W1436">
        <v>2</v>
      </c>
      <c r="X1436" t="s">
        <v>10026</v>
      </c>
      <c r="Y1436">
        <v>0.44009750753946292</v>
      </c>
      <c r="Z1436" t="str">
        <f>HYPERLINK("Melting_Curves/meltCurve_sp_P62873_GBB1_HUMAN_.pdf", "Melting_Curves/meltCurve_sp_P62873_GBB1_HUMAN_.pdf")</f>
        <v>Melting_Curves/meltCurve_sp_P62873_GBB1_HUMAN_.pdf</v>
      </c>
      <c r="AA1436" t="s">
        <v>14298</v>
      </c>
      <c r="AB1436" t="s">
        <v>18520</v>
      </c>
    </row>
    <row r="1437" spans="1:28" x14ac:dyDescent="0.25">
      <c r="A1437" t="s">
        <v>1441</v>
      </c>
      <c r="B1437">
        <v>0.99876560204751996</v>
      </c>
      <c r="C1437">
        <v>1.1130760109862701</v>
      </c>
      <c r="D1437">
        <v>0.899977682476505</v>
      </c>
      <c r="E1437">
        <v>0.84706448529811096</v>
      </c>
      <c r="F1437">
        <v>0.93774572738184303</v>
      </c>
      <c r="G1437">
        <v>0.82452507523858198</v>
      </c>
      <c r="H1437">
        <v>1.0048097235637199</v>
      </c>
      <c r="I1437">
        <v>2.1368519773340702</v>
      </c>
      <c r="J1437">
        <v>2.6501618519211498</v>
      </c>
      <c r="K1437">
        <v>3.2961328535377401</v>
      </c>
      <c r="L1437">
        <v>15000</v>
      </c>
      <c r="M1437">
        <v>242.314191400265</v>
      </c>
      <c r="O1437">
        <v>61.898885065313401</v>
      </c>
      <c r="P1437">
        <v>0.48933472719279503</v>
      </c>
      <c r="Q1437">
        <v>1.5</v>
      </c>
      <c r="R1437">
        <v>0.295804475472557</v>
      </c>
      <c r="S1437" t="s">
        <v>5733</v>
      </c>
      <c r="T1437" t="s">
        <v>8590</v>
      </c>
      <c r="U1437" t="s">
        <v>8590</v>
      </c>
      <c r="V1437" t="s">
        <v>8590</v>
      </c>
      <c r="W1437">
        <v>2</v>
      </c>
      <c r="X1437" t="s">
        <v>10027</v>
      </c>
      <c r="Y1437">
        <v>1.1348904864984251</v>
      </c>
      <c r="Z1437" t="str">
        <f>HYPERLINK("Melting_Curves/meltCurve_sp_P62877_RBX1_HUMAN_.pdf", "Melting_Curves/meltCurve_sp_P62877_RBX1_HUMAN_.pdf")</f>
        <v>Melting_Curves/meltCurve_sp_P62877_RBX1_HUMAN_.pdf</v>
      </c>
      <c r="AA1437" t="s">
        <v>14299</v>
      </c>
      <c r="AB1437" t="s">
        <v>18521</v>
      </c>
    </row>
    <row r="1438" spans="1:28" x14ac:dyDescent="0.25">
      <c r="A1438" t="s">
        <v>1442</v>
      </c>
      <c r="B1438">
        <v>0.99876560204751996</v>
      </c>
      <c r="C1438">
        <v>1.0141394664652701</v>
      </c>
      <c r="D1438">
        <v>0.795233652004946</v>
      </c>
      <c r="E1438">
        <v>0.63049525431854803</v>
      </c>
      <c r="F1438">
        <v>0.36968392347197698</v>
      </c>
      <c r="G1438">
        <v>0.21831971167372799</v>
      </c>
      <c r="H1438">
        <v>0.15571511251268499</v>
      </c>
      <c r="I1438">
        <v>0.106639028756521</v>
      </c>
      <c r="J1438">
        <v>8.2949946985514805E-2</v>
      </c>
      <c r="K1438">
        <v>5.0965343382985001E-2</v>
      </c>
      <c r="L1438">
        <v>777.25445087032904</v>
      </c>
      <c r="M1438">
        <v>15.2497022105514</v>
      </c>
      <c r="N1438">
        <v>51.396552973190097</v>
      </c>
      <c r="O1438">
        <v>50.116136016992598</v>
      </c>
      <c r="P1438">
        <v>-7.1541957894719899E-2</v>
      </c>
      <c r="Q1438">
        <v>5.9635851635114798E-2</v>
      </c>
      <c r="R1438">
        <v>0.99240731109040503</v>
      </c>
      <c r="S1438" t="s">
        <v>5734</v>
      </c>
      <c r="T1438" t="s">
        <v>8590</v>
      </c>
      <c r="U1438" t="s">
        <v>8590</v>
      </c>
      <c r="V1438" t="s">
        <v>8590</v>
      </c>
      <c r="W1438">
        <v>2</v>
      </c>
      <c r="X1438" t="s">
        <v>10028</v>
      </c>
      <c r="Y1438">
        <v>0.42460754715893401</v>
      </c>
      <c r="Z1438" t="str">
        <f>HYPERLINK("Melting_Curves/meltCurve_sp_P62879_GBB2_HUMAN_.pdf", "Melting_Curves/meltCurve_sp_P62879_GBB2_HUMAN_.pdf")</f>
        <v>Melting_Curves/meltCurve_sp_P62879_GBB2_HUMAN_.pdf</v>
      </c>
      <c r="AA1438" t="s">
        <v>14300</v>
      </c>
      <c r="AB1438" t="s">
        <v>18522</v>
      </c>
    </row>
    <row r="1439" spans="1:28" x14ac:dyDescent="0.25">
      <c r="A1439" t="s">
        <v>1443</v>
      </c>
      <c r="B1439">
        <v>0.99876560204751996</v>
      </c>
      <c r="C1439">
        <v>0.91973246247267804</v>
      </c>
      <c r="D1439">
        <v>1.00422213384548</v>
      </c>
      <c r="E1439">
        <v>0.83681443977798098</v>
      </c>
      <c r="F1439">
        <v>0.82631001272786397</v>
      </c>
      <c r="G1439">
        <v>0.68098138349264004</v>
      </c>
      <c r="H1439">
        <v>0.57394288097580304</v>
      </c>
      <c r="I1439">
        <v>0.55631983767488902</v>
      </c>
      <c r="J1439">
        <v>0.61162755240054201</v>
      </c>
      <c r="K1439">
        <v>0.57221275563129603</v>
      </c>
      <c r="L1439">
        <v>803.81794333046696</v>
      </c>
      <c r="M1439">
        <v>15.077786193578101</v>
      </c>
      <c r="O1439">
        <v>52.399985385030597</v>
      </c>
      <c r="P1439">
        <v>-3.2199077591370098E-2</v>
      </c>
      <c r="Q1439">
        <v>0.55243696835131095</v>
      </c>
      <c r="R1439">
        <v>0.95270972536543097</v>
      </c>
      <c r="S1439" t="s">
        <v>5735</v>
      </c>
      <c r="T1439" t="s">
        <v>8590</v>
      </c>
      <c r="U1439" t="s">
        <v>8590</v>
      </c>
      <c r="V1439" t="s">
        <v>8590</v>
      </c>
      <c r="W1439">
        <v>7</v>
      </c>
      <c r="X1439" t="s">
        <v>10029</v>
      </c>
      <c r="Y1439">
        <v>0.76046137964177773</v>
      </c>
      <c r="Z1439" t="str">
        <f>HYPERLINK("Melting_Curves/meltCurve_sp_P62942_FKB1A_HUMAN_.pdf", "Melting_Curves/meltCurve_sp_P62942_FKB1A_HUMAN_.pdf")</f>
        <v>Melting_Curves/meltCurve_sp_P62942_FKB1A_HUMAN_.pdf</v>
      </c>
      <c r="AA1439" t="s">
        <v>14301</v>
      </c>
      <c r="AB1439" t="s">
        <v>18523</v>
      </c>
    </row>
    <row r="1440" spans="1:28" x14ac:dyDescent="0.25">
      <c r="A1440" t="s">
        <v>1444</v>
      </c>
      <c r="B1440">
        <v>0.99876560204751996</v>
      </c>
      <c r="C1440">
        <v>0.91581679708908303</v>
      </c>
      <c r="D1440">
        <v>0.99406546232287596</v>
      </c>
      <c r="E1440">
        <v>0.83907554131446604</v>
      </c>
      <c r="F1440">
        <v>0.88482398980030097</v>
      </c>
      <c r="G1440">
        <v>0.63989247406782901</v>
      </c>
      <c r="H1440">
        <v>0.279360657494923</v>
      </c>
      <c r="I1440">
        <v>0.13893647736006301</v>
      </c>
      <c r="J1440">
        <v>0.12744300002261499</v>
      </c>
      <c r="K1440">
        <v>0.110105711753773</v>
      </c>
      <c r="L1440">
        <v>1141.4993560693399</v>
      </c>
      <c r="M1440">
        <v>19.733660504212999</v>
      </c>
      <c r="N1440">
        <v>58.187435887969301</v>
      </c>
      <c r="O1440">
        <v>57.261095047105897</v>
      </c>
      <c r="P1440">
        <v>-8.1439899110922503E-2</v>
      </c>
      <c r="Q1440">
        <v>5.47769400982124E-2</v>
      </c>
      <c r="R1440">
        <v>0.98002439447235001</v>
      </c>
      <c r="S1440" t="s">
        <v>5736</v>
      </c>
      <c r="T1440" t="s">
        <v>8590</v>
      </c>
      <c r="U1440" t="s">
        <v>8590</v>
      </c>
      <c r="V1440" t="s">
        <v>8590</v>
      </c>
      <c r="W1440">
        <v>12</v>
      </c>
      <c r="X1440" t="s">
        <v>10030</v>
      </c>
      <c r="Y1440">
        <v>0.62804243915199554</v>
      </c>
      <c r="Z1440" t="str">
        <f>HYPERLINK("Melting_Curves/meltCurve_sp_P62993_GRB2_HUMAN_.pdf", "Melting_Curves/meltCurve_sp_P62993_GRB2_HUMAN_.pdf")</f>
        <v>Melting_Curves/meltCurve_sp_P62993_GRB2_HUMAN_.pdf</v>
      </c>
      <c r="AA1440" t="s">
        <v>14302</v>
      </c>
      <c r="AB1440" t="s">
        <v>18524</v>
      </c>
    </row>
    <row r="1441" spans="1:28" x14ac:dyDescent="0.25">
      <c r="A1441" t="s">
        <v>1445</v>
      </c>
      <c r="B1441">
        <v>0.99876560204751996</v>
      </c>
      <c r="C1441">
        <v>0.96203680594696905</v>
      </c>
      <c r="D1441">
        <v>0.97977181030904503</v>
      </c>
      <c r="E1441">
        <v>0.96737774178301295</v>
      </c>
      <c r="F1441">
        <v>0.84272057796317001</v>
      </c>
      <c r="G1441">
        <v>0.65141490860583195</v>
      </c>
      <c r="H1441">
        <v>0.51901289123802796</v>
      </c>
      <c r="I1441">
        <v>0.55084076251379799</v>
      </c>
      <c r="J1441">
        <v>0.49556001355759499</v>
      </c>
      <c r="K1441">
        <v>0.46456518199024999</v>
      </c>
      <c r="L1441">
        <v>1228.6102698791699</v>
      </c>
      <c r="M1441">
        <v>22.308590300553899</v>
      </c>
      <c r="N1441">
        <v>65.468812495906903</v>
      </c>
      <c r="O1441">
        <v>54.6365852390296</v>
      </c>
      <c r="P1441">
        <v>-5.2517145900206001E-2</v>
      </c>
      <c r="Q1441">
        <v>0.48552587736141201</v>
      </c>
      <c r="R1441">
        <v>0.989755681071806</v>
      </c>
      <c r="S1441" t="s">
        <v>5737</v>
      </c>
      <c r="T1441" t="s">
        <v>8590</v>
      </c>
      <c r="U1441" t="s">
        <v>8590</v>
      </c>
      <c r="V1441" t="s">
        <v>8590</v>
      </c>
      <c r="W1441">
        <v>4</v>
      </c>
      <c r="X1441" t="s">
        <v>10031</v>
      </c>
      <c r="Y1441">
        <v>0.74978864291290381</v>
      </c>
      <c r="Z1441" t="str">
        <f>HYPERLINK("Melting_Curves/meltCurve_sp_P62995_3_TRA2B_HUMAN_.pdf", "Melting_Curves/meltCurve_sp_P62995_3_TRA2B_HUMAN_.pdf")</f>
        <v>Melting_Curves/meltCurve_sp_P62995_3_TRA2B_HUMAN_.pdf</v>
      </c>
      <c r="AA1441" t="s">
        <v>14303</v>
      </c>
      <c r="AB1441" t="s">
        <v>18525</v>
      </c>
    </row>
    <row r="1442" spans="1:28" x14ac:dyDescent="0.25">
      <c r="A1442" t="s">
        <v>1446</v>
      </c>
      <c r="B1442">
        <v>0.99876560204751996</v>
      </c>
      <c r="C1442">
        <v>0.90440632869321502</v>
      </c>
      <c r="D1442">
        <v>1.04262727313014</v>
      </c>
      <c r="E1442">
        <v>0.83289198423570399</v>
      </c>
      <c r="F1442">
        <v>0.39699909337834799</v>
      </c>
      <c r="G1442">
        <v>0.10758946755910199</v>
      </c>
      <c r="H1442">
        <v>5.5798652320152402E-2</v>
      </c>
      <c r="I1442">
        <v>3.7170081413145699E-2</v>
      </c>
      <c r="J1442">
        <v>2.9936421530681202E-2</v>
      </c>
      <c r="K1442">
        <v>2.3408544767718701E-2</v>
      </c>
      <c r="L1442">
        <v>1797.7536538367899</v>
      </c>
      <c r="M1442">
        <v>34.406609922259896</v>
      </c>
      <c r="N1442">
        <v>52.369367453786502</v>
      </c>
      <c r="O1442">
        <v>52.074680429856301</v>
      </c>
      <c r="P1442">
        <v>-0.158962286509748</v>
      </c>
      <c r="Q1442">
        <v>3.7640853089631499E-2</v>
      </c>
      <c r="R1442">
        <v>0.99310203807360298</v>
      </c>
      <c r="S1442" t="s">
        <v>5738</v>
      </c>
      <c r="T1442" t="s">
        <v>8590</v>
      </c>
      <c r="U1442" t="s">
        <v>8590</v>
      </c>
      <c r="V1442" t="s">
        <v>8590</v>
      </c>
      <c r="W1442">
        <v>9</v>
      </c>
      <c r="X1442" t="s">
        <v>10032</v>
      </c>
      <c r="Y1442">
        <v>0.43531101808383782</v>
      </c>
      <c r="Z1442" t="str">
        <f>HYPERLINK("Melting_Curves/meltCurve_sp_P63000_RAC1_HUMAN_.pdf", "Melting_Curves/meltCurve_sp_P63000_RAC1_HUMAN_.pdf")</f>
        <v>Melting_Curves/meltCurve_sp_P63000_RAC1_HUMAN_.pdf</v>
      </c>
      <c r="AA1442" t="s">
        <v>14304</v>
      </c>
      <c r="AB1442" t="s">
        <v>18526</v>
      </c>
    </row>
    <row r="1443" spans="1:28" x14ac:dyDescent="0.25">
      <c r="A1443" t="s">
        <v>1447</v>
      </c>
      <c r="B1443">
        <v>0.99876560204751996</v>
      </c>
      <c r="C1443">
        <v>1.00519420992049</v>
      </c>
      <c r="D1443">
        <v>0.93407090775748702</v>
      </c>
      <c r="E1443">
        <v>0.93193446558099302</v>
      </c>
      <c r="F1443">
        <v>0.64252864797589904</v>
      </c>
      <c r="G1443">
        <v>0.241774388220627</v>
      </c>
      <c r="H1443">
        <v>6.8965614102054595E-2</v>
      </c>
      <c r="I1443">
        <v>4.34788762311746E-2</v>
      </c>
      <c r="J1443">
        <v>3.5802411201334303E-2</v>
      </c>
      <c r="K1443">
        <v>2.6732289376879399E-2</v>
      </c>
      <c r="L1443">
        <v>1441.00353810673</v>
      </c>
      <c r="M1443">
        <v>26.5881723524489</v>
      </c>
      <c r="N1443">
        <v>54.308993169089199</v>
      </c>
      <c r="O1443">
        <v>53.893373213200803</v>
      </c>
      <c r="P1443">
        <v>-0.120052837892066</v>
      </c>
      <c r="Q1443">
        <v>2.6637410474337601E-2</v>
      </c>
      <c r="R1443">
        <v>0.99760962327751901</v>
      </c>
      <c r="S1443" t="s">
        <v>5739</v>
      </c>
      <c r="T1443" t="s">
        <v>8590</v>
      </c>
      <c r="U1443" t="s">
        <v>8590</v>
      </c>
      <c r="V1443" t="s">
        <v>8590</v>
      </c>
      <c r="W1443">
        <v>35</v>
      </c>
      <c r="X1443" t="s">
        <v>10033</v>
      </c>
      <c r="Y1443">
        <v>0.49532025763858989</v>
      </c>
      <c r="Z1443" t="str">
        <f>HYPERLINK("Melting_Curves/meltCurve_sp_P63010_AP2B1_HUMAN_.pdf", "Melting_Curves/meltCurve_sp_P63010_AP2B1_HUMAN_.pdf")</f>
        <v>Melting_Curves/meltCurve_sp_P63010_AP2B1_HUMAN_.pdf</v>
      </c>
      <c r="AA1443" t="s">
        <v>14305</v>
      </c>
      <c r="AB1443" t="s">
        <v>18527</v>
      </c>
    </row>
    <row r="1444" spans="1:28" x14ac:dyDescent="0.25">
      <c r="A1444" t="s">
        <v>1448</v>
      </c>
      <c r="B1444">
        <v>0.99876560204751996</v>
      </c>
      <c r="C1444">
        <v>0.96786199478475698</v>
      </c>
      <c r="D1444">
        <v>1.0336962546725901</v>
      </c>
      <c r="E1444">
        <v>1.00040931939734</v>
      </c>
      <c r="F1444">
        <v>1.02742046823398</v>
      </c>
      <c r="G1444">
        <v>0.88587727696247198</v>
      </c>
      <c r="H1444">
        <v>0.48970681433752999</v>
      </c>
      <c r="I1444">
        <v>0.128352895985478</v>
      </c>
      <c r="J1444">
        <v>7.2517333178730506E-2</v>
      </c>
      <c r="K1444">
        <v>6.1321153430288398E-2</v>
      </c>
      <c r="L1444">
        <v>2231.0311115469199</v>
      </c>
      <c r="M1444">
        <v>36.796331045200503</v>
      </c>
      <c r="N1444">
        <v>60.769746603704199</v>
      </c>
      <c r="O1444">
        <v>60.453647579332497</v>
      </c>
      <c r="P1444">
        <v>-0.14607531856273201</v>
      </c>
      <c r="Q1444">
        <v>4.0039095052935299E-2</v>
      </c>
      <c r="R1444">
        <v>0.99644315701646002</v>
      </c>
      <c r="S1444" t="s">
        <v>5740</v>
      </c>
      <c r="T1444" t="s">
        <v>8590</v>
      </c>
      <c r="U1444" t="s">
        <v>8590</v>
      </c>
      <c r="V1444" t="s">
        <v>8590</v>
      </c>
      <c r="W1444">
        <v>23</v>
      </c>
      <c r="X1444" t="s">
        <v>10034</v>
      </c>
      <c r="Y1444">
        <v>0.70445181492442732</v>
      </c>
      <c r="Z1444" t="str">
        <f>HYPERLINK("Melting_Curves/meltCurve_sp_P63104_1433Z_HUMAN_.pdf", "Melting_Curves/meltCurve_sp_P63104_1433Z_HUMAN_.pdf")</f>
        <v>Melting_Curves/meltCurve_sp_P63104_1433Z_HUMAN_.pdf</v>
      </c>
      <c r="AA1444" t="s">
        <v>14306</v>
      </c>
      <c r="AB1444" t="s">
        <v>18528</v>
      </c>
    </row>
    <row r="1445" spans="1:28" x14ac:dyDescent="0.25">
      <c r="A1445" t="s">
        <v>1449</v>
      </c>
      <c r="B1445">
        <v>0.99876560204751996</v>
      </c>
      <c r="C1445">
        <v>0.97378838327529404</v>
      </c>
      <c r="D1445">
        <v>0.89882478830877499</v>
      </c>
      <c r="E1445">
        <v>0.90036541867270803</v>
      </c>
      <c r="F1445">
        <v>0.73478937351809304</v>
      </c>
      <c r="G1445">
        <v>0.32005349511277098</v>
      </c>
      <c r="H1445">
        <v>0.127235865907145</v>
      </c>
      <c r="I1445">
        <v>9.3671272919451196E-2</v>
      </c>
      <c r="J1445">
        <v>9.2371558203518403E-2</v>
      </c>
      <c r="K1445">
        <v>7.8525893661319901E-2</v>
      </c>
      <c r="L1445">
        <v>1329.4000758642801</v>
      </c>
      <c r="M1445">
        <v>24.276608469466598</v>
      </c>
      <c r="N1445">
        <v>55.098847344397697</v>
      </c>
      <c r="O1445">
        <v>54.3930012986498</v>
      </c>
      <c r="P1445">
        <v>-0.103855255877206</v>
      </c>
      <c r="Q1445">
        <v>6.9241368753966706E-2</v>
      </c>
      <c r="R1445">
        <v>0.99324987262118203</v>
      </c>
      <c r="S1445" t="s">
        <v>5741</v>
      </c>
      <c r="T1445" t="s">
        <v>8590</v>
      </c>
      <c r="U1445" t="s">
        <v>8590</v>
      </c>
      <c r="V1445" t="s">
        <v>8590</v>
      </c>
      <c r="W1445">
        <v>7</v>
      </c>
      <c r="X1445" t="s">
        <v>10035</v>
      </c>
      <c r="Y1445">
        <v>0.53626384292695839</v>
      </c>
      <c r="Z1445" t="str">
        <f>HYPERLINK("Melting_Curves/meltCurve_sp_P63151_2ABA_HUMAN_.pdf", "Melting_Curves/meltCurve_sp_P63151_2ABA_HUMAN_.pdf")</f>
        <v>Melting_Curves/meltCurve_sp_P63151_2ABA_HUMAN_.pdf</v>
      </c>
      <c r="AA1445" t="s">
        <v>14307</v>
      </c>
      <c r="AB1445" t="s">
        <v>18529</v>
      </c>
    </row>
    <row r="1446" spans="1:28" x14ac:dyDescent="0.25">
      <c r="A1446" t="s">
        <v>1450</v>
      </c>
      <c r="B1446">
        <v>0.99876560204751996</v>
      </c>
      <c r="C1446">
        <v>0.95068694357123695</v>
      </c>
      <c r="D1446">
        <v>0.91156523950515</v>
      </c>
      <c r="E1446">
        <v>0.77397447042650902</v>
      </c>
      <c r="F1446">
        <v>0.55997112550139905</v>
      </c>
      <c r="G1446">
        <v>0.35219039796622398</v>
      </c>
      <c r="H1446">
        <v>0.20580517019250599</v>
      </c>
      <c r="I1446">
        <v>0.133437516586324</v>
      </c>
      <c r="J1446">
        <v>0.12885102985024</v>
      </c>
      <c r="K1446">
        <v>9.4906549324876202E-2</v>
      </c>
      <c r="L1446">
        <v>761.26139623936604</v>
      </c>
      <c r="M1446">
        <v>14.188196750427901</v>
      </c>
      <c r="N1446">
        <v>54.165856090295399</v>
      </c>
      <c r="O1446">
        <v>52.622413135702402</v>
      </c>
      <c r="P1446">
        <v>-6.3189154629551297E-2</v>
      </c>
      <c r="Q1446">
        <v>6.2671717000206795E-2</v>
      </c>
      <c r="R1446">
        <v>0.99870315509464203</v>
      </c>
      <c r="S1446" t="s">
        <v>5742</v>
      </c>
      <c r="T1446" t="s">
        <v>8590</v>
      </c>
      <c r="U1446" t="s">
        <v>8590</v>
      </c>
      <c r="V1446" t="s">
        <v>8590</v>
      </c>
      <c r="W1446">
        <v>6</v>
      </c>
      <c r="X1446" t="s">
        <v>10036</v>
      </c>
      <c r="Y1446">
        <v>0.51029420228161382</v>
      </c>
      <c r="Z1446" t="str">
        <f>HYPERLINK("Melting_Curves/meltCurve_sp_P63167_DYL1_HUMAN_.pdf", "Melting_Curves/meltCurve_sp_P63167_DYL1_HUMAN_.pdf")</f>
        <v>Melting_Curves/meltCurve_sp_P63167_DYL1_HUMAN_.pdf</v>
      </c>
      <c r="AA1446" t="s">
        <v>14308</v>
      </c>
      <c r="AB1446" t="s">
        <v>18530</v>
      </c>
    </row>
    <row r="1447" spans="1:28" x14ac:dyDescent="0.25">
      <c r="A1447" t="s">
        <v>1451</v>
      </c>
      <c r="B1447">
        <v>0.99876560204751996</v>
      </c>
      <c r="C1447">
        <v>0.86405873970599201</v>
      </c>
      <c r="D1447">
        <v>0.74560181980363205</v>
      </c>
      <c r="E1447">
        <v>0.45891823528863201</v>
      </c>
      <c r="F1447">
        <v>0.26833563274196398</v>
      </c>
      <c r="G1447">
        <v>0.180399219242624</v>
      </c>
      <c r="H1447">
        <v>0.13517283369296201</v>
      </c>
      <c r="I1447">
        <v>0.102052179439276</v>
      </c>
      <c r="J1447">
        <v>9.0880063667704195E-2</v>
      </c>
      <c r="K1447">
        <v>0.10078229730339699</v>
      </c>
      <c r="L1447">
        <v>749.37523644613395</v>
      </c>
      <c r="M1447">
        <v>15.402905847113299</v>
      </c>
      <c r="N1447">
        <v>49.256379264206998</v>
      </c>
      <c r="O1447">
        <v>47.853634550145202</v>
      </c>
      <c r="P1447">
        <v>-7.3542136117698095E-2</v>
      </c>
      <c r="Q1447">
        <v>8.6162863162283998E-2</v>
      </c>
      <c r="R1447">
        <v>0.99735046418476303</v>
      </c>
      <c r="S1447" t="s">
        <v>5743</v>
      </c>
      <c r="T1447" t="s">
        <v>8590</v>
      </c>
      <c r="U1447" t="s">
        <v>8590</v>
      </c>
      <c r="V1447" t="s">
        <v>8590</v>
      </c>
      <c r="W1447">
        <v>6</v>
      </c>
      <c r="X1447" t="s">
        <v>10037</v>
      </c>
      <c r="Y1447">
        <v>0.37142135348318639</v>
      </c>
      <c r="Z1447" t="str">
        <f>HYPERLINK("Melting_Curves/meltCurve_sp_P63244_GBLP_HUMAN_.pdf", "Melting_Curves/meltCurve_sp_P63244_GBLP_HUMAN_.pdf")</f>
        <v>Melting_Curves/meltCurve_sp_P63244_GBLP_HUMAN_.pdf</v>
      </c>
      <c r="AA1447" t="s">
        <v>14309</v>
      </c>
      <c r="AB1447" t="s">
        <v>18531</v>
      </c>
    </row>
    <row r="1448" spans="1:28" x14ac:dyDescent="0.25">
      <c r="A1448" t="s">
        <v>1452</v>
      </c>
      <c r="B1448">
        <v>0.99876560204751996</v>
      </c>
      <c r="C1448">
        <v>0.76527251739727997</v>
      </c>
      <c r="D1448">
        <v>0.50868325506410805</v>
      </c>
      <c r="E1448">
        <v>0.31209418333505601</v>
      </c>
      <c r="F1448">
        <v>0.17841373565128801</v>
      </c>
      <c r="G1448">
        <v>0.12311217521079</v>
      </c>
      <c r="H1448">
        <v>8.6679499670585303E-2</v>
      </c>
      <c r="I1448">
        <v>5.6555684180210002E-2</v>
      </c>
      <c r="J1448">
        <v>4.3650690285542103E-2</v>
      </c>
      <c r="K1448">
        <v>4.0716291468143401E-2</v>
      </c>
      <c r="L1448">
        <v>706.36530138923797</v>
      </c>
      <c r="M1448">
        <v>15.2586747891634</v>
      </c>
      <c r="N1448">
        <v>46.626911757785699</v>
      </c>
      <c r="O1448">
        <v>45.519435783810501</v>
      </c>
      <c r="P1448">
        <v>-7.9469531151925996E-2</v>
      </c>
      <c r="Q1448">
        <v>5.1800627454814098E-2</v>
      </c>
      <c r="R1448">
        <v>0.990338905163756</v>
      </c>
      <c r="S1448" t="s">
        <v>5744</v>
      </c>
      <c r="T1448" t="s">
        <v>8590</v>
      </c>
      <c r="U1448" t="s">
        <v>8590</v>
      </c>
      <c r="V1448" t="s">
        <v>8590</v>
      </c>
      <c r="W1448">
        <v>33</v>
      </c>
      <c r="X1448" t="s">
        <v>10038</v>
      </c>
      <c r="Y1448">
        <v>0.27679092787870069</v>
      </c>
      <c r="Z1448" t="str">
        <f>HYPERLINK("Melting_Curves/meltCurve_sp_P63261_ACTG_HUMAN_.pdf", "Melting_Curves/meltCurve_sp_P63261_ACTG_HUMAN_.pdf")</f>
        <v>Melting_Curves/meltCurve_sp_P63261_ACTG_HUMAN_.pdf</v>
      </c>
      <c r="AA1448" t="s">
        <v>14310</v>
      </c>
      <c r="AB1448" t="s">
        <v>18532</v>
      </c>
    </row>
    <row r="1449" spans="1:28" x14ac:dyDescent="0.25">
      <c r="A1449" t="s">
        <v>1453</v>
      </c>
      <c r="B1449">
        <v>0.99876560204751996</v>
      </c>
      <c r="C1449">
        <v>0.97307823214154299</v>
      </c>
      <c r="D1449">
        <v>1.2106635198012401</v>
      </c>
      <c r="E1449">
        <v>0.99707241761152998</v>
      </c>
      <c r="F1449">
        <v>1.0967817169512599</v>
      </c>
      <c r="G1449">
        <v>0.84780203761538797</v>
      </c>
      <c r="H1449">
        <v>0.85688167794182801</v>
      </c>
      <c r="I1449">
        <v>0.88207494727457403</v>
      </c>
      <c r="J1449">
        <v>1.0909116079461501</v>
      </c>
      <c r="K1449">
        <v>1.2142027505231601</v>
      </c>
      <c r="L1449">
        <v>15000</v>
      </c>
      <c r="M1449">
        <v>223.57557298428799</v>
      </c>
      <c r="O1449">
        <v>67.086036187821904</v>
      </c>
      <c r="P1449">
        <v>0.178484684203708</v>
      </c>
      <c r="Q1449">
        <v>1.21422430855162</v>
      </c>
      <c r="R1449">
        <v>0.31414715799982601</v>
      </c>
      <c r="S1449" t="s">
        <v>5745</v>
      </c>
      <c r="T1449" t="s">
        <v>8590</v>
      </c>
      <c r="U1449" t="s">
        <v>8590</v>
      </c>
      <c r="V1449" t="s">
        <v>8590</v>
      </c>
      <c r="W1449">
        <v>4</v>
      </c>
      <c r="X1449" t="s">
        <v>10039</v>
      </c>
      <c r="Y1449">
        <v>1.0207383804949259</v>
      </c>
      <c r="Z1449" t="str">
        <f>HYPERLINK("Melting_Curves/meltCurve_sp_P63313_TYB10_HUMAN_.pdf", "Melting_Curves/meltCurve_sp_P63313_TYB10_HUMAN_.pdf")</f>
        <v>Melting_Curves/meltCurve_sp_P63313_TYB10_HUMAN_.pdf</v>
      </c>
      <c r="AA1449" t="s">
        <v>14311</v>
      </c>
      <c r="AB1449" t="s">
        <v>18533</v>
      </c>
    </row>
    <row r="1450" spans="1:28" x14ac:dyDescent="0.25">
      <c r="A1450" t="s">
        <v>1454</v>
      </c>
      <c r="B1450">
        <v>0.99876560204751996</v>
      </c>
      <c r="C1450">
        <v>0.95549479055723296</v>
      </c>
      <c r="D1450">
        <v>0.81205111236500105</v>
      </c>
      <c r="E1450">
        <v>0.85797162578264796</v>
      </c>
      <c r="F1450">
        <v>0.66792359706608895</v>
      </c>
      <c r="G1450">
        <v>0.46045360427701698</v>
      </c>
      <c r="H1450">
        <v>0.26681116478797301</v>
      </c>
      <c r="I1450">
        <v>0.153870737206733</v>
      </c>
      <c r="J1450">
        <v>0.142272484562182</v>
      </c>
      <c r="K1450">
        <v>0.107879436421231</v>
      </c>
      <c r="L1450">
        <v>641.14228299875901</v>
      </c>
      <c r="M1450">
        <v>11.4486502214549</v>
      </c>
      <c r="N1450">
        <v>56.001568591949599</v>
      </c>
      <c r="O1450">
        <v>54.374651975640496</v>
      </c>
      <c r="P1450">
        <v>-5.2653026541515199E-2</v>
      </c>
      <c r="Q1450">
        <v>0</v>
      </c>
      <c r="R1450">
        <v>0.98380647918851705</v>
      </c>
      <c r="S1450" t="s">
        <v>5746</v>
      </c>
      <c r="T1450" t="s">
        <v>8590</v>
      </c>
      <c r="U1450" t="s">
        <v>8590</v>
      </c>
      <c r="V1450" t="s">
        <v>8590</v>
      </c>
      <c r="W1450">
        <v>15</v>
      </c>
      <c r="X1450" t="s">
        <v>10040</v>
      </c>
      <c r="Y1450">
        <v>0.55409103500450219</v>
      </c>
      <c r="Z1450" t="str">
        <f>HYPERLINK("Melting_Curves/meltCurve_sp_P67775_PP2AA_HUMAN_.pdf", "Melting_Curves/meltCurve_sp_P67775_PP2AA_HUMAN_.pdf")</f>
        <v>Melting_Curves/meltCurve_sp_P67775_PP2AA_HUMAN_.pdf</v>
      </c>
      <c r="AA1450" t="s">
        <v>14312</v>
      </c>
      <c r="AB1450" t="s">
        <v>18534</v>
      </c>
    </row>
    <row r="1451" spans="1:28" x14ac:dyDescent="0.25">
      <c r="A1451" t="s">
        <v>1455</v>
      </c>
      <c r="B1451">
        <v>0.99876560204751996</v>
      </c>
      <c r="C1451">
        <v>1.12974984777626</v>
      </c>
      <c r="D1451">
        <v>1.15223130034994</v>
      </c>
      <c r="E1451">
        <v>1.06334044603392</v>
      </c>
      <c r="F1451">
        <v>0.94231575835260595</v>
      </c>
      <c r="G1451">
        <v>0.78928939010924304</v>
      </c>
      <c r="H1451">
        <v>0.74455478207377801</v>
      </c>
      <c r="I1451">
        <v>0.72025350937405497</v>
      </c>
      <c r="J1451">
        <v>0.93886033163677396</v>
      </c>
      <c r="K1451">
        <v>0.86101485157204605</v>
      </c>
      <c r="L1451">
        <v>13293.681795496001</v>
      </c>
      <c r="M1451">
        <v>250</v>
      </c>
      <c r="O1451">
        <v>53.171314985480699</v>
      </c>
      <c r="P1451">
        <v>-0.22240069221949299</v>
      </c>
      <c r="Q1451">
        <v>0.81079457065551297</v>
      </c>
      <c r="R1451">
        <v>0.646218753307372</v>
      </c>
      <c r="S1451" t="s">
        <v>5747</v>
      </c>
      <c r="T1451" t="s">
        <v>8590</v>
      </c>
      <c r="U1451" t="s">
        <v>8590</v>
      </c>
      <c r="V1451" t="s">
        <v>8590</v>
      </c>
      <c r="W1451">
        <v>7</v>
      </c>
      <c r="X1451" t="s">
        <v>10041</v>
      </c>
      <c r="Y1451">
        <v>0.8939032245598596</v>
      </c>
      <c r="Z1451" t="str">
        <f>HYPERLINK("Melting_Curves/meltCurve_sp_P67809_YBOX1_HUMAN_.pdf", "Melting_Curves/meltCurve_sp_P67809_YBOX1_HUMAN_.pdf")</f>
        <v>Melting_Curves/meltCurve_sp_P67809_YBOX1_HUMAN_.pdf</v>
      </c>
      <c r="AA1451" t="s">
        <v>14313</v>
      </c>
      <c r="AB1451" t="s">
        <v>18535</v>
      </c>
    </row>
    <row r="1452" spans="1:28" x14ac:dyDescent="0.25">
      <c r="A1452" t="s">
        <v>1456</v>
      </c>
      <c r="B1452">
        <v>0.99876560204751996</v>
      </c>
      <c r="C1452">
        <v>1.0705837527459501</v>
      </c>
      <c r="D1452">
        <v>0.99104851011904505</v>
      </c>
      <c r="E1452">
        <v>0.92518722457348401</v>
      </c>
      <c r="F1452">
        <v>0.49486008908494</v>
      </c>
      <c r="G1452">
        <v>0.16051467180465001</v>
      </c>
      <c r="H1452">
        <v>8.1665999803262695E-2</v>
      </c>
      <c r="I1452">
        <v>5.6962596725926899E-2</v>
      </c>
      <c r="J1452">
        <v>5.9892047292705898E-2</v>
      </c>
      <c r="K1452">
        <v>4.2243594910416002E-2</v>
      </c>
      <c r="L1452">
        <v>1929.1849621141901</v>
      </c>
      <c r="M1452">
        <v>36.477012636203</v>
      </c>
      <c r="N1452">
        <v>53.086785114797401</v>
      </c>
      <c r="O1452">
        <v>52.729490809715998</v>
      </c>
      <c r="P1452">
        <v>-0.16188839359601701</v>
      </c>
      <c r="Q1452">
        <v>6.3929159007697495E-2</v>
      </c>
      <c r="R1452">
        <v>0.99579264475481699</v>
      </c>
      <c r="S1452" t="s">
        <v>5748</v>
      </c>
      <c r="T1452" t="s">
        <v>8590</v>
      </c>
      <c r="U1452" t="s">
        <v>8590</v>
      </c>
      <c r="V1452" t="s">
        <v>8590</v>
      </c>
      <c r="W1452">
        <v>5</v>
      </c>
      <c r="X1452" t="s">
        <v>10042</v>
      </c>
      <c r="Y1452">
        <v>0.470167859864634</v>
      </c>
      <c r="Z1452" t="str">
        <f>HYPERLINK("Melting_Curves/meltCurve_sp_P67870_CSK2B_HUMAN_.pdf", "Melting_Curves/meltCurve_sp_P67870_CSK2B_HUMAN_.pdf")</f>
        <v>Melting_Curves/meltCurve_sp_P67870_CSK2B_HUMAN_.pdf</v>
      </c>
      <c r="AA1452" t="s">
        <v>14314</v>
      </c>
      <c r="AB1452" t="s">
        <v>18536</v>
      </c>
    </row>
    <row r="1453" spans="1:28" x14ac:dyDescent="0.25">
      <c r="A1453" t="s">
        <v>1457</v>
      </c>
      <c r="B1453">
        <v>0.99876560204751996</v>
      </c>
      <c r="C1453">
        <v>1.02912507718059</v>
      </c>
      <c r="D1453">
        <v>1.05057337977428</v>
      </c>
      <c r="E1453">
        <v>0.94191543774854802</v>
      </c>
      <c r="F1453">
        <v>0.92900591722049797</v>
      </c>
      <c r="G1453">
        <v>0.69570773848884004</v>
      </c>
      <c r="H1453">
        <v>0.66597531774821594</v>
      </c>
      <c r="I1453">
        <v>0.67784215151011096</v>
      </c>
      <c r="J1453">
        <v>0.84324919090511696</v>
      </c>
      <c r="K1453">
        <v>0.78354429242256896</v>
      </c>
      <c r="L1453">
        <v>9114.4460326068292</v>
      </c>
      <c r="M1453">
        <v>170.95660200446599</v>
      </c>
      <c r="O1453">
        <v>53.307090189739398</v>
      </c>
      <c r="P1453">
        <v>-0.21385716876667199</v>
      </c>
      <c r="Q1453">
        <v>0.73326322524554999</v>
      </c>
      <c r="R1453">
        <v>0.84759267417836603</v>
      </c>
      <c r="S1453" t="s">
        <v>5749</v>
      </c>
      <c r="T1453" t="s">
        <v>8590</v>
      </c>
      <c r="U1453" t="s">
        <v>8590</v>
      </c>
      <c r="V1453" t="s">
        <v>8590</v>
      </c>
      <c r="W1453">
        <v>22</v>
      </c>
      <c r="X1453" t="s">
        <v>10043</v>
      </c>
      <c r="Y1453">
        <v>0.85169781050584181</v>
      </c>
      <c r="Z1453" t="str">
        <f>HYPERLINK("Melting_Curves/meltCurve_sp_P67936_TPM4_HUMAN_.pdf", "Melting_Curves/meltCurve_sp_P67936_TPM4_HUMAN_.pdf")</f>
        <v>Melting_Curves/meltCurve_sp_P67936_TPM4_HUMAN_.pdf</v>
      </c>
      <c r="AA1453" t="s">
        <v>14315</v>
      </c>
      <c r="AB1453" t="s">
        <v>18537</v>
      </c>
    </row>
    <row r="1454" spans="1:28" x14ac:dyDescent="0.25">
      <c r="A1454" t="s">
        <v>1458</v>
      </c>
      <c r="B1454">
        <v>0.99876560204751996</v>
      </c>
      <c r="C1454">
        <v>1.04712029452412</v>
      </c>
      <c r="D1454">
        <v>1.07753335337029</v>
      </c>
      <c r="E1454">
        <v>1.0003299954778999</v>
      </c>
      <c r="F1454">
        <v>1.0953258659335801</v>
      </c>
      <c r="G1454">
        <v>0.81872262066332402</v>
      </c>
      <c r="H1454">
        <v>0.72243787136403004</v>
      </c>
      <c r="I1454">
        <v>0.63923573026698699</v>
      </c>
      <c r="J1454">
        <v>0.56587742594655499</v>
      </c>
      <c r="K1454">
        <v>0.45156803181174499</v>
      </c>
      <c r="L1454">
        <v>1110.9954528463099</v>
      </c>
      <c r="M1454">
        <v>18.081496510250702</v>
      </c>
      <c r="N1454">
        <v>68.891340347742698</v>
      </c>
      <c r="O1454">
        <v>60.7070127289631</v>
      </c>
      <c r="P1454">
        <v>-4.2505222301328603E-2</v>
      </c>
      <c r="Q1454">
        <v>0.42919768715288198</v>
      </c>
      <c r="R1454">
        <v>0.93546064787168903</v>
      </c>
      <c r="S1454" t="s">
        <v>5750</v>
      </c>
      <c r="T1454" t="s">
        <v>8590</v>
      </c>
      <c r="U1454" t="s">
        <v>8590</v>
      </c>
      <c r="V1454" t="s">
        <v>8590</v>
      </c>
      <c r="W1454">
        <v>10</v>
      </c>
      <c r="X1454" t="s">
        <v>10044</v>
      </c>
      <c r="Y1454">
        <v>0.83936008683272678</v>
      </c>
      <c r="Z1454" t="str">
        <f>HYPERLINK("Melting_Curves/meltCurve_sp_P68036_UB2L3_HUMAN_.pdf", "Melting_Curves/meltCurve_sp_P68036_UB2L3_HUMAN_.pdf")</f>
        <v>Melting_Curves/meltCurve_sp_P68036_UB2L3_HUMAN_.pdf</v>
      </c>
      <c r="AA1454" t="s">
        <v>14316</v>
      </c>
      <c r="AB1454" t="s">
        <v>18538</v>
      </c>
    </row>
    <row r="1455" spans="1:28" x14ac:dyDescent="0.25">
      <c r="A1455" t="s">
        <v>1459</v>
      </c>
      <c r="B1455">
        <v>0.99876560204751996</v>
      </c>
      <c r="C1455">
        <v>0.70276894437601201</v>
      </c>
      <c r="D1455">
        <v>0.46656257258588102</v>
      </c>
      <c r="E1455">
        <v>0.27338253363516601</v>
      </c>
      <c r="F1455">
        <v>0.162032288597135</v>
      </c>
      <c r="G1455">
        <v>0.107292807136306</v>
      </c>
      <c r="H1455">
        <v>7.5562533028047704E-2</v>
      </c>
      <c r="I1455">
        <v>4.5961131908640998E-2</v>
      </c>
      <c r="J1455">
        <v>3.1293087413001297E-2</v>
      </c>
      <c r="K1455">
        <v>2.8662010401615399E-2</v>
      </c>
      <c r="L1455">
        <v>705.69997815237002</v>
      </c>
      <c r="M1455">
        <v>15.4472846588554</v>
      </c>
      <c r="N1455">
        <v>45.963013507406899</v>
      </c>
      <c r="O1455">
        <v>44.939340236754802</v>
      </c>
      <c r="P1455">
        <v>-8.2100886319379895E-2</v>
      </c>
      <c r="Q1455">
        <v>4.4692762457790698E-2</v>
      </c>
      <c r="R1455">
        <v>0.985812190016358</v>
      </c>
      <c r="S1455" t="s">
        <v>5751</v>
      </c>
      <c r="T1455" t="s">
        <v>8590</v>
      </c>
      <c r="U1455" t="s">
        <v>8590</v>
      </c>
      <c r="V1455" t="s">
        <v>8590</v>
      </c>
      <c r="W1455">
        <v>22</v>
      </c>
      <c r="X1455" t="s">
        <v>10045</v>
      </c>
      <c r="Y1455">
        <v>0.2526448337178312</v>
      </c>
      <c r="Z1455" t="str">
        <f>HYPERLINK("Melting_Curves/meltCurve_sp_P68133_ACTS_HUMAN_.pdf", "Melting_Curves/meltCurve_sp_P68133_ACTS_HUMAN_.pdf")</f>
        <v>Melting_Curves/meltCurve_sp_P68133_ACTS_HUMAN_.pdf</v>
      </c>
      <c r="AA1455" t="s">
        <v>14317</v>
      </c>
      <c r="AB1455" t="s">
        <v>18539</v>
      </c>
    </row>
    <row r="1456" spans="1:28" x14ac:dyDescent="0.25">
      <c r="A1456" t="s">
        <v>1460</v>
      </c>
      <c r="B1456">
        <v>0.99876560204751996</v>
      </c>
      <c r="C1456">
        <v>0.90445847790249301</v>
      </c>
      <c r="D1456">
        <v>0.68619420938265197</v>
      </c>
      <c r="E1456">
        <v>0.445428735218591</v>
      </c>
      <c r="F1456">
        <v>0.208181319615897</v>
      </c>
      <c r="G1456">
        <v>8.6900609597472894E-2</v>
      </c>
      <c r="H1456">
        <v>3.65935956208868E-2</v>
      </c>
      <c r="I1456">
        <v>3.3789844347989498E-2</v>
      </c>
      <c r="J1456">
        <v>2.6119990564904601E-2</v>
      </c>
      <c r="K1456">
        <v>1.9639822660031499E-2</v>
      </c>
      <c r="L1456">
        <v>769.60295333071201</v>
      </c>
      <c r="M1456">
        <v>15.7866738467172</v>
      </c>
      <c r="N1456">
        <v>48.788175981226303</v>
      </c>
      <c r="O1456">
        <v>47.9880243173723</v>
      </c>
      <c r="P1456">
        <v>-8.17468612602959E-2</v>
      </c>
      <c r="Q1456">
        <v>6.1120923772753103E-3</v>
      </c>
      <c r="R1456">
        <v>0.99682537298391405</v>
      </c>
      <c r="S1456" t="s">
        <v>5752</v>
      </c>
      <c r="T1456" t="s">
        <v>8590</v>
      </c>
      <c r="U1456" t="s">
        <v>8590</v>
      </c>
      <c r="V1456" t="s">
        <v>8590</v>
      </c>
      <c r="W1456">
        <v>15</v>
      </c>
      <c r="X1456" t="s">
        <v>10046</v>
      </c>
      <c r="Y1456">
        <v>0.31844502953820869</v>
      </c>
      <c r="Z1456" t="str">
        <f>HYPERLINK("Melting_Curves/meltCurve_sp_P68363_TBA1B_HUMAN_.pdf", "Melting_Curves/meltCurve_sp_P68363_TBA1B_HUMAN_.pdf")</f>
        <v>Melting_Curves/meltCurve_sp_P68363_TBA1B_HUMAN_.pdf</v>
      </c>
      <c r="AA1456" t="s">
        <v>14318</v>
      </c>
      <c r="AB1456" t="s">
        <v>18540</v>
      </c>
    </row>
    <row r="1457" spans="1:28" x14ac:dyDescent="0.25">
      <c r="A1457" t="s">
        <v>1461</v>
      </c>
      <c r="B1457">
        <v>0.99876560204751996</v>
      </c>
      <c r="C1457">
        <v>0.87647043632484301</v>
      </c>
      <c r="D1457">
        <v>0.65609360839416897</v>
      </c>
      <c r="E1457">
        <v>0.43118153345054699</v>
      </c>
      <c r="F1457">
        <v>0.232121274620501</v>
      </c>
      <c r="G1457">
        <v>0.125641580182838</v>
      </c>
      <c r="H1457">
        <v>7.14262003483081E-2</v>
      </c>
      <c r="I1457">
        <v>6.5785137117428297E-2</v>
      </c>
      <c r="J1457">
        <v>5.4712087474174803E-2</v>
      </c>
      <c r="K1457">
        <v>4.8792195468457998E-2</v>
      </c>
      <c r="L1457">
        <v>718.27609420432498</v>
      </c>
      <c r="M1457">
        <v>14.868659352680501</v>
      </c>
      <c r="N1457">
        <v>48.565011579179497</v>
      </c>
      <c r="O1457">
        <v>47.459485449511398</v>
      </c>
      <c r="P1457">
        <v>-7.53683202186404E-2</v>
      </c>
      <c r="Q1457">
        <v>3.7823757488883697E-2</v>
      </c>
      <c r="R1457">
        <v>0.99667678018434802</v>
      </c>
      <c r="S1457" t="s">
        <v>5753</v>
      </c>
      <c r="T1457" t="s">
        <v>8590</v>
      </c>
      <c r="U1457" t="s">
        <v>8590</v>
      </c>
      <c r="V1457" t="s">
        <v>8590</v>
      </c>
      <c r="W1457">
        <v>20</v>
      </c>
      <c r="X1457" t="s">
        <v>10047</v>
      </c>
      <c r="Y1457">
        <v>0.32912298656046068</v>
      </c>
      <c r="Z1457" t="str">
        <f>HYPERLINK("Melting_Curves/meltCurve_sp_P68371_TBB4B_HUMAN_.pdf", "Melting_Curves/meltCurve_sp_P68371_TBB4B_HUMAN_.pdf")</f>
        <v>Melting_Curves/meltCurve_sp_P68371_TBB4B_HUMAN_.pdf</v>
      </c>
      <c r="AA1457" t="s">
        <v>14319</v>
      </c>
      <c r="AB1457" t="s">
        <v>18541</v>
      </c>
    </row>
    <row r="1458" spans="1:28" x14ac:dyDescent="0.25">
      <c r="A1458" t="s">
        <v>1462</v>
      </c>
      <c r="B1458">
        <v>0.99876560204751996</v>
      </c>
      <c r="C1458">
        <v>1.1956410158378901</v>
      </c>
      <c r="D1458">
        <v>0.87784433621574898</v>
      </c>
      <c r="E1458">
        <v>1.01945365483912</v>
      </c>
      <c r="F1458">
        <v>0.754922549398786</v>
      </c>
      <c r="G1458">
        <v>0.52348899732573795</v>
      </c>
      <c r="H1458">
        <v>0.31475876290536597</v>
      </c>
      <c r="I1458">
        <v>0.358491900438901</v>
      </c>
      <c r="J1458">
        <v>0.28707817556512799</v>
      </c>
      <c r="K1458">
        <v>0.28310608706756402</v>
      </c>
      <c r="L1458">
        <v>1363.29964504996</v>
      </c>
      <c r="M1458">
        <v>24.8083033544373</v>
      </c>
      <c r="N1458">
        <v>56.9677483218587</v>
      </c>
      <c r="O1458">
        <v>54.600011405271303</v>
      </c>
      <c r="P1458">
        <v>-8.0419956876529197E-2</v>
      </c>
      <c r="Q1458">
        <v>0.292032082750802</v>
      </c>
      <c r="R1458">
        <v>0.94188731468346498</v>
      </c>
      <c r="S1458" t="s">
        <v>5754</v>
      </c>
      <c r="T1458" t="s">
        <v>8590</v>
      </c>
      <c r="U1458" t="s">
        <v>8590</v>
      </c>
      <c r="V1458" t="s">
        <v>8590</v>
      </c>
      <c r="W1458">
        <v>2</v>
      </c>
      <c r="X1458" t="s">
        <v>10048</v>
      </c>
      <c r="Y1458">
        <v>0.65155527614192366</v>
      </c>
      <c r="Z1458" t="str">
        <f>HYPERLINK("Melting_Curves/meltCurve_sp_P68402_PA1B2_HUMAN_.pdf", "Melting_Curves/meltCurve_sp_P68402_PA1B2_HUMAN_.pdf")</f>
        <v>Melting_Curves/meltCurve_sp_P68402_PA1B2_HUMAN_.pdf</v>
      </c>
      <c r="AA1458" t="s">
        <v>14320</v>
      </c>
      <c r="AB1458" t="s">
        <v>18542</v>
      </c>
    </row>
    <row r="1459" spans="1:28" x14ac:dyDescent="0.25">
      <c r="A1459" t="s">
        <v>1463</v>
      </c>
      <c r="B1459">
        <v>0.99876560204751996</v>
      </c>
      <c r="C1459">
        <v>0.99686363699076497</v>
      </c>
      <c r="D1459">
        <v>1.1436561283142801</v>
      </c>
      <c r="E1459">
        <v>0.84003517351097401</v>
      </c>
      <c r="F1459">
        <v>0.69425300375797405</v>
      </c>
      <c r="G1459">
        <v>0.200129197924233</v>
      </c>
      <c r="H1459">
        <v>7.0621936459714693E-2</v>
      </c>
      <c r="I1459">
        <v>4.8485248518636302E-2</v>
      </c>
      <c r="J1459">
        <v>0</v>
      </c>
      <c r="K1459">
        <v>0</v>
      </c>
      <c r="L1459">
        <v>1454.18405120033</v>
      </c>
      <c r="M1459">
        <v>26.787334993717501</v>
      </c>
      <c r="N1459">
        <v>54.3181059296789</v>
      </c>
      <c r="O1459">
        <v>53.986406828262702</v>
      </c>
      <c r="P1459">
        <v>-0.123081227928242</v>
      </c>
      <c r="Q1459">
        <v>7.7927621262993997E-3</v>
      </c>
      <c r="R1459">
        <v>0.98500720496735095</v>
      </c>
      <c r="S1459" t="s">
        <v>5755</v>
      </c>
      <c r="T1459" t="s">
        <v>8590</v>
      </c>
      <c r="U1459" t="s">
        <v>8590</v>
      </c>
      <c r="V1459" t="s">
        <v>8590</v>
      </c>
      <c r="W1459">
        <v>3</v>
      </c>
      <c r="X1459" t="s">
        <v>10049</v>
      </c>
      <c r="Y1459">
        <v>0.48838712782192228</v>
      </c>
      <c r="Z1459" t="str">
        <f>HYPERLINK("Melting_Curves/meltCurve_sp_P78314_3BP2_HUMAN_.pdf", "Melting_Curves/meltCurve_sp_P78314_3BP2_HUMAN_.pdf")</f>
        <v>Melting_Curves/meltCurve_sp_P78314_3BP2_HUMAN_.pdf</v>
      </c>
      <c r="AA1459" t="s">
        <v>14321</v>
      </c>
      <c r="AB1459" t="s">
        <v>18543</v>
      </c>
    </row>
    <row r="1460" spans="1:28" x14ac:dyDescent="0.25">
      <c r="A1460" t="s">
        <v>1464</v>
      </c>
      <c r="B1460">
        <v>0.99876560204751996</v>
      </c>
      <c r="C1460">
        <v>1.08460928425103</v>
      </c>
      <c r="D1460">
        <v>1.02382996255036</v>
      </c>
      <c r="E1460">
        <v>0.96007689034312405</v>
      </c>
      <c r="F1460">
        <v>0.72345977343026802</v>
      </c>
      <c r="G1460">
        <v>0.63361320366788898</v>
      </c>
      <c r="H1460">
        <v>0.48438182300148103</v>
      </c>
      <c r="I1460">
        <v>0.50376042145295397</v>
      </c>
      <c r="J1460">
        <v>0.58988654649188998</v>
      </c>
      <c r="K1460">
        <v>0.55871411601757703</v>
      </c>
      <c r="L1460">
        <v>1855.6783876586201</v>
      </c>
      <c r="M1460">
        <v>35.243453543917902</v>
      </c>
      <c r="O1460">
        <v>52.484479965359199</v>
      </c>
      <c r="P1460">
        <v>-7.6431791572962801E-2</v>
      </c>
      <c r="Q1460">
        <v>0.54471328219760995</v>
      </c>
      <c r="R1460">
        <v>0.95904327903171904</v>
      </c>
      <c r="S1460" t="s">
        <v>5756</v>
      </c>
      <c r="T1460" t="s">
        <v>8590</v>
      </c>
      <c r="U1460" t="s">
        <v>8590</v>
      </c>
      <c r="V1460" t="s">
        <v>8590</v>
      </c>
      <c r="W1460">
        <v>4</v>
      </c>
      <c r="X1460" t="s">
        <v>10050</v>
      </c>
      <c r="Y1460">
        <v>0.73887391991577744</v>
      </c>
      <c r="Z1460" t="str">
        <f>HYPERLINK("Melting_Curves/meltCurve_sp_P78318_IGBP1_HUMAN_.pdf", "Melting_Curves/meltCurve_sp_P78318_IGBP1_HUMAN_.pdf")</f>
        <v>Melting_Curves/meltCurve_sp_P78318_IGBP1_HUMAN_.pdf</v>
      </c>
      <c r="AA1460" t="s">
        <v>14322</v>
      </c>
      <c r="AB1460" t="s">
        <v>18544</v>
      </c>
    </row>
    <row r="1461" spans="1:28" x14ac:dyDescent="0.25">
      <c r="A1461" t="s">
        <v>1465</v>
      </c>
      <c r="B1461">
        <v>0.99876560204751996</v>
      </c>
      <c r="C1461">
        <v>1.1376571776406501</v>
      </c>
      <c r="D1461">
        <v>0.72462599055514298</v>
      </c>
      <c r="E1461">
        <v>0.46609442242286597</v>
      </c>
      <c r="F1461">
        <v>0.204621110746983</v>
      </c>
      <c r="G1461">
        <v>9.4882274852191403E-2</v>
      </c>
      <c r="H1461">
        <v>2.38892993581056E-2</v>
      </c>
      <c r="I1461">
        <v>3.3081797731003698E-2</v>
      </c>
      <c r="J1461">
        <v>4.0928368297959102E-2</v>
      </c>
      <c r="K1461">
        <v>0</v>
      </c>
      <c r="L1461">
        <v>1017.23443041895</v>
      </c>
      <c r="M1461">
        <v>20.6341529153962</v>
      </c>
      <c r="N1461">
        <v>49.4008851599324</v>
      </c>
      <c r="O1461">
        <v>48.842555656774501</v>
      </c>
      <c r="P1461">
        <v>-0.10340959047201199</v>
      </c>
      <c r="Q1461">
        <v>2.09158184584993E-2</v>
      </c>
      <c r="R1461">
        <v>0.974405692448995</v>
      </c>
      <c r="S1461" t="s">
        <v>5757</v>
      </c>
      <c r="T1461" t="s">
        <v>8590</v>
      </c>
      <c r="U1461" t="s">
        <v>8590</v>
      </c>
      <c r="V1461" t="s">
        <v>8590</v>
      </c>
      <c r="W1461">
        <v>7</v>
      </c>
      <c r="X1461" t="s">
        <v>10051</v>
      </c>
      <c r="Y1461">
        <v>0.3372336551851024</v>
      </c>
      <c r="Z1461" t="str">
        <f>HYPERLINK("Melting_Curves/meltCurve_sp_P78329_CP4F2_HUMAN_.pdf", "Melting_Curves/meltCurve_sp_P78329_CP4F2_HUMAN_.pdf")</f>
        <v>Melting_Curves/meltCurve_sp_P78329_CP4F2_HUMAN_.pdf</v>
      </c>
      <c r="AA1461" t="s">
        <v>14323</v>
      </c>
      <c r="AB1461" t="s">
        <v>18545</v>
      </c>
    </row>
    <row r="1462" spans="1:28" x14ac:dyDescent="0.25">
      <c r="A1462" t="s">
        <v>1466</v>
      </c>
      <c r="B1462">
        <v>0.99876560204751996</v>
      </c>
      <c r="C1462">
        <v>0.95787979659369304</v>
      </c>
      <c r="D1462">
        <v>1.04021283839617</v>
      </c>
      <c r="E1462">
        <v>0.79960960504493594</v>
      </c>
      <c r="F1462">
        <v>0.81034037760518496</v>
      </c>
      <c r="G1462">
        <v>0.737267238554144</v>
      </c>
      <c r="H1462">
        <v>0.557054533541254</v>
      </c>
      <c r="I1462">
        <v>0.60881253761609799</v>
      </c>
      <c r="J1462">
        <v>0.55494573427350202</v>
      </c>
      <c r="K1462">
        <v>0.65184297461606899</v>
      </c>
      <c r="L1462">
        <v>822.85567727166801</v>
      </c>
      <c r="M1462">
        <v>15.5972687819858</v>
      </c>
      <c r="O1462">
        <v>51.912003707545601</v>
      </c>
      <c r="P1462">
        <v>-3.1428522740927702E-2</v>
      </c>
      <c r="Q1462">
        <v>0.58162517304962702</v>
      </c>
      <c r="R1462">
        <v>0.90824292792002603</v>
      </c>
      <c r="S1462" t="s">
        <v>5758</v>
      </c>
      <c r="T1462" t="s">
        <v>8590</v>
      </c>
      <c r="U1462" t="s">
        <v>8590</v>
      </c>
      <c r="V1462" t="s">
        <v>8590</v>
      </c>
      <c r="W1462">
        <v>3</v>
      </c>
      <c r="X1462" t="s">
        <v>10052</v>
      </c>
      <c r="Y1462">
        <v>0.76811692943917964</v>
      </c>
      <c r="Z1462" t="str">
        <f>HYPERLINK("Melting_Curves/meltCurve_sp_P78332_RBM6_HUMAN_.pdf", "Melting_Curves/meltCurve_sp_P78332_RBM6_HUMAN_.pdf")</f>
        <v>Melting_Curves/meltCurve_sp_P78332_RBM6_HUMAN_.pdf</v>
      </c>
      <c r="AA1462" t="s">
        <v>14324</v>
      </c>
      <c r="AB1462" t="s">
        <v>18546</v>
      </c>
    </row>
    <row r="1463" spans="1:28" x14ac:dyDescent="0.25">
      <c r="A1463" t="s">
        <v>1467</v>
      </c>
      <c r="B1463">
        <v>0.99876560204751996</v>
      </c>
      <c r="C1463">
        <v>0.90529594517129197</v>
      </c>
      <c r="D1463">
        <v>0.82888917732691103</v>
      </c>
      <c r="E1463">
        <v>0.88798444538116095</v>
      </c>
      <c r="F1463">
        <v>0.653465088173248</v>
      </c>
      <c r="G1463">
        <v>0.485670930784947</v>
      </c>
      <c r="H1463">
        <v>0.351791099469767</v>
      </c>
      <c r="I1463">
        <v>0.34261672489670297</v>
      </c>
      <c r="J1463">
        <v>0.14930538577142799</v>
      </c>
      <c r="K1463">
        <v>0.144597811307418</v>
      </c>
      <c r="L1463">
        <v>528.11196191314696</v>
      </c>
      <c r="M1463">
        <v>9.2376273429781204</v>
      </c>
      <c r="N1463">
        <v>57.169656453504103</v>
      </c>
      <c r="O1463">
        <v>54.682005722382897</v>
      </c>
      <c r="P1463">
        <v>-4.2261182744175098E-2</v>
      </c>
      <c r="Q1463">
        <v>0</v>
      </c>
      <c r="R1463">
        <v>0.97084327288768901</v>
      </c>
      <c r="S1463" t="s">
        <v>5759</v>
      </c>
      <c r="T1463" t="s">
        <v>8590</v>
      </c>
      <c r="U1463" t="s">
        <v>8590</v>
      </c>
      <c r="V1463" t="s">
        <v>8590</v>
      </c>
      <c r="W1463">
        <v>3</v>
      </c>
      <c r="X1463" t="s">
        <v>10053</v>
      </c>
      <c r="Y1463">
        <v>0.58599198305992128</v>
      </c>
      <c r="Z1463" t="str">
        <f>HYPERLINK("Melting_Curves/meltCurve_sp_P78345_RPP38_HUMAN_.pdf", "Melting_Curves/meltCurve_sp_P78345_RPP38_HUMAN_.pdf")</f>
        <v>Melting_Curves/meltCurve_sp_P78345_RPP38_HUMAN_.pdf</v>
      </c>
      <c r="AA1463" t="s">
        <v>14325</v>
      </c>
      <c r="AB1463" t="s">
        <v>18547</v>
      </c>
    </row>
    <row r="1464" spans="1:28" x14ac:dyDescent="0.25">
      <c r="A1464" t="s">
        <v>1468</v>
      </c>
      <c r="B1464">
        <v>0.99876560204751996</v>
      </c>
      <c r="C1464">
        <v>1.06625817756748</v>
      </c>
      <c r="D1464">
        <v>0.989222911024633</v>
      </c>
      <c r="E1464">
        <v>0.98101182806230702</v>
      </c>
      <c r="F1464">
        <v>0.92474255468736</v>
      </c>
      <c r="G1464">
        <v>0.60576646636653897</v>
      </c>
      <c r="H1464">
        <v>0.39869427470507002</v>
      </c>
      <c r="I1464">
        <v>0.33011109336870798</v>
      </c>
      <c r="J1464">
        <v>0.25345290504051399</v>
      </c>
      <c r="K1464">
        <v>0.14104850787151499</v>
      </c>
      <c r="L1464">
        <v>1106.0084313321299</v>
      </c>
      <c r="M1464">
        <v>19.064216378926002</v>
      </c>
      <c r="N1464">
        <v>59.2539161727085</v>
      </c>
      <c r="O1464">
        <v>57.387859865175002</v>
      </c>
      <c r="P1464">
        <v>-6.9400507440838505E-2</v>
      </c>
      <c r="Q1464">
        <v>0.16438423515890299</v>
      </c>
      <c r="R1464">
        <v>0.98745345149459796</v>
      </c>
      <c r="S1464" t="s">
        <v>5760</v>
      </c>
      <c r="T1464" t="s">
        <v>8590</v>
      </c>
      <c r="U1464" t="s">
        <v>8590</v>
      </c>
      <c r="V1464" t="s">
        <v>8590</v>
      </c>
      <c r="W1464">
        <v>4</v>
      </c>
      <c r="X1464" t="s">
        <v>10054</v>
      </c>
      <c r="Y1464">
        <v>0.67603820761419409</v>
      </c>
      <c r="Z1464" t="str">
        <f>HYPERLINK("Melting_Curves/meltCurve_sp_P78346_RPP30_HUMAN_.pdf", "Melting_Curves/meltCurve_sp_P78346_RPP30_HUMAN_.pdf")</f>
        <v>Melting_Curves/meltCurve_sp_P78346_RPP30_HUMAN_.pdf</v>
      </c>
      <c r="AA1464" t="s">
        <v>14326</v>
      </c>
      <c r="AB1464" t="s">
        <v>18548</v>
      </c>
    </row>
    <row r="1465" spans="1:28" x14ac:dyDescent="0.25">
      <c r="A1465" t="s">
        <v>1469</v>
      </c>
      <c r="B1465">
        <v>0.99876560204751996</v>
      </c>
      <c r="C1465">
        <v>0.92500622871161997</v>
      </c>
      <c r="D1465">
        <v>0.95359882276541996</v>
      </c>
      <c r="E1465">
        <v>0.76287968094557901</v>
      </c>
      <c r="F1465">
        <v>0.66491767548471103</v>
      </c>
      <c r="G1465">
        <v>0.50937044391764097</v>
      </c>
      <c r="H1465">
        <v>0.30867699916468899</v>
      </c>
      <c r="I1465">
        <v>0.23878744855582301</v>
      </c>
      <c r="J1465">
        <v>0.22578232299586401</v>
      </c>
      <c r="K1465">
        <v>0.18891393511840601</v>
      </c>
      <c r="L1465">
        <v>625.74728778107203</v>
      </c>
      <c r="M1465">
        <v>11.3177327178869</v>
      </c>
      <c r="N1465">
        <v>56.442420138850601</v>
      </c>
      <c r="O1465">
        <v>53.647347564724001</v>
      </c>
      <c r="P1465">
        <v>-4.7310949118531703E-2</v>
      </c>
      <c r="Q1465">
        <v>0.103233920593264</v>
      </c>
      <c r="R1465">
        <v>0.99301054265985</v>
      </c>
      <c r="S1465" t="s">
        <v>5761</v>
      </c>
      <c r="T1465" t="s">
        <v>8590</v>
      </c>
      <c r="U1465" t="s">
        <v>8590</v>
      </c>
      <c r="V1465" t="s">
        <v>8590</v>
      </c>
      <c r="W1465">
        <v>26</v>
      </c>
      <c r="X1465" t="s">
        <v>10055</v>
      </c>
      <c r="Y1465">
        <v>0.58120923470852504</v>
      </c>
      <c r="Z1465" t="str">
        <f>HYPERLINK("Melting_Curves/meltCurve_sp_P78347_2_GTF2I_HUMAN_.pdf", "Melting_Curves/meltCurve_sp_P78347_2_GTF2I_HUMAN_.pdf")</f>
        <v>Melting_Curves/meltCurve_sp_P78347_2_GTF2I_HUMAN_.pdf</v>
      </c>
      <c r="AA1465" t="s">
        <v>14327</v>
      </c>
      <c r="AB1465" t="s">
        <v>18549</v>
      </c>
    </row>
    <row r="1466" spans="1:28" x14ac:dyDescent="0.25">
      <c r="A1466" t="s">
        <v>1470</v>
      </c>
      <c r="B1466">
        <v>0.99876560204751996</v>
      </c>
      <c r="C1466">
        <v>1.01753312774269</v>
      </c>
      <c r="D1466">
        <v>0.83675298946698795</v>
      </c>
      <c r="E1466">
        <v>0.70348694364639697</v>
      </c>
      <c r="F1466">
        <v>0.475232583786177</v>
      </c>
      <c r="G1466">
        <v>0.33402787809025503</v>
      </c>
      <c r="H1466">
        <v>0.14293647534923201</v>
      </c>
      <c r="I1466">
        <v>0.13597873938091901</v>
      </c>
      <c r="J1466">
        <v>0.10891930750597401</v>
      </c>
      <c r="K1466">
        <v>6.7348284722077101E-2</v>
      </c>
      <c r="L1466">
        <v>708.21941318938104</v>
      </c>
      <c r="M1466">
        <v>13.454245027277199</v>
      </c>
      <c r="N1466">
        <v>53.015137863499803</v>
      </c>
      <c r="O1466">
        <v>51.517016506565298</v>
      </c>
      <c r="P1466">
        <v>-6.2328625850495797E-2</v>
      </c>
      <c r="Q1466">
        <v>4.5509064483705702E-2</v>
      </c>
      <c r="R1466">
        <v>0.99263247567255797</v>
      </c>
      <c r="S1466" t="s">
        <v>5762</v>
      </c>
      <c r="T1466" t="s">
        <v>8590</v>
      </c>
      <c r="U1466" t="s">
        <v>8590</v>
      </c>
      <c r="V1466" t="s">
        <v>8590</v>
      </c>
      <c r="W1466">
        <v>2</v>
      </c>
      <c r="X1466" t="s">
        <v>10056</v>
      </c>
      <c r="Y1466">
        <v>0.47185490852923728</v>
      </c>
      <c r="Z1466" t="str">
        <f>HYPERLINK("Melting_Curves/meltCurve_sp_P78356_PI42B_HUMAN_.pdf", "Melting_Curves/meltCurve_sp_P78356_PI42B_HUMAN_.pdf")</f>
        <v>Melting_Curves/meltCurve_sp_P78356_PI42B_HUMAN_.pdf</v>
      </c>
      <c r="AA1466" t="s">
        <v>14328</v>
      </c>
      <c r="AB1466" t="s">
        <v>18550</v>
      </c>
    </row>
    <row r="1467" spans="1:28" x14ac:dyDescent="0.25">
      <c r="A1467" t="s">
        <v>1471</v>
      </c>
      <c r="B1467">
        <v>0.99876560204751996</v>
      </c>
      <c r="C1467">
        <v>1.1678451068992299</v>
      </c>
      <c r="D1467">
        <v>0.99961957282964298</v>
      </c>
      <c r="E1467">
        <v>1.25730009813669</v>
      </c>
      <c r="F1467">
        <v>0.68826036320191497</v>
      </c>
      <c r="G1467">
        <v>0.10898916895050099</v>
      </c>
      <c r="H1467">
        <v>6.1067747385502899E-2</v>
      </c>
      <c r="I1467">
        <v>3.34052733437913E-2</v>
      </c>
      <c r="J1467">
        <v>9.1976196021451902E-3</v>
      </c>
      <c r="K1467">
        <v>7.5685190789781002E-3</v>
      </c>
      <c r="L1467">
        <v>13288.470826070001</v>
      </c>
      <c r="M1467">
        <v>250</v>
      </c>
      <c r="N1467">
        <v>53.173497007004798</v>
      </c>
      <c r="O1467">
        <v>53.150480807589098</v>
      </c>
      <c r="P1467">
        <v>-1.12411299579282</v>
      </c>
      <c r="Q1467">
        <v>4.40456437811532E-2</v>
      </c>
      <c r="R1467">
        <v>0.96077864086584197</v>
      </c>
      <c r="S1467" t="s">
        <v>5763</v>
      </c>
      <c r="T1467" t="s">
        <v>8590</v>
      </c>
      <c r="U1467" t="s">
        <v>8590</v>
      </c>
      <c r="V1467" t="s">
        <v>8590</v>
      </c>
      <c r="W1467">
        <v>1</v>
      </c>
      <c r="X1467" t="s">
        <v>10057</v>
      </c>
      <c r="Y1467">
        <v>0.46328522078547463</v>
      </c>
      <c r="Z1467" t="str">
        <f>HYPERLINK("Melting_Curves/meltCurve_sp_P78362_SRPK2_HUMAN_.pdf", "Melting_Curves/meltCurve_sp_P78362_SRPK2_HUMAN_.pdf")</f>
        <v>Melting_Curves/meltCurve_sp_P78362_SRPK2_HUMAN_.pdf</v>
      </c>
      <c r="AA1467" t="s">
        <v>14329</v>
      </c>
      <c r="AB1467" t="s">
        <v>18551</v>
      </c>
    </row>
    <row r="1468" spans="1:28" x14ac:dyDescent="0.25">
      <c r="A1468" t="s">
        <v>1472</v>
      </c>
      <c r="B1468">
        <v>0.99876560204751996</v>
      </c>
      <c r="C1468">
        <v>1.1007678895819799</v>
      </c>
      <c r="D1468">
        <v>1.0783577338883901</v>
      </c>
      <c r="E1468">
        <v>0.99823200398563405</v>
      </c>
      <c r="F1468">
        <v>0.74021131841489496</v>
      </c>
      <c r="G1468">
        <v>0.23424332275472501</v>
      </c>
      <c r="H1468">
        <v>0.103624082623875</v>
      </c>
      <c r="I1468">
        <v>8.1981307643724896E-2</v>
      </c>
      <c r="J1468">
        <v>8.6285169301375003E-2</v>
      </c>
      <c r="K1468">
        <v>7.8493598082485794E-2</v>
      </c>
      <c r="L1468">
        <v>2025.81433190448</v>
      </c>
      <c r="M1468">
        <v>37.232524168038097</v>
      </c>
      <c r="N1468">
        <v>54.678668399786297</v>
      </c>
      <c r="O1468">
        <v>54.253556708201501</v>
      </c>
      <c r="P1468">
        <v>-0.15721593344680601</v>
      </c>
      <c r="Q1468">
        <v>8.3650616651280693E-2</v>
      </c>
      <c r="R1468">
        <v>0.99103421562331295</v>
      </c>
      <c r="S1468" t="s">
        <v>5764</v>
      </c>
      <c r="T1468" t="s">
        <v>8590</v>
      </c>
      <c r="U1468" t="s">
        <v>8590</v>
      </c>
      <c r="V1468" t="s">
        <v>8590</v>
      </c>
      <c r="W1468">
        <v>26</v>
      </c>
      <c r="X1468" t="s">
        <v>10058</v>
      </c>
      <c r="Y1468">
        <v>0.52776223677262768</v>
      </c>
      <c r="Z1468" t="str">
        <f>HYPERLINK("Melting_Curves/meltCurve_sp_P78371_TCPB_HUMAN_.pdf", "Melting_Curves/meltCurve_sp_P78371_TCPB_HUMAN_.pdf")</f>
        <v>Melting_Curves/meltCurve_sp_P78371_TCPB_HUMAN_.pdf</v>
      </c>
      <c r="AA1468" t="s">
        <v>14330</v>
      </c>
      <c r="AB1468" t="s">
        <v>18552</v>
      </c>
    </row>
    <row r="1469" spans="1:28" x14ac:dyDescent="0.25">
      <c r="A1469" t="s">
        <v>1473</v>
      </c>
      <c r="B1469">
        <v>0.99876560204751996</v>
      </c>
      <c r="C1469">
        <v>0.86794958767460595</v>
      </c>
      <c r="D1469">
        <v>0.85540385213172698</v>
      </c>
      <c r="E1469">
        <v>0.67032292110649705</v>
      </c>
      <c r="F1469">
        <v>0.38046417275996097</v>
      </c>
      <c r="G1469">
        <v>0.19808201406317699</v>
      </c>
      <c r="H1469">
        <v>0.12590331938888299</v>
      </c>
      <c r="I1469">
        <v>8.6670066833021503E-2</v>
      </c>
      <c r="J1469">
        <v>8.7576522957380595E-2</v>
      </c>
      <c r="K1469">
        <v>8.5966331419151096E-2</v>
      </c>
      <c r="L1469">
        <v>790.74760788176604</v>
      </c>
      <c r="M1469">
        <v>15.4400133649723</v>
      </c>
      <c r="N1469">
        <v>51.599238215752003</v>
      </c>
      <c r="O1469">
        <v>50.3781425011341</v>
      </c>
      <c r="P1469">
        <v>-7.2457800962392294E-2</v>
      </c>
      <c r="Q1469">
        <v>5.4415298215021897E-2</v>
      </c>
      <c r="R1469">
        <v>0.99020452244420498</v>
      </c>
      <c r="S1469" t="s">
        <v>5765</v>
      </c>
      <c r="T1469" t="s">
        <v>8590</v>
      </c>
      <c r="U1469" t="s">
        <v>8590</v>
      </c>
      <c r="V1469" t="s">
        <v>8590</v>
      </c>
      <c r="W1469">
        <v>5</v>
      </c>
      <c r="X1469" t="s">
        <v>10059</v>
      </c>
      <c r="Y1469">
        <v>0.42857444212549289</v>
      </c>
      <c r="Z1469" t="str">
        <f>HYPERLINK("Melting_Curves/meltCurve_sp_P78406_RAE1L_HUMAN_.pdf", "Melting_Curves/meltCurve_sp_P78406_RAE1L_HUMAN_.pdf")</f>
        <v>Melting_Curves/meltCurve_sp_P78406_RAE1L_HUMAN_.pdf</v>
      </c>
      <c r="AA1469" t="s">
        <v>14331</v>
      </c>
      <c r="AB1469" t="s">
        <v>18553</v>
      </c>
    </row>
    <row r="1470" spans="1:28" x14ac:dyDescent="0.25">
      <c r="A1470" t="s">
        <v>1474</v>
      </c>
      <c r="B1470">
        <v>0.99876560204751996</v>
      </c>
      <c r="C1470">
        <v>0.97249610090008698</v>
      </c>
      <c r="D1470">
        <v>1.1129881330231799</v>
      </c>
      <c r="E1470">
        <v>0.989879809071189</v>
      </c>
      <c r="F1470">
        <v>0.973820422520844</v>
      </c>
      <c r="G1470">
        <v>0.69064160096319005</v>
      </c>
      <c r="H1470">
        <v>0.37579347527325802</v>
      </c>
      <c r="I1470">
        <v>0.19500212282825</v>
      </c>
      <c r="J1470">
        <v>0.12628636983910899</v>
      </c>
      <c r="K1470">
        <v>8.2253054758878896E-2</v>
      </c>
      <c r="L1470">
        <v>1393.75085999255</v>
      </c>
      <c r="M1470">
        <v>23.629855444017501</v>
      </c>
      <c r="N1470">
        <v>59.3572878870945</v>
      </c>
      <c r="O1470">
        <v>58.565064893023703</v>
      </c>
      <c r="P1470">
        <v>-9.38832936481903E-2</v>
      </c>
      <c r="Q1470">
        <v>6.9281014757262796E-2</v>
      </c>
      <c r="R1470">
        <v>0.98967339838781898</v>
      </c>
      <c r="S1470" t="s">
        <v>5766</v>
      </c>
      <c r="T1470" t="s">
        <v>8590</v>
      </c>
      <c r="U1470" t="s">
        <v>8590</v>
      </c>
      <c r="V1470" t="s">
        <v>8590</v>
      </c>
      <c r="W1470">
        <v>23</v>
      </c>
      <c r="X1470" t="s">
        <v>10060</v>
      </c>
      <c r="Y1470">
        <v>0.66633370344208698</v>
      </c>
      <c r="Z1470" t="str">
        <f>HYPERLINK("Melting_Curves/meltCurve_sp_P78417_GSTO1_HUMAN_.pdf", "Melting_Curves/meltCurve_sp_P78417_GSTO1_HUMAN_.pdf")</f>
        <v>Melting_Curves/meltCurve_sp_P78417_GSTO1_HUMAN_.pdf</v>
      </c>
      <c r="AA1470" t="s">
        <v>14332</v>
      </c>
      <c r="AB1470" t="s">
        <v>18554</v>
      </c>
    </row>
    <row r="1471" spans="1:28" x14ac:dyDescent="0.25">
      <c r="A1471" t="s">
        <v>1475</v>
      </c>
      <c r="B1471">
        <v>0.99876560204751996</v>
      </c>
      <c r="C1471">
        <v>1.021020192725</v>
      </c>
      <c r="D1471">
        <v>1.13621913613641</v>
      </c>
      <c r="E1471">
        <v>0.94257074656930095</v>
      </c>
      <c r="F1471">
        <v>0.820489851909044</v>
      </c>
      <c r="G1471">
        <v>0.72991193874905302</v>
      </c>
      <c r="H1471">
        <v>0.62169425810988199</v>
      </c>
      <c r="I1471">
        <v>0.56371430790619803</v>
      </c>
      <c r="J1471">
        <v>0.72228030969715495</v>
      </c>
      <c r="K1471">
        <v>0.78972563146055896</v>
      </c>
      <c r="L1471">
        <v>1852.0441294454899</v>
      </c>
      <c r="M1471">
        <v>35.177319332813802</v>
      </c>
      <c r="O1471">
        <v>52.4795391673536</v>
      </c>
      <c r="P1471">
        <v>-5.3603272571134501E-2</v>
      </c>
      <c r="Q1471">
        <v>0.68012738078684698</v>
      </c>
      <c r="R1471">
        <v>0.83227682592390695</v>
      </c>
      <c r="S1471" t="s">
        <v>5767</v>
      </c>
      <c r="T1471" t="s">
        <v>8590</v>
      </c>
      <c r="U1471" t="s">
        <v>8590</v>
      </c>
      <c r="V1471" t="s">
        <v>8590</v>
      </c>
      <c r="W1471">
        <v>1</v>
      </c>
      <c r="X1471" t="s">
        <v>10061</v>
      </c>
      <c r="Y1471">
        <v>0.81649902723264089</v>
      </c>
      <c r="Z1471" t="str">
        <f>HYPERLINK("Melting_Curves/meltCurve_sp_P78524_ST5_HUMAN_.pdf", "Melting_Curves/meltCurve_sp_P78524_ST5_HUMAN_.pdf")</f>
        <v>Melting_Curves/meltCurve_sp_P78524_ST5_HUMAN_.pdf</v>
      </c>
      <c r="AA1471" t="s">
        <v>14333</v>
      </c>
      <c r="AB1471" t="s">
        <v>18555</v>
      </c>
    </row>
    <row r="1472" spans="1:28" x14ac:dyDescent="0.25">
      <c r="A1472" t="s">
        <v>1476</v>
      </c>
      <c r="B1472">
        <v>0.99876560204751996</v>
      </c>
      <c r="C1472">
        <v>0.83900666773390298</v>
      </c>
      <c r="D1472">
        <v>0.99921451143269502</v>
      </c>
      <c r="E1472">
        <v>0.78352111029971105</v>
      </c>
      <c r="F1472">
        <v>0.48440935926022899</v>
      </c>
      <c r="G1472">
        <v>0.31530827727733601</v>
      </c>
      <c r="H1472">
        <v>0.17175159699147299</v>
      </c>
      <c r="I1472">
        <v>0.18451648584154901</v>
      </c>
      <c r="J1472">
        <v>9.9681676216870796E-2</v>
      </c>
      <c r="K1472">
        <v>0</v>
      </c>
      <c r="L1472">
        <v>792.58687593290301</v>
      </c>
      <c r="M1472">
        <v>14.8439405552453</v>
      </c>
      <c r="N1472">
        <v>53.6995636179076</v>
      </c>
      <c r="O1472">
        <v>52.453702182076</v>
      </c>
      <c r="P1472">
        <v>-6.78957432513905E-2</v>
      </c>
      <c r="Q1472">
        <v>4.0414697276209999E-2</v>
      </c>
      <c r="R1472">
        <v>0.97020110386695102</v>
      </c>
      <c r="S1472" t="s">
        <v>5768</v>
      </c>
      <c r="T1472" t="s">
        <v>8590</v>
      </c>
      <c r="U1472" t="s">
        <v>8590</v>
      </c>
      <c r="V1472" t="s">
        <v>8590</v>
      </c>
      <c r="W1472">
        <v>2</v>
      </c>
      <c r="X1472" t="s">
        <v>10062</v>
      </c>
      <c r="Y1472">
        <v>0.48943411824762778</v>
      </c>
      <c r="Z1472" t="str">
        <f>HYPERLINK("Melting_Curves/meltCurve_sp_P78560_CRADD_HUMAN_.pdf", "Melting_Curves/meltCurve_sp_P78560_CRADD_HUMAN_.pdf")</f>
        <v>Melting_Curves/meltCurve_sp_P78560_CRADD_HUMAN_.pdf</v>
      </c>
      <c r="AA1472" t="s">
        <v>14334</v>
      </c>
      <c r="AB1472" t="s">
        <v>18556</v>
      </c>
    </row>
    <row r="1473" spans="1:28" x14ac:dyDescent="0.25">
      <c r="A1473" t="s">
        <v>1477</v>
      </c>
      <c r="B1473">
        <v>0.99876560204751996</v>
      </c>
      <c r="C1473">
        <v>0.98937073621184002</v>
      </c>
      <c r="D1473">
        <v>0.889777834472814</v>
      </c>
      <c r="E1473">
        <v>0.817445441906687</v>
      </c>
      <c r="F1473">
        <v>0.71758269437811095</v>
      </c>
      <c r="G1473">
        <v>0.56095457401316395</v>
      </c>
      <c r="H1473">
        <v>0.36571133700249098</v>
      </c>
      <c r="I1473">
        <v>0.48448703061810799</v>
      </c>
      <c r="J1473">
        <v>0.53820893213732701</v>
      </c>
      <c r="K1473">
        <v>0.41725216789863601</v>
      </c>
      <c r="L1473">
        <v>823.35820410861504</v>
      </c>
      <c r="M1473">
        <v>15.7651351035489</v>
      </c>
      <c r="N1473">
        <v>59.772157469823497</v>
      </c>
      <c r="O1473">
        <v>51.407883709166903</v>
      </c>
      <c r="P1473">
        <v>-4.3576117484819203E-2</v>
      </c>
      <c r="Q1473">
        <v>0.43166518618296401</v>
      </c>
      <c r="R1473">
        <v>0.94569923912114695</v>
      </c>
      <c r="S1473" t="s">
        <v>5769</v>
      </c>
      <c r="T1473" t="s">
        <v>8590</v>
      </c>
      <c r="U1473" t="s">
        <v>8590</v>
      </c>
      <c r="V1473" t="s">
        <v>8590</v>
      </c>
      <c r="W1473">
        <v>1</v>
      </c>
      <c r="X1473" t="s">
        <v>10063</v>
      </c>
      <c r="Y1473">
        <v>0.67497376256100172</v>
      </c>
      <c r="Z1473" t="str">
        <f>HYPERLINK("Melting_Curves/meltCurve_sp_P80188_2_NGAL_HUMAN_.pdf", "Melting_Curves/meltCurve_sp_P80188_2_NGAL_HUMAN_.pdf")</f>
        <v>Melting_Curves/meltCurve_sp_P80188_2_NGAL_HUMAN_.pdf</v>
      </c>
      <c r="AA1473" t="s">
        <v>14335</v>
      </c>
      <c r="AB1473" t="s">
        <v>18557</v>
      </c>
    </row>
    <row r="1474" spans="1:28" x14ac:dyDescent="0.25">
      <c r="A1474" t="s">
        <v>1478</v>
      </c>
      <c r="B1474">
        <v>0.99876560204751996</v>
      </c>
      <c r="C1474">
        <v>1.0565040026971799</v>
      </c>
      <c r="D1474">
        <v>0.94378649989127095</v>
      </c>
      <c r="E1474">
        <v>0.93817296498802205</v>
      </c>
      <c r="F1474">
        <v>0.72543024935136702</v>
      </c>
      <c r="G1474">
        <v>0.243683563352039</v>
      </c>
      <c r="H1474">
        <v>9.3103404028981707E-2</v>
      </c>
      <c r="I1474">
        <v>6.5042530087212294E-2</v>
      </c>
      <c r="J1474">
        <v>5.0153366018526602E-2</v>
      </c>
      <c r="K1474">
        <v>3.3672443124034897E-2</v>
      </c>
      <c r="L1474">
        <v>1633.6992304937601</v>
      </c>
      <c r="M1474">
        <v>29.949489456859101</v>
      </c>
      <c r="N1474">
        <v>54.722641618672299</v>
      </c>
      <c r="O1474">
        <v>54.307020245064997</v>
      </c>
      <c r="P1474">
        <v>-0.13160515007270299</v>
      </c>
      <c r="Q1474">
        <v>4.5454628243884597E-2</v>
      </c>
      <c r="R1474">
        <v>0.99649981513272201</v>
      </c>
      <c r="S1474" t="s">
        <v>5770</v>
      </c>
      <c r="T1474" t="s">
        <v>8590</v>
      </c>
      <c r="U1474" t="s">
        <v>8590</v>
      </c>
      <c r="V1474" t="s">
        <v>8590</v>
      </c>
      <c r="W1474">
        <v>10</v>
      </c>
      <c r="X1474" t="s">
        <v>10064</v>
      </c>
      <c r="Y1474">
        <v>0.51468796316491117</v>
      </c>
      <c r="Z1474" t="str">
        <f>HYPERLINK("Melting_Curves/meltCurve_sp_P80217_IN35_HUMAN_.pdf", "Melting_Curves/meltCurve_sp_P80217_IN35_HUMAN_.pdf")</f>
        <v>Melting_Curves/meltCurve_sp_P80217_IN35_HUMAN_.pdf</v>
      </c>
      <c r="AA1474" t="s">
        <v>14336</v>
      </c>
      <c r="AB1474" t="s">
        <v>18558</v>
      </c>
    </row>
    <row r="1475" spans="1:28" x14ac:dyDescent="0.25">
      <c r="A1475" t="s">
        <v>1479</v>
      </c>
      <c r="B1475">
        <v>0.99876560204751996</v>
      </c>
      <c r="C1475">
        <v>0.997911354690449</v>
      </c>
      <c r="D1475">
        <v>1.3108045360765199</v>
      </c>
      <c r="E1475">
        <v>0.76084375566201101</v>
      </c>
      <c r="F1475">
        <v>0.80122079372891697</v>
      </c>
      <c r="G1475">
        <v>0.96286826023791505</v>
      </c>
      <c r="H1475">
        <v>0.90604598517768498</v>
      </c>
      <c r="I1475">
        <v>1.4219461905400901</v>
      </c>
      <c r="J1475">
        <v>1.76528750003179</v>
      </c>
      <c r="K1475">
        <v>2.4197156003851599</v>
      </c>
      <c r="L1475">
        <v>15000</v>
      </c>
      <c r="M1475">
        <v>236.06205905380801</v>
      </c>
      <c r="O1475">
        <v>63.538052556170499</v>
      </c>
      <c r="P1475">
        <v>0.46441079690826798</v>
      </c>
      <c r="Q1475">
        <v>1.5</v>
      </c>
      <c r="R1475">
        <v>0.53970033841556198</v>
      </c>
      <c r="S1475" t="s">
        <v>5771</v>
      </c>
      <c r="T1475" t="s">
        <v>8590</v>
      </c>
      <c r="U1475" t="s">
        <v>8590</v>
      </c>
      <c r="V1475" t="s">
        <v>8590</v>
      </c>
      <c r="W1475">
        <v>6</v>
      </c>
      <c r="X1475" t="s">
        <v>10065</v>
      </c>
      <c r="Y1475">
        <v>1.107560582548281</v>
      </c>
      <c r="Z1475" t="str">
        <f>HYPERLINK("Melting_Curves/meltCurve_sp_P80294_MT1H_HUMAN_.pdf", "Melting_Curves/meltCurve_sp_P80294_MT1H_HUMAN_.pdf")</f>
        <v>Melting_Curves/meltCurve_sp_P80294_MT1H_HUMAN_.pdf</v>
      </c>
      <c r="AA1475" t="s">
        <v>14337</v>
      </c>
      <c r="AB1475" t="s">
        <v>18559</v>
      </c>
    </row>
    <row r="1476" spans="1:28" x14ac:dyDescent="0.25">
      <c r="A1476" t="s">
        <v>1480</v>
      </c>
      <c r="B1476">
        <v>0.99876560204751996</v>
      </c>
      <c r="C1476">
        <v>0.76454937336906703</v>
      </c>
      <c r="D1476">
        <v>0.69134711720000797</v>
      </c>
      <c r="E1476">
        <v>0.78523021118911895</v>
      </c>
      <c r="F1476">
        <v>0.67577600143019001</v>
      </c>
      <c r="G1476">
        <v>0.57567593677201201</v>
      </c>
      <c r="H1476">
        <v>0.59813926628877501</v>
      </c>
      <c r="I1476">
        <v>0.77259894722257105</v>
      </c>
      <c r="J1476">
        <v>0.90574200541375305</v>
      </c>
      <c r="K1476">
        <v>0.94400663501596505</v>
      </c>
      <c r="L1476">
        <v>5090.9369698595001</v>
      </c>
      <c r="M1476">
        <v>121.089825722462</v>
      </c>
      <c r="O1476">
        <v>42.0311788965112</v>
      </c>
      <c r="P1476">
        <v>-0.18469194025938401</v>
      </c>
      <c r="Q1476">
        <v>0.74356818972694805</v>
      </c>
      <c r="R1476">
        <v>0.315476727183993</v>
      </c>
      <c r="S1476" t="s">
        <v>5772</v>
      </c>
      <c r="T1476" t="s">
        <v>8590</v>
      </c>
      <c r="U1476" t="s">
        <v>8590</v>
      </c>
      <c r="V1476" t="s">
        <v>8590</v>
      </c>
      <c r="W1476">
        <v>5</v>
      </c>
      <c r="X1476" t="s">
        <v>10066</v>
      </c>
      <c r="Y1476">
        <v>0.76111434955290114</v>
      </c>
      <c r="Z1476" t="str">
        <f>HYPERLINK("Melting_Curves/meltCurve_sp_P80297_MT1X_HUMAN_.pdf", "Melting_Curves/meltCurve_sp_P80297_MT1X_HUMAN_.pdf")</f>
        <v>Melting_Curves/meltCurve_sp_P80297_MT1X_HUMAN_.pdf</v>
      </c>
      <c r="AA1476" t="s">
        <v>14338</v>
      </c>
      <c r="AB1476" t="s">
        <v>18560</v>
      </c>
    </row>
    <row r="1477" spans="1:28" x14ac:dyDescent="0.25">
      <c r="A1477" t="s">
        <v>1481</v>
      </c>
      <c r="B1477">
        <v>0.99876560204751996</v>
      </c>
      <c r="C1477">
        <v>0.94127354868980195</v>
      </c>
      <c r="D1477">
        <v>1.00117245712922</v>
      </c>
      <c r="E1477">
        <v>0.90981197748185305</v>
      </c>
      <c r="F1477">
        <v>0.92794752714941398</v>
      </c>
      <c r="G1477">
        <v>0.77395195039574405</v>
      </c>
      <c r="H1477">
        <v>0.63532475785390496</v>
      </c>
      <c r="I1477">
        <v>0.63892581653024305</v>
      </c>
      <c r="J1477">
        <v>0.75225797826449803</v>
      </c>
      <c r="K1477">
        <v>0.69329039279064997</v>
      </c>
      <c r="L1477">
        <v>1433.32607403251</v>
      </c>
      <c r="M1477">
        <v>26.228346615835001</v>
      </c>
      <c r="O1477">
        <v>54.333255435372301</v>
      </c>
      <c r="P1477">
        <v>-3.89759545666633E-2</v>
      </c>
      <c r="Q1477">
        <v>0.67704141686585695</v>
      </c>
      <c r="R1477">
        <v>0.89468671372254005</v>
      </c>
      <c r="S1477" t="s">
        <v>5773</v>
      </c>
      <c r="T1477" t="s">
        <v>8590</v>
      </c>
      <c r="U1477" t="s">
        <v>8590</v>
      </c>
      <c r="V1477" t="s">
        <v>8590</v>
      </c>
      <c r="W1477">
        <v>13</v>
      </c>
      <c r="X1477" t="s">
        <v>10067</v>
      </c>
      <c r="Y1477">
        <v>0.83747439023343828</v>
      </c>
      <c r="Z1477" t="str">
        <f>HYPERLINK("Melting_Curves/meltCurve_sp_P80303_NUCB2_HUMAN_.pdf", "Melting_Curves/meltCurve_sp_P80303_NUCB2_HUMAN_.pdf")</f>
        <v>Melting_Curves/meltCurve_sp_P80303_NUCB2_HUMAN_.pdf</v>
      </c>
      <c r="AA1477" t="s">
        <v>14339</v>
      </c>
      <c r="AB1477" t="s">
        <v>18561</v>
      </c>
    </row>
    <row r="1478" spans="1:28" x14ac:dyDescent="0.25">
      <c r="A1478" t="s">
        <v>1482</v>
      </c>
      <c r="B1478">
        <v>0.99876560204751996</v>
      </c>
      <c r="C1478">
        <v>1.01910805432218</v>
      </c>
      <c r="D1478">
        <v>1.0030642718632099</v>
      </c>
      <c r="E1478">
        <v>1.0286792893769601</v>
      </c>
      <c r="F1478">
        <v>0.98786741651427801</v>
      </c>
      <c r="G1478">
        <v>0.68699008946902895</v>
      </c>
      <c r="H1478">
        <v>0.32496221407888798</v>
      </c>
      <c r="I1478">
        <v>0.153616213823178</v>
      </c>
      <c r="J1478">
        <v>8.9277352789779593E-2</v>
      </c>
      <c r="K1478">
        <v>6.6273549317611494E-2</v>
      </c>
      <c r="L1478">
        <v>1582.8714070271899</v>
      </c>
      <c r="M1478">
        <v>26.9591770186824</v>
      </c>
      <c r="N1478">
        <v>58.991169477303103</v>
      </c>
      <c r="O1478">
        <v>58.393434440828102</v>
      </c>
      <c r="P1478">
        <v>-0.10854714333043999</v>
      </c>
      <c r="Q1478">
        <v>5.9559191194940603E-2</v>
      </c>
      <c r="R1478">
        <v>0.997626611277732</v>
      </c>
      <c r="S1478" t="s">
        <v>5774</v>
      </c>
      <c r="T1478" t="s">
        <v>8590</v>
      </c>
      <c r="U1478" t="s">
        <v>8590</v>
      </c>
      <c r="V1478" t="s">
        <v>8590</v>
      </c>
      <c r="W1478">
        <v>49</v>
      </c>
      <c r="X1478" t="s">
        <v>10068</v>
      </c>
      <c r="Y1478">
        <v>0.65331464978204223</v>
      </c>
      <c r="Z1478" t="str">
        <f>HYPERLINK("Melting_Curves/meltCurve_sp_P80404_GABT_HUMAN_.pdf", "Melting_Curves/meltCurve_sp_P80404_GABT_HUMAN_.pdf")</f>
        <v>Melting_Curves/meltCurve_sp_P80404_GABT_HUMAN_.pdf</v>
      </c>
      <c r="AA1478" t="s">
        <v>14340</v>
      </c>
      <c r="AB1478" t="s">
        <v>18562</v>
      </c>
    </row>
    <row r="1479" spans="1:28" x14ac:dyDescent="0.25">
      <c r="A1479" t="s">
        <v>1483</v>
      </c>
      <c r="B1479">
        <v>0.99876560204751996</v>
      </c>
      <c r="C1479">
        <v>0.86451729607767303</v>
      </c>
      <c r="D1479">
        <v>1.0485160017302899</v>
      </c>
      <c r="E1479">
        <v>0.96529286973613104</v>
      </c>
      <c r="F1479">
        <v>0.99253374919745396</v>
      </c>
      <c r="G1479">
        <v>0.85960186269653704</v>
      </c>
      <c r="H1479">
        <v>0.812349185754207</v>
      </c>
      <c r="I1479">
        <v>0.90444368342972903</v>
      </c>
      <c r="J1479">
        <v>1.1100157027803299</v>
      </c>
      <c r="K1479">
        <v>1.1094680324483699</v>
      </c>
      <c r="L1479">
        <v>15000</v>
      </c>
      <c r="M1479">
        <v>227.22077980255301</v>
      </c>
      <c r="O1479">
        <v>66.009975159946407</v>
      </c>
      <c r="P1479">
        <v>9.60163557482651E-2</v>
      </c>
      <c r="Q1479">
        <v>1.11157495799033</v>
      </c>
      <c r="R1479">
        <v>0.13011669094182199</v>
      </c>
      <c r="S1479" t="s">
        <v>5775</v>
      </c>
      <c r="T1479" t="s">
        <v>8590</v>
      </c>
      <c r="U1479" t="s">
        <v>8590</v>
      </c>
      <c r="V1479" t="s">
        <v>8590</v>
      </c>
      <c r="W1479">
        <v>4</v>
      </c>
      <c r="X1479" t="s">
        <v>10069</v>
      </c>
      <c r="Y1479">
        <v>1.014804896532101</v>
      </c>
      <c r="Z1479" t="str">
        <f>HYPERLINK("Melting_Curves/meltCurve_sp_P80723_BASP1_HUMAN_.pdf", "Melting_Curves/meltCurve_sp_P80723_BASP1_HUMAN_.pdf")</f>
        <v>Melting_Curves/meltCurve_sp_P80723_BASP1_HUMAN_.pdf</v>
      </c>
      <c r="AA1479" t="s">
        <v>14341</v>
      </c>
      <c r="AB1479" t="s">
        <v>18563</v>
      </c>
    </row>
    <row r="1480" spans="1:28" x14ac:dyDescent="0.25">
      <c r="A1480" t="s">
        <v>1484</v>
      </c>
      <c r="B1480">
        <v>0.99876560204751996</v>
      </c>
      <c r="C1480">
        <v>0.62551133200527498</v>
      </c>
      <c r="D1480">
        <v>0.44648001122938202</v>
      </c>
      <c r="E1480">
        <v>0.40133921355976798</v>
      </c>
      <c r="F1480">
        <v>0.37619719115690398</v>
      </c>
      <c r="G1480">
        <v>0.20100866680900101</v>
      </c>
      <c r="H1480">
        <v>0.14088281215916701</v>
      </c>
      <c r="I1480">
        <v>0.17137859172221201</v>
      </c>
      <c r="J1480">
        <v>0.122228397996805</v>
      </c>
      <c r="K1480">
        <v>0.18980116657674101</v>
      </c>
      <c r="L1480">
        <v>560.50544420627205</v>
      </c>
      <c r="M1480">
        <v>12.4236286162949</v>
      </c>
      <c r="N1480">
        <v>46.504588671959802</v>
      </c>
      <c r="O1480">
        <v>43.994979180144</v>
      </c>
      <c r="P1480">
        <v>-5.9669982925443101E-2</v>
      </c>
      <c r="Q1480">
        <v>0.15495646340268199</v>
      </c>
      <c r="R1480">
        <v>0.92253600899128096</v>
      </c>
      <c r="S1480" t="s">
        <v>5776</v>
      </c>
      <c r="T1480" t="s">
        <v>8590</v>
      </c>
      <c r="U1480" t="s">
        <v>8590</v>
      </c>
      <c r="V1480" t="s">
        <v>8590</v>
      </c>
      <c r="W1480">
        <v>3</v>
      </c>
      <c r="X1480" t="s">
        <v>10070</v>
      </c>
      <c r="Y1480">
        <v>0.33816475580723748</v>
      </c>
      <c r="Z1480" t="str">
        <f>HYPERLINK("Melting_Curves/meltCurve_sp_P81605_DCD_HUMAN_.pdf", "Melting_Curves/meltCurve_sp_P81605_DCD_HUMAN_.pdf")</f>
        <v>Melting_Curves/meltCurve_sp_P81605_DCD_HUMAN_.pdf</v>
      </c>
      <c r="AA1480" t="s">
        <v>14342</v>
      </c>
      <c r="AB1480" t="s">
        <v>18564</v>
      </c>
    </row>
    <row r="1481" spans="1:28" x14ac:dyDescent="0.25">
      <c r="A1481" t="s">
        <v>1485</v>
      </c>
      <c r="B1481">
        <v>0.99876560204751996</v>
      </c>
      <c r="C1481">
        <v>0.997514388075884</v>
      </c>
      <c r="D1481">
        <v>0.96559749891558699</v>
      </c>
      <c r="E1481">
        <v>0.84021772452250099</v>
      </c>
      <c r="F1481">
        <v>0.78461513361630497</v>
      </c>
      <c r="G1481">
        <v>0.51551131731781896</v>
      </c>
      <c r="H1481">
        <v>0.46563386772237098</v>
      </c>
      <c r="I1481">
        <v>0.434051377798788</v>
      </c>
      <c r="J1481">
        <v>0.55132169806337805</v>
      </c>
      <c r="K1481">
        <v>0.50640628267621102</v>
      </c>
      <c r="L1481">
        <v>1228.42534098588</v>
      </c>
      <c r="M1481">
        <v>23.290973611138099</v>
      </c>
      <c r="N1481">
        <v>60.875892675359196</v>
      </c>
      <c r="O1481">
        <v>52.358350060141198</v>
      </c>
      <c r="P1481">
        <v>-5.8081323135984499E-2</v>
      </c>
      <c r="Q1481">
        <v>0.47773957810638401</v>
      </c>
      <c r="R1481">
        <v>0.96523469587788102</v>
      </c>
      <c r="S1481" t="s">
        <v>5777</v>
      </c>
      <c r="T1481" t="s">
        <v>8590</v>
      </c>
      <c r="U1481" t="s">
        <v>8590</v>
      </c>
      <c r="V1481" t="s">
        <v>8590</v>
      </c>
      <c r="W1481">
        <v>8</v>
      </c>
      <c r="X1481" t="s">
        <v>10071</v>
      </c>
      <c r="Y1481">
        <v>0.70504920687939798</v>
      </c>
      <c r="Z1481" t="str">
        <f>HYPERLINK("Melting_Curves/meltCurve_sp_P82094_TMF1_HUMAN_.pdf", "Melting_Curves/meltCurve_sp_P82094_TMF1_HUMAN_.pdf")</f>
        <v>Melting_Curves/meltCurve_sp_P82094_TMF1_HUMAN_.pdf</v>
      </c>
      <c r="AA1481" t="s">
        <v>14343</v>
      </c>
      <c r="AB1481" t="s">
        <v>18565</v>
      </c>
    </row>
    <row r="1482" spans="1:28" x14ac:dyDescent="0.25">
      <c r="A1482" t="s">
        <v>1486</v>
      </c>
      <c r="B1482">
        <v>0.99876560204751996</v>
      </c>
      <c r="C1482">
        <v>1.1477182843487801</v>
      </c>
      <c r="D1482">
        <v>1.0176769195701101</v>
      </c>
      <c r="E1482">
        <v>0.69044114773012599</v>
      </c>
      <c r="F1482">
        <v>0.34108055201302201</v>
      </c>
      <c r="G1482">
        <v>0.218142829635385</v>
      </c>
      <c r="H1482">
        <v>0.12354237408659501</v>
      </c>
      <c r="I1482">
        <v>0.111227372158149</v>
      </c>
      <c r="J1482">
        <v>0.11412243126683499</v>
      </c>
      <c r="K1482">
        <v>4.8038796323222298E-2</v>
      </c>
      <c r="L1482">
        <v>1476.3079764296499</v>
      </c>
      <c r="M1482">
        <v>28.826171716818099</v>
      </c>
      <c r="N1482">
        <v>51.652498762660201</v>
      </c>
      <c r="O1482">
        <v>50.969579874852997</v>
      </c>
      <c r="P1482">
        <v>-0.12604883961631899</v>
      </c>
      <c r="Q1482">
        <v>0.108503569380254</v>
      </c>
      <c r="R1482">
        <v>0.98046654981550396</v>
      </c>
      <c r="S1482" t="s">
        <v>5778</v>
      </c>
      <c r="T1482" t="s">
        <v>8590</v>
      </c>
      <c r="U1482" t="s">
        <v>8590</v>
      </c>
      <c r="V1482" t="s">
        <v>8590</v>
      </c>
      <c r="W1482">
        <v>1</v>
      </c>
      <c r="X1482" t="s">
        <v>10072</v>
      </c>
      <c r="Y1482">
        <v>0.44784080746212668</v>
      </c>
      <c r="Z1482" t="str">
        <f>HYPERLINK("Melting_Curves/meltCurve_sp_P82664_RT10_HUMAN_.pdf", "Melting_Curves/meltCurve_sp_P82664_RT10_HUMAN_.pdf")</f>
        <v>Melting_Curves/meltCurve_sp_P82664_RT10_HUMAN_.pdf</v>
      </c>
      <c r="AA1482" t="s">
        <v>14344</v>
      </c>
      <c r="AB1482" t="s">
        <v>18566</v>
      </c>
    </row>
    <row r="1483" spans="1:28" x14ac:dyDescent="0.25">
      <c r="A1483" t="s">
        <v>1487</v>
      </c>
      <c r="B1483">
        <v>0.99876560204751996</v>
      </c>
      <c r="C1483">
        <v>1.03017057900917</v>
      </c>
      <c r="D1483">
        <v>0.87101263431251197</v>
      </c>
      <c r="E1483">
        <v>0.546730413762477</v>
      </c>
      <c r="F1483">
        <v>0.32322246748237499</v>
      </c>
      <c r="G1483">
        <v>0.16007347468213401</v>
      </c>
      <c r="H1483">
        <v>0.10549350140835501</v>
      </c>
      <c r="I1483">
        <v>6.3458096505823E-2</v>
      </c>
      <c r="J1483">
        <v>6.1640543769780003E-2</v>
      </c>
      <c r="K1483">
        <v>3.4093286607457203E-2</v>
      </c>
      <c r="L1483">
        <v>982.35684804884897</v>
      </c>
      <c r="M1483">
        <v>19.487901671258701</v>
      </c>
      <c r="N1483">
        <v>50.709257040000303</v>
      </c>
      <c r="O1483">
        <v>49.886758293285801</v>
      </c>
      <c r="P1483">
        <v>-9.2334851217353006E-2</v>
      </c>
      <c r="Q1483">
        <v>5.4568237744976197E-2</v>
      </c>
      <c r="R1483">
        <v>0.99647662914352497</v>
      </c>
      <c r="S1483" t="s">
        <v>5779</v>
      </c>
      <c r="T1483" t="s">
        <v>8590</v>
      </c>
      <c r="U1483" t="s">
        <v>8590</v>
      </c>
      <c r="V1483" t="s">
        <v>8590</v>
      </c>
      <c r="W1483">
        <v>2</v>
      </c>
      <c r="X1483" t="s">
        <v>10073</v>
      </c>
      <c r="Y1483">
        <v>0.39639955825993689</v>
      </c>
      <c r="Z1483" t="str">
        <f>HYPERLINK("Melting_Curves/meltCurve_sp_P82675_RT05_HUMAN_.pdf", "Melting_Curves/meltCurve_sp_P82675_RT05_HUMAN_.pdf")</f>
        <v>Melting_Curves/meltCurve_sp_P82675_RT05_HUMAN_.pdf</v>
      </c>
      <c r="AA1483" t="s">
        <v>14345</v>
      </c>
      <c r="AB1483" t="s">
        <v>18567</v>
      </c>
    </row>
    <row r="1484" spans="1:28" x14ac:dyDescent="0.25">
      <c r="A1484" t="s">
        <v>1488</v>
      </c>
      <c r="B1484">
        <v>0.99876560204751996</v>
      </c>
      <c r="C1484">
        <v>1.02720265436372</v>
      </c>
      <c r="D1484">
        <v>0.99336124469690701</v>
      </c>
      <c r="E1484">
        <v>1.0567351836561101</v>
      </c>
      <c r="F1484">
        <v>0.93282558938817195</v>
      </c>
      <c r="G1484">
        <v>0.79404893312404301</v>
      </c>
      <c r="H1484">
        <v>0.72905283102024598</v>
      </c>
      <c r="I1484">
        <v>0.71374766979368798</v>
      </c>
      <c r="J1484">
        <v>0.95117657175820902</v>
      </c>
      <c r="K1484">
        <v>0.79556763249715601</v>
      </c>
      <c r="L1484">
        <v>13287.425887904201</v>
      </c>
      <c r="M1484">
        <v>250</v>
      </c>
      <c r="O1484">
        <v>53.146302031279802</v>
      </c>
      <c r="P1484">
        <v>-0.23905858280071501</v>
      </c>
      <c r="Q1484">
        <v>0.796718724806741</v>
      </c>
      <c r="R1484">
        <v>0.73593660959080998</v>
      </c>
      <c r="S1484" t="s">
        <v>5780</v>
      </c>
      <c r="T1484" t="s">
        <v>8590</v>
      </c>
      <c r="U1484" t="s">
        <v>8590</v>
      </c>
      <c r="V1484" t="s">
        <v>8590</v>
      </c>
      <c r="W1484">
        <v>5</v>
      </c>
      <c r="X1484" t="s">
        <v>10074</v>
      </c>
      <c r="Y1484">
        <v>0.88584063646730193</v>
      </c>
      <c r="Z1484" t="str">
        <f>HYPERLINK("Melting_Curves/meltCurve_sp_P82909_RT36_HUMAN_.pdf", "Melting_Curves/meltCurve_sp_P82909_RT36_HUMAN_.pdf")</f>
        <v>Melting_Curves/meltCurve_sp_P82909_RT36_HUMAN_.pdf</v>
      </c>
      <c r="AA1484" t="s">
        <v>14346</v>
      </c>
      <c r="AB1484" t="s">
        <v>18568</v>
      </c>
    </row>
    <row r="1485" spans="1:28" x14ac:dyDescent="0.25">
      <c r="A1485" t="s">
        <v>1489</v>
      </c>
      <c r="B1485">
        <v>0.99876560204751996</v>
      </c>
      <c r="C1485">
        <v>0.98439618137260099</v>
      </c>
      <c r="D1485">
        <v>0.98249002832713594</v>
      </c>
      <c r="E1485">
        <v>0.56672197960408499</v>
      </c>
      <c r="F1485">
        <v>0.31202618479634198</v>
      </c>
      <c r="G1485">
        <v>0.25060998075765201</v>
      </c>
      <c r="H1485">
        <v>0.20178002377788801</v>
      </c>
      <c r="I1485">
        <v>0.131156968165001</v>
      </c>
      <c r="J1485">
        <v>0.18825960922437401</v>
      </c>
      <c r="K1485">
        <v>0.14838648077483299</v>
      </c>
      <c r="L1485">
        <v>1502.58569817699</v>
      </c>
      <c r="M1485">
        <v>30.068956555820002</v>
      </c>
      <c r="N1485">
        <v>50.717879207102001</v>
      </c>
      <c r="O1485">
        <v>49.751867458337202</v>
      </c>
      <c r="P1485">
        <v>-0.124076764292907</v>
      </c>
      <c r="Q1485">
        <v>0.178819410841877</v>
      </c>
      <c r="R1485">
        <v>0.99317928459567395</v>
      </c>
      <c r="S1485" t="s">
        <v>5781</v>
      </c>
      <c r="T1485" t="s">
        <v>8590</v>
      </c>
      <c r="U1485" t="s">
        <v>8590</v>
      </c>
      <c r="V1485" t="s">
        <v>8590</v>
      </c>
      <c r="W1485">
        <v>2</v>
      </c>
      <c r="X1485" t="s">
        <v>10075</v>
      </c>
      <c r="Y1485">
        <v>0.45681468526656088</v>
      </c>
      <c r="Z1485" t="str">
        <f>HYPERLINK("Melting_Curves/meltCurve_sp_P82914_RT15_HUMAN_.pdf", "Melting_Curves/meltCurve_sp_P82914_RT15_HUMAN_.pdf")</f>
        <v>Melting_Curves/meltCurve_sp_P82914_RT15_HUMAN_.pdf</v>
      </c>
      <c r="AA1485" t="s">
        <v>14347</v>
      </c>
      <c r="AB1485" t="s">
        <v>18569</v>
      </c>
    </row>
    <row r="1486" spans="1:28" x14ac:dyDescent="0.25">
      <c r="A1486" t="s">
        <v>1490</v>
      </c>
      <c r="B1486">
        <v>0.99876560204751996</v>
      </c>
      <c r="C1486">
        <v>0.78730026825928701</v>
      </c>
      <c r="D1486">
        <v>0.62716779909839904</v>
      </c>
      <c r="E1486">
        <v>0.42619304383484502</v>
      </c>
      <c r="F1486">
        <v>0.22729953931069599</v>
      </c>
      <c r="G1486">
        <v>0.123118079792715</v>
      </c>
      <c r="H1486">
        <v>5.0521923347552102E-2</v>
      </c>
      <c r="I1486">
        <v>0.121445611978531</v>
      </c>
      <c r="J1486">
        <v>5.3804243290634303E-2</v>
      </c>
      <c r="K1486">
        <v>4.6168621919076502E-2</v>
      </c>
      <c r="L1486">
        <v>640.04587300394996</v>
      </c>
      <c r="M1486">
        <v>13.384293721396</v>
      </c>
      <c r="N1486">
        <v>48.101628020104599</v>
      </c>
      <c r="O1486">
        <v>46.790989935822701</v>
      </c>
      <c r="P1486">
        <v>-6.8833204973985901E-2</v>
      </c>
      <c r="Q1486">
        <v>3.7598554098166502E-2</v>
      </c>
      <c r="R1486">
        <v>0.98825115376330197</v>
      </c>
      <c r="S1486" t="s">
        <v>5782</v>
      </c>
      <c r="T1486" t="s">
        <v>8590</v>
      </c>
      <c r="U1486" t="s">
        <v>8590</v>
      </c>
      <c r="V1486" t="s">
        <v>8590</v>
      </c>
      <c r="W1486">
        <v>2</v>
      </c>
      <c r="X1486" t="s">
        <v>10076</v>
      </c>
      <c r="Y1486">
        <v>0.31967134201578989</v>
      </c>
      <c r="Z1486" t="str">
        <f>HYPERLINK("Melting_Curves/meltCurve_sp_P82930_RT34_HUMAN_.pdf", "Melting_Curves/meltCurve_sp_P82930_RT34_HUMAN_.pdf")</f>
        <v>Melting_Curves/meltCurve_sp_P82930_RT34_HUMAN_.pdf</v>
      </c>
      <c r="AA1486" t="s">
        <v>14348</v>
      </c>
      <c r="AB1486" t="s">
        <v>18570</v>
      </c>
    </row>
    <row r="1487" spans="1:28" x14ac:dyDescent="0.25">
      <c r="A1487" t="s">
        <v>1491</v>
      </c>
      <c r="B1487">
        <v>0.99876560204751996</v>
      </c>
      <c r="C1487">
        <v>0.91433007009717804</v>
      </c>
      <c r="D1487">
        <v>0.81860150140835197</v>
      </c>
      <c r="E1487">
        <v>0.482416447045589</v>
      </c>
      <c r="F1487">
        <v>0.375240631638736</v>
      </c>
      <c r="G1487">
        <v>0.19902809031781399</v>
      </c>
      <c r="H1487">
        <v>0.13185718217982101</v>
      </c>
      <c r="I1487">
        <v>0.11207591190278</v>
      </c>
      <c r="J1487">
        <v>0.14072970357267101</v>
      </c>
      <c r="K1487">
        <v>0.11672613407859</v>
      </c>
      <c r="L1487">
        <v>794.47854960462803</v>
      </c>
      <c r="M1487">
        <v>16.044223923191002</v>
      </c>
      <c r="N1487">
        <v>50.266416068629702</v>
      </c>
      <c r="O1487">
        <v>48.767933710408101</v>
      </c>
      <c r="P1487">
        <v>-7.3515442492948599E-2</v>
      </c>
      <c r="Q1487">
        <v>0.10624083299992799</v>
      </c>
      <c r="R1487">
        <v>0.99577463593196602</v>
      </c>
      <c r="S1487" t="s">
        <v>5783</v>
      </c>
      <c r="T1487" t="s">
        <v>8590</v>
      </c>
      <c r="U1487" t="s">
        <v>8590</v>
      </c>
      <c r="V1487" t="s">
        <v>8590</v>
      </c>
      <c r="W1487">
        <v>2</v>
      </c>
      <c r="X1487" t="s">
        <v>10077</v>
      </c>
      <c r="Y1487">
        <v>0.40892151377413349</v>
      </c>
      <c r="Z1487" t="str">
        <f>HYPERLINK("Melting_Curves/meltCurve_sp_P82932_RT06_HUMAN_.pdf", "Melting_Curves/meltCurve_sp_P82932_RT06_HUMAN_.pdf")</f>
        <v>Melting_Curves/meltCurve_sp_P82932_RT06_HUMAN_.pdf</v>
      </c>
      <c r="AA1487" t="s">
        <v>14349</v>
      </c>
      <c r="AB1487" t="s">
        <v>18571</v>
      </c>
    </row>
    <row r="1488" spans="1:28" x14ac:dyDescent="0.25">
      <c r="A1488" t="s">
        <v>1492</v>
      </c>
      <c r="B1488">
        <v>0.99876560204751996</v>
      </c>
      <c r="C1488">
        <v>0.97732857815792695</v>
      </c>
      <c r="D1488">
        <v>1.1363047224359599</v>
      </c>
      <c r="E1488">
        <v>0.94648329115391505</v>
      </c>
      <c r="F1488">
        <v>0.97097654518463405</v>
      </c>
      <c r="G1488">
        <v>0.72269150362690504</v>
      </c>
      <c r="H1488">
        <v>0.69719276737269698</v>
      </c>
      <c r="I1488">
        <v>0.59008816301987399</v>
      </c>
      <c r="J1488">
        <v>0.90621349868155998</v>
      </c>
      <c r="K1488">
        <v>0.87403044201913105</v>
      </c>
      <c r="L1488">
        <v>13355.622211825499</v>
      </c>
      <c r="M1488">
        <v>250</v>
      </c>
      <c r="O1488">
        <v>53.419070343446897</v>
      </c>
      <c r="P1488">
        <v>-0.28308796104015499</v>
      </c>
      <c r="Q1488">
        <v>0.75804326983679504</v>
      </c>
      <c r="R1488">
        <v>0.63029326464223301</v>
      </c>
      <c r="S1488" t="s">
        <v>5784</v>
      </c>
      <c r="T1488" t="s">
        <v>8590</v>
      </c>
      <c r="U1488" t="s">
        <v>8590</v>
      </c>
      <c r="V1488" t="s">
        <v>8590</v>
      </c>
      <c r="W1488">
        <v>7</v>
      </c>
      <c r="X1488" t="s">
        <v>10078</v>
      </c>
      <c r="Y1488">
        <v>0.86632133838221137</v>
      </c>
      <c r="Z1488" t="str">
        <f>HYPERLINK("Melting_Curves/meltCurve_sp_P82979_SARNP_HUMAN_.pdf", "Melting_Curves/meltCurve_sp_P82979_SARNP_HUMAN_.pdf")</f>
        <v>Melting_Curves/meltCurve_sp_P82979_SARNP_HUMAN_.pdf</v>
      </c>
      <c r="AA1488" t="s">
        <v>14350</v>
      </c>
      <c r="AB1488" t="s">
        <v>18572</v>
      </c>
    </row>
    <row r="1489" spans="1:28" x14ac:dyDescent="0.25">
      <c r="A1489" t="s">
        <v>1493</v>
      </c>
      <c r="B1489">
        <v>0.99876560204751996</v>
      </c>
      <c r="C1489">
        <v>0.96095347785061802</v>
      </c>
      <c r="D1489">
        <v>1.2338770651047</v>
      </c>
      <c r="E1489">
        <v>0.94451412364559495</v>
      </c>
      <c r="F1489">
        <v>0.86830167896948796</v>
      </c>
      <c r="G1489">
        <v>0.39150824414051499</v>
      </c>
      <c r="H1489">
        <v>0.13757606779061901</v>
      </c>
      <c r="I1489">
        <v>0.12444382533499</v>
      </c>
      <c r="J1489">
        <v>0.14384013113018099</v>
      </c>
      <c r="K1489">
        <v>0.134551895974861</v>
      </c>
      <c r="L1489">
        <v>1959.8113303344801</v>
      </c>
      <c r="M1489">
        <v>35.246975621303598</v>
      </c>
      <c r="N1489">
        <v>56.057466499897401</v>
      </c>
      <c r="O1489">
        <v>55.424198984329799</v>
      </c>
      <c r="P1489">
        <v>-0.13920156935364</v>
      </c>
      <c r="Q1489">
        <v>0.12445170556683401</v>
      </c>
      <c r="R1489">
        <v>0.96698220271590496</v>
      </c>
      <c r="S1489" t="s">
        <v>5785</v>
      </c>
      <c r="T1489" t="s">
        <v>8590</v>
      </c>
      <c r="U1489" t="s">
        <v>8590</v>
      </c>
      <c r="V1489" t="s">
        <v>8590</v>
      </c>
      <c r="W1489">
        <v>8</v>
      </c>
      <c r="X1489" t="s">
        <v>10079</v>
      </c>
      <c r="Y1489">
        <v>0.58409292833400306</v>
      </c>
      <c r="Z1489" t="str">
        <f>HYPERLINK("Melting_Curves/meltCurve_sp_P82980_RET5_HUMAN_.pdf", "Melting_Curves/meltCurve_sp_P82980_RET5_HUMAN_.pdf")</f>
        <v>Melting_Curves/meltCurve_sp_P82980_RET5_HUMAN_.pdf</v>
      </c>
      <c r="AA1489" t="s">
        <v>14351</v>
      </c>
      <c r="AB1489" t="s">
        <v>18573</v>
      </c>
    </row>
    <row r="1490" spans="1:28" x14ac:dyDescent="0.25">
      <c r="A1490" t="s">
        <v>1494</v>
      </c>
      <c r="B1490">
        <v>0.99876560204751996</v>
      </c>
      <c r="C1490">
        <v>1.04534480045601</v>
      </c>
      <c r="D1490">
        <v>0.97898458679630596</v>
      </c>
      <c r="E1490">
        <v>0.83857434946972198</v>
      </c>
      <c r="F1490">
        <v>0.56230340222222497</v>
      </c>
      <c r="G1490">
        <v>0.25586024882854003</v>
      </c>
      <c r="H1490">
        <v>0.101003791220953</v>
      </c>
      <c r="I1490">
        <v>6.7292891520218001E-2</v>
      </c>
      <c r="J1490">
        <v>5.7442402294231101E-2</v>
      </c>
      <c r="K1490">
        <v>5.40781269696241E-2</v>
      </c>
      <c r="L1490">
        <v>1185.36991546182</v>
      </c>
      <c r="M1490">
        <v>22.1529036330572</v>
      </c>
      <c r="N1490">
        <v>53.747634321189501</v>
      </c>
      <c r="O1490">
        <v>53.078255111160203</v>
      </c>
      <c r="P1490">
        <v>-9.9447160039422E-2</v>
      </c>
      <c r="Q1490">
        <v>4.69209529423587E-2</v>
      </c>
      <c r="R1490">
        <v>0.998323455781568</v>
      </c>
      <c r="S1490" t="s">
        <v>5786</v>
      </c>
      <c r="T1490" t="s">
        <v>8590</v>
      </c>
      <c r="U1490" t="s">
        <v>8590</v>
      </c>
      <c r="V1490" t="s">
        <v>8590</v>
      </c>
      <c r="W1490">
        <v>7</v>
      </c>
      <c r="X1490" t="s">
        <v>10080</v>
      </c>
      <c r="Y1490">
        <v>0.48702837926197029</v>
      </c>
      <c r="Z1490" t="str">
        <f>HYPERLINK("Melting_Curves/meltCurve_sp_P83111_LACTB_HUMAN_.pdf", "Melting_Curves/meltCurve_sp_P83111_LACTB_HUMAN_.pdf")</f>
        <v>Melting_Curves/meltCurve_sp_P83111_LACTB_HUMAN_.pdf</v>
      </c>
      <c r="AA1490" t="s">
        <v>14352</v>
      </c>
      <c r="AB1490" t="s">
        <v>18574</v>
      </c>
    </row>
    <row r="1491" spans="1:28" x14ac:dyDescent="0.25">
      <c r="A1491" t="s">
        <v>1495</v>
      </c>
      <c r="B1491">
        <v>0.99876560204751996</v>
      </c>
      <c r="C1491">
        <v>0.972551968016234</v>
      </c>
      <c r="D1491">
        <v>0.83366622318580896</v>
      </c>
      <c r="E1491">
        <v>0.54439045402629105</v>
      </c>
      <c r="F1491">
        <v>0.33606624992040102</v>
      </c>
      <c r="G1491">
        <v>0.21826643247504299</v>
      </c>
      <c r="H1491">
        <v>0.147502628668403</v>
      </c>
      <c r="I1491">
        <v>9.6079431116736599E-2</v>
      </c>
      <c r="J1491">
        <v>0.104639202507653</v>
      </c>
      <c r="K1491">
        <v>0.108494926512385</v>
      </c>
      <c r="L1491">
        <v>870.40860219235606</v>
      </c>
      <c r="M1491">
        <v>17.409260196855001</v>
      </c>
      <c r="N1491">
        <v>50.640375931912999</v>
      </c>
      <c r="O1491">
        <v>49.351180721068197</v>
      </c>
      <c r="P1491">
        <v>-7.9443880253018101E-2</v>
      </c>
      <c r="Q1491">
        <v>9.9231329379186495E-2</v>
      </c>
      <c r="R1491">
        <v>0.998497054483376</v>
      </c>
      <c r="S1491" t="s">
        <v>5787</v>
      </c>
      <c r="T1491" t="s">
        <v>8590</v>
      </c>
      <c r="U1491" t="s">
        <v>8590</v>
      </c>
      <c r="V1491" t="s">
        <v>8590</v>
      </c>
      <c r="W1491">
        <v>4</v>
      </c>
      <c r="X1491" t="s">
        <v>10081</v>
      </c>
      <c r="Y1491">
        <v>0.41575535018349219</v>
      </c>
      <c r="Z1491" t="str">
        <f>HYPERLINK("Melting_Curves/meltCurve_sp_P83436_COG7_HUMAN_.pdf", "Melting_Curves/meltCurve_sp_P83436_COG7_HUMAN_.pdf")</f>
        <v>Melting_Curves/meltCurve_sp_P83436_COG7_HUMAN_.pdf</v>
      </c>
      <c r="AA1491" t="s">
        <v>14353</v>
      </c>
      <c r="AB1491" t="s">
        <v>18575</v>
      </c>
    </row>
    <row r="1492" spans="1:28" x14ac:dyDescent="0.25">
      <c r="A1492" t="s">
        <v>1496</v>
      </c>
      <c r="B1492">
        <v>0.99876560204751996</v>
      </c>
      <c r="C1492">
        <v>0.89166484621184405</v>
      </c>
      <c r="D1492">
        <v>0.99383577912268495</v>
      </c>
      <c r="E1492">
        <v>0.91148346956632298</v>
      </c>
      <c r="F1492">
        <v>0.83753129618132705</v>
      </c>
      <c r="G1492">
        <v>0.49216698284582899</v>
      </c>
      <c r="H1492">
        <v>0.22197081205131</v>
      </c>
      <c r="I1492">
        <v>0.105530280429923</v>
      </c>
      <c r="J1492">
        <v>5.92831342258111E-2</v>
      </c>
      <c r="K1492">
        <v>5.2226542166324802E-2</v>
      </c>
      <c r="L1492">
        <v>1144.7357229951299</v>
      </c>
      <c r="M1492">
        <v>20.134712512941601</v>
      </c>
      <c r="N1492">
        <v>56.969383750972199</v>
      </c>
      <c r="O1492">
        <v>56.301937088131098</v>
      </c>
      <c r="P1492">
        <v>-8.7619102006749494E-2</v>
      </c>
      <c r="Q1492">
        <v>2.0007104874780999E-2</v>
      </c>
      <c r="R1492">
        <v>0.99144005918376099</v>
      </c>
      <c r="S1492" t="s">
        <v>5788</v>
      </c>
      <c r="T1492" t="s">
        <v>8590</v>
      </c>
      <c r="U1492" t="s">
        <v>8590</v>
      </c>
      <c r="V1492" t="s">
        <v>8590</v>
      </c>
      <c r="W1492">
        <v>2</v>
      </c>
      <c r="X1492" t="s">
        <v>10082</v>
      </c>
      <c r="Y1492">
        <v>0.58256601053431145</v>
      </c>
      <c r="Z1492" t="str">
        <f>HYPERLINK("Melting_Curves/meltCurve_sp_P83876_TXN4A_HUMAN_.pdf", "Melting_Curves/meltCurve_sp_P83876_TXN4A_HUMAN_.pdf")</f>
        <v>Melting_Curves/meltCurve_sp_P83876_TXN4A_HUMAN_.pdf</v>
      </c>
      <c r="AA1492" t="s">
        <v>14354</v>
      </c>
      <c r="AB1492" t="s">
        <v>18576</v>
      </c>
    </row>
    <row r="1493" spans="1:28" x14ac:dyDescent="0.25">
      <c r="A1493" t="s">
        <v>1497</v>
      </c>
      <c r="B1493">
        <v>0.99876560204751996</v>
      </c>
      <c r="C1493">
        <v>1.2551606930652399</v>
      </c>
      <c r="D1493">
        <v>1.2819486774331299</v>
      </c>
      <c r="E1493">
        <v>0.90452224072262</v>
      </c>
      <c r="F1493">
        <v>0.57146346055895403</v>
      </c>
      <c r="G1493">
        <v>0.26466383269263299</v>
      </c>
      <c r="H1493">
        <v>0.147033478591615</v>
      </c>
      <c r="I1493">
        <v>0.133104638371697</v>
      </c>
      <c r="J1493">
        <v>0.114136407605474</v>
      </c>
      <c r="K1493">
        <v>7.3395573293146193E-2</v>
      </c>
      <c r="L1493">
        <v>1666.8461586147901</v>
      </c>
      <c r="M1493">
        <v>31.262144524567798</v>
      </c>
      <c r="N1493">
        <v>53.780896156699001</v>
      </c>
      <c r="O1493">
        <v>53.1016189944716</v>
      </c>
      <c r="P1493">
        <v>-0.12983269976776299</v>
      </c>
      <c r="Q1493">
        <v>0.117874031287748</v>
      </c>
      <c r="R1493">
        <v>0.92996998181261803</v>
      </c>
      <c r="S1493" t="s">
        <v>5789</v>
      </c>
      <c r="T1493" t="s">
        <v>8590</v>
      </c>
      <c r="U1493" t="s">
        <v>8590</v>
      </c>
      <c r="V1493" t="s">
        <v>8590</v>
      </c>
      <c r="W1493">
        <v>8</v>
      </c>
      <c r="X1493" t="s">
        <v>10083</v>
      </c>
      <c r="Y1493">
        <v>0.51478996763050422</v>
      </c>
      <c r="Z1493" t="str">
        <f>HYPERLINK("Melting_Curves/meltCurve_sp_P84077_ARF1_HUMAN_.pdf", "Melting_Curves/meltCurve_sp_P84077_ARF1_HUMAN_.pdf")</f>
        <v>Melting_Curves/meltCurve_sp_P84077_ARF1_HUMAN_.pdf</v>
      </c>
      <c r="AA1493" t="s">
        <v>14355</v>
      </c>
      <c r="AB1493" t="s">
        <v>18577</v>
      </c>
    </row>
    <row r="1494" spans="1:28" x14ac:dyDescent="0.25">
      <c r="A1494" t="s">
        <v>1498</v>
      </c>
      <c r="B1494">
        <v>0.99876560204751996</v>
      </c>
      <c r="C1494">
        <v>0.98080168735936701</v>
      </c>
      <c r="D1494">
        <v>0.82411831095959898</v>
      </c>
      <c r="E1494">
        <v>0.53287809953799603</v>
      </c>
      <c r="F1494">
        <v>0.25658046954404901</v>
      </c>
      <c r="G1494">
        <v>0.13082138427315701</v>
      </c>
      <c r="H1494">
        <v>8.8089686217229804E-2</v>
      </c>
      <c r="I1494">
        <v>6.15879751668887E-2</v>
      </c>
      <c r="J1494">
        <v>6.0635860684391599E-2</v>
      </c>
      <c r="K1494">
        <v>3.0332474281599998E-2</v>
      </c>
      <c r="L1494">
        <v>966.02363695419297</v>
      </c>
      <c r="M1494">
        <v>19.365092174312299</v>
      </c>
      <c r="N1494">
        <v>50.138633389221397</v>
      </c>
      <c r="O1494">
        <v>49.361974843412298</v>
      </c>
      <c r="P1494">
        <v>-9.3500842338171894E-2</v>
      </c>
      <c r="Q1494">
        <v>4.6693919401796E-2</v>
      </c>
      <c r="R1494">
        <v>0.99833402471522603</v>
      </c>
      <c r="S1494" t="s">
        <v>5790</v>
      </c>
      <c r="T1494" t="s">
        <v>8590</v>
      </c>
      <c r="U1494" t="s">
        <v>8590</v>
      </c>
      <c r="V1494" t="s">
        <v>8590</v>
      </c>
      <c r="W1494">
        <v>7</v>
      </c>
      <c r="X1494" t="s">
        <v>10084</v>
      </c>
      <c r="Y1494">
        <v>0.37494274378885339</v>
      </c>
      <c r="Z1494" t="str">
        <f>HYPERLINK("Melting_Curves/meltCurve_sp_P84085_ARF5_HUMAN_.pdf", "Melting_Curves/meltCurve_sp_P84085_ARF5_HUMAN_.pdf")</f>
        <v>Melting_Curves/meltCurve_sp_P84085_ARF5_HUMAN_.pdf</v>
      </c>
      <c r="AA1494" t="s">
        <v>14356</v>
      </c>
      <c r="AB1494" t="s">
        <v>18578</v>
      </c>
    </row>
    <row r="1495" spans="1:28" x14ac:dyDescent="0.25">
      <c r="A1495" t="s">
        <v>1499</v>
      </c>
      <c r="B1495">
        <v>0.99876560204751996</v>
      </c>
      <c r="C1495">
        <v>0.99559094418838201</v>
      </c>
      <c r="D1495">
        <v>1.1748372844428101</v>
      </c>
      <c r="E1495">
        <v>0.77947691374429695</v>
      </c>
      <c r="F1495">
        <v>1.1531401974676601</v>
      </c>
      <c r="G1495">
        <v>0.86335013147496698</v>
      </c>
      <c r="H1495">
        <v>0.66386070045377898</v>
      </c>
      <c r="I1495">
        <v>0.53832107388629902</v>
      </c>
      <c r="J1495">
        <v>0.62820372796599599</v>
      </c>
      <c r="K1495">
        <v>0.56442147861860703</v>
      </c>
      <c r="L1495">
        <v>2545.6411369334</v>
      </c>
      <c r="M1495">
        <v>43.689870609446501</v>
      </c>
      <c r="O1495">
        <v>58.144497360089197</v>
      </c>
      <c r="P1495">
        <v>-7.86061361494753E-2</v>
      </c>
      <c r="Q1495">
        <v>0.58154997101011896</v>
      </c>
      <c r="R1495">
        <v>0.78160276076282598</v>
      </c>
      <c r="S1495" t="s">
        <v>5791</v>
      </c>
      <c r="T1495" t="s">
        <v>8590</v>
      </c>
      <c r="U1495" t="s">
        <v>8590</v>
      </c>
      <c r="V1495" t="s">
        <v>8590</v>
      </c>
      <c r="W1495">
        <v>7</v>
      </c>
      <c r="X1495" t="s">
        <v>10085</v>
      </c>
      <c r="Y1495">
        <v>0.83772479475609862</v>
      </c>
      <c r="Z1495" t="str">
        <f>HYPERLINK("Melting_Curves/meltCurve_sp_P84090_ERH_HUMAN_.pdf", "Melting_Curves/meltCurve_sp_P84090_ERH_HUMAN_.pdf")</f>
        <v>Melting_Curves/meltCurve_sp_P84090_ERH_HUMAN_.pdf</v>
      </c>
      <c r="AA1495" t="s">
        <v>14357</v>
      </c>
      <c r="AB1495" t="s">
        <v>18579</v>
      </c>
    </row>
    <row r="1496" spans="1:28" x14ac:dyDescent="0.25">
      <c r="A1496" t="s">
        <v>1500</v>
      </c>
      <c r="B1496">
        <v>0.99876560204751996</v>
      </c>
      <c r="C1496">
        <v>0.89724864266925197</v>
      </c>
      <c r="D1496">
        <v>0.92728940200320098</v>
      </c>
      <c r="E1496">
        <v>0.72952173307708901</v>
      </c>
      <c r="F1496">
        <v>0.50107588951901605</v>
      </c>
      <c r="G1496">
        <v>0.25232055579003998</v>
      </c>
      <c r="H1496">
        <v>0.19219478986486199</v>
      </c>
      <c r="I1496">
        <v>0.170194666817757</v>
      </c>
      <c r="J1496">
        <v>0.176167697061032</v>
      </c>
      <c r="K1496">
        <v>0.18684540817736101</v>
      </c>
      <c r="L1496">
        <v>1005.51140525826</v>
      </c>
      <c r="M1496">
        <v>19.4192715434368</v>
      </c>
      <c r="N1496">
        <v>52.816594006343301</v>
      </c>
      <c r="O1496">
        <v>51.239342073870397</v>
      </c>
      <c r="P1496">
        <v>-7.9726193727053599E-2</v>
      </c>
      <c r="Q1496">
        <v>0.15857434362086301</v>
      </c>
      <c r="R1496">
        <v>0.99136889543062401</v>
      </c>
      <c r="S1496" t="s">
        <v>5792</v>
      </c>
      <c r="T1496" t="s">
        <v>8590</v>
      </c>
      <c r="U1496" t="s">
        <v>8590</v>
      </c>
      <c r="V1496" t="s">
        <v>8590</v>
      </c>
      <c r="W1496">
        <v>3</v>
      </c>
      <c r="X1496" t="s">
        <v>10086</v>
      </c>
      <c r="Y1496">
        <v>0.50123626197516724</v>
      </c>
      <c r="Z1496" t="str">
        <f>HYPERLINK("Melting_Curves/meltCurve_sp_P85037_FOXK1_HUMAN_.pdf", "Melting_Curves/meltCurve_sp_P85037_FOXK1_HUMAN_.pdf")</f>
        <v>Melting_Curves/meltCurve_sp_P85037_FOXK1_HUMAN_.pdf</v>
      </c>
      <c r="AA1496" t="s">
        <v>14358</v>
      </c>
      <c r="AB1496" t="s">
        <v>18580</v>
      </c>
    </row>
    <row r="1497" spans="1:28" x14ac:dyDescent="0.25">
      <c r="A1497" t="s">
        <v>1501</v>
      </c>
      <c r="B1497">
        <v>0.99876560204751996</v>
      </c>
      <c r="C1497">
        <v>1.03382806540982</v>
      </c>
      <c r="D1497">
        <v>0.91616022348506798</v>
      </c>
      <c r="E1497">
        <v>0.83035539421728799</v>
      </c>
      <c r="F1497">
        <v>0.48847146893544802</v>
      </c>
      <c r="G1497">
        <v>0.23649059378599399</v>
      </c>
      <c r="H1497">
        <v>0.15072863060625499</v>
      </c>
      <c r="I1497">
        <v>7.6026129545251106E-2</v>
      </c>
      <c r="J1497">
        <v>7.6676012994374501E-2</v>
      </c>
      <c r="K1497">
        <v>6.2471038258537802E-2</v>
      </c>
      <c r="L1497">
        <v>1145.0406927950801</v>
      </c>
      <c r="M1497">
        <v>21.668638562132401</v>
      </c>
      <c r="N1497">
        <v>53.212149884697602</v>
      </c>
      <c r="O1497">
        <v>52.399330498186004</v>
      </c>
      <c r="P1497">
        <v>-9.6174203367345001E-2</v>
      </c>
      <c r="Q1497">
        <v>6.9744131291334305E-2</v>
      </c>
      <c r="R1497">
        <v>0.99485294202652597</v>
      </c>
      <c r="S1497" t="s">
        <v>5793</v>
      </c>
      <c r="T1497" t="s">
        <v>8590</v>
      </c>
      <c r="U1497" t="s">
        <v>8590</v>
      </c>
      <c r="V1497" t="s">
        <v>8590</v>
      </c>
      <c r="W1497">
        <v>5</v>
      </c>
      <c r="X1497" t="s">
        <v>10087</v>
      </c>
      <c r="Y1497">
        <v>0.479123424879971</v>
      </c>
      <c r="Z1497" t="str">
        <f>HYPERLINK("Melting_Curves/meltCurve_sp_P86791_CCZ1_HUMAN_.pdf", "Melting_Curves/meltCurve_sp_P86791_CCZ1_HUMAN_.pdf")</f>
        <v>Melting_Curves/meltCurve_sp_P86791_CCZ1_HUMAN_.pdf</v>
      </c>
      <c r="AA1497" t="s">
        <v>14359</v>
      </c>
      <c r="AB1497" t="s">
        <v>18581</v>
      </c>
    </row>
    <row r="1498" spans="1:28" x14ac:dyDescent="0.25">
      <c r="A1498" t="s">
        <v>1502</v>
      </c>
      <c r="B1498">
        <v>0.99876560204751996</v>
      </c>
      <c r="C1498">
        <v>1.1977635236676001</v>
      </c>
      <c r="D1498">
        <v>1.17742460114617</v>
      </c>
      <c r="E1498">
        <v>1.17218048998519</v>
      </c>
      <c r="F1498">
        <v>1.01200210377725</v>
      </c>
      <c r="G1498">
        <v>0.73353337051471201</v>
      </c>
      <c r="H1498">
        <v>0.56957325180815399</v>
      </c>
      <c r="I1498">
        <v>0.44761128948392598</v>
      </c>
      <c r="J1498">
        <v>0.59255369799205804</v>
      </c>
      <c r="K1498">
        <v>0.50092565607302497</v>
      </c>
      <c r="L1498">
        <v>3311.2499423688901</v>
      </c>
      <c r="M1498">
        <v>58.306237675516101</v>
      </c>
      <c r="O1498">
        <v>56.723949601654702</v>
      </c>
      <c r="P1498">
        <v>-0.12209962628476299</v>
      </c>
      <c r="Q1498">
        <v>0.52485544071874002</v>
      </c>
      <c r="R1498">
        <v>0.86219974928163701</v>
      </c>
      <c r="S1498" t="s">
        <v>5794</v>
      </c>
      <c r="T1498" t="s">
        <v>8590</v>
      </c>
      <c r="U1498" t="s">
        <v>8590</v>
      </c>
      <c r="V1498" t="s">
        <v>8590</v>
      </c>
      <c r="W1498">
        <v>1</v>
      </c>
      <c r="X1498" t="s">
        <v>10088</v>
      </c>
      <c r="Y1498">
        <v>0.79166211089887217</v>
      </c>
      <c r="Z1498" t="str">
        <f>HYPERLINK("Melting_Curves/meltCurve_sp_P98082_2_DAB2_HUMAN_.pdf", "Melting_Curves/meltCurve_sp_P98082_2_DAB2_HUMAN_.pdf")</f>
        <v>Melting_Curves/meltCurve_sp_P98082_2_DAB2_HUMAN_.pdf</v>
      </c>
      <c r="AA1498" t="s">
        <v>14360</v>
      </c>
      <c r="AB1498" t="s">
        <v>18582</v>
      </c>
    </row>
    <row r="1499" spans="1:28" x14ac:dyDescent="0.25">
      <c r="A1499" t="s">
        <v>1503</v>
      </c>
      <c r="B1499">
        <v>0.99876560204751996</v>
      </c>
      <c r="C1499">
        <v>1.09275853570279</v>
      </c>
      <c r="D1499">
        <v>0.9617204387146</v>
      </c>
      <c r="E1499">
        <v>0.97094998307140801</v>
      </c>
      <c r="F1499">
        <v>0.75706517566257903</v>
      </c>
      <c r="G1499">
        <v>0.52465313429223404</v>
      </c>
      <c r="H1499">
        <v>0.25775557823440498</v>
      </c>
      <c r="I1499">
        <v>0.17097005672347501</v>
      </c>
      <c r="J1499">
        <v>0.15534230405826399</v>
      </c>
      <c r="K1499">
        <v>0.13155881964566701</v>
      </c>
      <c r="L1499">
        <v>1112.9325027780901</v>
      </c>
      <c r="M1499">
        <v>19.780113158682099</v>
      </c>
      <c r="N1499">
        <v>56.981672752266199</v>
      </c>
      <c r="O1499">
        <v>55.699605850862199</v>
      </c>
      <c r="P1499">
        <v>-7.9008817494014102E-2</v>
      </c>
      <c r="Q1499">
        <v>0.11009399564582401</v>
      </c>
      <c r="R1499">
        <v>0.99016016982549004</v>
      </c>
      <c r="S1499" t="s">
        <v>5795</v>
      </c>
      <c r="T1499" t="s">
        <v>8590</v>
      </c>
      <c r="U1499" t="s">
        <v>8590</v>
      </c>
      <c r="V1499" t="s">
        <v>8590</v>
      </c>
      <c r="W1499">
        <v>5</v>
      </c>
      <c r="X1499" t="s">
        <v>10089</v>
      </c>
      <c r="Y1499">
        <v>0.60407529499111945</v>
      </c>
      <c r="Z1499" t="str">
        <f>HYPERLINK("Melting_Curves/meltCurve_sp_P98160_PGBM_HUMAN_.pdf", "Melting_Curves/meltCurve_sp_P98160_PGBM_HUMAN_.pdf")</f>
        <v>Melting_Curves/meltCurve_sp_P98160_PGBM_HUMAN_.pdf</v>
      </c>
      <c r="AA1499" t="s">
        <v>14361</v>
      </c>
      <c r="AB1499" t="s">
        <v>18583</v>
      </c>
    </row>
    <row r="1500" spans="1:28" x14ac:dyDescent="0.25">
      <c r="A1500" t="s">
        <v>1504</v>
      </c>
      <c r="B1500">
        <v>0.99876560204751996</v>
      </c>
      <c r="C1500">
        <v>0.96247116853200998</v>
      </c>
      <c r="D1500">
        <v>0.91117712346086799</v>
      </c>
      <c r="E1500">
        <v>0.83447181309598495</v>
      </c>
      <c r="F1500">
        <v>0.66540082103383102</v>
      </c>
      <c r="G1500">
        <v>0.35572556987496401</v>
      </c>
      <c r="H1500">
        <v>0.20582341381789701</v>
      </c>
      <c r="I1500">
        <v>0.170062957151837</v>
      </c>
      <c r="J1500">
        <v>0.15960269688098799</v>
      </c>
      <c r="K1500">
        <v>0.15667362464185899</v>
      </c>
      <c r="L1500">
        <v>980.983011908496</v>
      </c>
      <c r="M1500">
        <v>18.167605701301301</v>
      </c>
      <c r="N1500">
        <v>54.885948030642702</v>
      </c>
      <c r="O1500">
        <v>53.354813614492102</v>
      </c>
      <c r="P1500">
        <v>-7.4272582291494596E-2</v>
      </c>
      <c r="Q1500">
        <v>0.127543533344429</v>
      </c>
      <c r="R1500">
        <v>0.99556380762902796</v>
      </c>
      <c r="S1500" t="s">
        <v>5796</v>
      </c>
      <c r="T1500" t="s">
        <v>8590</v>
      </c>
      <c r="U1500" t="s">
        <v>8590</v>
      </c>
      <c r="V1500" t="s">
        <v>8590</v>
      </c>
      <c r="W1500">
        <v>9</v>
      </c>
      <c r="X1500" t="s">
        <v>10090</v>
      </c>
      <c r="Y1500">
        <v>0.54835063704911824</v>
      </c>
      <c r="Z1500" t="str">
        <f>HYPERLINK("Melting_Curves/meltCurve_sp_P98170_XIAP_HUMAN_.pdf", "Melting_Curves/meltCurve_sp_P98170_XIAP_HUMAN_.pdf")</f>
        <v>Melting_Curves/meltCurve_sp_P98170_XIAP_HUMAN_.pdf</v>
      </c>
      <c r="AA1500" t="s">
        <v>14362</v>
      </c>
      <c r="AB1500" t="s">
        <v>18584</v>
      </c>
    </row>
    <row r="1501" spans="1:28" x14ac:dyDescent="0.25">
      <c r="A1501" t="s">
        <v>1505</v>
      </c>
      <c r="B1501">
        <v>0.99876560204751996</v>
      </c>
      <c r="C1501">
        <v>0.87171474751821798</v>
      </c>
      <c r="D1501">
        <v>0.89939083811499898</v>
      </c>
      <c r="E1501">
        <v>0.78287677044014803</v>
      </c>
      <c r="F1501">
        <v>0.69128049073983799</v>
      </c>
      <c r="G1501">
        <v>0.54918135443267502</v>
      </c>
      <c r="H1501">
        <v>0.398254066591122</v>
      </c>
      <c r="I1501">
        <v>0.38670128135985898</v>
      </c>
      <c r="J1501">
        <v>0.4593254274361</v>
      </c>
      <c r="K1501">
        <v>0.47568768560837299</v>
      </c>
      <c r="L1501">
        <v>645.195108199625</v>
      </c>
      <c r="M1501">
        <v>12.434374719738701</v>
      </c>
      <c r="N1501">
        <v>59.1395212860252</v>
      </c>
      <c r="O1501">
        <v>50.6007815192973</v>
      </c>
      <c r="P1501">
        <v>-3.7411596289736601E-2</v>
      </c>
      <c r="Q1501">
        <v>0.39115281103924499</v>
      </c>
      <c r="R1501">
        <v>0.95017960421505099</v>
      </c>
      <c r="S1501" t="s">
        <v>5797</v>
      </c>
      <c r="T1501" t="s">
        <v>8590</v>
      </c>
      <c r="U1501" t="s">
        <v>8590</v>
      </c>
      <c r="V1501" t="s">
        <v>8590</v>
      </c>
      <c r="W1501">
        <v>6</v>
      </c>
      <c r="X1501" t="s">
        <v>10091</v>
      </c>
      <c r="Y1501">
        <v>0.65033031387221429</v>
      </c>
      <c r="Z1501" t="str">
        <f>HYPERLINK("Melting_Curves/meltCurve_sp_P98175_2_RBM10_HUMAN_.pdf", "Melting_Curves/meltCurve_sp_P98175_2_RBM10_HUMAN_.pdf")</f>
        <v>Melting_Curves/meltCurve_sp_P98175_2_RBM10_HUMAN_.pdf</v>
      </c>
      <c r="AA1501" t="s">
        <v>14363</v>
      </c>
      <c r="AB1501" t="s">
        <v>18585</v>
      </c>
    </row>
    <row r="1502" spans="1:28" x14ac:dyDescent="0.25">
      <c r="A1502" t="s">
        <v>1506</v>
      </c>
      <c r="B1502">
        <v>0.99876560204751996</v>
      </c>
      <c r="C1502">
        <v>0.868978164914745</v>
      </c>
      <c r="D1502">
        <v>0.87703228513756004</v>
      </c>
      <c r="E1502">
        <v>0.81549163862266905</v>
      </c>
      <c r="F1502">
        <v>0.81755837884335003</v>
      </c>
      <c r="G1502">
        <v>0.68491064567192805</v>
      </c>
      <c r="H1502">
        <v>0.73147594209733102</v>
      </c>
      <c r="I1502">
        <v>0.61918265454491805</v>
      </c>
      <c r="J1502">
        <v>0.82516267588948</v>
      </c>
      <c r="K1502">
        <v>0.78055053053355195</v>
      </c>
      <c r="L1502">
        <v>575.92407173386198</v>
      </c>
      <c r="M1502">
        <v>12.5472965011613</v>
      </c>
      <c r="O1502">
        <v>44.781152401978602</v>
      </c>
      <c r="P1502">
        <v>-1.89835917787122E-2</v>
      </c>
      <c r="Q1502">
        <v>0.72904615321342703</v>
      </c>
      <c r="R1502">
        <v>0.65567851507778596</v>
      </c>
      <c r="S1502" t="s">
        <v>5798</v>
      </c>
      <c r="T1502" t="s">
        <v>8590</v>
      </c>
      <c r="U1502" t="s">
        <v>8590</v>
      </c>
      <c r="V1502" t="s">
        <v>8590</v>
      </c>
      <c r="W1502">
        <v>2</v>
      </c>
      <c r="X1502" t="s">
        <v>10092</v>
      </c>
      <c r="Y1502">
        <v>0.79376839600890381</v>
      </c>
      <c r="Z1502" t="str">
        <f>HYPERLINK("Melting_Curves/meltCurve_sp_P98179_RBM3_HUMAN_.pdf", "Melting_Curves/meltCurve_sp_P98179_RBM3_HUMAN_.pdf")</f>
        <v>Melting_Curves/meltCurve_sp_P98179_RBM3_HUMAN_.pdf</v>
      </c>
      <c r="AA1502" t="s">
        <v>14364</v>
      </c>
      <c r="AB1502" t="s">
        <v>18586</v>
      </c>
    </row>
    <row r="1503" spans="1:28" x14ac:dyDescent="0.25">
      <c r="A1503" t="s">
        <v>1507</v>
      </c>
      <c r="B1503">
        <v>0.99876560204751996</v>
      </c>
      <c r="C1503">
        <v>0.97866824456517598</v>
      </c>
      <c r="D1503">
        <v>1.0651488709522401</v>
      </c>
      <c r="E1503">
        <v>0.96599301696840101</v>
      </c>
      <c r="F1503">
        <v>0.945613816624573</v>
      </c>
      <c r="G1503">
        <v>0.72319012181354003</v>
      </c>
      <c r="H1503">
        <v>0.58367870603022198</v>
      </c>
      <c r="I1503">
        <v>0.53600442148385896</v>
      </c>
      <c r="J1503">
        <v>0.62882507996690695</v>
      </c>
      <c r="K1503">
        <v>0.58175407170931404</v>
      </c>
      <c r="L1503">
        <v>2025.0968212068301</v>
      </c>
      <c r="M1503">
        <v>36.243922483823802</v>
      </c>
      <c r="O1503">
        <v>55.704829536407203</v>
      </c>
      <c r="P1503">
        <v>-6.87049901721596E-2</v>
      </c>
      <c r="Q1503">
        <v>0.57761879166707297</v>
      </c>
      <c r="R1503">
        <v>0.97339290846229498</v>
      </c>
      <c r="S1503" t="s">
        <v>5799</v>
      </c>
      <c r="T1503" t="s">
        <v>8590</v>
      </c>
      <c r="U1503" t="s">
        <v>8590</v>
      </c>
      <c r="V1503" t="s">
        <v>8590</v>
      </c>
      <c r="W1503">
        <v>14</v>
      </c>
      <c r="X1503" t="s">
        <v>10093</v>
      </c>
      <c r="Y1503">
        <v>0.80308324357455796</v>
      </c>
      <c r="Z1503" t="str">
        <f>HYPERLINK("Melting_Curves/meltCurve_sp_Q00059_TFAM_HUMAN_.pdf", "Melting_Curves/meltCurve_sp_Q00059_TFAM_HUMAN_.pdf")</f>
        <v>Melting_Curves/meltCurve_sp_Q00059_TFAM_HUMAN_.pdf</v>
      </c>
      <c r="AA1503" t="s">
        <v>14365</v>
      </c>
      <c r="AB1503" t="s">
        <v>18587</v>
      </c>
    </row>
    <row r="1504" spans="1:28" x14ac:dyDescent="0.25">
      <c r="A1504" t="s">
        <v>1508</v>
      </c>
      <c r="B1504">
        <v>0.99876560204751996</v>
      </c>
      <c r="C1504">
        <v>0.931410303200778</v>
      </c>
      <c r="D1504">
        <v>1.06401203973431</v>
      </c>
      <c r="E1504">
        <v>0.80669861687889899</v>
      </c>
      <c r="F1504">
        <v>0.75965583442072404</v>
      </c>
      <c r="G1504">
        <v>0.78924493699023601</v>
      </c>
      <c r="H1504">
        <v>0.46693500015123901</v>
      </c>
      <c r="I1504">
        <v>0.24462937159204001</v>
      </c>
      <c r="J1504">
        <v>5.4333299375670198E-2</v>
      </c>
      <c r="K1504">
        <v>6.00077665770163E-2</v>
      </c>
      <c r="L1504">
        <v>950.88423462180299</v>
      </c>
      <c r="M1504">
        <v>15.920977569096999</v>
      </c>
      <c r="N1504">
        <v>59.725241990838001</v>
      </c>
      <c r="O1504">
        <v>58.806807560353903</v>
      </c>
      <c r="P1504">
        <v>-6.7688806357708395E-2</v>
      </c>
      <c r="Q1504">
        <v>0</v>
      </c>
      <c r="R1504">
        <v>0.94563861425014195</v>
      </c>
      <c r="S1504" t="s">
        <v>5800</v>
      </c>
      <c r="T1504" t="s">
        <v>8590</v>
      </c>
      <c r="U1504" t="s">
        <v>8590</v>
      </c>
      <c r="V1504" t="s">
        <v>8590</v>
      </c>
      <c r="W1504">
        <v>13</v>
      </c>
      <c r="X1504" t="s">
        <v>10094</v>
      </c>
      <c r="Y1504">
        <v>0.66597166604062175</v>
      </c>
      <c r="Z1504" t="str">
        <f>HYPERLINK("Melting_Curves/meltCurve_sp_Q00169_PIPNA_HUMAN_.pdf", "Melting_Curves/meltCurve_sp_Q00169_PIPNA_HUMAN_.pdf")</f>
        <v>Melting_Curves/meltCurve_sp_Q00169_PIPNA_HUMAN_.pdf</v>
      </c>
      <c r="AA1504" t="s">
        <v>14366</v>
      </c>
      <c r="AB1504" t="s">
        <v>18588</v>
      </c>
    </row>
    <row r="1505" spans="1:28" x14ac:dyDescent="0.25">
      <c r="A1505" t="s">
        <v>1509</v>
      </c>
      <c r="B1505">
        <v>0.99876560204751996</v>
      </c>
      <c r="C1505">
        <v>0.97891893563613497</v>
      </c>
      <c r="D1505">
        <v>0.95910698276822504</v>
      </c>
      <c r="E1505">
        <v>0.752732934084415</v>
      </c>
      <c r="F1505">
        <v>0.27548270210336501</v>
      </c>
      <c r="G1505">
        <v>0.15540836944616301</v>
      </c>
      <c r="H1505">
        <v>9.8593777836936305E-2</v>
      </c>
      <c r="I1505">
        <v>7.5765658917186299E-2</v>
      </c>
      <c r="J1505">
        <v>6.9528017129946301E-2</v>
      </c>
      <c r="K1505">
        <v>4.6158737355388703E-2</v>
      </c>
      <c r="L1505">
        <v>1876.54576921029</v>
      </c>
      <c r="M1505">
        <v>36.601377581478502</v>
      </c>
      <c r="N1505">
        <v>51.519517897618599</v>
      </c>
      <c r="O1505">
        <v>51.117487069403197</v>
      </c>
      <c r="P1505">
        <v>-0.16445741104349701</v>
      </c>
      <c r="Q1505">
        <v>8.1277772946552904E-2</v>
      </c>
      <c r="R1505">
        <v>0.99630926292609501</v>
      </c>
      <c r="S1505" t="s">
        <v>5801</v>
      </c>
      <c r="T1505" t="s">
        <v>8590</v>
      </c>
      <c r="U1505" t="s">
        <v>8590</v>
      </c>
      <c r="V1505" t="s">
        <v>8590</v>
      </c>
      <c r="W1505">
        <v>24</v>
      </c>
      <c r="X1505" t="s">
        <v>10095</v>
      </c>
      <c r="Y1505">
        <v>0.43029782610124379</v>
      </c>
      <c r="Z1505" t="str">
        <f>HYPERLINK("Melting_Curves/meltCurve_sp_Q00266_METK1_HUMAN_.pdf", "Melting_Curves/meltCurve_sp_Q00266_METK1_HUMAN_.pdf")</f>
        <v>Melting_Curves/meltCurve_sp_Q00266_METK1_HUMAN_.pdf</v>
      </c>
      <c r="AA1505" t="s">
        <v>14367</v>
      </c>
      <c r="AB1505" t="s">
        <v>18589</v>
      </c>
    </row>
    <row r="1506" spans="1:28" x14ac:dyDescent="0.25">
      <c r="A1506" t="s">
        <v>1510</v>
      </c>
      <c r="B1506">
        <v>0.99876560204751996</v>
      </c>
      <c r="C1506">
        <v>0.99096189872394103</v>
      </c>
      <c r="D1506">
        <v>0.95884918235116601</v>
      </c>
      <c r="E1506">
        <v>0.55578325032916298</v>
      </c>
      <c r="F1506">
        <v>0.30353177264854397</v>
      </c>
      <c r="G1506">
        <v>0.171452413915542</v>
      </c>
      <c r="H1506">
        <v>0.120980768709747</v>
      </c>
      <c r="I1506">
        <v>9.8871139870363098E-2</v>
      </c>
      <c r="J1506">
        <v>0.10917990343678401</v>
      </c>
      <c r="K1506">
        <v>9.5982405238305396E-2</v>
      </c>
      <c r="L1506">
        <v>1304.1760187547</v>
      </c>
      <c r="M1506">
        <v>25.973086273698801</v>
      </c>
      <c r="N1506">
        <v>50.692796692429098</v>
      </c>
      <c r="O1506">
        <v>49.917770166283503</v>
      </c>
      <c r="P1506">
        <v>-0.1158955481899</v>
      </c>
      <c r="Q1506">
        <v>0.109049964569221</v>
      </c>
      <c r="R1506">
        <v>0.99801332661193398</v>
      </c>
      <c r="S1506" t="s">
        <v>5802</v>
      </c>
      <c r="T1506" t="s">
        <v>8590</v>
      </c>
      <c r="U1506" t="s">
        <v>8590</v>
      </c>
      <c r="V1506" t="s">
        <v>8590</v>
      </c>
      <c r="W1506">
        <v>51</v>
      </c>
      <c r="X1506" t="s">
        <v>10096</v>
      </c>
      <c r="Y1506">
        <v>0.41973953796339469</v>
      </c>
      <c r="Z1506" t="str">
        <f>HYPERLINK("Melting_Curves/meltCurve_sp_Q00341_VIGLN_HUMAN_.pdf", "Melting_Curves/meltCurve_sp_Q00341_VIGLN_HUMAN_.pdf")</f>
        <v>Melting_Curves/meltCurve_sp_Q00341_VIGLN_HUMAN_.pdf</v>
      </c>
      <c r="AA1506" t="s">
        <v>14368</v>
      </c>
      <c r="AB1506" t="s">
        <v>18590</v>
      </c>
    </row>
    <row r="1507" spans="1:28" x14ac:dyDescent="0.25">
      <c r="A1507" t="s">
        <v>1511</v>
      </c>
      <c r="B1507">
        <v>0.99876560204751996</v>
      </c>
      <c r="C1507">
        <v>1.0816369036153399</v>
      </c>
      <c r="D1507">
        <v>0.92393372856548905</v>
      </c>
      <c r="E1507">
        <v>0.60910528256700602</v>
      </c>
      <c r="F1507">
        <v>0.33166765467658499</v>
      </c>
      <c r="G1507">
        <v>0.240339783896246</v>
      </c>
      <c r="H1507">
        <v>0.148976491638421</v>
      </c>
      <c r="I1507">
        <v>9.6800755903938093E-2</v>
      </c>
      <c r="J1507">
        <v>4.93264992336706E-2</v>
      </c>
      <c r="K1507">
        <v>5.64231015654095E-2</v>
      </c>
      <c r="L1507">
        <v>1056.4718390788801</v>
      </c>
      <c r="M1507">
        <v>20.767304994103199</v>
      </c>
      <c r="N1507">
        <v>51.329071606937198</v>
      </c>
      <c r="O1507">
        <v>50.407225514038899</v>
      </c>
      <c r="P1507">
        <v>-9.4303405473920299E-2</v>
      </c>
      <c r="Q1507">
        <v>8.4437854436753099E-2</v>
      </c>
      <c r="R1507">
        <v>0.98701004651994795</v>
      </c>
      <c r="S1507" t="s">
        <v>5803</v>
      </c>
      <c r="T1507" t="s">
        <v>8590</v>
      </c>
      <c r="U1507" t="s">
        <v>8590</v>
      </c>
      <c r="V1507" t="s">
        <v>8590</v>
      </c>
      <c r="W1507">
        <v>2</v>
      </c>
      <c r="X1507" t="s">
        <v>10097</v>
      </c>
      <c r="Y1507">
        <v>0.42807324337311831</v>
      </c>
      <c r="Z1507" t="str">
        <f>HYPERLINK("Melting_Curves/meltCurve_sp_Q00403_TF2B_HUMAN_.pdf", "Melting_Curves/meltCurve_sp_Q00403_TF2B_HUMAN_.pdf")</f>
        <v>Melting_Curves/meltCurve_sp_Q00403_TF2B_HUMAN_.pdf</v>
      </c>
      <c r="AA1507" t="s">
        <v>14369</v>
      </c>
      <c r="AB1507" t="s">
        <v>18591</v>
      </c>
    </row>
    <row r="1508" spans="1:28" x14ac:dyDescent="0.25">
      <c r="A1508" t="s">
        <v>1512</v>
      </c>
      <c r="B1508">
        <v>0.99876560204751996</v>
      </c>
      <c r="C1508">
        <v>0.90294166509261597</v>
      </c>
      <c r="D1508">
        <v>0.83705716990647905</v>
      </c>
      <c r="E1508">
        <v>0.80300316554351603</v>
      </c>
      <c r="F1508">
        <v>0.67143397005879402</v>
      </c>
      <c r="G1508">
        <v>0.48699243493366001</v>
      </c>
      <c r="H1508">
        <v>0.204882588460814</v>
      </c>
      <c r="I1508">
        <v>8.9494765047397007E-2</v>
      </c>
      <c r="J1508">
        <v>7.9395440906572495E-2</v>
      </c>
      <c r="K1508">
        <v>4.7710397044668298E-2</v>
      </c>
      <c r="L1508">
        <v>722.37259379442605</v>
      </c>
      <c r="M1508">
        <v>13.023024000777999</v>
      </c>
      <c r="N1508">
        <v>55.468902868548803</v>
      </c>
      <c r="O1508">
        <v>54.209851215082097</v>
      </c>
      <c r="P1508">
        <v>-6.0068920278778998E-2</v>
      </c>
      <c r="Q1508">
        <v>0</v>
      </c>
      <c r="R1508">
        <v>0.97928469359133097</v>
      </c>
      <c r="S1508" t="s">
        <v>5804</v>
      </c>
      <c r="T1508" t="s">
        <v>8590</v>
      </c>
      <c r="U1508" t="s">
        <v>8590</v>
      </c>
      <c r="V1508" t="s">
        <v>8590</v>
      </c>
      <c r="W1508">
        <v>6</v>
      </c>
      <c r="X1508" t="s">
        <v>10098</v>
      </c>
      <c r="Y1508">
        <v>0.536579365049907</v>
      </c>
      <c r="Z1508" t="str">
        <f>HYPERLINK("Melting_Curves/meltCurve_sp_Q00534_CDK6_HUMAN_.pdf", "Melting_Curves/meltCurve_sp_Q00534_CDK6_HUMAN_.pdf")</f>
        <v>Melting_Curves/meltCurve_sp_Q00534_CDK6_HUMAN_.pdf</v>
      </c>
      <c r="AA1508" t="s">
        <v>14370</v>
      </c>
      <c r="AB1508" t="s">
        <v>18592</v>
      </c>
    </row>
    <row r="1509" spans="1:28" x14ac:dyDescent="0.25">
      <c r="A1509" t="s">
        <v>1513</v>
      </c>
      <c r="B1509">
        <v>0.99876560204751996</v>
      </c>
      <c r="C1509">
        <v>0.767808370401315</v>
      </c>
      <c r="D1509">
        <v>0.684271915868084</v>
      </c>
      <c r="E1509">
        <v>0.26648033946404398</v>
      </c>
      <c r="F1509">
        <v>0.149321347688606</v>
      </c>
      <c r="G1509">
        <v>8.5494485490694799E-2</v>
      </c>
      <c r="H1509">
        <v>4.44921775259845E-2</v>
      </c>
      <c r="I1509">
        <v>2.8003367201609699E-2</v>
      </c>
      <c r="J1509">
        <v>2.53906027595346E-2</v>
      </c>
      <c r="K1509">
        <v>2.4328287710509999E-2</v>
      </c>
      <c r="L1509">
        <v>792.91806160211104</v>
      </c>
      <c r="M1509">
        <v>16.778924581902501</v>
      </c>
      <c r="N1509">
        <v>47.366116745271903</v>
      </c>
      <c r="O1509">
        <v>46.600827294087097</v>
      </c>
      <c r="P1509">
        <v>-8.8310433794174706E-2</v>
      </c>
      <c r="Q1509">
        <v>1.8990089809217799E-2</v>
      </c>
      <c r="R1509">
        <v>0.98857344213206499</v>
      </c>
      <c r="S1509" t="s">
        <v>5805</v>
      </c>
      <c r="T1509" t="s">
        <v>8590</v>
      </c>
      <c r="U1509" t="s">
        <v>8590</v>
      </c>
      <c r="V1509" t="s">
        <v>8590</v>
      </c>
      <c r="W1509">
        <v>3</v>
      </c>
      <c r="X1509" t="s">
        <v>10099</v>
      </c>
      <c r="Y1509">
        <v>0.27707307863147568</v>
      </c>
      <c r="Z1509" t="str">
        <f>HYPERLINK("Melting_Curves/meltCurve_sp_Q00535_CDK5_HUMAN_.pdf", "Melting_Curves/meltCurve_sp_Q00535_CDK5_HUMAN_.pdf")</f>
        <v>Melting_Curves/meltCurve_sp_Q00535_CDK5_HUMAN_.pdf</v>
      </c>
      <c r="AA1509" t="s">
        <v>14371</v>
      </c>
      <c r="AB1509" t="s">
        <v>18593</v>
      </c>
    </row>
    <row r="1510" spans="1:28" x14ac:dyDescent="0.25">
      <c r="A1510" t="s">
        <v>1514</v>
      </c>
      <c r="B1510">
        <v>0.99876560204751996</v>
      </c>
      <c r="C1510">
        <v>1.04626011251826</v>
      </c>
      <c r="D1510">
        <v>0.94922008201452202</v>
      </c>
      <c r="E1510">
        <v>1.0189954297205499</v>
      </c>
      <c r="F1510">
        <v>1.03319401241816</v>
      </c>
      <c r="G1510">
        <v>0.93104460055629501</v>
      </c>
      <c r="H1510">
        <v>0.77243729784954396</v>
      </c>
      <c r="I1510">
        <v>0.80285910865240495</v>
      </c>
      <c r="J1510">
        <v>0.86766115283210199</v>
      </c>
      <c r="K1510">
        <v>0.64138539269561201</v>
      </c>
      <c r="L1510">
        <v>9426.9399257239093</v>
      </c>
      <c r="M1510">
        <v>164.543426286124</v>
      </c>
      <c r="O1510">
        <v>57.283039161799103</v>
      </c>
      <c r="P1510">
        <v>-0.16438884561372499</v>
      </c>
      <c r="Q1510">
        <v>0.77108310375774702</v>
      </c>
      <c r="R1510">
        <v>0.79119724129663804</v>
      </c>
      <c r="S1510" t="s">
        <v>5806</v>
      </c>
      <c r="T1510" t="s">
        <v>8590</v>
      </c>
      <c r="U1510" t="s">
        <v>8590</v>
      </c>
      <c r="V1510" t="s">
        <v>8590</v>
      </c>
      <c r="W1510">
        <v>9</v>
      </c>
      <c r="X1510" t="s">
        <v>10100</v>
      </c>
      <c r="Y1510">
        <v>0.90308014550351035</v>
      </c>
      <c r="Z1510" t="str">
        <f>HYPERLINK("Melting_Curves/meltCurve_sp_Q00577_PURA_HUMAN_.pdf", "Melting_Curves/meltCurve_sp_Q00577_PURA_HUMAN_.pdf")</f>
        <v>Melting_Curves/meltCurve_sp_Q00577_PURA_HUMAN_.pdf</v>
      </c>
      <c r="AA1510" t="s">
        <v>14372</v>
      </c>
      <c r="AB1510" t="s">
        <v>18594</v>
      </c>
    </row>
    <row r="1511" spans="1:28" x14ac:dyDescent="0.25">
      <c r="A1511" t="s">
        <v>1515</v>
      </c>
      <c r="B1511">
        <v>0.99876560204751996</v>
      </c>
      <c r="C1511">
        <v>0.98432531921029198</v>
      </c>
      <c r="D1511">
        <v>0.97025346452925898</v>
      </c>
      <c r="E1511">
        <v>0.966819942861048</v>
      </c>
      <c r="F1511">
        <v>0.82413238855631199</v>
      </c>
      <c r="G1511">
        <v>0.73291644517238197</v>
      </c>
      <c r="H1511">
        <v>0.590891548186666</v>
      </c>
      <c r="I1511">
        <v>0.51834633059896296</v>
      </c>
      <c r="J1511">
        <v>0.652124088648807</v>
      </c>
      <c r="K1511">
        <v>0.56306223436534497</v>
      </c>
      <c r="L1511">
        <v>1132.4765546393201</v>
      </c>
      <c r="M1511">
        <v>20.7202093921493</v>
      </c>
      <c r="O1511">
        <v>54.154205874332703</v>
      </c>
      <c r="P1511">
        <v>-4.1421525208131402E-2</v>
      </c>
      <c r="Q1511">
        <v>0.56697618399924998</v>
      </c>
      <c r="R1511">
        <v>0.95738716879001695</v>
      </c>
      <c r="S1511" t="s">
        <v>5807</v>
      </c>
      <c r="T1511" t="s">
        <v>8590</v>
      </c>
      <c r="U1511" t="s">
        <v>8590</v>
      </c>
      <c r="V1511" t="s">
        <v>8590</v>
      </c>
      <c r="W1511">
        <v>2</v>
      </c>
      <c r="X1511" t="s">
        <v>10101</v>
      </c>
      <c r="Y1511">
        <v>0.78401901085500514</v>
      </c>
      <c r="Z1511" t="str">
        <f>HYPERLINK("Melting_Curves/meltCurve_sp_Q00587_2_BORG5_HUMAN_.pdf", "Melting_Curves/meltCurve_sp_Q00587_2_BORG5_HUMAN_.pdf")</f>
        <v>Melting_Curves/meltCurve_sp_Q00587_2_BORG5_HUMAN_.pdf</v>
      </c>
      <c r="AA1511" t="s">
        <v>14373</v>
      </c>
      <c r="AB1511" t="s">
        <v>18595</v>
      </c>
    </row>
    <row r="1512" spans="1:28" x14ac:dyDescent="0.25">
      <c r="A1512" t="s">
        <v>1516</v>
      </c>
      <c r="B1512">
        <v>0.99876560204751996</v>
      </c>
      <c r="C1512">
        <v>1.01278840944659</v>
      </c>
      <c r="D1512">
        <v>0.89388715577137401</v>
      </c>
      <c r="E1512">
        <v>0.61654902317236004</v>
      </c>
      <c r="F1512">
        <v>0.18966445434679799</v>
      </c>
      <c r="G1512">
        <v>0.112090668606324</v>
      </c>
      <c r="H1512">
        <v>7.0936656487940897E-2</v>
      </c>
      <c r="I1512">
        <v>5.41582015582577E-2</v>
      </c>
      <c r="J1512">
        <v>5.3973089148927497E-2</v>
      </c>
      <c r="K1512">
        <v>4.99404422997657E-2</v>
      </c>
      <c r="L1512">
        <v>1538.2283181227299</v>
      </c>
      <c r="M1512">
        <v>30.5241314023888</v>
      </c>
      <c r="N1512">
        <v>50.595007072914299</v>
      </c>
      <c r="O1512">
        <v>50.179043442016102</v>
      </c>
      <c r="P1512">
        <v>-0.14338692560440899</v>
      </c>
      <c r="Q1512">
        <v>5.7142908470550501E-2</v>
      </c>
      <c r="R1512">
        <v>0.99559580115366497</v>
      </c>
      <c r="S1512" t="s">
        <v>5808</v>
      </c>
      <c r="T1512" t="s">
        <v>8590</v>
      </c>
      <c r="U1512" t="s">
        <v>8590</v>
      </c>
      <c r="V1512" t="s">
        <v>8590</v>
      </c>
      <c r="W1512">
        <v>69</v>
      </c>
      <c r="X1512" t="s">
        <v>10102</v>
      </c>
      <c r="Y1512">
        <v>0.38947453253890479</v>
      </c>
      <c r="Z1512" t="str">
        <f>HYPERLINK("Melting_Curves/meltCurve_sp_Q00610_2_CLH1_HUMAN_.pdf", "Melting_Curves/meltCurve_sp_Q00610_2_CLH1_HUMAN_.pdf")</f>
        <v>Melting_Curves/meltCurve_sp_Q00610_2_CLH1_HUMAN_.pdf</v>
      </c>
      <c r="AA1512" t="s">
        <v>14374</v>
      </c>
      <c r="AB1512" t="s">
        <v>18596</v>
      </c>
    </row>
    <row r="1513" spans="1:28" x14ac:dyDescent="0.25">
      <c r="A1513" t="s">
        <v>1517</v>
      </c>
      <c r="B1513">
        <v>0.99876560204751996</v>
      </c>
      <c r="C1513">
        <v>0.93464416681914697</v>
      </c>
      <c r="D1513">
        <v>0.76542462597875605</v>
      </c>
      <c r="E1513">
        <v>0.63805380270919898</v>
      </c>
      <c r="F1513">
        <v>0.519548078121566</v>
      </c>
      <c r="G1513">
        <v>0.31914590099405199</v>
      </c>
      <c r="H1513">
        <v>0.227020302851553</v>
      </c>
      <c r="I1513">
        <v>0.17951440659629</v>
      </c>
      <c r="J1513">
        <v>0.250701597690414</v>
      </c>
      <c r="K1513">
        <v>0.18856800124741299</v>
      </c>
      <c r="L1513">
        <v>613.60377458877099</v>
      </c>
      <c r="M1513">
        <v>12.0443918926109</v>
      </c>
      <c r="N1513">
        <v>52.5396518383806</v>
      </c>
      <c r="O1513">
        <v>49.6017819704104</v>
      </c>
      <c r="P1513">
        <v>-5.1424728537707701E-2</v>
      </c>
      <c r="Q1513">
        <v>0.153082447067792</v>
      </c>
      <c r="R1513">
        <v>0.98751836022765205</v>
      </c>
      <c r="S1513" t="s">
        <v>5809</v>
      </c>
      <c r="T1513" t="s">
        <v>8590</v>
      </c>
      <c r="U1513" t="s">
        <v>8590</v>
      </c>
      <c r="V1513" t="s">
        <v>8590</v>
      </c>
      <c r="W1513">
        <v>4</v>
      </c>
      <c r="X1513" t="s">
        <v>10103</v>
      </c>
      <c r="Y1513">
        <v>0.48963848919867548</v>
      </c>
      <c r="Z1513" t="str">
        <f>HYPERLINK("Melting_Curves/meltCurve_sp_Q00653_NFKB2_HUMAN_.pdf", "Melting_Curves/meltCurve_sp_Q00653_NFKB2_HUMAN_.pdf")</f>
        <v>Melting_Curves/meltCurve_sp_Q00653_NFKB2_HUMAN_.pdf</v>
      </c>
      <c r="AA1513" t="s">
        <v>14375</v>
      </c>
      <c r="AB1513" t="s">
        <v>18597</v>
      </c>
    </row>
    <row r="1514" spans="1:28" x14ac:dyDescent="0.25">
      <c r="A1514" t="s">
        <v>1518</v>
      </c>
      <c r="B1514">
        <v>0.99876560204751996</v>
      </c>
      <c r="C1514">
        <v>0.93542651414521205</v>
      </c>
      <c r="D1514">
        <v>1.0468333859010699</v>
      </c>
      <c r="E1514">
        <v>0.92002777262818003</v>
      </c>
      <c r="F1514">
        <v>0.92222620753244999</v>
      </c>
      <c r="G1514">
        <v>0.73487598478094396</v>
      </c>
      <c r="H1514">
        <v>0.60229365045315297</v>
      </c>
      <c r="I1514">
        <v>0.55332030445619895</v>
      </c>
      <c r="J1514">
        <v>0.66774656563611101</v>
      </c>
      <c r="K1514">
        <v>0.65654614908440101</v>
      </c>
      <c r="L1514">
        <v>1629.76573878114</v>
      </c>
      <c r="M1514">
        <v>29.574846641758501</v>
      </c>
      <c r="O1514">
        <v>54.856375533358303</v>
      </c>
      <c r="P1514">
        <v>-5.1774238785345303E-2</v>
      </c>
      <c r="Q1514">
        <v>0.61587256345642805</v>
      </c>
      <c r="R1514">
        <v>0.92873448689894</v>
      </c>
      <c r="S1514" t="s">
        <v>5810</v>
      </c>
      <c r="T1514" t="s">
        <v>8590</v>
      </c>
      <c r="U1514" t="s">
        <v>8590</v>
      </c>
      <c r="V1514" t="s">
        <v>8590</v>
      </c>
      <c r="W1514">
        <v>16</v>
      </c>
      <c r="X1514" t="s">
        <v>10104</v>
      </c>
      <c r="Y1514">
        <v>0.81191909199096979</v>
      </c>
      <c r="Z1514" t="str">
        <f>HYPERLINK("Melting_Curves/meltCurve_sp_Q00688_FKBP3_HUMAN_.pdf", "Melting_Curves/meltCurve_sp_Q00688_FKBP3_HUMAN_.pdf")</f>
        <v>Melting_Curves/meltCurve_sp_Q00688_FKBP3_HUMAN_.pdf</v>
      </c>
      <c r="AA1514" t="s">
        <v>14376</v>
      </c>
      <c r="AB1514" t="s">
        <v>18598</v>
      </c>
    </row>
    <row r="1515" spans="1:28" x14ac:dyDescent="0.25">
      <c r="A1515" t="s">
        <v>1519</v>
      </c>
      <c r="B1515">
        <v>0.99876560204751996</v>
      </c>
      <c r="C1515">
        <v>1.0714297551093901</v>
      </c>
      <c r="D1515">
        <v>0.97769226836122303</v>
      </c>
      <c r="E1515">
        <v>1.1161647876705401</v>
      </c>
      <c r="F1515">
        <v>1.04431006938508</v>
      </c>
      <c r="G1515">
        <v>0.91201755284559005</v>
      </c>
      <c r="H1515">
        <v>0.44397769216273197</v>
      </c>
      <c r="I1515">
        <v>0.102736681229308</v>
      </c>
      <c r="J1515">
        <v>6.1661514350424898E-2</v>
      </c>
      <c r="K1515">
        <v>6.0530596933381899E-2</v>
      </c>
      <c r="L1515">
        <v>2588.7220865342201</v>
      </c>
      <c r="M1515">
        <v>42.823661502437801</v>
      </c>
      <c r="N1515">
        <v>60.583722323123801</v>
      </c>
      <c r="O1515">
        <v>60.319365044567803</v>
      </c>
      <c r="P1515">
        <v>-0.16952677127672799</v>
      </c>
      <c r="Q1515">
        <v>4.4852250578822403E-2</v>
      </c>
      <c r="R1515">
        <v>0.98792860399424598</v>
      </c>
      <c r="S1515" t="s">
        <v>5811</v>
      </c>
      <c r="T1515" t="s">
        <v>8590</v>
      </c>
      <c r="U1515" t="s">
        <v>8590</v>
      </c>
      <c r="V1515" t="s">
        <v>8590</v>
      </c>
      <c r="W1515">
        <v>30</v>
      </c>
      <c r="X1515" t="s">
        <v>10105</v>
      </c>
      <c r="Y1515">
        <v>0.69926240422905439</v>
      </c>
      <c r="Z1515" t="str">
        <f>HYPERLINK("Melting_Curves/meltCurve_sp_Q00796_DHSO_HUMAN_.pdf", "Melting_Curves/meltCurve_sp_Q00796_DHSO_HUMAN_.pdf")</f>
        <v>Melting_Curves/meltCurve_sp_Q00796_DHSO_HUMAN_.pdf</v>
      </c>
      <c r="AA1515" t="s">
        <v>14377</v>
      </c>
      <c r="AB1515" t="s">
        <v>18599</v>
      </c>
    </row>
    <row r="1516" spans="1:28" x14ac:dyDescent="0.25">
      <c r="A1516" t="s">
        <v>1520</v>
      </c>
      <c r="B1516">
        <v>0.99876560204751996</v>
      </c>
      <c r="C1516">
        <v>0.95326396698628801</v>
      </c>
      <c r="D1516">
        <v>1.0210631945295701</v>
      </c>
      <c r="E1516">
        <v>0.86236947750743798</v>
      </c>
      <c r="F1516">
        <v>0.77976823729185296</v>
      </c>
      <c r="G1516">
        <v>0.56035078518565196</v>
      </c>
      <c r="H1516">
        <v>0.30619135741499798</v>
      </c>
      <c r="I1516">
        <v>0.24802363161468299</v>
      </c>
      <c r="J1516">
        <v>0.29731933281289702</v>
      </c>
      <c r="K1516">
        <v>0.27629198375164998</v>
      </c>
      <c r="L1516">
        <v>1045.6491953779</v>
      </c>
      <c r="M1516">
        <v>18.881864099570102</v>
      </c>
      <c r="N1516">
        <v>57.329827344817403</v>
      </c>
      <c r="O1516">
        <v>54.768547570406398</v>
      </c>
      <c r="P1516">
        <v>-6.5760107669237497E-2</v>
      </c>
      <c r="Q1516">
        <v>0.23705863565591201</v>
      </c>
      <c r="R1516">
        <v>0.98629426303952705</v>
      </c>
      <c r="S1516" t="s">
        <v>5812</v>
      </c>
      <c r="T1516" t="s">
        <v>8590</v>
      </c>
      <c r="U1516" t="s">
        <v>8590</v>
      </c>
      <c r="V1516" t="s">
        <v>8590</v>
      </c>
      <c r="W1516">
        <v>33</v>
      </c>
      <c r="X1516" t="s">
        <v>10106</v>
      </c>
      <c r="Y1516">
        <v>0.63905108327827465</v>
      </c>
      <c r="Z1516" t="str">
        <f>HYPERLINK("Melting_Curves/meltCurve_sp_Q00839_HNRPU_HUMAN_.pdf", "Melting_Curves/meltCurve_sp_Q00839_HNRPU_HUMAN_.pdf")</f>
        <v>Melting_Curves/meltCurve_sp_Q00839_HNRPU_HUMAN_.pdf</v>
      </c>
      <c r="AA1516" t="s">
        <v>14378</v>
      </c>
      <c r="AB1516" t="s">
        <v>18600</v>
      </c>
    </row>
    <row r="1517" spans="1:28" x14ac:dyDescent="0.25">
      <c r="A1517" t="s">
        <v>1521</v>
      </c>
      <c r="B1517">
        <v>0.99876560204751996</v>
      </c>
      <c r="C1517">
        <v>1.22858116956832</v>
      </c>
      <c r="D1517">
        <v>0.937675314873466</v>
      </c>
      <c r="E1517">
        <v>0.82286644506692097</v>
      </c>
      <c r="F1517">
        <v>0.60462263948442696</v>
      </c>
      <c r="G1517">
        <v>0.55504842711895097</v>
      </c>
      <c r="H1517">
        <v>0.438882502090927</v>
      </c>
      <c r="I1517">
        <v>0.44530503950350703</v>
      </c>
      <c r="J1517">
        <v>0.52134552070713702</v>
      </c>
      <c r="K1517">
        <v>0.48888157893888201</v>
      </c>
      <c r="L1517">
        <v>1438.1330212190201</v>
      </c>
      <c r="M1517">
        <v>28.1589194335149</v>
      </c>
      <c r="N1517">
        <v>57.782803580124899</v>
      </c>
      <c r="O1517">
        <v>50.8165311175228</v>
      </c>
      <c r="P1517">
        <v>-7.1898460469396602E-2</v>
      </c>
      <c r="Q1517">
        <v>0.48100285017635602</v>
      </c>
      <c r="R1517">
        <v>0.907689893382985</v>
      </c>
      <c r="S1517" t="s">
        <v>5813</v>
      </c>
      <c r="T1517" t="s">
        <v>8590</v>
      </c>
      <c r="U1517" t="s">
        <v>8590</v>
      </c>
      <c r="V1517" t="s">
        <v>8590</v>
      </c>
      <c r="W1517">
        <v>3</v>
      </c>
      <c r="X1517" t="s">
        <v>10107</v>
      </c>
      <c r="Y1517">
        <v>0.67625535032161688</v>
      </c>
      <c r="Z1517" t="str">
        <f>HYPERLINK("Melting_Curves/meltCurve_sp_Q00G26_PLIN5_HUMAN_.pdf", "Melting_Curves/meltCurve_sp_Q00G26_PLIN5_HUMAN_.pdf")</f>
        <v>Melting_Curves/meltCurve_sp_Q00G26_PLIN5_HUMAN_.pdf</v>
      </c>
      <c r="AA1517" t="s">
        <v>14379</v>
      </c>
      <c r="AB1517" t="s">
        <v>18601</v>
      </c>
    </row>
    <row r="1518" spans="1:28" x14ac:dyDescent="0.25">
      <c r="A1518" t="s">
        <v>1522</v>
      </c>
      <c r="B1518">
        <v>0.99876560204751996</v>
      </c>
      <c r="C1518">
        <v>0.98073480052940698</v>
      </c>
      <c r="D1518">
        <v>0.94112080438096701</v>
      </c>
      <c r="E1518">
        <v>0.64270846671007598</v>
      </c>
      <c r="F1518">
        <v>0.37933174919646001</v>
      </c>
      <c r="G1518">
        <v>0.17987056867180901</v>
      </c>
      <c r="H1518">
        <v>0.12361920108586701</v>
      </c>
      <c r="I1518">
        <v>9.7244079103019604E-2</v>
      </c>
      <c r="J1518">
        <v>0.11131845243017501</v>
      </c>
      <c r="K1518">
        <v>9.3924491744290503E-2</v>
      </c>
      <c r="L1518">
        <v>1131.2006817423101</v>
      </c>
      <c r="M1518">
        <v>22.157771661520801</v>
      </c>
      <c r="N1518">
        <v>51.553773579806801</v>
      </c>
      <c r="O1518">
        <v>50.641715405838802</v>
      </c>
      <c r="P1518">
        <v>-9.8779003980890401E-2</v>
      </c>
      <c r="Q1518">
        <v>9.6979472883947093E-2</v>
      </c>
      <c r="R1518">
        <v>0.99959405860703499</v>
      </c>
      <c r="S1518" t="s">
        <v>5814</v>
      </c>
      <c r="T1518" t="s">
        <v>8590</v>
      </c>
      <c r="U1518" t="s">
        <v>8590</v>
      </c>
      <c r="V1518" t="s">
        <v>8590</v>
      </c>
      <c r="W1518">
        <v>4</v>
      </c>
      <c r="X1518" t="s">
        <v>10108</v>
      </c>
      <c r="Y1518">
        <v>0.43997661873907451</v>
      </c>
      <c r="Z1518" t="str">
        <f>HYPERLINK("Melting_Curves/meltCurve_sp_Q01081_U2AF1_HUMAN_.pdf", "Melting_Curves/meltCurve_sp_Q01081_U2AF1_HUMAN_.pdf")</f>
        <v>Melting_Curves/meltCurve_sp_Q01081_U2AF1_HUMAN_.pdf</v>
      </c>
      <c r="AA1518" t="s">
        <v>14380</v>
      </c>
      <c r="AB1518" t="s">
        <v>18602</v>
      </c>
    </row>
    <row r="1519" spans="1:28" x14ac:dyDescent="0.25">
      <c r="A1519" t="s">
        <v>1523</v>
      </c>
      <c r="B1519">
        <v>0.99876560204751996</v>
      </c>
      <c r="C1519">
        <v>1.08536034027511</v>
      </c>
      <c r="D1519">
        <v>0.92038717779672496</v>
      </c>
      <c r="E1519">
        <v>1.02665868353423</v>
      </c>
      <c r="F1519">
        <v>1.04334114004902</v>
      </c>
      <c r="G1519">
        <v>0.737636783867476</v>
      </c>
      <c r="H1519">
        <v>0.17580368196070101</v>
      </c>
      <c r="I1519">
        <v>9.1725670662202705E-2</v>
      </c>
      <c r="J1519">
        <v>5.6259198969752601E-2</v>
      </c>
      <c r="K1519">
        <v>6.4290447050778299E-2</v>
      </c>
      <c r="L1519">
        <v>2644.1962063753399</v>
      </c>
      <c r="M1519">
        <v>45.4152371576645</v>
      </c>
      <c r="N1519">
        <v>58.404170140435802</v>
      </c>
      <c r="O1519">
        <v>58.110126021530597</v>
      </c>
      <c r="P1519">
        <v>-0.18252580899936</v>
      </c>
      <c r="Q1519">
        <v>6.5812856897539504E-2</v>
      </c>
      <c r="R1519">
        <v>0.99079692384817397</v>
      </c>
      <c r="S1519" t="s">
        <v>5815</v>
      </c>
      <c r="T1519" t="s">
        <v>8590</v>
      </c>
      <c r="U1519" t="s">
        <v>8590</v>
      </c>
      <c r="V1519" t="s">
        <v>8590</v>
      </c>
      <c r="W1519">
        <v>120</v>
      </c>
      <c r="X1519" t="s">
        <v>10109</v>
      </c>
      <c r="Y1519">
        <v>0.63614112519248556</v>
      </c>
      <c r="Z1519" t="str">
        <f>HYPERLINK("Melting_Curves/meltCurve_sp_Q01082_3_SPTB2_HUMAN_.pdf", "Melting_Curves/meltCurve_sp_Q01082_3_SPTB2_HUMAN_.pdf")</f>
        <v>Melting_Curves/meltCurve_sp_Q01082_3_SPTB2_HUMAN_.pdf</v>
      </c>
      <c r="AA1519" t="s">
        <v>14381</v>
      </c>
      <c r="AB1519" t="s">
        <v>18603</v>
      </c>
    </row>
    <row r="1520" spans="1:28" x14ac:dyDescent="0.25">
      <c r="A1520" t="s">
        <v>1524</v>
      </c>
      <c r="B1520">
        <v>0.99876560204751996</v>
      </c>
      <c r="C1520">
        <v>1.06263918881387</v>
      </c>
      <c r="D1520">
        <v>0.89982131230283902</v>
      </c>
      <c r="E1520">
        <v>1.0148630932993199</v>
      </c>
      <c r="F1520">
        <v>0.92439315451262305</v>
      </c>
      <c r="G1520">
        <v>0.66667928897875495</v>
      </c>
      <c r="H1520">
        <v>0.177842216976386</v>
      </c>
      <c r="I1520">
        <v>0.14621327231484099</v>
      </c>
      <c r="J1520">
        <v>0.142502767644763</v>
      </c>
      <c r="K1520">
        <v>0.13005653109606199</v>
      </c>
      <c r="L1520">
        <v>2484.6742816002502</v>
      </c>
      <c r="M1520">
        <v>43.169334152101101</v>
      </c>
      <c r="N1520">
        <v>57.9589559283149</v>
      </c>
      <c r="O1520">
        <v>57.433342068293001</v>
      </c>
      <c r="P1520">
        <v>-0.163574208779452</v>
      </c>
      <c r="Q1520">
        <v>0.12951141560556501</v>
      </c>
      <c r="R1520">
        <v>0.98844763582727202</v>
      </c>
      <c r="S1520" t="s">
        <v>5816</v>
      </c>
      <c r="T1520" t="s">
        <v>8590</v>
      </c>
      <c r="U1520" t="s">
        <v>8590</v>
      </c>
      <c r="V1520" t="s">
        <v>8590</v>
      </c>
      <c r="W1520">
        <v>130</v>
      </c>
      <c r="X1520" t="s">
        <v>10110</v>
      </c>
      <c r="Y1520">
        <v>0.64187708867677251</v>
      </c>
      <c r="Z1520" t="str">
        <f>HYPERLINK("Melting_Curves/meltCurve_sp_Q01082_SPTB2_HUMAN_.pdf", "Melting_Curves/meltCurve_sp_Q01082_SPTB2_HUMAN_.pdf")</f>
        <v>Melting_Curves/meltCurve_sp_Q01082_SPTB2_HUMAN_.pdf</v>
      </c>
      <c r="AA1520" t="s">
        <v>14381</v>
      </c>
      <c r="AB1520" t="s">
        <v>18604</v>
      </c>
    </row>
    <row r="1521" spans="1:28" x14ac:dyDescent="0.25">
      <c r="A1521" t="s">
        <v>1525</v>
      </c>
      <c r="B1521">
        <v>0.99876560204751996</v>
      </c>
      <c r="C1521">
        <v>0.93577139816482602</v>
      </c>
      <c r="D1521">
        <v>0.87565993080627103</v>
      </c>
      <c r="E1521">
        <v>0.80318329381936304</v>
      </c>
      <c r="F1521">
        <v>0.665736977835653</v>
      </c>
      <c r="G1521">
        <v>0.44293191307829999</v>
      </c>
      <c r="H1521">
        <v>0.19102407788943301</v>
      </c>
      <c r="I1521">
        <v>0.113345603310593</v>
      </c>
      <c r="J1521">
        <v>7.3478130321319696E-2</v>
      </c>
      <c r="K1521">
        <v>6.6225713494083502E-2</v>
      </c>
      <c r="L1521">
        <v>740.44855307352395</v>
      </c>
      <c r="M1521">
        <v>13.3816341694711</v>
      </c>
      <c r="N1521">
        <v>55.333172766002399</v>
      </c>
      <c r="O1521">
        <v>54.141297693936998</v>
      </c>
      <c r="P1521">
        <v>-6.1800080815415097E-2</v>
      </c>
      <c r="Q1521">
        <v>0</v>
      </c>
      <c r="R1521">
        <v>0.99236561713883398</v>
      </c>
      <c r="S1521" t="s">
        <v>5817</v>
      </c>
      <c r="T1521" t="s">
        <v>8590</v>
      </c>
      <c r="U1521" t="s">
        <v>8590</v>
      </c>
      <c r="V1521" t="s">
        <v>8590</v>
      </c>
      <c r="W1521">
        <v>9</v>
      </c>
      <c r="X1521" t="s">
        <v>10111</v>
      </c>
      <c r="Y1521">
        <v>0.53193990218837239</v>
      </c>
      <c r="Z1521" t="str">
        <f>HYPERLINK("Melting_Curves/meltCurve_sp_Q01085_2_TIAR_HUMAN_.pdf", "Melting_Curves/meltCurve_sp_Q01085_2_TIAR_HUMAN_.pdf")</f>
        <v>Melting_Curves/meltCurve_sp_Q01085_2_TIAR_HUMAN_.pdf</v>
      </c>
      <c r="AA1521" t="s">
        <v>14382</v>
      </c>
      <c r="AB1521" t="s">
        <v>18605</v>
      </c>
    </row>
    <row r="1522" spans="1:28" x14ac:dyDescent="0.25">
      <c r="A1522" t="s">
        <v>1526</v>
      </c>
      <c r="B1522">
        <v>0.99876560204751996</v>
      </c>
      <c r="C1522">
        <v>1.0195012824846299</v>
      </c>
      <c r="D1522">
        <v>1.07370273023444</v>
      </c>
      <c r="E1522">
        <v>1.10051806848501</v>
      </c>
      <c r="F1522">
        <v>1.1168749459632501</v>
      </c>
      <c r="G1522">
        <v>0.97155942077795199</v>
      </c>
      <c r="H1522">
        <v>0.81938967554088005</v>
      </c>
      <c r="I1522">
        <v>0.85908968517874595</v>
      </c>
      <c r="J1522">
        <v>1.06313633620463</v>
      </c>
      <c r="K1522">
        <v>1.1861517958158601</v>
      </c>
      <c r="L1522">
        <v>15000</v>
      </c>
      <c r="M1522">
        <v>223.21316019946499</v>
      </c>
      <c r="O1522">
        <v>67.194941732680903</v>
      </c>
      <c r="P1522">
        <v>0.154614584523631</v>
      </c>
      <c r="Q1522">
        <v>1.1861775247313899</v>
      </c>
      <c r="R1522">
        <v>0.29265083389845797</v>
      </c>
      <c r="S1522" t="s">
        <v>5818</v>
      </c>
      <c r="T1522" t="s">
        <v>8590</v>
      </c>
      <c r="U1522" t="s">
        <v>8590</v>
      </c>
      <c r="V1522" t="s">
        <v>8590</v>
      </c>
      <c r="W1522">
        <v>7</v>
      </c>
      <c r="X1522" t="s">
        <v>10112</v>
      </c>
      <c r="Y1522">
        <v>1.0173471930479261</v>
      </c>
      <c r="Z1522" t="str">
        <f>HYPERLINK("Melting_Curves/meltCurve_sp_Q01105_SET_HUMAN_.pdf", "Melting_Curves/meltCurve_sp_Q01105_SET_HUMAN_.pdf")</f>
        <v>Melting_Curves/meltCurve_sp_Q01105_SET_HUMAN_.pdf</v>
      </c>
      <c r="AA1522" t="s">
        <v>14383</v>
      </c>
      <c r="AB1522" t="s">
        <v>18606</v>
      </c>
    </row>
    <row r="1523" spans="1:28" x14ac:dyDescent="0.25">
      <c r="A1523" t="s">
        <v>1527</v>
      </c>
      <c r="B1523">
        <v>0.99876560204751996</v>
      </c>
      <c r="C1523">
        <v>1.1212474970139501</v>
      </c>
      <c r="D1523">
        <v>0.90895137268661197</v>
      </c>
      <c r="E1523">
        <v>1.0770242569784201</v>
      </c>
      <c r="F1523">
        <v>0.994907887891054</v>
      </c>
      <c r="G1523">
        <v>0.90732137300482196</v>
      </c>
      <c r="H1523">
        <v>0.58525663415746798</v>
      </c>
      <c r="I1523">
        <v>0.20198686369414001</v>
      </c>
      <c r="J1523">
        <v>6.8604084963955106E-2</v>
      </c>
      <c r="K1523">
        <v>6.2682797888739303E-2</v>
      </c>
      <c r="L1523">
        <v>2162.82672265158</v>
      </c>
      <c r="M1523">
        <v>35.245281984273198</v>
      </c>
      <c r="N1523">
        <v>61.484243054746202</v>
      </c>
      <c r="O1523">
        <v>61.168444578945099</v>
      </c>
      <c r="P1523">
        <v>-0.13929182217168801</v>
      </c>
      <c r="Q1523">
        <v>3.3035209270431402E-2</v>
      </c>
      <c r="R1523">
        <v>0.98121438660673499</v>
      </c>
      <c r="S1523" t="s">
        <v>5819</v>
      </c>
      <c r="T1523" t="s">
        <v>8590</v>
      </c>
      <c r="U1523" t="s">
        <v>8590</v>
      </c>
      <c r="V1523" t="s">
        <v>8590</v>
      </c>
      <c r="W1523">
        <v>23</v>
      </c>
      <c r="X1523" t="s">
        <v>10113</v>
      </c>
      <c r="Y1523">
        <v>0.72596699126554276</v>
      </c>
      <c r="Z1523" t="str">
        <f>HYPERLINK("Melting_Curves/meltCurve_sp_Q01433_2_AMPD2_HUMAN_.pdf", "Melting_Curves/meltCurve_sp_Q01433_2_AMPD2_HUMAN_.pdf")</f>
        <v>Melting_Curves/meltCurve_sp_Q01433_2_AMPD2_HUMAN_.pdf</v>
      </c>
      <c r="AA1523" t="s">
        <v>14384</v>
      </c>
      <c r="AB1523" t="s">
        <v>18607</v>
      </c>
    </row>
    <row r="1524" spans="1:28" x14ac:dyDescent="0.25">
      <c r="A1524" t="s">
        <v>1528</v>
      </c>
      <c r="B1524">
        <v>0.99876560204751996</v>
      </c>
      <c r="C1524">
        <v>0.94048389367652196</v>
      </c>
      <c r="D1524">
        <v>0.94745720457470595</v>
      </c>
      <c r="E1524">
        <v>0.84206047049737598</v>
      </c>
      <c r="F1524">
        <v>0.66964680820669897</v>
      </c>
      <c r="G1524">
        <v>0.53564951288342</v>
      </c>
      <c r="H1524">
        <v>0.49678487798596299</v>
      </c>
      <c r="I1524">
        <v>0.44307722651241999</v>
      </c>
      <c r="J1524">
        <v>0.54747037807777799</v>
      </c>
      <c r="K1524">
        <v>0.485845330734546</v>
      </c>
      <c r="L1524">
        <v>1108.29523438353</v>
      </c>
      <c r="M1524">
        <v>21.481730625549002</v>
      </c>
      <c r="N1524">
        <v>61.520698659003301</v>
      </c>
      <c r="O1524">
        <v>51.151605758322098</v>
      </c>
      <c r="P1524">
        <v>-5.4135421380663899E-2</v>
      </c>
      <c r="Q1524">
        <v>0.48439056731057301</v>
      </c>
      <c r="R1524">
        <v>0.97828952668508395</v>
      </c>
      <c r="S1524" t="s">
        <v>5820</v>
      </c>
      <c r="T1524" t="s">
        <v>8590</v>
      </c>
      <c r="U1524" t="s">
        <v>8590</v>
      </c>
      <c r="V1524" t="s">
        <v>8590</v>
      </c>
      <c r="W1524">
        <v>3</v>
      </c>
      <c r="X1524" t="s">
        <v>10114</v>
      </c>
      <c r="Y1524">
        <v>0.68989162462046782</v>
      </c>
      <c r="Z1524" t="str">
        <f>HYPERLINK("Melting_Curves/meltCurve_sp_Q01459_DIAC_HUMAN_.pdf", "Melting_Curves/meltCurve_sp_Q01459_DIAC_HUMAN_.pdf")</f>
        <v>Melting_Curves/meltCurve_sp_Q01459_DIAC_HUMAN_.pdf</v>
      </c>
      <c r="AA1524" t="s">
        <v>14385</v>
      </c>
      <c r="AB1524" t="s">
        <v>18608</v>
      </c>
    </row>
    <row r="1525" spans="1:28" x14ac:dyDescent="0.25">
      <c r="A1525" t="s">
        <v>1529</v>
      </c>
      <c r="B1525">
        <v>0.99876560204751996</v>
      </c>
      <c r="C1525">
        <v>1.35701717251633</v>
      </c>
      <c r="D1525">
        <v>1.03315586598193</v>
      </c>
      <c r="E1525">
        <v>1.16638795337904</v>
      </c>
      <c r="F1525">
        <v>0.93246123791742996</v>
      </c>
      <c r="G1525">
        <v>0.64328154301680895</v>
      </c>
      <c r="H1525">
        <v>0.437550910981584</v>
      </c>
      <c r="I1525">
        <v>0.33324818074677798</v>
      </c>
      <c r="J1525">
        <v>0.307605251371737</v>
      </c>
      <c r="K1525">
        <v>0.32860657331706</v>
      </c>
      <c r="L1525">
        <v>1832.85386243178</v>
      </c>
      <c r="M1525">
        <v>32.160134068548203</v>
      </c>
      <c r="N1525">
        <v>58.902687030499798</v>
      </c>
      <c r="O1525">
        <v>56.772486270980799</v>
      </c>
      <c r="P1525">
        <v>-9.5750386829997605E-2</v>
      </c>
      <c r="Q1525">
        <v>0.32388831398076201</v>
      </c>
      <c r="R1525">
        <v>0.882352078617752</v>
      </c>
      <c r="S1525" t="s">
        <v>5821</v>
      </c>
      <c r="T1525" t="s">
        <v>8590</v>
      </c>
      <c r="U1525" t="s">
        <v>8590</v>
      </c>
      <c r="V1525" t="s">
        <v>8590</v>
      </c>
      <c r="W1525">
        <v>6</v>
      </c>
      <c r="X1525" t="s">
        <v>10115</v>
      </c>
      <c r="Y1525">
        <v>0.71080233667178028</v>
      </c>
      <c r="Z1525" t="str">
        <f>HYPERLINK("Melting_Curves/meltCurve_sp_Q01469_FABP5_HUMAN_.pdf", "Melting_Curves/meltCurve_sp_Q01469_FABP5_HUMAN_.pdf")</f>
        <v>Melting_Curves/meltCurve_sp_Q01469_FABP5_HUMAN_.pdf</v>
      </c>
      <c r="AA1525" t="s">
        <v>14386</v>
      </c>
      <c r="AB1525" t="s">
        <v>18609</v>
      </c>
    </row>
    <row r="1526" spans="1:28" x14ac:dyDescent="0.25">
      <c r="A1526" t="s">
        <v>1530</v>
      </c>
      <c r="B1526">
        <v>0.99876560204751996</v>
      </c>
      <c r="C1526">
        <v>1.04270849742205</v>
      </c>
      <c r="D1526">
        <v>0.96385628005638402</v>
      </c>
      <c r="E1526">
        <v>0.97298157260496199</v>
      </c>
      <c r="F1526">
        <v>0.66666170066841901</v>
      </c>
      <c r="G1526">
        <v>0.213869559728178</v>
      </c>
      <c r="H1526">
        <v>8.8300023145308895E-2</v>
      </c>
      <c r="I1526">
        <v>5.6332399923068301E-2</v>
      </c>
      <c r="J1526">
        <v>4.8521664403396898E-2</v>
      </c>
      <c r="K1526">
        <v>4.0500901470217003E-2</v>
      </c>
      <c r="L1526">
        <v>1749.63277551386</v>
      </c>
      <c r="M1526">
        <v>32.327539634201202</v>
      </c>
      <c r="N1526">
        <v>54.302577269100901</v>
      </c>
      <c r="O1526">
        <v>53.916221914345002</v>
      </c>
      <c r="P1526">
        <v>-0.14226072274545301</v>
      </c>
      <c r="Q1526">
        <v>5.0948853830175202E-2</v>
      </c>
      <c r="R1526">
        <v>0.9974664783653</v>
      </c>
      <c r="S1526" t="s">
        <v>5822</v>
      </c>
      <c r="T1526" t="s">
        <v>8590</v>
      </c>
      <c r="U1526" t="s">
        <v>8590</v>
      </c>
      <c r="V1526" t="s">
        <v>8590</v>
      </c>
      <c r="W1526">
        <v>25</v>
      </c>
      <c r="X1526" t="s">
        <v>10116</v>
      </c>
      <c r="Y1526">
        <v>0.5031009615378399</v>
      </c>
      <c r="Z1526" t="str">
        <f>HYPERLINK("Melting_Curves/meltCurve_sp_Q01518_2_CAP1_HUMAN_.pdf", "Melting_Curves/meltCurve_sp_Q01518_2_CAP1_HUMAN_.pdf")</f>
        <v>Melting_Curves/meltCurve_sp_Q01518_2_CAP1_HUMAN_.pdf</v>
      </c>
      <c r="AA1526" t="s">
        <v>14387</v>
      </c>
      <c r="AB1526" t="s">
        <v>18610</v>
      </c>
    </row>
    <row r="1527" spans="1:28" x14ac:dyDescent="0.25">
      <c r="A1527" t="s">
        <v>1531</v>
      </c>
      <c r="B1527">
        <v>0.99876560204751996</v>
      </c>
      <c r="C1527">
        <v>1.0286730739308401</v>
      </c>
      <c r="D1527">
        <v>0.92969086320059402</v>
      </c>
      <c r="E1527">
        <v>0.91094557159589495</v>
      </c>
      <c r="F1527">
        <v>0.52018450368504698</v>
      </c>
      <c r="G1527">
        <v>0.15339488002671101</v>
      </c>
      <c r="H1527">
        <v>8.5339739986325602E-2</v>
      </c>
      <c r="I1527">
        <v>6.4194636450737502E-2</v>
      </c>
      <c r="J1527">
        <v>5.9513197348756201E-2</v>
      </c>
      <c r="K1527">
        <v>4.9996165479227903E-2</v>
      </c>
      <c r="L1527">
        <v>1785.30256485463</v>
      </c>
      <c r="M1527">
        <v>33.685798309376501</v>
      </c>
      <c r="N1527">
        <v>53.2095216941619</v>
      </c>
      <c r="O1527">
        <v>52.812938629018497</v>
      </c>
      <c r="P1527">
        <v>-0.149495760558368</v>
      </c>
      <c r="Q1527">
        <v>6.24799319429378E-2</v>
      </c>
      <c r="R1527">
        <v>0.99658009629094602</v>
      </c>
      <c r="S1527" t="s">
        <v>5823</v>
      </c>
      <c r="T1527" t="s">
        <v>8590</v>
      </c>
      <c r="U1527" t="s">
        <v>8590</v>
      </c>
      <c r="V1527" t="s">
        <v>8590</v>
      </c>
      <c r="W1527">
        <v>23</v>
      </c>
      <c r="X1527" t="s">
        <v>10117</v>
      </c>
      <c r="Y1527">
        <v>0.47353347167914311</v>
      </c>
      <c r="Z1527" t="str">
        <f>HYPERLINK("Melting_Curves/meltCurve_sp_Q01581_HMCS1_HUMAN_.pdf", "Melting_Curves/meltCurve_sp_Q01581_HMCS1_HUMAN_.pdf")</f>
        <v>Melting_Curves/meltCurve_sp_Q01581_HMCS1_HUMAN_.pdf</v>
      </c>
      <c r="AA1527" t="s">
        <v>14388</v>
      </c>
      <c r="AB1527" t="s">
        <v>18611</v>
      </c>
    </row>
    <row r="1528" spans="1:28" x14ac:dyDescent="0.25">
      <c r="A1528" t="s">
        <v>1532</v>
      </c>
      <c r="B1528">
        <v>0.99876560204751996</v>
      </c>
      <c r="C1528">
        <v>1.01120381758052</v>
      </c>
      <c r="D1528">
        <v>1.11979427445639</v>
      </c>
      <c r="E1528">
        <v>0.97334879719923895</v>
      </c>
      <c r="F1528">
        <v>0.988697767506861</v>
      </c>
      <c r="G1528">
        <v>0.79986310300853403</v>
      </c>
      <c r="H1528">
        <v>0.62195839276378695</v>
      </c>
      <c r="I1528">
        <v>0.58449388820899595</v>
      </c>
      <c r="J1528">
        <v>0.68321205433842402</v>
      </c>
      <c r="K1528">
        <v>0.67888594255247903</v>
      </c>
      <c r="L1528">
        <v>14236.4257205459</v>
      </c>
      <c r="M1528">
        <v>250</v>
      </c>
      <c r="O1528">
        <v>56.9420590773409</v>
      </c>
      <c r="P1528">
        <v>-0.39279229990756298</v>
      </c>
      <c r="Q1528">
        <v>0.64213756502795305</v>
      </c>
      <c r="R1528">
        <v>0.93453096968178895</v>
      </c>
      <c r="S1528" t="s">
        <v>5824</v>
      </c>
      <c r="T1528" t="s">
        <v>8590</v>
      </c>
      <c r="U1528" t="s">
        <v>8590</v>
      </c>
      <c r="V1528" t="s">
        <v>8590</v>
      </c>
      <c r="W1528">
        <v>2</v>
      </c>
      <c r="X1528" t="s">
        <v>10118</v>
      </c>
      <c r="Y1528">
        <v>0.84431434590261367</v>
      </c>
      <c r="Z1528" t="str">
        <f>HYPERLINK("Melting_Curves/meltCurve_sp_Q01658_NC2B_HUMAN_.pdf", "Melting_Curves/meltCurve_sp_Q01658_NC2B_HUMAN_.pdf")</f>
        <v>Melting_Curves/meltCurve_sp_Q01658_NC2B_HUMAN_.pdf</v>
      </c>
      <c r="AA1528" t="s">
        <v>14389</v>
      </c>
      <c r="AB1528" t="s">
        <v>18612</v>
      </c>
    </row>
    <row r="1529" spans="1:28" x14ac:dyDescent="0.25">
      <c r="A1529" t="s">
        <v>1533</v>
      </c>
      <c r="B1529">
        <v>0.99876560204751996</v>
      </c>
      <c r="C1529">
        <v>0.91170146469442204</v>
      </c>
      <c r="D1529">
        <v>0.89316885261391099</v>
      </c>
      <c r="E1529">
        <v>0.75917970305917204</v>
      </c>
      <c r="F1529">
        <v>0.57420625259495595</v>
      </c>
      <c r="G1529">
        <v>0.40668597124724098</v>
      </c>
      <c r="H1529">
        <v>0.30408302397085601</v>
      </c>
      <c r="I1529">
        <v>0.33255117577312299</v>
      </c>
      <c r="J1529">
        <v>0.22685638676855199</v>
      </c>
      <c r="K1529">
        <v>0.37672132774626799</v>
      </c>
      <c r="L1529">
        <v>807.62377648981601</v>
      </c>
      <c r="M1529">
        <v>15.63405521004</v>
      </c>
      <c r="N1529">
        <v>54.520397046814601</v>
      </c>
      <c r="O1529">
        <v>50.8349572374538</v>
      </c>
      <c r="P1529">
        <v>-5.53656564094063E-2</v>
      </c>
      <c r="Q1529">
        <v>0.279964412093545</v>
      </c>
      <c r="R1529">
        <v>0.97479784366104405</v>
      </c>
      <c r="S1529" t="s">
        <v>5825</v>
      </c>
      <c r="T1529" t="s">
        <v>8590</v>
      </c>
      <c r="U1529" t="s">
        <v>8590</v>
      </c>
      <c r="V1529" t="s">
        <v>8590</v>
      </c>
      <c r="W1529">
        <v>3</v>
      </c>
      <c r="X1529" t="s">
        <v>10119</v>
      </c>
      <c r="Y1529">
        <v>0.57501692080265698</v>
      </c>
      <c r="Z1529" t="str">
        <f>HYPERLINK("Melting_Curves/meltCurve_sp_Q01804_OTUD4_HUMAN_.pdf", "Melting_Curves/meltCurve_sp_Q01804_OTUD4_HUMAN_.pdf")</f>
        <v>Melting_Curves/meltCurve_sp_Q01804_OTUD4_HUMAN_.pdf</v>
      </c>
      <c r="AA1529" t="s">
        <v>14390</v>
      </c>
      <c r="AB1529" t="s">
        <v>18613</v>
      </c>
    </row>
    <row r="1530" spans="1:28" x14ac:dyDescent="0.25">
      <c r="A1530" t="s">
        <v>1534</v>
      </c>
      <c r="B1530">
        <v>0.99876560204751996</v>
      </c>
      <c r="C1530">
        <v>1.1693170036398799</v>
      </c>
      <c r="D1530">
        <v>1.4077030125315699</v>
      </c>
      <c r="E1530">
        <v>0.93570950396879105</v>
      </c>
      <c r="F1530">
        <v>0.99768783490170199</v>
      </c>
      <c r="G1530">
        <v>0.78163233003371302</v>
      </c>
      <c r="H1530">
        <v>0.62162224277928502</v>
      </c>
      <c r="I1530">
        <v>0.70880183734352398</v>
      </c>
      <c r="J1530">
        <v>0.77432633182557897</v>
      </c>
      <c r="K1530">
        <v>0.73637379732071695</v>
      </c>
      <c r="S1530" t="s">
        <v>5826</v>
      </c>
      <c r="T1530" t="s">
        <v>8590</v>
      </c>
      <c r="U1530" t="s">
        <v>8591</v>
      </c>
      <c r="V1530" t="s">
        <v>8590</v>
      </c>
      <c r="W1530">
        <v>1</v>
      </c>
      <c r="X1530" t="s">
        <v>10120</v>
      </c>
      <c r="Z1530" t="str">
        <f>HYPERLINK("Melting_Curves/meltCurve_sp_Q01831_2_XPC_HUMAN_.pdf", "Melting_Curves/meltCurve_sp_Q01831_2_XPC_HUMAN_.pdf")</f>
        <v>Melting_Curves/meltCurve_sp_Q01831_2_XPC_HUMAN_.pdf</v>
      </c>
      <c r="AA1530" t="s">
        <v>14391</v>
      </c>
      <c r="AB1530" t="s">
        <v>18614</v>
      </c>
    </row>
    <row r="1531" spans="1:28" x14ac:dyDescent="0.25">
      <c r="A1531" t="s">
        <v>1535</v>
      </c>
      <c r="B1531">
        <v>0.99876560204751996</v>
      </c>
      <c r="C1531">
        <v>0.94051223576920495</v>
      </c>
      <c r="D1531">
        <v>1.0986039117284101</v>
      </c>
      <c r="E1531">
        <v>1.0050938814188399</v>
      </c>
      <c r="F1531">
        <v>1.0078496675564199</v>
      </c>
      <c r="G1531">
        <v>0.89584659020038704</v>
      </c>
      <c r="H1531">
        <v>0.82627992976947195</v>
      </c>
      <c r="I1531">
        <v>0.83601024205136498</v>
      </c>
      <c r="J1531">
        <v>1.0001574284046699</v>
      </c>
      <c r="K1531">
        <v>0.97804476321568101</v>
      </c>
      <c r="L1531">
        <v>5512.2268341695399</v>
      </c>
      <c r="M1531">
        <v>100.443463725515</v>
      </c>
      <c r="O1531">
        <v>54.857152179248402</v>
      </c>
      <c r="P1531">
        <v>-4.2590407399296301E-2</v>
      </c>
      <c r="Q1531">
        <v>0.90695707070030196</v>
      </c>
      <c r="R1531">
        <v>0.39951546752327399</v>
      </c>
      <c r="S1531" t="s">
        <v>5827</v>
      </c>
      <c r="T1531" t="s">
        <v>8590</v>
      </c>
      <c r="U1531" t="s">
        <v>8590</v>
      </c>
      <c r="V1531" t="s">
        <v>8590</v>
      </c>
      <c r="W1531">
        <v>5</v>
      </c>
      <c r="X1531" t="s">
        <v>10121</v>
      </c>
      <c r="Y1531">
        <v>0.95315853055299626</v>
      </c>
      <c r="Z1531" t="str">
        <f>HYPERLINK("Melting_Curves/meltCurve_sp_Q01844_6_EWS_HUMAN_.pdf", "Melting_Curves/meltCurve_sp_Q01844_6_EWS_HUMAN_.pdf")</f>
        <v>Melting_Curves/meltCurve_sp_Q01844_6_EWS_HUMAN_.pdf</v>
      </c>
      <c r="AA1531" t="s">
        <v>14392</v>
      </c>
      <c r="AB1531" t="s">
        <v>18615</v>
      </c>
    </row>
    <row r="1532" spans="1:28" x14ac:dyDescent="0.25">
      <c r="A1532" t="s">
        <v>1536</v>
      </c>
      <c r="B1532">
        <v>0.99876560204751996</v>
      </c>
      <c r="C1532">
        <v>0.89893423134816197</v>
      </c>
      <c r="D1532">
        <v>0.96625591013801404</v>
      </c>
      <c r="E1532">
        <v>0.88591798681619904</v>
      </c>
      <c r="F1532">
        <v>0.67611818664283296</v>
      </c>
      <c r="G1532">
        <v>0.52904030713948003</v>
      </c>
      <c r="H1532">
        <v>0.42771522263421702</v>
      </c>
      <c r="I1532">
        <v>0.396027414591754</v>
      </c>
      <c r="J1532">
        <v>0.50276111045418304</v>
      </c>
      <c r="K1532">
        <v>0.431417251248504</v>
      </c>
      <c r="L1532">
        <v>1246.00335287243</v>
      </c>
      <c r="M1532">
        <v>23.718111935254601</v>
      </c>
      <c r="N1532">
        <v>57.459787396829498</v>
      </c>
      <c r="O1532">
        <v>52.164659489497502</v>
      </c>
      <c r="P1532">
        <v>-6.42754842731703E-2</v>
      </c>
      <c r="Q1532">
        <v>0.43454972963673499</v>
      </c>
      <c r="R1532">
        <v>0.96670274316336702</v>
      </c>
      <c r="S1532" t="s">
        <v>5828</v>
      </c>
      <c r="T1532" t="s">
        <v>8590</v>
      </c>
      <c r="U1532" t="s">
        <v>8590</v>
      </c>
      <c r="V1532" t="s">
        <v>8590</v>
      </c>
      <c r="W1532">
        <v>2</v>
      </c>
      <c r="X1532" t="s">
        <v>10122</v>
      </c>
      <c r="Y1532">
        <v>0.67652044354872365</v>
      </c>
      <c r="Z1532" t="str">
        <f>HYPERLINK("Melting_Curves/meltCurve_sp_Q01968_2_OCRL_HUMAN_.pdf", "Melting_Curves/meltCurve_sp_Q01968_2_OCRL_HUMAN_.pdf")</f>
        <v>Melting_Curves/meltCurve_sp_Q01968_2_OCRL_HUMAN_.pdf</v>
      </c>
      <c r="AA1532" t="s">
        <v>14393</v>
      </c>
      <c r="AB1532" t="s">
        <v>18616</v>
      </c>
    </row>
    <row r="1533" spans="1:28" x14ac:dyDescent="0.25">
      <c r="A1533" t="s">
        <v>1537</v>
      </c>
      <c r="B1533">
        <v>0.99876560204751996</v>
      </c>
      <c r="C1533">
        <v>0.95109066621238503</v>
      </c>
      <c r="D1533">
        <v>0.98480542990209496</v>
      </c>
      <c r="E1533">
        <v>0.896031204637319</v>
      </c>
      <c r="F1533">
        <v>0.78497949731223104</v>
      </c>
      <c r="G1533">
        <v>0.52248640037254102</v>
      </c>
      <c r="H1533">
        <v>0.29726169558381799</v>
      </c>
      <c r="I1533">
        <v>0.154461514834036</v>
      </c>
      <c r="J1533">
        <v>0.13053476109228199</v>
      </c>
      <c r="K1533">
        <v>8.9435913702489295E-2</v>
      </c>
      <c r="L1533">
        <v>906.72583963867203</v>
      </c>
      <c r="M1533">
        <v>15.8994609671844</v>
      </c>
      <c r="N1533">
        <v>57.301248531626698</v>
      </c>
      <c r="O1533">
        <v>56.149433604802901</v>
      </c>
      <c r="P1533">
        <v>-6.8218412597184003E-2</v>
      </c>
      <c r="Q1533">
        <v>3.6415798335844698E-2</v>
      </c>
      <c r="R1533">
        <v>0.99769095199999203</v>
      </c>
      <c r="S1533" t="s">
        <v>5829</v>
      </c>
      <c r="T1533" t="s">
        <v>8590</v>
      </c>
      <c r="U1533" t="s">
        <v>8590</v>
      </c>
      <c r="V1533" t="s">
        <v>8590</v>
      </c>
      <c r="W1533">
        <v>8</v>
      </c>
      <c r="X1533" t="s">
        <v>10123</v>
      </c>
      <c r="Y1533">
        <v>0.59800577046701031</v>
      </c>
      <c r="Z1533" t="str">
        <f>HYPERLINK("Melting_Curves/meltCurve_sp_Q02083_2_NAAA_HUMAN_.pdf", "Melting_Curves/meltCurve_sp_Q02083_2_NAAA_HUMAN_.pdf")</f>
        <v>Melting_Curves/meltCurve_sp_Q02083_2_NAAA_HUMAN_.pdf</v>
      </c>
      <c r="AA1533" t="s">
        <v>14394</v>
      </c>
      <c r="AB1533" t="s">
        <v>18617</v>
      </c>
    </row>
    <row r="1534" spans="1:28" x14ac:dyDescent="0.25">
      <c r="A1534" t="s">
        <v>1538</v>
      </c>
      <c r="B1534">
        <v>0.99876560204751996</v>
      </c>
      <c r="C1534">
        <v>0.89516528208712598</v>
      </c>
      <c r="D1534">
        <v>0.89901513690935397</v>
      </c>
      <c r="E1534">
        <v>1.0771345688759399</v>
      </c>
      <c r="F1534">
        <v>0.99766447847901596</v>
      </c>
      <c r="G1534">
        <v>0.72600017207286005</v>
      </c>
      <c r="H1534">
        <v>0.49001702778647299</v>
      </c>
      <c r="I1534">
        <v>0.560547722603983</v>
      </c>
      <c r="J1534">
        <v>0.72673798670640499</v>
      </c>
      <c r="K1534">
        <v>0.75304702857295702</v>
      </c>
      <c r="L1534">
        <v>14188.662291516301</v>
      </c>
      <c r="M1534">
        <v>250</v>
      </c>
      <c r="O1534">
        <v>56.751017267855701</v>
      </c>
      <c r="P1534">
        <v>-0.40463212651702801</v>
      </c>
      <c r="Q1534">
        <v>0.632587443793309</v>
      </c>
      <c r="R1534">
        <v>0.77582296799699102</v>
      </c>
      <c r="S1534" t="s">
        <v>5830</v>
      </c>
      <c r="T1534" t="s">
        <v>8590</v>
      </c>
      <c r="U1534" t="s">
        <v>8590</v>
      </c>
      <c r="V1534" t="s">
        <v>8590</v>
      </c>
      <c r="W1534">
        <v>1</v>
      </c>
      <c r="X1534" t="s">
        <v>10124</v>
      </c>
      <c r="Y1534">
        <v>0.83781965532774372</v>
      </c>
      <c r="Z1534" t="str">
        <f>HYPERLINK("Melting_Curves/meltCurve_sp_Q02086_2_SP2_HUMAN_.pdf", "Melting_Curves/meltCurve_sp_Q02086_2_SP2_HUMAN_.pdf")</f>
        <v>Melting_Curves/meltCurve_sp_Q02086_2_SP2_HUMAN_.pdf</v>
      </c>
      <c r="AA1534" t="s">
        <v>14395</v>
      </c>
      <c r="AB1534" t="s">
        <v>18618</v>
      </c>
    </row>
    <row r="1535" spans="1:28" x14ac:dyDescent="0.25">
      <c r="A1535" t="s">
        <v>1539</v>
      </c>
      <c r="B1535">
        <v>0.99876560204751996</v>
      </c>
      <c r="C1535">
        <v>0.98902317587316202</v>
      </c>
      <c r="D1535">
        <v>0.80770073802078401</v>
      </c>
      <c r="E1535">
        <v>0.48924017518222601</v>
      </c>
      <c r="F1535">
        <v>0.28083319540149099</v>
      </c>
      <c r="G1535">
        <v>0.117598527410782</v>
      </c>
      <c r="H1535">
        <v>4.5420391583795398E-2</v>
      </c>
      <c r="I1535">
        <v>3.2851490545718599E-2</v>
      </c>
      <c r="J1535">
        <v>2.9118619290777401E-2</v>
      </c>
      <c r="K1535">
        <v>2.3610212667603301E-2</v>
      </c>
      <c r="L1535">
        <v>900.33998974366898</v>
      </c>
      <c r="M1535">
        <v>18.0544361554904</v>
      </c>
      <c r="N1535">
        <v>49.970568325801104</v>
      </c>
      <c r="O1535">
        <v>49.268349536249097</v>
      </c>
      <c r="P1535">
        <v>-8.9951944198922204E-2</v>
      </c>
      <c r="Q1535">
        <v>1.81763070042384E-2</v>
      </c>
      <c r="R1535">
        <v>0.99857008400690195</v>
      </c>
      <c r="S1535" t="s">
        <v>5831</v>
      </c>
      <c r="T1535" t="s">
        <v>8590</v>
      </c>
      <c r="U1535" t="s">
        <v>8590</v>
      </c>
      <c r="V1535" t="s">
        <v>8590</v>
      </c>
      <c r="W1535">
        <v>43</v>
      </c>
      <c r="X1535" t="s">
        <v>10125</v>
      </c>
      <c r="Y1535">
        <v>0.35780975678789689</v>
      </c>
      <c r="Z1535" t="str">
        <f>HYPERLINK("Melting_Curves/meltCurve_sp_Q02252_MMSA_HUMAN_.pdf", "Melting_Curves/meltCurve_sp_Q02252_MMSA_HUMAN_.pdf")</f>
        <v>Melting_Curves/meltCurve_sp_Q02252_MMSA_HUMAN_.pdf</v>
      </c>
      <c r="AA1535" t="s">
        <v>14396</v>
      </c>
      <c r="AB1535" t="s">
        <v>18619</v>
      </c>
    </row>
    <row r="1536" spans="1:28" x14ac:dyDescent="0.25">
      <c r="A1536" t="s">
        <v>1540</v>
      </c>
      <c r="B1536">
        <v>0.99876560204751996</v>
      </c>
      <c r="C1536">
        <v>0.88463126086588895</v>
      </c>
      <c r="D1536">
        <v>0.67169594498130802</v>
      </c>
      <c r="E1536">
        <v>0.57830447328902601</v>
      </c>
      <c r="F1536">
        <v>0.389351758570049</v>
      </c>
      <c r="G1536">
        <v>0.30383083027385899</v>
      </c>
      <c r="H1536">
        <v>0.18172178913221401</v>
      </c>
      <c r="I1536">
        <v>0.15279177852287301</v>
      </c>
      <c r="J1536">
        <v>6.2390457811954299E-2</v>
      </c>
      <c r="K1536">
        <v>5.4997636649235002E-2</v>
      </c>
      <c r="L1536">
        <v>488.36344776985902</v>
      </c>
      <c r="M1536">
        <v>9.5571684131777506</v>
      </c>
      <c r="N1536">
        <v>51.0991604888276</v>
      </c>
      <c r="O1536">
        <v>49.012141594896597</v>
      </c>
      <c r="P1536">
        <v>-4.8777175100196198E-2</v>
      </c>
      <c r="Q1536">
        <v>0</v>
      </c>
      <c r="R1536">
        <v>0.986485195900627</v>
      </c>
      <c r="S1536" t="s">
        <v>5832</v>
      </c>
      <c r="T1536" t="s">
        <v>8590</v>
      </c>
      <c r="U1536" t="s">
        <v>8590</v>
      </c>
      <c r="V1536" t="s">
        <v>8590</v>
      </c>
      <c r="W1536">
        <v>9</v>
      </c>
      <c r="X1536" t="s">
        <v>10126</v>
      </c>
      <c r="Y1536">
        <v>0.41350556379125503</v>
      </c>
      <c r="Z1536" t="str">
        <f>HYPERLINK("Melting_Curves/meltCurve_sp_Q02318_CP27A_HUMAN_.pdf", "Melting_Curves/meltCurve_sp_Q02318_CP27A_HUMAN_.pdf")</f>
        <v>Melting_Curves/meltCurve_sp_Q02318_CP27A_HUMAN_.pdf</v>
      </c>
      <c r="AA1536" t="s">
        <v>14397</v>
      </c>
      <c r="AB1536" t="s">
        <v>18620</v>
      </c>
    </row>
    <row r="1537" spans="1:28" x14ac:dyDescent="0.25">
      <c r="A1537" t="s">
        <v>1541</v>
      </c>
      <c r="B1537">
        <v>0.99876560204751996</v>
      </c>
      <c r="C1537">
        <v>1.16794161092648</v>
      </c>
      <c r="D1537">
        <v>1.1012552298587801</v>
      </c>
      <c r="E1537">
        <v>1.1299081562497499</v>
      </c>
      <c r="F1537">
        <v>1.4004438483458701</v>
      </c>
      <c r="G1537">
        <v>1.0812384910748101</v>
      </c>
      <c r="H1537">
        <v>1.0236405452181201</v>
      </c>
      <c r="I1537">
        <v>0.96446094271552796</v>
      </c>
      <c r="J1537">
        <v>1.3271472071716</v>
      </c>
      <c r="K1537">
        <v>1.21318941108815</v>
      </c>
      <c r="L1537">
        <v>10306.4812917946</v>
      </c>
      <c r="M1537">
        <v>250</v>
      </c>
      <c r="O1537">
        <v>41.223287191111801</v>
      </c>
      <c r="P1537">
        <v>0.23739839063222901</v>
      </c>
      <c r="Q1537">
        <v>1.1565814715918501</v>
      </c>
      <c r="R1537">
        <v>0.125674357662937</v>
      </c>
      <c r="S1537" t="s">
        <v>5833</v>
      </c>
      <c r="T1537" t="s">
        <v>8590</v>
      </c>
      <c r="U1537" t="s">
        <v>8590</v>
      </c>
      <c r="V1537" t="s">
        <v>8590</v>
      </c>
      <c r="W1537">
        <v>5</v>
      </c>
      <c r="X1537" t="s">
        <v>10127</v>
      </c>
      <c r="Y1537">
        <v>1.1501711924671341</v>
      </c>
      <c r="Z1537" t="str">
        <f>HYPERLINK("Melting_Curves/meltCurve_sp_Q02325_PLGB_HUMAN_.pdf", "Melting_Curves/meltCurve_sp_Q02325_PLGB_HUMAN_.pdf")</f>
        <v>Melting_Curves/meltCurve_sp_Q02325_PLGB_HUMAN_.pdf</v>
      </c>
      <c r="AA1537" t="s">
        <v>14398</v>
      </c>
      <c r="AB1537" t="s">
        <v>18621</v>
      </c>
    </row>
    <row r="1538" spans="1:28" x14ac:dyDescent="0.25">
      <c r="A1538" t="s">
        <v>1542</v>
      </c>
      <c r="B1538">
        <v>0.99876560204751996</v>
      </c>
      <c r="C1538">
        <v>0.83385159075368398</v>
      </c>
      <c r="D1538">
        <v>0.84475511472285902</v>
      </c>
      <c r="E1538">
        <v>0.74482262217815198</v>
      </c>
      <c r="F1538">
        <v>0.66549680985764503</v>
      </c>
      <c r="G1538">
        <v>0.37155716201851702</v>
      </c>
      <c r="H1538">
        <v>0.17870221958905599</v>
      </c>
      <c r="I1538">
        <v>0.13234283131452099</v>
      </c>
      <c r="J1538">
        <v>0.120877838009939</v>
      </c>
      <c r="K1538">
        <v>0.12030856248025699</v>
      </c>
      <c r="L1538">
        <v>596.56344633089304</v>
      </c>
      <c r="M1538">
        <v>10.9387878845993</v>
      </c>
      <c r="N1538">
        <v>54.536521957000403</v>
      </c>
      <c r="O1538">
        <v>52.808898444490701</v>
      </c>
      <c r="P1538">
        <v>-5.18026255192462E-2</v>
      </c>
      <c r="Q1538">
        <v>0</v>
      </c>
      <c r="R1538">
        <v>0.97320441478379804</v>
      </c>
      <c r="S1538" t="s">
        <v>5834</v>
      </c>
      <c r="T1538" t="s">
        <v>8590</v>
      </c>
      <c r="U1538" t="s">
        <v>8590</v>
      </c>
      <c r="V1538" t="s">
        <v>8590</v>
      </c>
      <c r="W1538">
        <v>4</v>
      </c>
      <c r="X1538" t="s">
        <v>10128</v>
      </c>
      <c r="Y1538">
        <v>0.51102153985579757</v>
      </c>
      <c r="Z1538" t="str">
        <f>HYPERLINK("Melting_Curves/meltCurve_sp_Q02410_APBA1_HUMAN_.pdf", "Melting_Curves/meltCurve_sp_Q02410_APBA1_HUMAN_.pdf")</f>
        <v>Melting_Curves/meltCurve_sp_Q02410_APBA1_HUMAN_.pdf</v>
      </c>
      <c r="AA1538" t="s">
        <v>14399</v>
      </c>
      <c r="AB1538" t="s">
        <v>18622</v>
      </c>
    </row>
    <row r="1539" spans="1:28" x14ac:dyDescent="0.25">
      <c r="A1539" t="s">
        <v>1543</v>
      </c>
      <c r="B1539">
        <v>0.99876560204751996</v>
      </c>
      <c r="C1539">
        <v>0.94558218763829904</v>
      </c>
      <c r="D1539">
        <v>1.08912400306443</v>
      </c>
      <c r="E1539">
        <v>0.94516531466856601</v>
      </c>
      <c r="F1539">
        <v>1.05176961080821</v>
      </c>
      <c r="G1539">
        <v>0.79805628661389305</v>
      </c>
      <c r="H1539">
        <v>0.73158874788903705</v>
      </c>
      <c r="I1539">
        <v>0.69400843464903805</v>
      </c>
      <c r="J1539">
        <v>0.90211026728411603</v>
      </c>
      <c r="K1539">
        <v>0.67880633025592696</v>
      </c>
      <c r="L1539">
        <v>14166.2049038599</v>
      </c>
      <c r="M1539">
        <v>250</v>
      </c>
      <c r="O1539">
        <v>56.661193024268101</v>
      </c>
      <c r="P1539">
        <v>-0.27396567949977901</v>
      </c>
      <c r="Q1539">
        <v>0.75162844248555305</v>
      </c>
      <c r="R1539">
        <v>0.75877201666875704</v>
      </c>
      <c r="S1539" t="s">
        <v>5835</v>
      </c>
      <c r="T1539" t="s">
        <v>8590</v>
      </c>
      <c r="U1539" t="s">
        <v>8590</v>
      </c>
      <c r="V1539" t="s">
        <v>8590</v>
      </c>
      <c r="W1539">
        <v>2</v>
      </c>
      <c r="X1539" t="s">
        <v>10129</v>
      </c>
      <c r="Y1539">
        <v>0.88962204879892892</v>
      </c>
      <c r="Z1539" t="str">
        <f>HYPERLINK("Melting_Curves/meltCurve_sp_Q02487_2_DSC2_HUMAN_.pdf", "Melting_Curves/meltCurve_sp_Q02487_2_DSC2_HUMAN_.pdf")</f>
        <v>Melting_Curves/meltCurve_sp_Q02487_2_DSC2_HUMAN_.pdf</v>
      </c>
      <c r="AA1539" t="s">
        <v>14400</v>
      </c>
      <c r="AB1539" t="s">
        <v>18623</v>
      </c>
    </row>
    <row r="1540" spans="1:28" x14ac:dyDescent="0.25">
      <c r="A1540" t="s">
        <v>1544</v>
      </c>
      <c r="B1540">
        <v>0.99876560204751996</v>
      </c>
      <c r="C1540">
        <v>1.0928541151878901</v>
      </c>
      <c r="D1540">
        <v>1.1099455386413699</v>
      </c>
      <c r="E1540">
        <v>0.94169444021943605</v>
      </c>
      <c r="F1540">
        <v>0.83732899283116602</v>
      </c>
      <c r="G1540">
        <v>0.73762538025531699</v>
      </c>
      <c r="H1540">
        <v>0.43538175100680598</v>
      </c>
      <c r="I1540">
        <v>0.403532469772789</v>
      </c>
      <c r="J1540">
        <v>0.53525707510221199</v>
      </c>
      <c r="K1540">
        <v>0.46381267312293101</v>
      </c>
      <c r="L1540">
        <v>1337.27373042511</v>
      </c>
      <c r="M1540">
        <v>23.895576219527001</v>
      </c>
      <c r="N1540">
        <v>61.587207514912997</v>
      </c>
      <c r="O1540">
        <v>55.575713873477703</v>
      </c>
      <c r="P1540">
        <v>-5.9809368707603103E-2</v>
      </c>
      <c r="Q1540">
        <v>0.44359661942765799</v>
      </c>
      <c r="R1540">
        <v>0.93267245015679701</v>
      </c>
      <c r="S1540" t="s">
        <v>5836</v>
      </c>
      <c r="T1540" t="s">
        <v>8590</v>
      </c>
      <c r="U1540" t="s">
        <v>8590</v>
      </c>
      <c r="V1540" t="s">
        <v>8590</v>
      </c>
      <c r="W1540">
        <v>2</v>
      </c>
      <c r="X1540" t="s">
        <v>10130</v>
      </c>
      <c r="Y1540">
        <v>0.74516594831101002</v>
      </c>
      <c r="Z1540" t="str">
        <f>HYPERLINK("Melting_Curves/meltCurve_sp_Q02487_DSC2_HUMAN_.pdf", "Melting_Curves/meltCurve_sp_Q02487_DSC2_HUMAN_.pdf")</f>
        <v>Melting_Curves/meltCurve_sp_Q02487_DSC2_HUMAN_.pdf</v>
      </c>
      <c r="AA1540" t="s">
        <v>14400</v>
      </c>
      <c r="AB1540" t="s">
        <v>18624</v>
      </c>
    </row>
    <row r="1541" spans="1:28" x14ac:dyDescent="0.25">
      <c r="A1541" t="s">
        <v>1545</v>
      </c>
      <c r="B1541">
        <v>0.99876560204751996</v>
      </c>
      <c r="C1541">
        <v>0.87483520054243002</v>
      </c>
      <c r="D1541">
        <v>0.94876144540795704</v>
      </c>
      <c r="E1541">
        <v>0.68884548235697796</v>
      </c>
      <c r="F1541">
        <v>0.27169252748586398</v>
      </c>
      <c r="G1541">
        <v>0.105746771695576</v>
      </c>
      <c r="H1541">
        <v>5.8573666494993903E-2</v>
      </c>
      <c r="I1541">
        <v>4.83646683981434E-2</v>
      </c>
      <c r="J1541">
        <v>4.7269651258920499E-2</v>
      </c>
      <c r="K1541">
        <v>3.8218958212289697E-2</v>
      </c>
      <c r="L1541">
        <v>1505.83727878736</v>
      </c>
      <c r="M1541">
        <v>29.4759687519702</v>
      </c>
      <c r="N1541">
        <v>51.257548795714698</v>
      </c>
      <c r="O1541">
        <v>50.853538921701599</v>
      </c>
      <c r="P1541">
        <v>-0.13813630765235099</v>
      </c>
      <c r="Q1541">
        <v>4.6725685511477898E-2</v>
      </c>
      <c r="R1541">
        <v>0.98969903892229305</v>
      </c>
      <c r="S1541" t="s">
        <v>5837</v>
      </c>
      <c r="T1541" t="s">
        <v>8590</v>
      </c>
      <c r="U1541" t="s">
        <v>8590</v>
      </c>
      <c r="V1541" t="s">
        <v>8590</v>
      </c>
      <c r="W1541">
        <v>12</v>
      </c>
      <c r="X1541" t="s">
        <v>10131</v>
      </c>
      <c r="Y1541">
        <v>0.40523997023717728</v>
      </c>
      <c r="Z1541" t="str">
        <f>HYPERLINK("Melting_Curves/meltCurve_sp_Q02750_MP2K1_HUMAN_.pdf", "Melting_Curves/meltCurve_sp_Q02750_MP2K1_HUMAN_.pdf")</f>
        <v>Melting_Curves/meltCurve_sp_Q02750_MP2K1_HUMAN_.pdf</v>
      </c>
      <c r="AA1541" t="s">
        <v>14401</v>
      </c>
      <c r="AB1541" t="s">
        <v>18625</v>
      </c>
    </row>
    <row r="1542" spans="1:28" x14ac:dyDescent="0.25">
      <c r="A1542" t="s">
        <v>1546</v>
      </c>
      <c r="B1542">
        <v>0.99876560204751996</v>
      </c>
      <c r="C1542">
        <v>0.91603036983578401</v>
      </c>
      <c r="D1542">
        <v>0.89767854356229804</v>
      </c>
      <c r="E1542">
        <v>0.82326482113492805</v>
      </c>
      <c r="F1542">
        <v>0.38242262213008998</v>
      </c>
      <c r="G1542">
        <v>0.125127892923036</v>
      </c>
      <c r="H1542">
        <v>7.1398941744835298E-2</v>
      </c>
      <c r="I1542">
        <v>6.0358153895307999E-2</v>
      </c>
      <c r="J1542">
        <v>5.7065339409524497E-2</v>
      </c>
      <c r="K1542">
        <v>4.54399871754297E-2</v>
      </c>
      <c r="L1542">
        <v>1628.7897897662001</v>
      </c>
      <c r="M1542">
        <v>31.2912848052896</v>
      </c>
      <c r="N1542">
        <v>52.251210273507098</v>
      </c>
      <c r="O1542">
        <v>51.841297819671702</v>
      </c>
      <c r="P1542">
        <v>-0.142435590365386</v>
      </c>
      <c r="Q1542">
        <v>5.6094345249322101E-2</v>
      </c>
      <c r="R1542">
        <v>0.99000711516632001</v>
      </c>
      <c r="S1542" t="s">
        <v>5838</v>
      </c>
      <c r="T1542" t="s">
        <v>8590</v>
      </c>
      <c r="U1542" t="s">
        <v>8590</v>
      </c>
      <c r="V1542" t="s">
        <v>8590</v>
      </c>
      <c r="W1542">
        <v>24</v>
      </c>
      <c r="X1542" t="s">
        <v>10132</v>
      </c>
      <c r="Y1542">
        <v>0.44085993301933801</v>
      </c>
      <c r="Z1542" t="str">
        <f>HYPERLINK("Melting_Curves/meltCurve_sp_Q02790_FKBP4_HUMAN_.pdf", "Melting_Curves/meltCurve_sp_Q02790_FKBP4_HUMAN_.pdf")</f>
        <v>Melting_Curves/meltCurve_sp_Q02790_FKBP4_HUMAN_.pdf</v>
      </c>
      <c r="AA1542" t="s">
        <v>14402</v>
      </c>
      <c r="AB1542" t="s">
        <v>18626</v>
      </c>
    </row>
    <row r="1543" spans="1:28" x14ac:dyDescent="0.25">
      <c r="A1543" t="s">
        <v>1547</v>
      </c>
      <c r="B1543">
        <v>0.99876560204751996</v>
      </c>
      <c r="C1543">
        <v>0.99031011733930097</v>
      </c>
      <c r="D1543">
        <v>1.03815568591123</v>
      </c>
      <c r="E1543">
        <v>0.95831465832954499</v>
      </c>
      <c r="F1543">
        <v>0.92663285964280995</v>
      </c>
      <c r="G1543">
        <v>0.73737544749130701</v>
      </c>
      <c r="H1543">
        <v>0.64630398777590703</v>
      </c>
      <c r="I1543">
        <v>0.64217210149235504</v>
      </c>
      <c r="J1543">
        <v>0.77811900876586604</v>
      </c>
      <c r="K1543">
        <v>0.73998355438421104</v>
      </c>
      <c r="L1543">
        <v>2372.5257543912398</v>
      </c>
      <c r="M1543">
        <v>43.734756313610497</v>
      </c>
      <c r="O1543">
        <v>54.135009007629698</v>
      </c>
      <c r="P1543">
        <v>-6.0201725631044201E-2</v>
      </c>
      <c r="Q1543">
        <v>0.70192894561514096</v>
      </c>
      <c r="R1543">
        <v>0.918715606975536</v>
      </c>
      <c r="S1543" t="s">
        <v>5839</v>
      </c>
      <c r="T1543" t="s">
        <v>8590</v>
      </c>
      <c r="U1543" t="s">
        <v>8590</v>
      </c>
      <c r="V1543" t="s">
        <v>8590</v>
      </c>
      <c r="W1543">
        <v>33</v>
      </c>
      <c r="X1543" t="s">
        <v>10133</v>
      </c>
      <c r="Y1543">
        <v>0.844426145422426</v>
      </c>
      <c r="Z1543" t="str">
        <f>HYPERLINK("Melting_Curves/meltCurve_sp_Q02818_NUCB1_HUMAN_.pdf", "Melting_Curves/meltCurve_sp_Q02818_NUCB1_HUMAN_.pdf")</f>
        <v>Melting_Curves/meltCurve_sp_Q02818_NUCB1_HUMAN_.pdf</v>
      </c>
      <c r="AA1543" t="s">
        <v>14403</v>
      </c>
      <c r="AB1543" t="s">
        <v>18627</v>
      </c>
    </row>
    <row r="1544" spans="1:28" x14ac:dyDescent="0.25">
      <c r="A1544" t="s">
        <v>1548</v>
      </c>
      <c r="B1544">
        <v>0.99876560204751996</v>
      </c>
      <c r="C1544">
        <v>1.0228605045767201</v>
      </c>
      <c r="D1544">
        <v>0.65118870045936705</v>
      </c>
      <c r="E1544">
        <v>0.52190366016858603</v>
      </c>
      <c r="F1544">
        <v>0.26767595467095501</v>
      </c>
      <c r="G1544">
        <v>0.158796731405246</v>
      </c>
      <c r="H1544">
        <v>8.6609278347454605E-2</v>
      </c>
      <c r="I1544">
        <v>6.7413105593972206E-2</v>
      </c>
      <c r="J1544">
        <v>5.4283803024286398E-2</v>
      </c>
      <c r="K1544">
        <v>3.8067336210366801E-2</v>
      </c>
      <c r="L1544">
        <v>754.01492117170903</v>
      </c>
      <c r="M1544">
        <v>15.2851990437723</v>
      </c>
      <c r="N1544">
        <v>49.585395973048499</v>
      </c>
      <c r="O1544">
        <v>48.5085212411717</v>
      </c>
      <c r="P1544">
        <v>-7.5798034848104795E-2</v>
      </c>
      <c r="Q1544">
        <v>3.7891315034848501E-2</v>
      </c>
      <c r="R1544">
        <v>0.97913232099235203</v>
      </c>
      <c r="S1544" t="s">
        <v>5840</v>
      </c>
      <c r="T1544" t="s">
        <v>8590</v>
      </c>
      <c r="U1544" t="s">
        <v>8590</v>
      </c>
      <c r="V1544" t="s">
        <v>8590</v>
      </c>
      <c r="W1544">
        <v>4</v>
      </c>
      <c r="X1544" t="s">
        <v>10134</v>
      </c>
      <c r="Y1544">
        <v>0.35975799983229079</v>
      </c>
      <c r="Z1544" t="str">
        <f>HYPERLINK("Melting_Curves/meltCurve_sp_Q02928_CP4AB_HUMAN_.pdf", "Melting_Curves/meltCurve_sp_Q02928_CP4AB_HUMAN_.pdf")</f>
        <v>Melting_Curves/meltCurve_sp_Q02928_CP4AB_HUMAN_.pdf</v>
      </c>
      <c r="AA1544" t="s">
        <v>14404</v>
      </c>
      <c r="AB1544" t="s">
        <v>18628</v>
      </c>
    </row>
    <row r="1545" spans="1:28" x14ac:dyDescent="0.25">
      <c r="A1545" t="s">
        <v>1549</v>
      </c>
      <c r="B1545">
        <v>0.99876560204751996</v>
      </c>
      <c r="C1545">
        <v>0.88612241752927301</v>
      </c>
      <c r="D1545">
        <v>0.99081970603984104</v>
      </c>
      <c r="E1545">
        <v>0.870960981442779</v>
      </c>
      <c r="F1545">
        <v>0.60373481014278196</v>
      </c>
      <c r="G1545">
        <v>0.38038089290843802</v>
      </c>
      <c r="H1545">
        <v>0.515312727266102</v>
      </c>
      <c r="I1545">
        <v>0.51464050338558498</v>
      </c>
      <c r="J1545">
        <v>0.64031727277422901</v>
      </c>
      <c r="K1545">
        <v>0.61103676111177196</v>
      </c>
      <c r="L1545">
        <v>2626.6895427123</v>
      </c>
      <c r="M1545">
        <v>51.536896797009</v>
      </c>
      <c r="O1545">
        <v>50.890601244290302</v>
      </c>
      <c r="P1545">
        <v>-0.117947085811019</v>
      </c>
      <c r="Q1545">
        <v>0.53412844318253005</v>
      </c>
      <c r="R1545">
        <v>0.87093245353069304</v>
      </c>
      <c r="S1545" t="s">
        <v>5841</v>
      </c>
      <c r="T1545" t="s">
        <v>8590</v>
      </c>
      <c r="U1545" t="s">
        <v>8590</v>
      </c>
      <c r="V1545" t="s">
        <v>8590</v>
      </c>
      <c r="W1545">
        <v>1</v>
      </c>
      <c r="X1545" t="s">
        <v>10135</v>
      </c>
      <c r="Y1545">
        <v>0.70542360792447856</v>
      </c>
      <c r="Z1545" t="str">
        <f>HYPERLINK("Melting_Curves/meltCurve_sp_Q02952_3_AKA12_HUMAN_.pdf", "Melting_Curves/meltCurve_sp_Q02952_3_AKA12_HUMAN_.pdf")</f>
        <v>Melting_Curves/meltCurve_sp_Q02952_3_AKA12_HUMAN_.pdf</v>
      </c>
      <c r="AA1545" t="s">
        <v>14405</v>
      </c>
      <c r="AB1545" t="s">
        <v>18629</v>
      </c>
    </row>
    <row r="1546" spans="1:28" x14ac:dyDescent="0.25">
      <c r="A1546" t="s">
        <v>1550</v>
      </c>
      <c r="B1546">
        <v>0.99876560204751996</v>
      </c>
      <c r="C1546">
        <v>0.99265436584250599</v>
      </c>
      <c r="D1546">
        <v>0.88986662466272304</v>
      </c>
      <c r="E1546">
        <v>0.70402632194090398</v>
      </c>
      <c r="F1546">
        <v>0.492378929635027</v>
      </c>
      <c r="G1546">
        <v>0.337923583810744</v>
      </c>
      <c r="H1546">
        <v>0.26170944259915502</v>
      </c>
      <c r="I1546">
        <v>0.227080359996152</v>
      </c>
      <c r="J1546">
        <v>0.248352111155137</v>
      </c>
      <c r="K1546">
        <v>0.19746493889563699</v>
      </c>
      <c r="L1546">
        <v>875.09627165658003</v>
      </c>
      <c r="M1546">
        <v>17.0406113840776</v>
      </c>
      <c r="N1546">
        <v>53.039170768507297</v>
      </c>
      <c r="O1546">
        <v>50.662003731970103</v>
      </c>
      <c r="P1546">
        <v>-6.65124177166765E-2</v>
      </c>
      <c r="Q1546">
        <v>0.20907860802098299</v>
      </c>
      <c r="R1546">
        <v>0.99805421468771605</v>
      </c>
      <c r="S1546" t="s">
        <v>5842</v>
      </c>
      <c r="T1546" t="s">
        <v>8590</v>
      </c>
      <c r="U1546" t="s">
        <v>8590</v>
      </c>
      <c r="V1546" t="s">
        <v>8590</v>
      </c>
      <c r="W1546">
        <v>4</v>
      </c>
      <c r="X1546" t="s">
        <v>10136</v>
      </c>
      <c r="Y1546">
        <v>0.5230088734995243</v>
      </c>
      <c r="Z1546" t="str">
        <f>HYPERLINK("Melting_Curves/meltCurve_sp_Q02985_2_FHR3_HUMAN_.pdf", "Melting_Curves/meltCurve_sp_Q02985_2_FHR3_HUMAN_.pdf")</f>
        <v>Melting_Curves/meltCurve_sp_Q02985_2_FHR3_HUMAN_.pdf</v>
      </c>
      <c r="AA1546" t="s">
        <v>14406</v>
      </c>
      <c r="AB1546" t="s">
        <v>18630</v>
      </c>
    </row>
    <row r="1547" spans="1:28" x14ac:dyDescent="0.25">
      <c r="A1547" t="s">
        <v>1551</v>
      </c>
      <c r="B1547">
        <v>0.99876560204751996</v>
      </c>
      <c r="C1547">
        <v>1.0814532631323199</v>
      </c>
      <c r="D1547">
        <v>0.91694453402188802</v>
      </c>
      <c r="E1547">
        <v>0.94635377980606805</v>
      </c>
      <c r="F1547">
        <v>0.55633194177738099</v>
      </c>
      <c r="G1547">
        <v>0.194015957693702</v>
      </c>
      <c r="H1547">
        <v>0.111961453453888</v>
      </c>
      <c r="I1547">
        <v>9.4034080008118304E-2</v>
      </c>
      <c r="J1547">
        <v>9.7206112063423902E-2</v>
      </c>
      <c r="K1547">
        <v>7.1258977581535002E-2</v>
      </c>
      <c r="L1547">
        <v>1872.10629733418</v>
      </c>
      <c r="M1547">
        <v>35.203061359915402</v>
      </c>
      <c r="N1547">
        <v>53.496587315454498</v>
      </c>
      <c r="O1547">
        <v>53.009478505785196</v>
      </c>
      <c r="P1547">
        <v>-0.150421380727215</v>
      </c>
      <c r="Q1547">
        <v>9.3972949019834495E-2</v>
      </c>
      <c r="R1547">
        <v>0.99098389102252205</v>
      </c>
      <c r="S1547" t="s">
        <v>5843</v>
      </c>
      <c r="T1547" t="s">
        <v>8590</v>
      </c>
      <c r="U1547" t="s">
        <v>8590</v>
      </c>
      <c r="V1547" t="s">
        <v>8590</v>
      </c>
      <c r="W1547">
        <v>32</v>
      </c>
      <c r="X1547" t="s">
        <v>10137</v>
      </c>
      <c r="Y1547">
        <v>0.49632181533453379</v>
      </c>
      <c r="Z1547" t="str">
        <f>HYPERLINK("Melting_Curves/meltCurve_sp_Q03001_8_DYST_HUMAN_.pdf", "Melting_Curves/meltCurve_sp_Q03001_8_DYST_HUMAN_.pdf")</f>
        <v>Melting_Curves/meltCurve_sp_Q03001_8_DYST_HUMAN_.pdf</v>
      </c>
      <c r="AA1547" t="s">
        <v>14407</v>
      </c>
      <c r="AB1547" t="s">
        <v>18631</v>
      </c>
    </row>
    <row r="1548" spans="1:28" x14ac:dyDescent="0.25">
      <c r="A1548" t="s">
        <v>1552</v>
      </c>
      <c r="B1548">
        <v>0.99876560204751996</v>
      </c>
      <c r="C1548">
        <v>0.85428751967002403</v>
      </c>
      <c r="D1548">
        <v>0.82451695399519598</v>
      </c>
      <c r="E1548">
        <v>0.649853768456507</v>
      </c>
      <c r="F1548">
        <v>0.34872116759662303</v>
      </c>
      <c r="G1548">
        <v>0.16309664271100799</v>
      </c>
      <c r="H1548">
        <v>0.10158378434979599</v>
      </c>
      <c r="I1548">
        <v>7.8853304003071195E-2</v>
      </c>
      <c r="J1548">
        <v>8.0573540635616503E-2</v>
      </c>
      <c r="K1548">
        <v>6.3013676160519394E-2</v>
      </c>
      <c r="L1548">
        <v>757.148735315914</v>
      </c>
      <c r="M1548">
        <v>14.8844244520903</v>
      </c>
      <c r="N1548">
        <v>51.1183728719827</v>
      </c>
      <c r="O1548">
        <v>49.976811423901601</v>
      </c>
      <c r="P1548">
        <v>-7.1852034369263004E-2</v>
      </c>
      <c r="Q1548">
        <v>3.5082162971462098E-2</v>
      </c>
      <c r="R1548">
        <v>0.98767400317882603</v>
      </c>
      <c r="S1548" t="s">
        <v>5844</v>
      </c>
      <c r="T1548" t="s">
        <v>8590</v>
      </c>
      <c r="U1548" t="s">
        <v>8590</v>
      </c>
      <c r="V1548" t="s">
        <v>8590</v>
      </c>
      <c r="W1548">
        <v>10</v>
      </c>
      <c r="X1548" t="s">
        <v>10138</v>
      </c>
      <c r="Y1548">
        <v>0.40733383717263683</v>
      </c>
      <c r="Z1548" t="str">
        <f>HYPERLINK("Melting_Curves/meltCurve_sp_Q03013_2_GSTM4_HUMAN_.pdf", "Melting_Curves/meltCurve_sp_Q03013_2_GSTM4_HUMAN_.pdf")</f>
        <v>Melting_Curves/meltCurve_sp_Q03013_2_GSTM4_HUMAN_.pdf</v>
      </c>
      <c r="AA1548" t="s">
        <v>14408</v>
      </c>
      <c r="AB1548" t="s">
        <v>18632</v>
      </c>
    </row>
    <row r="1549" spans="1:28" x14ac:dyDescent="0.25">
      <c r="A1549" t="s">
        <v>1553</v>
      </c>
      <c r="B1549">
        <v>0.99876560204751996</v>
      </c>
      <c r="C1549">
        <v>1.0201273502292401</v>
      </c>
      <c r="D1549">
        <v>0.98785968333139695</v>
      </c>
      <c r="E1549">
        <v>0.96608475822808704</v>
      </c>
      <c r="F1549">
        <v>0.90199308247238297</v>
      </c>
      <c r="G1549">
        <v>0.75472240362413401</v>
      </c>
      <c r="H1549">
        <v>0.60848585633455199</v>
      </c>
      <c r="I1549">
        <v>0.599075475786504</v>
      </c>
      <c r="J1549">
        <v>0.58170846927210695</v>
      </c>
      <c r="K1549">
        <v>0.44893945681918401</v>
      </c>
      <c r="L1549">
        <v>856.34359394641501</v>
      </c>
      <c r="M1549">
        <v>14.7612453524592</v>
      </c>
      <c r="O1549">
        <v>56.979465479643601</v>
      </c>
      <c r="P1549">
        <v>-3.4841045007544202E-2</v>
      </c>
      <c r="Q1549">
        <v>0.462102127489319</v>
      </c>
      <c r="R1549">
        <v>0.97961824457301605</v>
      </c>
      <c r="S1549" t="s">
        <v>5845</v>
      </c>
      <c r="T1549" t="s">
        <v>8590</v>
      </c>
      <c r="U1549" t="s">
        <v>8590</v>
      </c>
      <c r="V1549" t="s">
        <v>8590</v>
      </c>
      <c r="W1549">
        <v>37</v>
      </c>
      <c r="X1549" t="s">
        <v>10139</v>
      </c>
      <c r="Y1549">
        <v>0.79229606084398274</v>
      </c>
      <c r="Z1549" t="str">
        <f>HYPERLINK("Melting_Curves/meltCurve_sp_Q03154_ACY1_HUMAN_.pdf", "Melting_Curves/meltCurve_sp_Q03154_ACY1_HUMAN_.pdf")</f>
        <v>Melting_Curves/meltCurve_sp_Q03154_ACY1_HUMAN_.pdf</v>
      </c>
      <c r="AA1549" t="s">
        <v>14409</v>
      </c>
      <c r="AB1549" t="s">
        <v>18633</v>
      </c>
    </row>
    <row r="1550" spans="1:28" x14ac:dyDescent="0.25">
      <c r="A1550" t="s">
        <v>1554</v>
      </c>
      <c r="B1550">
        <v>0.99876560204751996</v>
      </c>
      <c r="C1550">
        <v>1.01687933191672</v>
      </c>
      <c r="D1550">
        <v>1.0311947360678499</v>
      </c>
      <c r="E1550">
        <v>0.94777607452318202</v>
      </c>
      <c r="F1550">
        <v>0.93872252822875402</v>
      </c>
      <c r="G1550">
        <v>0.69748195827728399</v>
      </c>
      <c r="H1550">
        <v>0.54403541454335502</v>
      </c>
      <c r="I1550">
        <v>0.49728049671754898</v>
      </c>
      <c r="J1550">
        <v>0.59165624232812297</v>
      </c>
      <c r="K1550">
        <v>0.58384969506503004</v>
      </c>
      <c r="L1550">
        <v>2030.68255704748</v>
      </c>
      <c r="M1550">
        <v>36.449307208399802</v>
      </c>
      <c r="O1550">
        <v>55.545612604181699</v>
      </c>
      <c r="P1550">
        <v>-7.3787604673445598E-2</v>
      </c>
      <c r="Q1550">
        <v>0.550217471536397</v>
      </c>
      <c r="R1550">
        <v>0.97704508938718904</v>
      </c>
      <c r="S1550" t="s">
        <v>5846</v>
      </c>
      <c r="T1550" t="s">
        <v>8590</v>
      </c>
      <c r="U1550" t="s">
        <v>8590</v>
      </c>
      <c r="V1550" t="s">
        <v>8590</v>
      </c>
      <c r="W1550">
        <v>19</v>
      </c>
      <c r="X1550" t="s">
        <v>10140</v>
      </c>
      <c r="Y1550">
        <v>0.78785884200148648</v>
      </c>
      <c r="Z1550" t="str">
        <f>HYPERLINK("Melting_Curves/meltCurve_sp_Q03252_LMNB2_HUMAN_.pdf", "Melting_Curves/meltCurve_sp_Q03252_LMNB2_HUMAN_.pdf")</f>
        <v>Melting_Curves/meltCurve_sp_Q03252_LMNB2_HUMAN_.pdf</v>
      </c>
      <c r="AA1550" t="s">
        <v>14410</v>
      </c>
      <c r="AB1550" t="s">
        <v>18634</v>
      </c>
    </row>
    <row r="1551" spans="1:28" x14ac:dyDescent="0.25">
      <c r="A1551" t="s">
        <v>1555</v>
      </c>
      <c r="B1551">
        <v>0.99876560204751996</v>
      </c>
      <c r="C1551">
        <v>1.0245554329062401</v>
      </c>
      <c r="D1551">
        <v>1.0324266006452001</v>
      </c>
      <c r="E1551">
        <v>0.90424816220926396</v>
      </c>
      <c r="F1551">
        <v>0.77678473331339004</v>
      </c>
      <c r="G1551">
        <v>0.465288851689453</v>
      </c>
      <c r="H1551">
        <v>0.26643459837310002</v>
      </c>
      <c r="I1551">
        <v>0.19046132645126301</v>
      </c>
      <c r="J1551">
        <v>0.14828655167205801</v>
      </c>
      <c r="K1551">
        <v>0.113236054023585</v>
      </c>
      <c r="L1551">
        <v>1076.5211531233699</v>
      </c>
      <c r="M1551">
        <v>19.2477920517582</v>
      </c>
      <c r="N1551">
        <v>56.653492350744997</v>
      </c>
      <c r="O1551">
        <v>55.336363103315499</v>
      </c>
      <c r="P1551">
        <v>-7.74812190628279E-2</v>
      </c>
      <c r="Q1551">
        <v>0.109016298434261</v>
      </c>
      <c r="R1551">
        <v>0.99746306250148997</v>
      </c>
      <c r="S1551" t="s">
        <v>5847</v>
      </c>
      <c r="T1551" t="s">
        <v>8590</v>
      </c>
      <c r="U1551" t="s">
        <v>8590</v>
      </c>
      <c r="V1551" t="s">
        <v>8590</v>
      </c>
      <c r="W1551">
        <v>9</v>
      </c>
      <c r="X1551" t="s">
        <v>10141</v>
      </c>
      <c r="Y1551">
        <v>0.59423290703621701</v>
      </c>
      <c r="Z1551" t="str">
        <f>HYPERLINK("Melting_Curves/meltCurve_sp_Q03591_FHR1_HUMAN_.pdf", "Melting_Curves/meltCurve_sp_Q03591_FHR1_HUMAN_.pdf")</f>
        <v>Melting_Curves/meltCurve_sp_Q03591_FHR1_HUMAN_.pdf</v>
      </c>
      <c r="AA1551" t="s">
        <v>14411</v>
      </c>
      <c r="AB1551" t="s">
        <v>18635</v>
      </c>
    </row>
    <row r="1552" spans="1:28" x14ac:dyDescent="0.25">
      <c r="A1552" t="s">
        <v>1556</v>
      </c>
      <c r="B1552">
        <v>0.99876560204751996</v>
      </c>
      <c r="C1552">
        <v>0.93488344176990901</v>
      </c>
      <c r="D1552">
        <v>0.89320592748614802</v>
      </c>
      <c r="E1552">
        <v>0.85158757933754803</v>
      </c>
      <c r="F1552">
        <v>0.22263792582800901</v>
      </c>
      <c r="G1552">
        <v>0.136470201418599</v>
      </c>
      <c r="H1552">
        <v>8.7637588034011796E-2</v>
      </c>
      <c r="I1552">
        <v>7.1496910751179199E-2</v>
      </c>
      <c r="J1552">
        <v>6.6926269224163601E-2</v>
      </c>
      <c r="K1552">
        <v>5.1339197739593202E-2</v>
      </c>
      <c r="L1552">
        <v>2893.3928968556602</v>
      </c>
      <c r="M1552">
        <v>56.255267435076</v>
      </c>
      <c r="N1552">
        <v>51.595880885853099</v>
      </c>
      <c r="O1552">
        <v>51.368412149530997</v>
      </c>
      <c r="P1552">
        <v>-0.251546062754676</v>
      </c>
      <c r="Q1552">
        <v>8.1222851339161406E-2</v>
      </c>
      <c r="R1552">
        <v>0.98808121465223897</v>
      </c>
      <c r="S1552" t="s">
        <v>5848</v>
      </c>
      <c r="T1552" t="s">
        <v>8590</v>
      </c>
      <c r="U1552" t="s">
        <v>8590</v>
      </c>
      <c r="V1552" t="s">
        <v>8590</v>
      </c>
      <c r="W1552">
        <v>30</v>
      </c>
      <c r="X1552" t="s">
        <v>10142</v>
      </c>
      <c r="Y1552">
        <v>0.43302210457611873</v>
      </c>
      <c r="Z1552" t="str">
        <f>HYPERLINK("Melting_Curves/meltCurve_sp_Q04446_GLGB_HUMAN_.pdf", "Melting_Curves/meltCurve_sp_Q04446_GLGB_HUMAN_.pdf")</f>
        <v>Melting_Curves/meltCurve_sp_Q04446_GLGB_HUMAN_.pdf</v>
      </c>
      <c r="AA1552" t="s">
        <v>14412</v>
      </c>
      <c r="AB1552" t="s">
        <v>18636</v>
      </c>
    </row>
    <row r="1553" spans="1:28" x14ac:dyDescent="0.25">
      <c r="A1553" t="s">
        <v>1557</v>
      </c>
      <c r="B1553">
        <v>0.99876560204751996</v>
      </c>
      <c r="C1553">
        <v>0.97711840132314298</v>
      </c>
      <c r="D1553">
        <v>1.01473015200846</v>
      </c>
      <c r="E1553">
        <v>0.89591502163044301</v>
      </c>
      <c r="F1553">
        <v>0.65762249382418303</v>
      </c>
      <c r="G1553">
        <v>0.37213998363988998</v>
      </c>
      <c r="H1553">
        <v>0.30080464121940098</v>
      </c>
      <c r="I1553">
        <v>0.28366507673131602</v>
      </c>
      <c r="J1553">
        <v>0.32709376742900198</v>
      </c>
      <c r="K1553">
        <v>0.31035232569418097</v>
      </c>
      <c r="L1553">
        <v>1637.6806592769599</v>
      </c>
      <c r="M1553">
        <v>30.892284575828899</v>
      </c>
      <c r="N1553">
        <v>54.645825079537701</v>
      </c>
      <c r="O1553">
        <v>52.791974262070497</v>
      </c>
      <c r="P1553">
        <v>-0.102201530054464</v>
      </c>
      <c r="Q1553">
        <v>0.30139357707273301</v>
      </c>
      <c r="R1553">
        <v>0.99754188801867005</v>
      </c>
      <c r="S1553" t="s">
        <v>5849</v>
      </c>
      <c r="T1553" t="s">
        <v>8590</v>
      </c>
      <c r="U1553" t="s">
        <v>8590</v>
      </c>
      <c r="V1553" t="s">
        <v>8590</v>
      </c>
      <c r="W1553">
        <v>50</v>
      </c>
      <c r="X1553" t="s">
        <v>10143</v>
      </c>
      <c r="Y1553">
        <v>0.60869460724054514</v>
      </c>
      <c r="Z1553" t="str">
        <f>HYPERLINK("Melting_Curves/meltCurve_sp_Q04637_5_IF4G1_HUMAN_.pdf", "Melting_Curves/meltCurve_sp_Q04637_5_IF4G1_HUMAN_.pdf")</f>
        <v>Melting_Curves/meltCurve_sp_Q04637_5_IF4G1_HUMAN_.pdf</v>
      </c>
      <c r="AA1553" t="s">
        <v>14413</v>
      </c>
      <c r="AB1553" t="s">
        <v>18637</v>
      </c>
    </row>
    <row r="1554" spans="1:28" x14ac:dyDescent="0.25">
      <c r="A1554" t="s">
        <v>1558</v>
      </c>
      <c r="B1554">
        <v>0.99876560204751996</v>
      </c>
      <c r="C1554">
        <v>0.94444661313322498</v>
      </c>
      <c r="D1554">
        <v>1.0722208147524701</v>
      </c>
      <c r="E1554">
        <v>0.91570294989231704</v>
      </c>
      <c r="F1554">
        <v>0.85044101173369402</v>
      </c>
      <c r="G1554">
        <v>0.56945275370990001</v>
      </c>
      <c r="H1554">
        <v>0.63088174010375997</v>
      </c>
      <c r="I1554">
        <v>0.58870422852766402</v>
      </c>
      <c r="J1554">
        <v>0.72337420454767998</v>
      </c>
      <c r="K1554">
        <v>0.67276136504631501</v>
      </c>
      <c r="L1554">
        <v>3068.5193918985601</v>
      </c>
      <c r="M1554">
        <v>57.689935337233997</v>
      </c>
      <c r="O1554">
        <v>53.126045706929503</v>
      </c>
      <c r="P1554">
        <v>-9.8647713224879904E-2</v>
      </c>
      <c r="Q1554">
        <v>0.63662559384641204</v>
      </c>
      <c r="R1554">
        <v>0.89652529428995897</v>
      </c>
      <c r="S1554" t="s">
        <v>5850</v>
      </c>
      <c r="T1554" t="s">
        <v>8590</v>
      </c>
      <c r="U1554" t="s">
        <v>8590</v>
      </c>
      <c r="V1554" t="s">
        <v>8590</v>
      </c>
      <c r="W1554">
        <v>3</v>
      </c>
      <c r="X1554" t="s">
        <v>10144</v>
      </c>
      <c r="Y1554">
        <v>0.79702697605127548</v>
      </c>
      <c r="Z1554" t="str">
        <f>HYPERLINK("Melting_Curves/meltCurve_sp_Q04721_NOTC2_HUMAN_.pdf", "Melting_Curves/meltCurve_sp_Q04721_NOTC2_HUMAN_.pdf")</f>
        <v>Melting_Curves/meltCurve_sp_Q04721_NOTC2_HUMAN_.pdf</v>
      </c>
      <c r="AA1554" t="s">
        <v>14414</v>
      </c>
      <c r="AB1554" t="s">
        <v>18638</v>
      </c>
    </row>
    <row r="1555" spans="1:28" x14ac:dyDescent="0.25">
      <c r="A1555" t="s">
        <v>1559</v>
      </c>
      <c r="B1555">
        <v>0.99876560204751996</v>
      </c>
      <c r="C1555">
        <v>0.96170864713035198</v>
      </c>
      <c r="D1555">
        <v>0.94553983259639396</v>
      </c>
      <c r="E1555">
        <v>0.756125647186771</v>
      </c>
      <c r="F1555">
        <v>0.66044995398969697</v>
      </c>
      <c r="G1555">
        <v>0.55896824004932699</v>
      </c>
      <c r="H1555">
        <v>0.39605887416489799</v>
      </c>
      <c r="I1555">
        <v>0.30267160704072799</v>
      </c>
      <c r="J1555">
        <v>0.32468587109029401</v>
      </c>
      <c r="K1555">
        <v>0.278736166109464</v>
      </c>
      <c r="L1555">
        <v>605.60258799440305</v>
      </c>
      <c r="M1555">
        <v>11.094822828403</v>
      </c>
      <c r="N1555">
        <v>57.479407926613703</v>
      </c>
      <c r="O1555">
        <v>52.900965772691301</v>
      </c>
      <c r="P1555">
        <v>-4.1221828433467597E-2</v>
      </c>
      <c r="Q1555">
        <v>0.214061162711011</v>
      </c>
      <c r="R1555">
        <v>0.99121841084203</v>
      </c>
      <c r="S1555" t="s">
        <v>5851</v>
      </c>
      <c r="T1555" t="s">
        <v>8590</v>
      </c>
      <c r="U1555" t="s">
        <v>8590</v>
      </c>
      <c r="V1555" t="s">
        <v>8590</v>
      </c>
      <c r="W1555">
        <v>6</v>
      </c>
      <c r="X1555" t="s">
        <v>10145</v>
      </c>
      <c r="Y1555">
        <v>0.61661963901027705</v>
      </c>
      <c r="Z1555" t="str">
        <f>HYPERLINK("Melting_Curves/meltCurve_sp_Q04724_TLE1_HUMAN_.pdf", "Melting_Curves/meltCurve_sp_Q04724_TLE1_HUMAN_.pdf")</f>
        <v>Melting_Curves/meltCurve_sp_Q04724_TLE1_HUMAN_.pdf</v>
      </c>
      <c r="AA1555" t="s">
        <v>14415</v>
      </c>
      <c r="AB1555" t="s">
        <v>18639</v>
      </c>
    </row>
    <row r="1556" spans="1:28" x14ac:dyDescent="0.25">
      <c r="A1556" t="s">
        <v>1560</v>
      </c>
      <c r="B1556">
        <v>0.99876560204751996</v>
      </c>
      <c r="C1556">
        <v>0.93835154684670496</v>
      </c>
      <c r="D1556">
        <v>0.83292181390478504</v>
      </c>
      <c r="E1556">
        <v>0.81230804459888295</v>
      </c>
      <c r="F1556">
        <v>0.81719717589431495</v>
      </c>
      <c r="G1556">
        <v>0.562477792391335</v>
      </c>
      <c r="H1556">
        <v>0.40588551013970597</v>
      </c>
      <c r="I1556">
        <v>0.414210474667357</v>
      </c>
      <c r="J1556">
        <v>0.50091975420855905</v>
      </c>
      <c r="K1556">
        <v>0.43543186667961398</v>
      </c>
      <c r="L1556">
        <v>597.74574407292596</v>
      </c>
      <c r="M1556">
        <v>11.135399933331</v>
      </c>
      <c r="N1556">
        <v>60.972826035024802</v>
      </c>
      <c r="O1556">
        <v>52.035819956196399</v>
      </c>
      <c r="P1556">
        <v>-3.38212566860474E-2</v>
      </c>
      <c r="Q1556">
        <v>0.36801530657027598</v>
      </c>
      <c r="R1556">
        <v>0.92373471394823303</v>
      </c>
      <c r="S1556" t="s">
        <v>5852</v>
      </c>
      <c r="T1556" t="s">
        <v>8590</v>
      </c>
      <c r="U1556" t="s">
        <v>8590</v>
      </c>
      <c r="V1556" t="s">
        <v>8590</v>
      </c>
      <c r="W1556">
        <v>5</v>
      </c>
      <c r="X1556" t="s">
        <v>10146</v>
      </c>
      <c r="Y1556">
        <v>0.67443352008479274</v>
      </c>
      <c r="Z1556" t="str">
        <f>HYPERLINK("Melting_Curves/meltCurve_sp_Q04726_2_TLE3_HUMAN_.pdf", "Melting_Curves/meltCurve_sp_Q04726_2_TLE3_HUMAN_.pdf")</f>
        <v>Melting_Curves/meltCurve_sp_Q04726_2_TLE3_HUMAN_.pdf</v>
      </c>
      <c r="AA1556" t="s">
        <v>14416</v>
      </c>
      <c r="AB1556" t="s">
        <v>18640</v>
      </c>
    </row>
    <row r="1557" spans="1:28" x14ac:dyDescent="0.25">
      <c r="A1557" t="s">
        <v>1561</v>
      </c>
      <c r="B1557">
        <v>0.99876560204751996</v>
      </c>
      <c r="C1557">
        <v>0.87290591832423203</v>
      </c>
      <c r="D1557">
        <v>0.83101168789847202</v>
      </c>
      <c r="E1557">
        <v>0.76280196763250996</v>
      </c>
      <c r="F1557">
        <v>0.624695352314385</v>
      </c>
      <c r="G1557">
        <v>0.37688989870677397</v>
      </c>
      <c r="H1557">
        <v>0.28451161483156001</v>
      </c>
      <c r="I1557">
        <v>0.15569055333426801</v>
      </c>
      <c r="J1557">
        <v>0.104911795751448</v>
      </c>
      <c r="K1557">
        <v>0.10395546603525101</v>
      </c>
      <c r="L1557">
        <v>563.25059722575099</v>
      </c>
      <c r="M1557">
        <v>10.281500126493</v>
      </c>
      <c r="N1557">
        <v>54.7829198035069</v>
      </c>
      <c r="O1557">
        <v>52.8318854422402</v>
      </c>
      <c r="P1557">
        <v>-4.8673255119525902E-2</v>
      </c>
      <c r="Q1557">
        <v>0</v>
      </c>
      <c r="R1557">
        <v>0.98747825515179699</v>
      </c>
      <c r="S1557" t="s">
        <v>5853</v>
      </c>
      <c r="T1557" t="s">
        <v>8590</v>
      </c>
      <c r="U1557" t="s">
        <v>8590</v>
      </c>
      <c r="V1557" t="s">
        <v>8590</v>
      </c>
      <c r="W1557">
        <v>3</v>
      </c>
      <c r="X1557" t="s">
        <v>10147</v>
      </c>
      <c r="Y1557">
        <v>0.51925517624484785</v>
      </c>
      <c r="Z1557" t="str">
        <f>HYPERLINK("Melting_Curves/meltCurve_sp_Q04756_HGFA_HUMAN_.pdf", "Melting_Curves/meltCurve_sp_Q04756_HGFA_HUMAN_.pdf")</f>
        <v>Melting_Curves/meltCurve_sp_Q04756_HGFA_HUMAN_.pdf</v>
      </c>
      <c r="AA1557" t="s">
        <v>14417</v>
      </c>
      <c r="AB1557" t="s">
        <v>18641</v>
      </c>
    </row>
    <row r="1558" spans="1:28" x14ac:dyDescent="0.25">
      <c r="A1558" t="s">
        <v>1562</v>
      </c>
      <c r="B1558">
        <v>0.99876560204751996</v>
      </c>
      <c r="C1558">
        <v>0.99576872941273997</v>
      </c>
      <c r="D1558">
        <v>1.10429858960382</v>
      </c>
      <c r="E1558">
        <v>0.94493391369568702</v>
      </c>
      <c r="F1558">
        <v>0.93183145208509799</v>
      </c>
      <c r="G1558">
        <v>0.64952078749221098</v>
      </c>
      <c r="H1558">
        <v>0.41646174735578101</v>
      </c>
      <c r="I1558">
        <v>0.32481610019022</v>
      </c>
      <c r="J1558">
        <v>0.271182324135888</v>
      </c>
      <c r="K1558">
        <v>0.167539879263472</v>
      </c>
      <c r="L1558">
        <v>1134.73553410669</v>
      </c>
      <c r="M1558">
        <v>19.4775132701822</v>
      </c>
      <c r="N1558">
        <v>59.618124179883999</v>
      </c>
      <c r="O1558">
        <v>57.655067716823503</v>
      </c>
      <c r="P1558">
        <v>-6.9316089486646498E-2</v>
      </c>
      <c r="Q1558">
        <v>0.17930400996798601</v>
      </c>
      <c r="R1558">
        <v>0.98443118421253695</v>
      </c>
      <c r="S1558" t="s">
        <v>5854</v>
      </c>
      <c r="T1558" t="s">
        <v>8590</v>
      </c>
      <c r="U1558" t="s">
        <v>8590</v>
      </c>
      <c r="V1558" t="s">
        <v>8590</v>
      </c>
      <c r="W1558">
        <v>13</v>
      </c>
      <c r="X1558" t="s">
        <v>10148</v>
      </c>
      <c r="Y1558">
        <v>0.68806819927515384</v>
      </c>
      <c r="Z1558" t="str">
        <f>HYPERLINK("Melting_Curves/meltCurve_sp_Q04760_LGUL_HUMAN_.pdf", "Melting_Curves/meltCurve_sp_Q04760_LGUL_HUMAN_.pdf")</f>
        <v>Melting_Curves/meltCurve_sp_Q04760_LGUL_HUMAN_.pdf</v>
      </c>
      <c r="AA1558" t="s">
        <v>14418</v>
      </c>
      <c r="AB1558" t="s">
        <v>18642</v>
      </c>
    </row>
    <row r="1559" spans="1:28" x14ac:dyDescent="0.25">
      <c r="A1559" t="s">
        <v>1563</v>
      </c>
      <c r="B1559">
        <v>0.99876560204751996</v>
      </c>
      <c r="C1559">
        <v>0.897844021222026</v>
      </c>
      <c r="D1559">
        <v>0.93273154242286604</v>
      </c>
      <c r="E1559">
        <v>0.41842927196381602</v>
      </c>
      <c r="F1559">
        <v>0.21163819437605599</v>
      </c>
      <c r="G1559">
        <v>0.14127186734393599</v>
      </c>
      <c r="H1559">
        <v>8.8157450733281198E-2</v>
      </c>
      <c r="I1559">
        <v>7.2063602889749404E-2</v>
      </c>
      <c r="J1559">
        <v>6.3631356904001096E-2</v>
      </c>
      <c r="K1559">
        <v>5.6449522848728097E-2</v>
      </c>
      <c r="L1559">
        <v>1356.47600389494</v>
      </c>
      <c r="M1559">
        <v>27.541344334124599</v>
      </c>
      <c r="N1559">
        <v>49.562315942163501</v>
      </c>
      <c r="O1559">
        <v>48.994898117075401</v>
      </c>
      <c r="P1559">
        <v>-0.12941522857774501</v>
      </c>
      <c r="Q1559">
        <v>7.9111575065876294E-2</v>
      </c>
      <c r="R1559">
        <v>0.99058783295200703</v>
      </c>
      <c r="S1559" t="s">
        <v>5855</v>
      </c>
      <c r="T1559" t="s">
        <v>8590</v>
      </c>
      <c r="U1559" t="s">
        <v>8590</v>
      </c>
      <c r="V1559" t="s">
        <v>8590</v>
      </c>
      <c r="W1559">
        <v>27</v>
      </c>
      <c r="X1559" t="s">
        <v>10149</v>
      </c>
      <c r="Y1559">
        <v>0.36982945095491748</v>
      </c>
      <c r="Z1559" t="str">
        <f>HYPERLINK("Melting_Curves/meltCurve_sp_Q04828_AK1C1_HUMAN_.pdf", "Melting_Curves/meltCurve_sp_Q04828_AK1C1_HUMAN_.pdf")</f>
        <v>Melting_Curves/meltCurve_sp_Q04828_AK1C1_HUMAN_.pdf</v>
      </c>
      <c r="AA1559" t="s">
        <v>14419</v>
      </c>
      <c r="AB1559" t="s">
        <v>18643</v>
      </c>
    </row>
    <row r="1560" spans="1:28" x14ac:dyDescent="0.25">
      <c r="A1560" t="s">
        <v>1564</v>
      </c>
      <c r="B1560">
        <v>0.99876560204751996</v>
      </c>
      <c r="C1560">
        <v>0.87779334932906095</v>
      </c>
      <c r="D1560">
        <v>1.02337078541971</v>
      </c>
      <c r="E1560">
        <v>0.91438670418482404</v>
      </c>
      <c r="F1560">
        <v>0.89233014460987004</v>
      </c>
      <c r="G1560">
        <v>0.80222145921184795</v>
      </c>
      <c r="H1560">
        <v>0.68399519832476496</v>
      </c>
      <c r="I1560">
        <v>0.66119506648140802</v>
      </c>
      <c r="J1560">
        <v>0.77405007930331704</v>
      </c>
      <c r="K1560">
        <v>0.66582265584623201</v>
      </c>
      <c r="L1560">
        <v>898.83974393804897</v>
      </c>
      <c r="M1560">
        <v>16.518019290104299</v>
      </c>
      <c r="O1560">
        <v>53.6369178767237</v>
      </c>
      <c r="P1560">
        <v>-2.4736937751976201E-2</v>
      </c>
      <c r="Q1560">
        <v>0.67872146654333698</v>
      </c>
      <c r="R1560">
        <v>0.82842106933306503</v>
      </c>
      <c r="S1560" t="s">
        <v>5856</v>
      </c>
      <c r="T1560" t="s">
        <v>8590</v>
      </c>
      <c r="U1560" t="s">
        <v>8590</v>
      </c>
      <c r="V1560" t="s">
        <v>8590</v>
      </c>
      <c r="W1560">
        <v>11</v>
      </c>
      <c r="X1560" t="s">
        <v>10150</v>
      </c>
      <c r="Y1560">
        <v>0.83881495276430651</v>
      </c>
      <c r="Z1560" t="str">
        <f>HYPERLINK("Melting_Curves/meltCurve_sp_Q04837_SSBP_HUMAN_.pdf", "Melting_Curves/meltCurve_sp_Q04837_SSBP_HUMAN_.pdf")</f>
        <v>Melting_Curves/meltCurve_sp_Q04837_SSBP_HUMAN_.pdf</v>
      </c>
      <c r="AA1560" t="s">
        <v>14420</v>
      </c>
      <c r="AB1560" t="s">
        <v>18644</v>
      </c>
    </row>
    <row r="1561" spans="1:28" x14ac:dyDescent="0.25">
      <c r="A1561" t="s">
        <v>1565</v>
      </c>
      <c r="B1561">
        <v>0.99876560204751996</v>
      </c>
      <c r="C1561">
        <v>0.97783188864822002</v>
      </c>
      <c r="D1561">
        <v>0.98226245726324701</v>
      </c>
      <c r="E1561">
        <v>0.96076821305078297</v>
      </c>
      <c r="F1561">
        <v>0.90248417248367996</v>
      </c>
      <c r="G1561">
        <v>0.49979127930155298</v>
      </c>
      <c r="H1561">
        <v>0.142659402705169</v>
      </c>
      <c r="I1561">
        <v>7.7526864513316598E-2</v>
      </c>
      <c r="J1561">
        <v>6.4622012048147895E-2</v>
      </c>
      <c r="K1561">
        <v>5.18674070300469E-2</v>
      </c>
      <c r="L1561">
        <v>1724.9094931089301</v>
      </c>
      <c r="M1561">
        <v>30.384699741009602</v>
      </c>
      <c r="N1561">
        <v>56.961126779140798</v>
      </c>
      <c r="O1561">
        <v>56.524819523572603</v>
      </c>
      <c r="P1561">
        <v>-0.12784245332190899</v>
      </c>
      <c r="Q1561">
        <v>4.8701904473607401E-2</v>
      </c>
      <c r="R1561">
        <v>0.99913400317946199</v>
      </c>
      <c r="S1561" t="s">
        <v>5857</v>
      </c>
      <c r="T1561" t="s">
        <v>8590</v>
      </c>
      <c r="U1561" t="s">
        <v>8590</v>
      </c>
      <c r="V1561" t="s">
        <v>8590</v>
      </c>
      <c r="W1561">
        <v>16</v>
      </c>
      <c r="X1561" t="s">
        <v>10151</v>
      </c>
      <c r="Y1561">
        <v>0.58664549658198872</v>
      </c>
      <c r="Z1561" t="str">
        <f>HYPERLINK("Melting_Curves/meltCurve_sp_Q04917_1433F_HUMAN_.pdf", "Melting_Curves/meltCurve_sp_Q04917_1433F_HUMAN_.pdf")</f>
        <v>Melting_Curves/meltCurve_sp_Q04917_1433F_HUMAN_.pdf</v>
      </c>
      <c r="AA1561" t="s">
        <v>14421</v>
      </c>
      <c r="AB1561" t="s">
        <v>18645</v>
      </c>
    </row>
    <row r="1562" spans="1:28" x14ac:dyDescent="0.25">
      <c r="A1562" t="s">
        <v>1566</v>
      </c>
      <c r="B1562">
        <v>0.99876560204751996</v>
      </c>
      <c r="C1562">
        <v>1.0812665975295299</v>
      </c>
      <c r="D1562">
        <v>1.0299836265411899</v>
      </c>
      <c r="E1562">
        <v>0.94456118573951298</v>
      </c>
      <c r="F1562">
        <v>0.80965468895394199</v>
      </c>
      <c r="G1562">
        <v>0.44573622553852399</v>
      </c>
      <c r="H1562">
        <v>0.31298429890231999</v>
      </c>
      <c r="I1562">
        <v>0.164688255784771</v>
      </c>
      <c r="J1562">
        <v>0.17836672559046701</v>
      </c>
      <c r="K1562">
        <v>0.148693674939575</v>
      </c>
      <c r="L1562">
        <v>1265.6094325781901</v>
      </c>
      <c r="M1562">
        <v>22.695926246775901</v>
      </c>
      <c r="N1562">
        <v>56.669755537449703</v>
      </c>
      <c r="O1562">
        <v>55.3362233260411</v>
      </c>
      <c r="P1562">
        <v>-8.6936799166385303E-2</v>
      </c>
      <c r="Q1562">
        <v>0.15215462756407699</v>
      </c>
      <c r="R1562">
        <v>0.99069564050215797</v>
      </c>
      <c r="S1562" t="s">
        <v>5858</v>
      </c>
      <c r="T1562" t="s">
        <v>8590</v>
      </c>
      <c r="U1562" t="s">
        <v>8590</v>
      </c>
      <c r="V1562" t="s">
        <v>8590</v>
      </c>
      <c r="W1562">
        <v>7</v>
      </c>
      <c r="X1562" t="s">
        <v>10152</v>
      </c>
      <c r="Y1562">
        <v>0.60679682403103541</v>
      </c>
      <c r="Z1562" t="str">
        <f>HYPERLINK("Melting_Curves/meltCurve_sp_Q05048_CSTF1_HUMAN_.pdf", "Melting_Curves/meltCurve_sp_Q05048_CSTF1_HUMAN_.pdf")</f>
        <v>Melting_Curves/meltCurve_sp_Q05048_CSTF1_HUMAN_.pdf</v>
      </c>
      <c r="AA1562" t="s">
        <v>14422</v>
      </c>
      <c r="AB1562" t="s">
        <v>18646</v>
      </c>
    </row>
    <row r="1563" spans="1:28" x14ac:dyDescent="0.25">
      <c r="A1563" t="s">
        <v>1567</v>
      </c>
      <c r="B1563">
        <v>0.99876560204751996</v>
      </c>
      <c r="C1563">
        <v>0.94558610869140702</v>
      </c>
      <c r="D1563">
        <v>0.87921850405406698</v>
      </c>
      <c r="E1563">
        <v>0.82364659151247599</v>
      </c>
      <c r="F1563">
        <v>0.67119198642269595</v>
      </c>
      <c r="G1563">
        <v>0.29232903146939598</v>
      </c>
      <c r="H1563">
        <v>0.14207770388739099</v>
      </c>
      <c r="I1563">
        <v>0.115261760645941</v>
      </c>
      <c r="J1563">
        <v>0.123012091728641</v>
      </c>
      <c r="K1563">
        <v>8.6040138282345302E-2</v>
      </c>
      <c r="L1563">
        <v>1010.73717719385</v>
      </c>
      <c r="M1563">
        <v>18.706606450666701</v>
      </c>
      <c r="N1563">
        <v>54.467608999474898</v>
      </c>
      <c r="O1563">
        <v>53.424940036971201</v>
      </c>
      <c r="P1563">
        <v>-8.1446163832123594E-2</v>
      </c>
      <c r="Q1563">
        <v>6.9618222234096902E-2</v>
      </c>
      <c r="R1563">
        <v>0.98885540318558196</v>
      </c>
      <c r="S1563" t="s">
        <v>5859</v>
      </c>
      <c r="T1563" t="s">
        <v>8590</v>
      </c>
      <c r="U1563" t="s">
        <v>8590</v>
      </c>
      <c r="V1563" t="s">
        <v>8590</v>
      </c>
      <c r="W1563">
        <v>15</v>
      </c>
      <c r="X1563" t="s">
        <v>10153</v>
      </c>
      <c r="Y1563">
        <v>0.5187946650028592</v>
      </c>
      <c r="Z1563" t="str">
        <f>HYPERLINK("Melting_Curves/meltCurve_sp_Q05086_3_UBE3A_HUMAN_.pdf", "Melting_Curves/meltCurve_sp_Q05086_3_UBE3A_HUMAN_.pdf")</f>
        <v>Melting_Curves/meltCurve_sp_Q05086_3_UBE3A_HUMAN_.pdf</v>
      </c>
      <c r="AA1563" t="s">
        <v>14423</v>
      </c>
      <c r="AB1563" t="s">
        <v>18647</v>
      </c>
    </row>
    <row r="1564" spans="1:28" x14ac:dyDescent="0.25">
      <c r="A1564" t="s">
        <v>1568</v>
      </c>
      <c r="B1564">
        <v>0.99876560204751996</v>
      </c>
      <c r="C1564">
        <v>0.99802886593352402</v>
      </c>
      <c r="D1564">
        <v>1.24007334854933</v>
      </c>
      <c r="E1564">
        <v>0.98126453893861998</v>
      </c>
      <c r="F1564">
        <v>0.66977157265952103</v>
      </c>
      <c r="G1564">
        <v>0.46352440997698502</v>
      </c>
      <c r="H1564">
        <v>0.43142213082297198</v>
      </c>
      <c r="I1564">
        <v>0.37440840460347302</v>
      </c>
      <c r="J1564">
        <v>0.43649069398050999</v>
      </c>
      <c r="K1564">
        <v>0.49952079641585301</v>
      </c>
      <c r="L1564">
        <v>3147.9910725636</v>
      </c>
      <c r="M1564">
        <v>59.747069517245897</v>
      </c>
      <c r="N1564">
        <v>54.621832102955601</v>
      </c>
      <c r="O1564">
        <v>52.629699876731898</v>
      </c>
      <c r="P1564">
        <v>-0.159029495714645</v>
      </c>
      <c r="Q1564">
        <v>0.43965982984028901</v>
      </c>
      <c r="R1564">
        <v>0.92612903929982304</v>
      </c>
      <c r="S1564" t="s">
        <v>5860</v>
      </c>
      <c r="T1564" t="s">
        <v>8590</v>
      </c>
      <c r="U1564" t="s">
        <v>8590</v>
      </c>
      <c r="V1564" t="s">
        <v>8590</v>
      </c>
      <c r="W1564">
        <v>3</v>
      </c>
      <c r="X1564" t="s">
        <v>10154</v>
      </c>
      <c r="Y1564">
        <v>0.67756858049677982</v>
      </c>
      <c r="Z1564" t="str">
        <f>HYPERLINK("Melting_Curves/meltCurve_sp_Q05209_PTN12_HUMAN_.pdf", "Melting_Curves/meltCurve_sp_Q05209_PTN12_HUMAN_.pdf")</f>
        <v>Melting_Curves/meltCurve_sp_Q05209_PTN12_HUMAN_.pdf</v>
      </c>
      <c r="AA1564" t="s">
        <v>14424</v>
      </c>
      <c r="AB1564" t="s">
        <v>18648</v>
      </c>
    </row>
    <row r="1565" spans="1:28" x14ac:dyDescent="0.25">
      <c r="A1565" t="s">
        <v>1569</v>
      </c>
      <c r="B1565">
        <v>0.99876560204751996</v>
      </c>
      <c r="C1565">
        <v>0.93724853089218696</v>
      </c>
      <c r="D1565">
        <v>0.97711417962068403</v>
      </c>
      <c r="E1565">
        <v>0.84583598238444702</v>
      </c>
      <c r="F1565">
        <v>0.77485645512618195</v>
      </c>
      <c r="G1565">
        <v>0.45933992066311902</v>
      </c>
      <c r="H1565">
        <v>0.332190792500768</v>
      </c>
      <c r="I1565">
        <v>0.30862352180672797</v>
      </c>
      <c r="J1565">
        <v>0.38193219650145899</v>
      </c>
      <c r="K1565">
        <v>0.34368832455388298</v>
      </c>
      <c r="L1565">
        <v>1224.6668490341999</v>
      </c>
      <c r="M1565">
        <v>22.735580845347702</v>
      </c>
      <c r="N1565">
        <v>56.458552553071897</v>
      </c>
      <c r="O1565">
        <v>53.454116525260702</v>
      </c>
      <c r="P1565">
        <v>-7.1881559517325402E-2</v>
      </c>
      <c r="Q1565">
        <v>0.32400407642665302</v>
      </c>
      <c r="R1565">
        <v>0.98112294412590895</v>
      </c>
      <c r="S1565" t="s">
        <v>5861</v>
      </c>
      <c r="T1565" t="s">
        <v>8590</v>
      </c>
      <c r="U1565" t="s">
        <v>8590</v>
      </c>
      <c r="V1565" t="s">
        <v>8590</v>
      </c>
      <c r="W1565">
        <v>5</v>
      </c>
      <c r="X1565" t="s">
        <v>10155</v>
      </c>
      <c r="Y1565">
        <v>0.64385423125277041</v>
      </c>
      <c r="Z1565" t="str">
        <f>HYPERLINK("Melting_Curves/meltCurve_sp_Q05519_2_SRS11_HUMAN_.pdf", "Melting_Curves/meltCurve_sp_Q05519_2_SRS11_HUMAN_.pdf")</f>
        <v>Melting_Curves/meltCurve_sp_Q05519_2_SRS11_HUMAN_.pdf</v>
      </c>
      <c r="AA1565" t="s">
        <v>14425</v>
      </c>
      <c r="AB1565" t="s">
        <v>18649</v>
      </c>
    </row>
    <row r="1566" spans="1:28" x14ac:dyDescent="0.25">
      <c r="A1566" t="s">
        <v>1570</v>
      </c>
      <c r="B1566">
        <v>0.99876560204751996</v>
      </c>
      <c r="C1566">
        <v>1.1341858687526201</v>
      </c>
      <c r="D1566">
        <v>0.69489058440462403</v>
      </c>
      <c r="E1566">
        <v>0.66873673490879904</v>
      </c>
      <c r="F1566">
        <v>0.32935956516234499</v>
      </c>
      <c r="G1566">
        <v>5.1579533068268402E-2</v>
      </c>
      <c r="H1566">
        <v>0</v>
      </c>
      <c r="I1566">
        <v>0</v>
      </c>
      <c r="J1566">
        <v>0</v>
      </c>
      <c r="K1566">
        <v>0</v>
      </c>
      <c r="L1566">
        <v>979.73405425876797</v>
      </c>
      <c r="M1566">
        <v>19.2532563862997</v>
      </c>
      <c r="N1566">
        <v>50.886659520590399</v>
      </c>
      <c r="O1566">
        <v>50.347244784207199</v>
      </c>
      <c r="P1566">
        <v>-9.5605964574960803E-2</v>
      </c>
      <c r="Q1566">
        <v>0</v>
      </c>
      <c r="R1566">
        <v>0.95865258298604805</v>
      </c>
      <c r="S1566" t="s">
        <v>5862</v>
      </c>
      <c r="T1566" t="s">
        <v>8590</v>
      </c>
      <c r="U1566" t="s">
        <v>8590</v>
      </c>
      <c r="V1566" t="s">
        <v>8590</v>
      </c>
      <c r="W1566">
        <v>12</v>
      </c>
      <c r="X1566" t="s">
        <v>10156</v>
      </c>
      <c r="Y1566">
        <v>0.37779824863647432</v>
      </c>
      <c r="Z1566" t="str">
        <f>HYPERLINK("Melting_Curves/meltCurve_sp_Q05639_EF1A2_HUMAN_.pdf", "Melting_Curves/meltCurve_sp_Q05639_EF1A2_HUMAN_.pdf")</f>
        <v>Melting_Curves/meltCurve_sp_Q05639_EF1A2_HUMAN_.pdf</v>
      </c>
      <c r="AA1566" t="s">
        <v>14426</v>
      </c>
      <c r="AB1566" t="s">
        <v>18650</v>
      </c>
    </row>
    <row r="1567" spans="1:28" x14ac:dyDescent="0.25">
      <c r="A1567" t="s">
        <v>1571</v>
      </c>
      <c r="B1567">
        <v>0.99876560204751996</v>
      </c>
      <c r="C1567">
        <v>0.94034101341779797</v>
      </c>
      <c r="D1567">
        <v>1.09972931445278</v>
      </c>
      <c r="E1567">
        <v>0.95387697816216799</v>
      </c>
      <c r="F1567">
        <v>1.0799556501354799</v>
      </c>
      <c r="G1567">
        <v>0.87517198248407901</v>
      </c>
      <c r="H1567">
        <v>0.81452583251779997</v>
      </c>
      <c r="I1567">
        <v>0.83951121900037595</v>
      </c>
      <c r="J1567">
        <v>1.0642301428779199</v>
      </c>
      <c r="K1567">
        <v>1.0370282932437001</v>
      </c>
      <c r="L1567">
        <v>2864.5287131089399</v>
      </c>
      <c r="M1567">
        <v>51.995663958679003</v>
      </c>
      <c r="O1567">
        <v>55.010374802381399</v>
      </c>
      <c r="P1567">
        <v>-1.7046395781854899E-2</v>
      </c>
      <c r="Q1567">
        <v>0.92786106635189503</v>
      </c>
      <c r="R1567">
        <v>0.166980118683527</v>
      </c>
      <c r="S1567" t="s">
        <v>5863</v>
      </c>
      <c r="T1567" t="s">
        <v>8590</v>
      </c>
      <c r="U1567" t="s">
        <v>8590</v>
      </c>
      <c r="V1567" t="s">
        <v>8590</v>
      </c>
      <c r="W1567">
        <v>45</v>
      </c>
      <c r="X1567" t="s">
        <v>10157</v>
      </c>
      <c r="Y1567">
        <v>0.96431297205567634</v>
      </c>
      <c r="Z1567" t="str">
        <f>HYPERLINK("Melting_Curves/meltCurve_sp_Q05682_5_CALD1_HUMAN_.pdf", "Melting_Curves/meltCurve_sp_Q05682_5_CALD1_HUMAN_.pdf")</f>
        <v>Melting_Curves/meltCurve_sp_Q05682_5_CALD1_HUMAN_.pdf</v>
      </c>
      <c r="AA1567" t="s">
        <v>14427</v>
      </c>
      <c r="AB1567" t="s">
        <v>18651</v>
      </c>
    </row>
    <row r="1568" spans="1:28" x14ac:dyDescent="0.25">
      <c r="A1568" t="s">
        <v>1572</v>
      </c>
      <c r="B1568">
        <v>0.99876560204751996</v>
      </c>
      <c r="C1568">
        <v>0.96405803970563198</v>
      </c>
      <c r="D1568">
        <v>1.13795111934507</v>
      </c>
      <c r="E1568">
        <v>1.0092064493025701</v>
      </c>
      <c r="F1568">
        <v>0.96656762544063801</v>
      </c>
      <c r="G1568">
        <v>0.80338761692485505</v>
      </c>
      <c r="H1568">
        <v>0.71136605613854498</v>
      </c>
      <c r="I1568">
        <v>0.73412555979372396</v>
      </c>
      <c r="J1568">
        <v>0.97377045984517296</v>
      </c>
      <c r="K1568">
        <v>0.98221965879897599</v>
      </c>
      <c r="L1568">
        <v>13320.1469482998</v>
      </c>
      <c r="M1568">
        <v>250</v>
      </c>
      <c r="O1568">
        <v>53.277178196583201</v>
      </c>
      <c r="P1568">
        <v>-0.18655517314912601</v>
      </c>
      <c r="Q1568">
        <v>0.84097386895532</v>
      </c>
      <c r="R1568">
        <v>0.464252118403436</v>
      </c>
      <c r="S1568" t="s">
        <v>5864</v>
      </c>
      <c r="T1568" t="s">
        <v>8590</v>
      </c>
      <c r="U1568" t="s">
        <v>8590</v>
      </c>
      <c r="V1568" t="s">
        <v>8590</v>
      </c>
      <c r="W1568">
        <v>43</v>
      </c>
      <c r="X1568" t="s">
        <v>10158</v>
      </c>
      <c r="Y1568">
        <v>0.9113874221069076</v>
      </c>
      <c r="Z1568" t="str">
        <f>HYPERLINK("Melting_Curves/meltCurve_sp_Q05682_CALD1_HUMAN_.pdf", "Melting_Curves/meltCurve_sp_Q05682_CALD1_HUMAN_.pdf")</f>
        <v>Melting_Curves/meltCurve_sp_Q05682_CALD1_HUMAN_.pdf</v>
      </c>
      <c r="AA1568" t="s">
        <v>14427</v>
      </c>
      <c r="AB1568" t="s">
        <v>18652</v>
      </c>
    </row>
    <row r="1569" spans="1:28" x14ac:dyDescent="0.25">
      <c r="A1569" t="s">
        <v>1573</v>
      </c>
      <c r="B1569">
        <v>0.99876560204751996</v>
      </c>
      <c r="C1569">
        <v>1.0667345593370201</v>
      </c>
      <c r="D1569">
        <v>0.973733087984061</v>
      </c>
      <c r="E1569">
        <v>0.95247707630825795</v>
      </c>
      <c r="F1569">
        <v>0.75144283421878399</v>
      </c>
      <c r="G1569">
        <v>0.42534027542214498</v>
      </c>
      <c r="H1569">
        <v>0.226964067425413</v>
      </c>
      <c r="I1569">
        <v>0.17155228108474899</v>
      </c>
      <c r="J1569">
        <v>0.16257683846232801</v>
      </c>
      <c r="K1569">
        <v>0.112702849484677</v>
      </c>
      <c r="L1569">
        <v>1251.45629446935</v>
      </c>
      <c r="M1569">
        <v>22.619367993702401</v>
      </c>
      <c r="N1569">
        <v>56.063350308276299</v>
      </c>
      <c r="O1569">
        <v>54.899758333171299</v>
      </c>
      <c r="P1569">
        <v>-8.9764393870933407E-2</v>
      </c>
      <c r="Q1569">
        <v>0.12854410911629899</v>
      </c>
      <c r="R1569">
        <v>0.99544876044526798</v>
      </c>
      <c r="S1569" t="s">
        <v>5865</v>
      </c>
      <c r="T1569" t="s">
        <v>8590</v>
      </c>
      <c r="U1569" t="s">
        <v>8590</v>
      </c>
      <c r="V1569" t="s">
        <v>8590</v>
      </c>
      <c r="W1569">
        <v>7</v>
      </c>
      <c r="X1569" t="s">
        <v>10159</v>
      </c>
      <c r="Y1569">
        <v>0.58327895799123397</v>
      </c>
      <c r="Z1569" t="str">
        <f>HYPERLINK("Melting_Curves/meltCurve_sp_Q06033_2_ITIH3_HUMAN_.pdf", "Melting_Curves/meltCurve_sp_Q06033_2_ITIH3_HUMAN_.pdf")</f>
        <v>Melting_Curves/meltCurve_sp_Q06033_2_ITIH3_HUMAN_.pdf</v>
      </c>
      <c r="AA1569" t="s">
        <v>14428</v>
      </c>
      <c r="AB1569" t="s">
        <v>18653</v>
      </c>
    </row>
    <row r="1570" spans="1:28" x14ac:dyDescent="0.25">
      <c r="A1570" t="s">
        <v>1574</v>
      </c>
      <c r="B1570">
        <v>0.99876560204751996</v>
      </c>
      <c r="C1570">
        <v>1.02303767229374</v>
      </c>
      <c r="D1570">
        <v>1.0441983399588699</v>
      </c>
      <c r="E1570">
        <v>0.98910997355932395</v>
      </c>
      <c r="F1570">
        <v>0.68250642025930397</v>
      </c>
      <c r="G1570">
        <v>0.182697907240948</v>
      </c>
      <c r="H1570">
        <v>0.115598773537733</v>
      </c>
      <c r="I1570">
        <v>9.0546050286484506E-2</v>
      </c>
      <c r="J1570">
        <v>7.9000910341487304E-2</v>
      </c>
      <c r="K1570">
        <v>7.3326568970194003E-2</v>
      </c>
      <c r="L1570">
        <v>2208.53319105734</v>
      </c>
      <c r="M1570">
        <v>41.003616455955601</v>
      </c>
      <c r="N1570">
        <v>54.119380853641701</v>
      </c>
      <c r="O1570">
        <v>53.734274360944603</v>
      </c>
      <c r="P1570">
        <v>-0.17386735083820201</v>
      </c>
      <c r="Q1570">
        <v>8.86054254560944E-2</v>
      </c>
      <c r="R1570">
        <v>0.99780500025654795</v>
      </c>
      <c r="S1570" t="s">
        <v>5866</v>
      </c>
      <c r="T1570" t="s">
        <v>8590</v>
      </c>
      <c r="U1570" t="s">
        <v>8590</v>
      </c>
      <c r="V1570" t="s">
        <v>8590</v>
      </c>
      <c r="W1570">
        <v>26</v>
      </c>
      <c r="X1570" t="s">
        <v>10160</v>
      </c>
      <c r="Y1570">
        <v>0.51295083871043312</v>
      </c>
      <c r="Z1570" t="str">
        <f>HYPERLINK("Melting_Curves/meltCurve_sp_Q06124_2_PTN11_HUMAN_.pdf", "Melting_Curves/meltCurve_sp_Q06124_2_PTN11_HUMAN_.pdf")</f>
        <v>Melting_Curves/meltCurve_sp_Q06124_2_PTN11_HUMAN_.pdf</v>
      </c>
      <c r="AA1570" t="s">
        <v>14429</v>
      </c>
      <c r="AB1570" t="s">
        <v>18654</v>
      </c>
    </row>
    <row r="1571" spans="1:28" x14ac:dyDescent="0.25">
      <c r="A1571" t="s">
        <v>1575</v>
      </c>
      <c r="B1571">
        <v>0.99876560204751996</v>
      </c>
      <c r="C1571">
        <v>0.96134095589958501</v>
      </c>
      <c r="D1571">
        <v>0.79141360542663297</v>
      </c>
      <c r="E1571">
        <v>0.91683959215519695</v>
      </c>
      <c r="F1571">
        <v>0.76465885240917697</v>
      </c>
      <c r="G1571">
        <v>0.63329705255406599</v>
      </c>
      <c r="H1571">
        <v>0.42639133016428898</v>
      </c>
      <c r="I1571">
        <v>0.25935786923611898</v>
      </c>
      <c r="J1571">
        <v>8.0326654183664206E-2</v>
      </c>
      <c r="K1571">
        <v>4.1529813047670297E-2</v>
      </c>
      <c r="L1571">
        <v>775.407809035794</v>
      </c>
      <c r="M1571">
        <v>13.2393391004913</v>
      </c>
      <c r="N1571">
        <v>58.568468120820299</v>
      </c>
      <c r="O1571">
        <v>57.280588934817899</v>
      </c>
      <c r="P1571">
        <v>-5.7792324206352802E-2</v>
      </c>
      <c r="Q1571">
        <v>0</v>
      </c>
      <c r="R1571">
        <v>0.95703495541799399</v>
      </c>
      <c r="S1571" t="s">
        <v>5867</v>
      </c>
      <c r="T1571" t="s">
        <v>8590</v>
      </c>
      <c r="U1571" t="s">
        <v>8590</v>
      </c>
      <c r="V1571" t="s">
        <v>8590</v>
      </c>
      <c r="W1571">
        <v>10</v>
      </c>
      <c r="X1571" t="s">
        <v>10161</v>
      </c>
      <c r="Y1571">
        <v>0.63015433634993834</v>
      </c>
      <c r="Z1571" t="str">
        <f>HYPERLINK("Melting_Curves/meltCurve_sp_Q06203_PUR1_HUMAN_.pdf", "Melting_Curves/meltCurve_sp_Q06203_PUR1_HUMAN_.pdf")</f>
        <v>Melting_Curves/meltCurve_sp_Q06203_PUR1_HUMAN_.pdf</v>
      </c>
      <c r="AA1571" t="s">
        <v>14430</v>
      </c>
      <c r="AB1571" t="s">
        <v>18655</v>
      </c>
    </row>
    <row r="1572" spans="1:28" x14ac:dyDescent="0.25">
      <c r="A1572" t="s">
        <v>1576</v>
      </c>
      <c r="B1572">
        <v>0.99876560204751996</v>
      </c>
      <c r="C1572">
        <v>1.0369098649564099</v>
      </c>
      <c r="D1572">
        <v>0.83195068196117505</v>
      </c>
      <c r="E1572">
        <v>0.435916397231149</v>
      </c>
      <c r="F1572">
        <v>0.16875076217750901</v>
      </c>
      <c r="G1572">
        <v>8.0125415869900504E-2</v>
      </c>
      <c r="H1572">
        <v>5.0983575087941199E-2</v>
      </c>
      <c r="I1572">
        <v>3.9294494246924501E-2</v>
      </c>
      <c r="J1572">
        <v>3.4774079656428702E-2</v>
      </c>
      <c r="K1572">
        <v>2.7310968866740701E-2</v>
      </c>
      <c r="L1572">
        <v>1218.8286622929099</v>
      </c>
      <c r="M1572">
        <v>24.760776255718302</v>
      </c>
      <c r="N1572">
        <v>49.3757644469501</v>
      </c>
      <c r="O1572">
        <v>48.906467627490997</v>
      </c>
      <c r="P1572">
        <v>-0.121941064622604</v>
      </c>
      <c r="Q1572">
        <v>3.6601541667537797E-2</v>
      </c>
      <c r="R1572">
        <v>0.99706305283261198</v>
      </c>
      <c r="S1572" t="s">
        <v>5868</v>
      </c>
      <c r="T1572" t="s">
        <v>8590</v>
      </c>
      <c r="U1572" t="s">
        <v>8590</v>
      </c>
      <c r="V1572" t="s">
        <v>8590</v>
      </c>
      <c r="W1572">
        <v>25</v>
      </c>
      <c r="X1572" t="s">
        <v>10162</v>
      </c>
      <c r="Y1572">
        <v>0.34154049194746738</v>
      </c>
      <c r="Z1572" t="str">
        <f>HYPERLINK("Melting_Curves/meltCurve_sp_Q06210_2_GFPT1_HUMAN_.pdf", "Melting_Curves/meltCurve_sp_Q06210_2_GFPT1_HUMAN_.pdf")</f>
        <v>Melting_Curves/meltCurve_sp_Q06210_2_GFPT1_HUMAN_.pdf</v>
      </c>
      <c r="AA1572" t="s">
        <v>14431</v>
      </c>
      <c r="AB1572" t="s">
        <v>18656</v>
      </c>
    </row>
    <row r="1573" spans="1:28" x14ac:dyDescent="0.25">
      <c r="A1573" t="s">
        <v>1577</v>
      </c>
      <c r="B1573">
        <v>0.99876560204751996</v>
      </c>
      <c r="C1573">
        <v>1.0083830307448001</v>
      </c>
      <c r="D1573">
        <v>0.90726159672183204</v>
      </c>
      <c r="E1573">
        <v>0.99335304529073398</v>
      </c>
      <c r="F1573">
        <v>0.90016040114666396</v>
      </c>
      <c r="G1573">
        <v>0.70642063002594502</v>
      </c>
      <c r="H1573">
        <v>0.454030613982017</v>
      </c>
      <c r="I1573">
        <v>0.30338869780635103</v>
      </c>
      <c r="J1573">
        <v>0.20226104988874</v>
      </c>
      <c r="K1573">
        <v>0.14708867591479899</v>
      </c>
      <c r="L1573">
        <v>994.24130977771699</v>
      </c>
      <c r="M1573">
        <v>16.658568870788802</v>
      </c>
      <c r="N1573">
        <v>60.262659223575398</v>
      </c>
      <c r="O1573">
        <v>58.843308161121499</v>
      </c>
      <c r="P1573">
        <v>-6.5544099425750305E-2</v>
      </c>
      <c r="Q1573">
        <v>7.3972399401904199E-2</v>
      </c>
      <c r="R1573">
        <v>0.99245291332844399</v>
      </c>
      <c r="S1573" t="s">
        <v>5869</v>
      </c>
      <c r="T1573" t="s">
        <v>8590</v>
      </c>
      <c r="U1573" t="s">
        <v>8590</v>
      </c>
      <c r="V1573" t="s">
        <v>8590</v>
      </c>
      <c r="W1573">
        <v>5</v>
      </c>
      <c r="X1573" t="s">
        <v>10163</v>
      </c>
      <c r="Y1573">
        <v>0.68975679799826795</v>
      </c>
      <c r="Z1573" t="str">
        <f>HYPERLINK("Melting_Curves/meltCurve_sp_Q06265_EXOS9_HUMAN_.pdf", "Melting_Curves/meltCurve_sp_Q06265_EXOS9_HUMAN_.pdf")</f>
        <v>Melting_Curves/meltCurve_sp_Q06265_EXOS9_HUMAN_.pdf</v>
      </c>
      <c r="AA1573" t="s">
        <v>14432</v>
      </c>
      <c r="AB1573" t="s">
        <v>18657</v>
      </c>
    </row>
    <row r="1574" spans="1:28" x14ac:dyDescent="0.25">
      <c r="A1574" t="s">
        <v>1578</v>
      </c>
      <c r="B1574">
        <v>0.99876560204751996</v>
      </c>
      <c r="C1574">
        <v>1.1279773499586301</v>
      </c>
      <c r="D1574">
        <v>1.1314434172880701</v>
      </c>
      <c r="E1574">
        <v>0.83107900851807903</v>
      </c>
      <c r="F1574">
        <v>0.72226354082683297</v>
      </c>
      <c r="G1574">
        <v>0.90043972970386799</v>
      </c>
      <c r="H1574">
        <v>0.43509729473860398</v>
      </c>
      <c r="I1574">
        <v>0.741371324012295</v>
      </c>
      <c r="J1574">
        <v>0.31569425888955299</v>
      </c>
      <c r="K1574">
        <v>0.23125552103080299</v>
      </c>
      <c r="L1574">
        <v>611.23238528350896</v>
      </c>
      <c r="M1574">
        <v>9.5899325326015692</v>
      </c>
      <c r="N1574">
        <v>63.736865756759897</v>
      </c>
      <c r="O1574">
        <v>61.150255927746599</v>
      </c>
      <c r="P1574">
        <v>-3.9228801581308703E-2</v>
      </c>
      <c r="Q1574">
        <v>0</v>
      </c>
      <c r="R1574">
        <v>0.78755103111956504</v>
      </c>
      <c r="S1574" t="s">
        <v>5870</v>
      </c>
      <c r="T1574" t="s">
        <v>8590</v>
      </c>
      <c r="U1574" t="s">
        <v>8590</v>
      </c>
      <c r="V1574" t="s">
        <v>8590</v>
      </c>
      <c r="W1574">
        <v>87</v>
      </c>
      <c r="X1574" t="s">
        <v>10164</v>
      </c>
      <c r="Y1574">
        <v>0.74868386432153777</v>
      </c>
      <c r="Z1574" t="str">
        <f>HYPERLINK("Melting_Curves/meltCurve_sp_Q06278_ADO_HUMAN_.pdf", "Melting_Curves/meltCurve_sp_Q06278_ADO_HUMAN_.pdf")</f>
        <v>Melting_Curves/meltCurve_sp_Q06278_ADO_HUMAN_.pdf</v>
      </c>
      <c r="AA1574" t="s">
        <v>14433</v>
      </c>
      <c r="AB1574" t="s">
        <v>18658</v>
      </c>
    </row>
    <row r="1575" spans="1:28" x14ac:dyDescent="0.25">
      <c r="A1575" t="s">
        <v>1579</v>
      </c>
      <c r="B1575">
        <v>0.99876560204751996</v>
      </c>
      <c r="C1575">
        <v>1.0389110173110501</v>
      </c>
      <c r="D1575">
        <v>1.02913629395988</v>
      </c>
      <c r="E1575">
        <v>1.0165509374071</v>
      </c>
      <c r="F1575">
        <v>0.93496028428957001</v>
      </c>
      <c r="G1575">
        <v>0.79435467976667395</v>
      </c>
      <c r="H1575">
        <v>0.61737862754324901</v>
      </c>
      <c r="I1575">
        <v>0.51963178538558297</v>
      </c>
      <c r="J1575">
        <v>0.503263049809756</v>
      </c>
      <c r="K1575">
        <v>0.40177955809147098</v>
      </c>
      <c r="L1575">
        <v>1100.52003736856</v>
      </c>
      <c r="M1575">
        <v>18.5929277074993</v>
      </c>
      <c r="N1575">
        <v>64.881534697865206</v>
      </c>
      <c r="O1575">
        <v>58.518290272022703</v>
      </c>
      <c r="P1575">
        <v>-4.7492403187005101E-2</v>
      </c>
      <c r="Q1575">
        <v>0.402126736102696</v>
      </c>
      <c r="R1575">
        <v>0.98846944530118797</v>
      </c>
      <c r="S1575" t="s">
        <v>5871</v>
      </c>
      <c r="T1575" t="s">
        <v>8590</v>
      </c>
      <c r="U1575" t="s">
        <v>8590</v>
      </c>
      <c r="V1575" t="s">
        <v>8590</v>
      </c>
      <c r="W1575">
        <v>21</v>
      </c>
      <c r="X1575" t="s">
        <v>10165</v>
      </c>
      <c r="Y1575">
        <v>0.790611801022159</v>
      </c>
      <c r="Z1575" t="str">
        <f>HYPERLINK("Melting_Curves/meltCurve_sp_Q06323_PSME1_HUMAN_.pdf", "Melting_Curves/meltCurve_sp_Q06323_PSME1_HUMAN_.pdf")</f>
        <v>Melting_Curves/meltCurve_sp_Q06323_PSME1_HUMAN_.pdf</v>
      </c>
      <c r="AA1575" t="s">
        <v>14434</v>
      </c>
      <c r="AB1575" t="s">
        <v>18659</v>
      </c>
    </row>
    <row r="1576" spans="1:28" x14ac:dyDescent="0.25">
      <c r="A1576" t="s">
        <v>1580</v>
      </c>
      <c r="B1576">
        <v>0.99876560204751996</v>
      </c>
      <c r="C1576">
        <v>0.94239090877035803</v>
      </c>
      <c r="D1576">
        <v>0.99535840357369598</v>
      </c>
      <c r="E1576">
        <v>0.89627484152367598</v>
      </c>
      <c r="F1576">
        <v>0.62793632860266002</v>
      </c>
      <c r="G1576">
        <v>0.377903872155336</v>
      </c>
      <c r="H1576">
        <v>0.15686362340943899</v>
      </c>
      <c r="I1576">
        <v>0.104900758659909</v>
      </c>
      <c r="J1576">
        <v>0.127065662130423</v>
      </c>
      <c r="K1576">
        <v>6.9121919025835102E-2</v>
      </c>
      <c r="L1576">
        <v>1079.6435634439599</v>
      </c>
      <c r="M1576">
        <v>19.805018937057099</v>
      </c>
      <c r="N1576">
        <v>54.949952923907098</v>
      </c>
      <c r="O1576">
        <v>53.966979313033796</v>
      </c>
      <c r="P1576">
        <v>-8.5073711143431499E-2</v>
      </c>
      <c r="Q1576">
        <v>7.2757090869293398E-2</v>
      </c>
      <c r="R1576">
        <v>0.99456804663090204</v>
      </c>
      <c r="S1576" t="s">
        <v>5872</v>
      </c>
      <c r="T1576" t="s">
        <v>8590</v>
      </c>
      <c r="U1576" t="s">
        <v>8590</v>
      </c>
      <c r="V1576" t="s">
        <v>8590</v>
      </c>
      <c r="W1576">
        <v>1</v>
      </c>
      <c r="X1576" t="s">
        <v>10166</v>
      </c>
      <c r="Y1576">
        <v>0.53402303319660616</v>
      </c>
      <c r="Z1576" t="str">
        <f>HYPERLINK("Melting_Curves/meltCurve_sp_Q06330_5_SUH_HUMAN_.pdf", "Melting_Curves/meltCurve_sp_Q06330_5_SUH_HUMAN_.pdf")</f>
        <v>Melting_Curves/meltCurve_sp_Q06330_5_SUH_HUMAN_.pdf</v>
      </c>
      <c r="AA1576" t="s">
        <v>14435</v>
      </c>
      <c r="AB1576" t="s">
        <v>18660</v>
      </c>
    </row>
    <row r="1577" spans="1:28" x14ac:dyDescent="0.25">
      <c r="A1577" t="s">
        <v>1581</v>
      </c>
      <c r="B1577">
        <v>0.99876560204751996</v>
      </c>
      <c r="C1577">
        <v>0.89462783603011697</v>
      </c>
      <c r="D1577">
        <v>0.86719924031189</v>
      </c>
      <c r="E1577">
        <v>0.43324559563989101</v>
      </c>
      <c r="F1577">
        <v>0.12386624510719101</v>
      </c>
      <c r="G1577">
        <v>6.8070278105035603E-2</v>
      </c>
      <c r="H1577">
        <v>3.9289020908501497E-2</v>
      </c>
      <c r="I1577">
        <v>3.0545747028016299E-2</v>
      </c>
      <c r="J1577">
        <v>2.8706094438070501E-2</v>
      </c>
      <c r="K1577">
        <v>2.5331266078272598E-2</v>
      </c>
      <c r="L1577">
        <v>1246.68719584629</v>
      </c>
      <c r="M1577">
        <v>25.345978730410401</v>
      </c>
      <c r="N1577">
        <v>49.290329810028901</v>
      </c>
      <c r="O1577">
        <v>48.883665268924801</v>
      </c>
      <c r="P1577">
        <v>-0.12626494005997199</v>
      </c>
      <c r="Q1577">
        <v>2.5926038843042402E-2</v>
      </c>
      <c r="R1577">
        <v>0.99420856427787696</v>
      </c>
      <c r="S1577" t="s">
        <v>5873</v>
      </c>
      <c r="T1577" t="s">
        <v>8590</v>
      </c>
      <c r="U1577" t="s">
        <v>8590</v>
      </c>
      <c r="V1577" t="s">
        <v>8590</v>
      </c>
      <c r="W1577">
        <v>21</v>
      </c>
      <c r="X1577" t="s">
        <v>10167</v>
      </c>
      <c r="Y1577">
        <v>0.33261560013423619</v>
      </c>
      <c r="Z1577" t="str">
        <f>HYPERLINK("Melting_Curves/meltCurve_sp_Q06520_ST2A1_HUMAN_.pdf", "Melting_Curves/meltCurve_sp_Q06520_ST2A1_HUMAN_.pdf")</f>
        <v>Melting_Curves/meltCurve_sp_Q06520_ST2A1_HUMAN_.pdf</v>
      </c>
      <c r="AA1577" t="s">
        <v>14436</v>
      </c>
      <c r="AB1577" t="s">
        <v>18661</v>
      </c>
    </row>
    <row r="1578" spans="1:28" x14ac:dyDescent="0.25">
      <c r="A1578" t="s">
        <v>1582</v>
      </c>
      <c r="B1578">
        <v>0.99876560204751996</v>
      </c>
      <c r="C1578">
        <v>0.77041656002112802</v>
      </c>
      <c r="D1578">
        <v>0.676301985535393</v>
      </c>
      <c r="E1578">
        <v>0.59339627067672596</v>
      </c>
      <c r="F1578">
        <v>0.38991839777520199</v>
      </c>
      <c r="G1578">
        <v>0.288982531057903</v>
      </c>
      <c r="H1578">
        <v>0.12524807016346901</v>
      </c>
      <c r="I1578">
        <v>6.3333728357137201E-2</v>
      </c>
      <c r="J1578">
        <v>7.0710503242073799E-2</v>
      </c>
      <c r="K1578">
        <v>5.4915105896022699E-2</v>
      </c>
      <c r="L1578">
        <v>491.89868440435998</v>
      </c>
      <c r="M1578">
        <v>9.7389839892710004</v>
      </c>
      <c r="N1578">
        <v>50.508201247408799</v>
      </c>
      <c r="O1578">
        <v>48.516699012579103</v>
      </c>
      <c r="P1578">
        <v>-5.0210672728821397E-2</v>
      </c>
      <c r="Q1578">
        <v>0</v>
      </c>
      <c r="R1578">
        <v>0.97739043514100599</v>
      </c>
      <c r="S1578" t="s">
        <v>5874</v>
      </c>
      <c r="T1578" t="s">
        <v>8590</v>
      </c>
      <c r="U1578" t="s">
        <v>8590</v>
      </c>
      <c r="V1578" t="s">
        <v>8590</v>
      </c>
      <c r="W1578">
        <v>3</v>
      </c>
      <c r="X1578" t="s">
        <v>10168</v>
      </c>
      <c r="Y1578">
        <v>0.39513817003239488</v>
      </c>
      <c r="Z1578" t="str">
        <f>HYPERLINK("Melting_Curves/meltCurve_sp_Q06546_GABPA_HUMAN_.pdf", "Melting_Curves/meltCurve_sp_Q06546_GABPA_HUMAN_.pdf")</f>
        <v>Melting_Curves/meltCurve_sp_Q06546_GABPA_HUMAN_.pdf</v>
      </c>
      <c r="AA1578" t="s">
        <v>14437</v>
      </c>
      <c r="AB1578" t="s">
        <v>18662</v>
      </c>
    </row>
    <row r="1579" spans="1:28" x14ac:dyDescent="0.25">
      <c r="A1579" t="s">
        <v>1583</v>
      </c>
      <c r="B1579">
        <v>0.99876560204751996</v>
      </c>
      <c r="C1579">
        <v>0.97523029915968795</v>
      </c>
      <c r="D1579">
        <v>0.78281251989156697</v>
      </c>
      <c r="E1579">
        <v>0.67484673940718298</v>
      </c>
      <c r="F1579">
        <v>0.60466077142464603</v>
      </c>
      <c r="G1579">
        <v>0.28390509869326103</v>
      </c>
      <c r="H1579">
        <v>0.216556229201913</v>
      </c>
      <c r="I1579">
        <v>0.217267970570584</v>
      </c>
      <c r="J1579">
        <v>0.20636624234155801</v>
      </c>
      <c r="K1579">
        <v>0.23466512618091301</v>
      </c>
      <c r="L1579">
        <v>681.63852448303601</v>
      </c>
      <c r="M1579">
        <v>13.198537828571601</v>
      </c>
      <c r="N1579">
        <v>53.228985624447603</v>
      </c>
      <c r="O1579">
        <v>50.5026059840703</v>
      </c>
      <c r="P1579">
        <v>-5.4734277794636001E-2</v>
      </c>
      <c r="Q1579">
        <v>0.16240316025875901</v>
      </c>
      <c r="R1579">
        <v>0.97426323538988802</v>
      </c>
      <c r="S1579" t="s">
        <v>5875</v>
      </c>
      <c r="T1579" t="s">
        <v>8590</v>
      </c>
      <c r="U1579" t="s">
        <v>8590</v>
      </c>
      <c r="V1579" t="s">
        <v>8590</v>
      </c>
      <c r="W1579">
        <v>2</v>
      </c>
      <c r="X1579" t="s">
        <v>10169</v>
      </c>
      <c r="Y1579">
        <v>0.51051756590202535</v>
      </c>
      <c r="Z1579" t="str">
        <f>HYPERLINK("Melting_Curves/meltCurve_sp_Q06587_RING1_HUMAN_.pdf", "Melting_Curves/meltCurve_sp_Q06587_RING1_HUMAN_.pdf")</f>
        <v>Melting_Curves/meltCurve_sp_Q06587_RING1_HUMAN_.pdf</v>
      </c>
      <c r="AA1579" t="s">
        <v>14438</v>
      </c>
      <c r="AB1579" t="s">
        <v>18663</v>
      </c>
    </row>
    <row r="1580" spans="1:28" x14ac:dyDescent="0.25">
      <c r="A1580" t="s">
        <v>1584</v>
      </c>
      <c r="B1580">
        <v>0.99876560204751996</v>
      </c>
      <c r="C1580">
        <v>1.0589387882424901</v>
      </c>
      <c r="D1580">
        <v>1.04373427236117</v>
      </c>
      <c r="E1580">
        <v>1.03771317043889</v>
      </c>
      <c r="F1580">
        <v>0.98042817617736999</v>
      </c>
      <c r="G1580">
        <v>0.739961683264448</v>
      </c>
      <c r="H1580">
        <v>0.68470956309971898</v>
      </c>
      <c r="I1580">
        <v>0.65404689157840501</v>
      </c>
      <c r="J1580">
        <v>0.801488508091871</v>
      </c>
      <c r="K1580">
        <v>0.74418782725384003</v>
      </c>
      <c r="L1580">
        <v>4047.5978935507701</v>
      </c>
      <c r="M1580">
        <v>73.719174778818797</v>
      </c>
      <c r="O1580">
        <v>54.865269150904297</v>
      </c>
      <c r="P1580">
        <v>-9.3604582190146404E-2</v>
      </c>
      <c r="Q1580">
        <v>0.72134036038743099</v>
      </c>
      <c r="R1580">
        <v>0.91842745575738904</v>
      </c>
      <c r="S1580" t="s">
        <v>5876</v>
      </c>
      <c r="T1580" t="s">
        <v>8590</v>
      </c>
      <c r="U1580" t="s">
        <v>8590</v>
      </c>
      <c r="V1580" t="s">
        <v>8590</v>
      </c>
      <c r="W1580">
        <v>5</v>
      </c>
      <c r="X1580" t="s">
        <v>10170</v>
      </c>
      <c r="Y1580">
        <v>0.86010315399267012</v>
      </c>
      <c r="Z1580" t="str">
        <f>HYPERLINK("Melting_Curves/meltCurve_sp_Q07021_C1QBP_HUMAN_.pdf", "Melting_Curves/meltCurve_sp_Q07021_C1QBP_HUMAN_.pdf")</f>
        <v>Melting_Curves/meltCurve_sp_Q07021_C1QBP_HUMAN_.pdf</v>
      </c>
      <c r="AA1580" t="s">
        <v>14439</v>
      </c>
      <c r="AB1580" t="s">
        <v>18664</v>
      </c>
    </row>
    <row r="1581" spans="1:28" x14ac:dyDescent="0.25">
      <c r="A1581" t="s">
        <v>1585</v>
      </c>
      <c r="B1581">
        <v>0.99876560204751996</v>
      </c>
      <c r="C1581">
        <v>1.0268268487004899</v>
      </c>
      <c r="D1581">
        <v>1.0869985409443601</v>
      </c>
      <c r="E1581">
        <v>0.87890654014773595</v>
      </c>
      <c r="F1581">
        <v>1.2578701769912499</v>
      </c>
      <c r="G1581">
        <v>0.65449940987918098</v>
      </c>
      <c r="H1581">
        <v>0.50940909873624296</v>
      </c>
      <c r="I1581">
        <v>0.64653460962787901</v>
      </c>
      <c r="J1581">
        <v>0.85475200982060195</v>
      </c>
      <c r="K1581">
        <v>1.22575616338399</v>
      </c>
      <c r="L1581">
        <v>3612.8251467762798</v>
      </c>
      <c r="M1581">
        <v>65.410404763704705</v>
      </c>
      <c r="O1581">
        <v>55.181640524444603</v>
      </c>
      <c r="P1581">
        <v>-6.4997771968004506E-2</v>
      </c>
      <c r="Q1581">
        <v>0.78066596706098101</v>
      </c>
      <c r="R1581">
        <v>0.275667375833545</v>
      </c>
      <c r="S1581" t="s">
        <v>5877</v>
      </c>
      <c r="T1581" t="s">
        <v>8590</v>
      </c>
      <c r="U1581" t="s">
        <v>8590</v>
      </c>
      <c r="V1581" t="s">
        <v>8590</v>
      </c>
      <c r="W1581">
        <v>3</v>
      </c>
      <c r="X1581" t="s">
        <v>10171</v>
      </c>
      <c r="Y1581">
        <v>0.8923493537197259</v>
      </c>
      <c r="Z1581" t="str">
        <f>HYPERLINK("Melting_Curves/meltCurve_sp_Q07065_CKAP4_HUMAN_.pdf", "Melting_Curves/meltCurve_sp_Q07065_CKAP4_HUMAN_.pdf")</f>
        <v>Melting_Curves/meltCurve_sp_Q07065_CKAP4_HUMAN_.pdf</v>
      </c>
      <c r="AA1581" t="s">
        <v>14440</v>
      </c>
      <c r="AB1581" t="s">
        <v>18665</v>
      </c>
    </row>
    <row r="1582" spans="1:28" x14ac:dyDescent="0.25">
      <c r="A1582" t="s">
        <v>1586</v>
      </c>
      <c r="B1582">
        <v>0.99876560204751996</v>
      </c>
      <c r="C1582">
        <v>1.02273990892859</v>
      </c>
      <c r="D1582">
        <v>0.90299234782572102</v>
      </c>
      <c r="E1582">
        <v>0.86917282076999802</v>
      </c>
      <c r="F1582">
        <v>0.71788271383064695</v>
      </c>
      <c r="G1582">
        <v>0.50325893156863399</v>
      </c>
      <c r="H1582">
        <v>0.41936573224293</v>
      </c>
      <c r="I1582">
        <v>0.36535001511698501</v>
      </c>
      <c r="J1582">
        <v>0.31463261799394598</v>
      </c>
      <c r="K1582">
        <v>0.24105574876731101</v>
      </c>
      <c r="L1582">
        <v>703.94373985837694</v>
      </c>
      <c r="M1582">
        <v>12.7275386902015</v>
      </c>
      <c r="N1582">
        <v>57.999899006385697</v>
      </c>
      <c r="O1582">
        <v>53.996649856734003</v>
      </c>
      <c r="P1582">
        <v>-4.5795965554193303E-2</v>
      </c>
      <c r="Q1582">
        <v>0.22299056048286001</v>
      </c>
      <c r="R1582">
        <v>0.99038826702798999</v>
      </c>
      <c r="S1582" t="s">
        <v>5878</v>
      </c>
      <c r="T1582" t="s">
        <v>8590</v>
      </c>
      <c r="U1582" t="s">
        <v>8590</v>
      </c>
      <c r="V1582" t="s">
        <v>8590</v>
      </c>
      <c r="W1582">
        <v>2</v>
      </c>
      <c r="X1582" t="s">
        <v>10172</v>
      </c>
      <c r="Y1582">
        <v>0.63634701754072698</v>
      </c>
      <c r="Z1582" t="str">
        <f>HYPERLINK("Melting_Curves/meltCurve_sp_Q07075_AMPE_HUMAN_.pdf", "Melting_Curves/meltCurve_sp_Q07075_AMPE_HUMAN_.pdf")</f>
        <v>Melting_Curves/meltCurve_sp_Q07075_AMPE_HUMAN_.pdf</v>
      </c>
      <c r="AA1582" t="s">
        <v>14441</v>
      </c>
      <c r="AB1582" t="s">
        <v>18666</v>
      </c>
    </row>
    <row r="1583" spans="1:28" x14ac:dyDescent="0.25">
      <c r="A1583" t="s">
        <v>1587</v>
      </c>
      <c r="B1583">
        <v>0.99876560204751996</v>
      </c>
      <c r="C1583">
        <v>1.00949274423873</v>
      </c>
      <c r="D1583">
        <v>0.97798389189527202</v>
      </c>
      <c r="E1583">
        <v>0.87374374542685496</v>
      </c>
      <c r="F1583">
        <v>0.76871539125614496</v>
      </c>
      <c r="G1583">
        <v>0.57467798938099401</v>
      </c>
      <c r="H1583">
        <v>0.45970144109810301</v>
      </c>
      <c r="I1583">
        <v>0.41004063480842301</v>
      </c>
      <c r="J1583">
        <v>0.47281979338109698</v>
      </c>
      <c r="K1583">
        <v>0.45891283652146198</v>
      </c>
      <c r="L1583">
        <v>1085.93204584675</v>
      </c>
      <c r="M1583">
        <v>20.233855093475501</v>
      </c>
      <c r="N1583">
        <v>59.588386917036601</v>
      </c>
      <c r="O1583">
        <v>53.153088763950599</v>
      </c>
      <c r="P1583">
        <v>-5.3961516879122901E-2</v>
      </c>
      <c r="Q1583">
        <v>0.43300333609957198</v>
      </c>
      <c r="R1583">
        <v>0.99186234708122301</v>
      </c>
      <c r="S1583" t="s">
        <v>5879</v>
      </c>
      <c r="T1583" t="s">
        <v>8590</v>
      </c>
      <c r="U1583" t="s">
        <v>8590</v>
      </c>
      <c r="V1583" t="s">
        <v>8590</v>
      </c>
      <c r="W1583">
        <v>37</v>
      </c>
      <c r="X1583" t="s">
        <v>10173</v>
      </c>
      <c r="Y1583">
        <v>0.69894287719236081</v>
      </c>
      <c r="Z1583" t="str">
        <f>HYPERLINK("Melting_Curves/meltCurve_sp_Q07157_ZO1_HUMAN_.pdf", "Melting_Curves/meltCurve_sp_Q07157_ZO1_HUMAN_.pdf")</f>
        <v>Melting_Curves/meltCurve_sp_Q07157_ZO1_HUMAN_.pdf</v>
      </c>
      <c r="AA1583" t="s">
        <v>14442</v>
      </c>
      <c r="AB1583" t="s">
        <v>18667</v>
      </c>
    </row>
    <row r="1584" spans="1:28" x14ac:dyDescent="0.25">
      <c r="A1584" t="s">
        <v>1588</v>
      </c>
      <c r="B1584">
        <v>0.99876560204751996</v>
      </c>
      <c r="C1584">
        <v>1.0801928583867</v>
      </c>
      <c r="D1584">
        <v>0.94799224793215298</v>
      </c>
      <c r="E1584">
        <v>0.96816562163967901</v>
      </c>
      <c r="F1584">
        <v>0.88207324469471204</v>
      </c>
      <c r="G1584">
        <v>0.71251759488328004</v>
      </c>
      <c r="H1584">
        <v>0.627281341448925</v>
      </c>
      <c r="I1584">
        <v>0.67940469092373101</v>
      </c>
      <c r="J1584">
        <v>0.68228949056725796</v>
      </c>
      <c r="K1584">
        <v>0.35973108532632497</v>
      </c>
      <c r="L1584">
        <v>457.97728089955598</v>
      </c>
      <c r="M1584">
        <v>6.6754009842438</v>
      </c>
      <c r="N1584">
        <v>68.606707219209</v>
      </c>
      <c r="O1584">
        <v>63.235382050351802</v>
      </c>
      <c r="P1584">
        <v>-2.6449274761790199E-2</v>
      </c>
      <c r="Q1584">
        <v>0</v>
      </c>
      <c r="R1584">
        <v>0.86350720866249897</v>
      </c>
      <c r="S1584" t="s">
        <v>5880</v>
      </c>
      <c r="T1584" t="s">
        <v>8590</v>
      </c>
      <c r="U1584" t="s">
        <v>8590</v>
      </c>
      <c r="V1584" t="s">
        <v>8590</v>
      </c>
      <c r="W1584">
        <v>1</v>
      </c>
      <c r="X1584" t="s">
        <v>10174</v>
      </c>
      <c r="Y1584">
        <v>0.79749953514003058</v>
      </c>
      <c r="Z1584" t="str">
        <f>HYPERLINK("Melting_Curves/meltCurve_sp_Q07283_TRHY_HUMAN_.pdf", "Melting_Curves/meltCurve_sp_Q07283_TRHY_HUMAN_.pdf")</f>
        <v>Melting_Curves/meltCurve_sp_Q07283_TRHY_HUMAN_.pdf</v>
      </c>
      <c r="AA1584" t="s">
        <v>14443</v>
      </c>
      <c r="AB1584" t="s">
        <v>18668</v>
      </c>
    </row>
    <row r="1585" spans="1:28" x14ac:dyDescent="0.25">
      <c r="A1585" t="s">
        <v>1589</v>
      </c>
      <c r="B1585">
        <v>0.99876560204751996</v>
      </c>
      <c r="C1585">
        <v>0.95682086258597399</v>
      </c>
      <c r="D1585">
        <v>0.99914010183371904</v>
      </c>
      <c r="E1585">
        <v>0.71417277401925106</v>
      </c>
      <c r="F1585">
        <v>0.29546583308803298</v>
      </c>
      <c r="G1585">
        <v>0.13196109058901401</v>
      </c>
      <c r="H1585">
        <v>7.6463988706444094E-2</v>
      </c>
      <c r="I1585">
        <v>6.5272765674287206E-2</v>
      </c>
      <c r="J1585">
        <v>7.8952617224104502E-2</v>
      </c>
      <c r="K1585">
        <v>7.1400151066080095E-2</v>
      </c>
      <c r="L1585">
        <v>1709.58486333776</v>
      </c>
      <c r="M1585">
        <v>33.389344793300303</v>
      </c>
      <c r="N1585">
        <v>51.457908424646199</v>
      </c>
      <c r="O1585">
        <v>51.018894589495197</v>
      </c>
      <c r="P1585">
        <v>-0.151075155683083</v>
      </c>
      <c r="Q1585">
        <v>7.6633039801331099E-2</v>
      </c>
      <c r="R1585">
        <v>0.99813220126357505</v>
      </c>
      <c r="S1585" t="s">
        <v>5881</v>
      </c>
      <c r="T1585" t="s">
        <v>8590</v>
      </c>
      <c r="U1585" t="s">
        <v>8590</v>
      </c>
      <c r="V1585" t="s">
        <v>8590</v>
      </c>
      <c r="W1585">
        <v>8</v>
      </c>
      <c r="X1585" t="s">
        <v>10175</v>
      </c>
      <c r="Y1585">
        <v>0.42610308487433451</v>
      </c>
      <c r="Z1585" t="str">
        <f>HYPERLINK("Melting_Curves/meltCurve_sp_Q07666_KHDR1_HUMAN_.pdf", "Melting_Curves/meltCurve_sp_Q07666_KHDR1_HUMAN_.pdf")</f>
        <v>Melting_Curves/meltCurve_sp_Q07666_KHDR1_HUMAN_.pdf</v>
      </c>
      <c r="AA1585" t="s">
        <v>14444</v>
      </c>
      <c r="AB1585" t="s">
        <v>18669</v>
      </c>
    </row>
    <row r="1586" spans="1:28" x14ac:dyDescent="0.25">
      <c r="A1586" t="s">
        <v>1590</v>
      </c>
      <c r="B1586">
        <v>0.99876560204751996</v>
      </c>
      <c r="C1586">
        <v>0.89718255210915998</v>
      </c>
      <c r="D1586">
        <v>0.97161371277849995</v>
      </c>
      <c r="E1586">
        <v>0.847334068352525</v>
      </c>
      <c r="F1586">
        <v>0.79374698241660202</v>
      </c>
      <c r="G1586">
        <v>0.55325827278644202</v>
      </c>
      <c r="H1586">
        <v>0.52348818128921704</v>
      </c>
      <c r="I1586">
        <v>0.49535562558565799</v>
      </c>
      <c r="J1586">
        <v>0.617740580739778</v>
      </c>
      <c r="K1586">
        <v>0.58922764001954597</v>
      </c>
      <c r="L1586">
        <v>1192.5155683437599</v>
      </c>
      <c r="M1586">
        <v>22.838910438315601</v>
      </c>
      <c r="O1586">
        <v>51.818841600562699</v>
      </c>
      <c r="P1586">
        <v>-5.0098117197813902E-2</v>
      </c>
      <c r="Q1586">
        <v>0.54534142314941902</v>
      </c>
      <c r="R1586">
        <v>0.91611373755787395</v>
      </c>
      <c r="S1586" t="s">
        <v>5882</v>
      </c>
      <c r="T1586" t="s">
        <v>8590</v>
      </c>
      <c r="U1586" t="s">
        <v>8590</v>
      </c>
      <c r="V1586" t="s">
        <v>8590</v>
      </c>
      <c r="W1586">
        <v>4</v>
      </c>
      <c r="X1586" t="s">
        <v>10176</v>
      </c>
      <c r="Y1586">
        <v>0.73538618881321982</v>
      </c>
      <c r="Z1586" t="str">
        <f>HYPERLINK("Melting_Curves/meltCurve_sp_Q07812_5_BAX_HUMAN_.pdf", "Melting_Curves/meltCurve_sp_Q07812_5_BAX_HUMAN_.pdf")</f>
        <v>Melting_Curves/meltCurve_sp_Q07812_5_BAX_HUMAN_.pdf</v>
      </c>
      <c r="AA1586" t="s">
        <v>14445</v>
      </c>
      <c r="AB1586" t="s">
        <v>18670</v>
      </c>
    </row>
    <row r="1587" spans="1:28" x14ac:dyDescent="0.25">
      <c r="A1587" t="s">
        <v>1591</v>
      </c>
      <c r="B1587">
        <v>0.99876560204751996</v>
      </c>
      <c r="C1587">
        <v>0.89672704422082605</v>
      </c>
      <c r="D1587">
        <v>1.201552333627</v>
      </c>
      <c r="E1587">
        <v>0.87608940270644198</v>
      </c>
      <c r="F1587">
        <v>0.66225987050134005</v>
      </c>
      <c r="G1587">
        <v>0.62178842180336802</v>
      </c>
      <c r="H1587">
        <v>0.392168651090538</v>
      </c>
      <c r="I1587">
        <v>0.40691111384920498</v>
      </c>
      <c r="J1587">
        <v>0.51273696930062596</v>
      </c>
      <c r="K1587">
        <v>0.43107946923614898</v>
      </c>
      <c r="L1587">
        <v>1350.99725541666</v>
      </c>
      <c r="M1587">
        <v>25.6046609103342</v>
      </c>
      <c r="N1587">
        <v>57.814664583254498</v>
      </c>
      <c r="O1587">
        <v>52.445032549778801</v>
      </c>
      <c r="P1587">
        <v>-6.7545031056246402E-2</v>
      </c>
      <c r="Q1587">
        <v>0.44660731219060701</v>
      </c>
      <c r="R1587">
        <v>0.88572351949976202</v>
      </c>
      <c r="S1587" t="s">
        <v>5883</v>
      </c>
      <c r="T1587" t="s">
        <v>8590</v>
      </c>
      <c r="U1587" t="s">
        <v>8590</v>
      </c>
      <c r="V1587" t="s">
        <v>8590</v>
      </c>
      <c r="W1587">
        <v>1</v>
      </c>
      <c r="X1587" t="s">
        <v>10177</v>
      </c>
      <c r="Y1587">
        <v>0.68691330787723781</v>
      </c>
      <c r="Z1587" t="str">
        <f>HYPERLINK("Melting_Curves/meltCurve_sp_Q07912_ACK1_HUMAN_.pdf", "Melting_Curves/meltCurve_sp_Q07912_ACK1_HUMAN_.pdf")</f>
        <v>Melting_Curves/meltCurve_sp_Q07912_ACK1_HUMAN_.pdf</v>
      </c>
      <c r="AA1587" t="s">
        <v>14446</v>
      </c>
      <c r="AB1587" t="s">
        <v>18671</v>
      </c>
    </row>
    <row r="1588" spans="1:28" x14ac:dyDescent="0.25">
      <c r="A1588" t="s">
        <v>1592</v>
      </c>
      <c r="B1588">
        <v>0.99876560204751996</v>
      </c>
      <c r="C1588">
        <v>1.0151449417190499</v>
      </c>
      <c r="D1588">
        <v>0.90853540988816806</v>
      </c>
      <c r="E1588">
        <v>0.86483289180440404</v>
      </c>
      <c r="F1588">
        <v>0.66571916819797605</v>
      </c>
      <c r="G1588">
        <v>0.456902476399482</v>
      </c>
      <c r="H1588">
        <v>0.29179888597731901</v>
      </c>
      <c r="I1588">
        <v>0.22620819646998</v>
      </c>
      <c r="J1588">
        <v>0.18287041915417401</v>
      </c>
      <c r="K1588">
        <v>0.14224355195421501</v>
      </c>
      <c r="L1588">
        <v>778.99373426537102</v>
      </c>
      <c r="M1588">
        <v>14.109660609261701</v>
      </c>
      <c r="N1588">
        <v>56.1784611642165</v>
      </c>
      <c r="O1588">
        <v>54.1364381163419</v>
      </c>
      <c r="P1588">
        <v>-5.8130810259843901E-2</v>
      </c>
      <c r="Q1588">
        <v>0.107961218747083</v>
      </c>
      <c r="R1588">
        <v>0.99642051843336099</v>
      </c>
      <c r="S1588" t="s">
        <v>5884</v>
      </c>
      <c r="T1588" t="s">
        <v>8590</v>
      </c>
      <c r="U1588" t="s">
        <v>8590</v>
      </c>
      <c r="V1588" t="s">
        <v>8590</v>
      </c>
      <c r="W1588">
        <v>28</v>
      </c>
      <c r="X1588" t="s">
        <v>10178</v>
      </c>
      <c r="Y1588">
        <v>0.57819568223076201</v>
      </c>
      <c r="Z1588" t="str">
        <f>HYPERLINK("Melting_Curves/meltCurve_sp_Q07954_LRP1_HUMAN_.pdf", "Melting_Curves/meltCurve_sp_Q07954_LRP1_HUMAN_.pdf")</f>
        <v>Melting_Curves/meltCurve_sp_Q07954_LRP1_HUMAN_.pdf</v>
      </c>
      <c r="AA1588" t="s">
        <v>14447</v>
      </c>
      <c r="AB1588" t="s">
        <v>18672</v>
      </c>
    </row>
    <row r="1589" spans="1:28" x14ac:dyDescent="0.25">
      <c r="A1589" t="s">
        <v>1593</v>
      </c>
      <c r="B1589">
        <v>0.99876560204751996</v>
      </c>
      <c r="C1589">
        <v>0.96989905384086506</v>
      </c>
      <c r="D1589">
        <v>0.96296517370448198</v>
      </c>
      <c r="E1589">
        <v>0.95466640841682204</v>
      </c>
      <c r="F1589">
        <v>0.90583331516762899</v>
      </c>
      <c r="G1589">
        <v>0.76476252988852</v>
      </c>
      <c r="H1589">
        <v>0.65516793137525797</v>
      </c>
      <c r="I1589">
        <v>0.65261792778469496</v>
      </c>
      <c r="J1589">
        <v>0.80363219694613197</v>
      </c>
      <c r="K1589">
        <v>0.79043128833921605</v>
      </c>
      <c r="L1589">
        <v>1906.2862966468399</v>
      </c>
      <c r="M1589">
        <v>35.479134340588303</v>
      </c>
      <c r="O1589">
        <v>53.559952403472799</v>
      </c>
      <c r="P1589">
        <v>-4.5304234651759701E-2</v>
      </c>
      <c r="Q1589">
        <v>0.72643252351547705</v>
      </c>
      <c r="R1589">
        <v>0.84085804844736101</v>
      </c>
      <c r="S1589" t="s">
        <v>5885</v>
      </c>
      <c r="T1589" t="s">
        <v>8590</v>
      </c>
      <c r="U1589" t="s">
        <v>8590</v>
      </c>
      <c r="V1589" t="s">
        <v>8590</v>
      </c>
      <c r="W1589">
        <v>11</v>
      </c>
      <c r="X1589" t="s">
        <v>10179</v>
      </c>
      <c r="Y1589">
        <v>0.85292162544284333</v>
      </c>
      <c r="Z1589" t="str">
        <f>HYPERLINK("Melting_Curves/meltCurve_sp_Q07955_SRSF1_HUMAN_.pdf", "Melting_Curves/meltCurve_sp_Q07955_SRSF1_HUMAN_.pdf")</f>
        <v>Melting_Curves/meltCurve_sp_Q07955_SRSF1_HUMAN_.pdf</v>
      </c>
      <c r="AA1589" t="s">
        <v>14448</v>
      </c>
      <c r="AB1589" t="s">
        <v>18673</v>
      </c>
    </row>
    <row r="1590" spans="1:28" x14ac:dyDescent="0.25">
      <c r="A1590" t="s">
        <v>1594</v>
      </c>
      <c r="B1590">
        <v>0.99876560204751996</v>
      </c>
      <c r="C1590">
        <v>0.963052029372651</v>
      </c>
      <c r="D1590">
        <v>0.95231747519278898</v>
      </c>
      <c r="E1590">
        <v>0.87836589624056904</v>
      </c>
      <c r="F1590">
        <v>0.74957280901543299</v>
      </c>
      <c r="G1590">
        <v>0.57015430384309596</v>
      </c>
      <c r="H1590">
        <v>0.13101506212709699</v>
      </c>
      <c r="I1590">
        <v>4.4728308858335501E-2</v>
      </c>
      <c r="J1590">
        <v>3.57256205775685E-2</v>
      </c>
      <c r="K1590">
        <v>3.2616384217374603E-2</v>
      </c>
      <c r="L1590">
        <v>1116.60160238506</v>
      </c>
      <c r="M1590">
        <v>19.719467423959699</v>
      </c>
      <c r="N1590">
        <v>56.624328444038902</v>
      </c>
      <c r="O1590">
        <v>56.0516360744843</v>
      </c>
      <c r="P1590">
        <v>-8.7955239802052304E-2</v>
      </c>
      <c r="Q1590">
        <v>0</v>
      </c>
      <c r="R1590">
        <v>0.98498046046160503</v>
      </c>
      <c r="S1590" t="s">
        <v>5886</v>
      </c>
      <c r="T1590" t="s">
        <v>8590</v>
      </c>
      <c r="U1590" t="s">
        <v>8590</v>
      </c>
      <c r="V1590" t="s">
        <v>8590</v>
      </c>
      <c r="W1590">
        <v>13</v>
      </c>
      <c r="X1590" t="s">
        <v>10180</v>
      </c>
      <c r="Y1590">
        <v>0.56687560470318954</v>
      </c>
      <c r="Z1590" t="str">
        <f>HYPERLINK("Melting_Curves/meltCurve_sp_Q07960_RHG01_HUMAN_.pdf", "Melting_Curves/meltCurve_sp_Q07960_RHG01_HUMAN_.pdf")</f>
        <v>Melting_Curves/meltCurve_sp_Q07960_RHG01_HUMAN_.pdf</v>
      </c>
      <c r="AA1590" t="s">
        <v>14449</v>
      </c>
      <c r="AB1590" t="s">
        <v>18674</v>
      </c>
    </row>
    <row r="1591" spans="1:28" x14ac:dyDescent="0.25">
      <c r="A1591" t="s">
        <v>1595</v>
      </c>
      <c r="B1591">
        <v>0.99876560204751996</v>
      </c>
      <c r="C1591">
        <v>0.77782187001987901</v>
      </c>
      <c r="D1591">
        <v>0.91004130639565795</v>
      </c>
      <c r="E1591">
        <v>0.70411962361458802</v>
      </c>
      <c r="F1591">
        <v>0.85346992650833198</v>
      </c>
      <c r="G1591">
        <v>0.76377139124357096</v>
      </c>
      <c r="H1591">
        <v>0.64472697175133098</v>
      </c>
      <c r="I1591">
        <v>0.71736927815701901</v>
      </c>
      <c r="J1591">
        <v>1.0855033698348999</v>
      </c>
      <c r="K1591">
        <v>0.97116670566919805</v>
      </c>
      <c r="L1591">
        <v>10196.909692597201</v>
      </c>
      <c r="M1591">
        <v>250</v>
      </c>
      <c r="O1591">
        <v>40.7850293958846</v>
      </c>
      <c r="P1591">
        <v>-0.26766526819461001</v>
      </c>
      <c r="Q1591">
        <v>0.82533223016985502</v>
      </c>
      <c r="R1591">
        <v>0.14322667964410399</v>
      </c>
      <c r="S1591" t="s">
        <v>5887</v>
      </c>
      <c r="T1591" t="s">
        <v>8590</v>
      </c>
      <c r="U1591" t="s">
        <v>8590</v>
      </c>
      <c r="V1591" t="s">
        <v>8590</v>
      </c>
      <c r="W1591">
        <v>4</v>
      </c>
      <c r="X1591" t="s">
        <v>10181</v>
      </c>
      <c r="Y1591">
        <v>0.82993714455765877</v>
      </c>
      <c r="Z1591" t="str">
        <f>HYPERLINK("Melting_Curves/meltCurve_sp_Q08170_SRSF4_HUMAN_.pdf", "Melting_Curves/meltCurve_sp_Q08170_SRSF4_HUMAN_.pdf")</f>
        <v>Melting_Curves/meltCurve_sp_Q08170_SRSF4_HUMAN_.pdf</v>
      </c>
      <c r="AA1591" t="s">
        <v>14450</v>
      </c>
      <c r="AB1591" t="s">
        <v>18675</v>
      </c>
    </row>
    <row r="1592" spans="1:28" x14ac:dyDescent="0.25">
      <c r="A1592" t="s">
        <v>1596</v>
      </c>
      <c r="B1592">
        <v>0.99876560204751996</v>
      </c>
      <c r="C1592">
        <v>1.06396888906596</v>
      </c>
      <c r="D1592">
        <v>1.03281890696609</v>
      </c>
      <c r="E1592">
        <v>1.0735714512085399</v>
      </c>
      <c r="F1592">
        <v>0.90365985990453601</v>
      </c>
      <c r="G1592">
        <v>0.58416035576891101</v>
      </c>
      <c r="H1592">
        <v>0.29415355139598598</v>
      </c>
      <c r="I1592">
        <v>0.20156224478869</v>
      </c>
      <c r="J1592">
        <v>0.11844473140029101</v>
      </c>
      <c r="K1592">
        <v>7.2377737083880803E-2</v>
      </c>
      <c r="L1592">
        <v>1394.63462355197</v>
      </c>
      <c r="M1592">
        <v>24.1784396295558</v>
      </c>
      <c r="N1592">
        <v>58.1590970270775</v>
      </c>
      <c r="O1592">
        <v>57.290690050957998</v>
      </c>
      <c r="P1592">
        <v>-9.5998575964030899E-2</v>
      </c>
      <c r="Q1592">
        <v>9.0141409818595197E-2</v>
      </c>
      <c r="R1592">
        <v>0.989341101219398</v>
      </c>
      <c r="S1592" t="s">
        <v>5888</v>
      </c>
      <c r="T1592" t="s">
        <v>8590</v>
      </c>
      <c r="U1592" t="s">
        <v>8590</v>
      </c>
      <c r="V1592" t="s">
        <v>8590</v>
      </c>
      <c r="W1592">
        <v>12</v>
      </c>
      <c r="X1592" t="s">
        <v>10182</v>
      </c>
      <c r="Y1592">
        <v>0.63478937829388715</v>
      </c>
      <c r="Z1592" t="str">
        <f>HYPERLINK("Melting_Curves/meltCurve_sp_Q08209_2_PP2BA_HUMAN_.pdf", "Melting_Curves/meltCurve_sp_Q08209_2_PP2BA_HUMAN_.pdf")</f>
        <v>Melting_Curves/meltCurve_sp_Q08209_2_PP2BA_HUMAN_.pdf</v>
      </c>
      <c r="AA1592" t="s">
        <v>14451</v>
      </c>
      <c r="AB1592" t="s">
        <v>18676</v>
      </c>
    </row>
    <row r="1593" spans="1:28" x14ac:dyDescent="0.25">
      <c r="A1593" t="s">
        <v>1597</v>
      </c>
      <c r="B1593">
        <v>0.99876560204751996</v>
      </c>
      <c r="C1593">
        <v>0.97942777472013098</v>
      </c>
      <c r="D1593">
        <v>0.90047258971719801</v>
      </c>
      <c r="E1593">
        <v>0.865985972244811</v>
      </c>
      <c r="F1593">
        <v>0.566773119665124</v>
      </c>
      <c r="G1593">
        <v>0.251170053431716</v>
      </c>
      <c r="H1593">
        <v>0.21537021784176599</v>
      </c>
      <c r="I1593">
        <v>0.17773233913637199</v>
      </c>
      <c r="J1593">
        <v>0.17897341606396699</v>
      </c>
      <c r="K1593">
        <v>0.18014195679407199</v>
      </c>
      <c r="L1593">
        <v>1441.9511252089901</v>
      </c>
      <c r="M1593">
        <v>27.330732485612799</v>
      </c>
      <c r="N1593">
        <v>53.6143322750819</v>
      </c>
      <c r="O1593">
        <v>52.479302788189102</v>
      </c>
      <c r="P1593">
        <v>-0.107200178983796</v>
      </c>
      <c r="Q1593">
        <v>0.17664302123817099</v>
      </c>
      <c r="R1593">
        <v>0.99291143201986698</v>
      </c>
      <c r="S1593" t="s">
        <v>5889</v>
      </c>
      <c r="T1593" t="s">
        <v>8590</v>
      </c>
      <c r="U1593" t="s">
        <v>8590</v>
      </c>
      <c r="V1593" t="s">
        <v>8590</v>
      </c>
      <c r="W1593">
        <v>19</v>
      </c>
      <c r="X1593" t="s">
        <v>10183</v>
      </c>
      <c r="Y1593">
        <v>0.53320725966347382</v>
      </c>
      <c r="Z1593" t="str">
        <f>HYPERLINK("Melting_Curves/meltCurve_sp_Q08211_DHX9_HUMAN_.pdf", "Melting_Curves/meltCurve_sp_Q08211_DHX9_HUMAN_.pdf")</f>
        <v>Melting_Curves/meltCurve_sp_Q08211_DHX9_HUMAN_.pdf</v>
      </c>
      <c r="AA1593" t="s">
        <v>14452</v>
      </c>
      <c r="AB1593" t="s">
        <v>18677</v>
      </c>
    </row>
    <row r="1594" spans="1:28" x14ac:dyDescent="0.25">
      <c r="A1594" t="s">
        <v>1598</v>
      </c>
      <c r="B1594">
        <v>0.99876560204751996</v>
      </c>
      <c r="C1594">
        <v>0.96279251239719399</v>
      </c>
      <c r="D1594">
        <v>0.89731272962874498</v>
      </c>
      <c r="E1594">
        <v>0.96590263985582403</v>
      </c>
      <c r="F1594">
        <v>0.86826450783099596</v>
      </c>
      <c r="G1594">
        <v>0.42656085373275698</v>
      </c>
      <c r="H1594">
        <v>9.7372511488574801E-2</v>
      </c>
      <c r="I1594">
        <v>7.1564882339435795E-2</v>
      </c>
      <c r="J1594">
        <v>5.7493219890865102E-2</v>
      </c>
      <c r="K1594">
        <v>5.0553423644288997E-2</v>
      </c>
      <c r="L1594">
        <v>1738.84590104317</v>
      </c>
      <c r="M1594">
        <v>30.952624356755599</v>
      </c>
      <c r="N1594">
        <v>56.347018296812102</v>
      </c>
      <c r="O1594">
        <v>55.944729440815998</v>
      </c>
      <c r="P1594">
        <v>-0.132174715264295</v>
      </c>
      <c r="Q1594">
        <v>4.4418845016654697E-2</v>
      </c>
      <c r="R1594">
        <v>0.99259892820822804</v>
      </c>
      <c r="S1594" t="s">
        <v>5890</v>
      </c>
      <c r="T1594" t="s">
        <v>8590</v>
      </c>
      <c r="U1594" t="s">
        <v>8590</v>
      </c>
      <c r="V1594" t="s">
        <v>8590</v>
      </c>
      <c r="W1594">
        <v>20</v>
      </c>
      <c r="X1594" t="s">
        <v>10184</v>
      </c>
      <c r="Y1594">
        <v>0.56574032635319427</v>
      </c>
      <c r="Z1594" t="str">
        <f>HYPERLINK("Melting_Curves/meltCurve_sp_Q08257_QOR_HUMAN_.pdf", "Melting_Curves/meltCurve_sp_Q08257_QOR_HUMAN_.pdf")</f>
        <v>Melting_Curves/meltCurve_sp_Q08257_QOR_HUMAN_.pdf</v>
      </c>
      <c r="AA1594" t="s">
        <v>14453</v>
      </c>
      <c r="AB1594" t="s">
        <v>18678</v>
      </c>
    </row>
    <row r="1595" spans="1:28" x14ac:dyDescent="0.25">
      <c r="A1595" t="s">
        <v>1599</v>
      </c>
      <c r="B1595">
        <v>0.99876560204751996</v>
      </c>
      <c r="C1595">
        <v>1.07707994962515</v>
      </c>
      <c r="D1595">
        <v>0.98875741362775904</v>
      </c>
      <c r="E1595">
        <v>1.04988254541921</v>
      </c>
      <c r="F1595">
        <v>0.90143498149193402</v>
      </c>
      <c r="G1595">
        <v>0.67345279986696605</v>
      </c>
      <c r="H1595">
        <v>0.530934693241087</v>
      </c>
      <c r="I1595">
        <v>0.50806068476280697</v>
      </c>
      <c r="J1595">
        <v>0.66013427664816404</v>
      </c>
      <c r="K1595">
        <v>0.59853110536571097</v>
      </c>
      <c r="L1595">
        <v>2224.16963623636</v>
      </c>
      <c r="M1595">
        <v>40.501388833373198</v>
      </c>
      <c r="O1595">
        <v>54.782516636413803</v>
      </c>
      <c r="P1595">
        <v>-7.8423725626413102E-2</v>
      </c>
      <c r="Q1595">
        <v>0.57569449934963901</v>
      </c>
      <c r="R1595">
        <v>0.94506041546903696</v>
      </c>
      <c r="S1595" t="s">
        <v>5891</v>
      </c>
      <c r="T1595" t="s">
        <v>8590</v>
      </c>
      <c r="U1595" t="s">
        <v>8590</v>
      </c>
      <c r="V1595" t="s">
        <v>8590</v>
      </c>
      <c r="W1595">
        <v>37</v>
      </c>
      <c r="X1595" t="s">
        <v>10185</v>
      </c>
      <c r="Y1595">
        <v>0.78822329451496764</v>
      </c>
      <c r="Z1595" t="str">
        <f>HYPERLINK("Melting_Curves/meltCurve_sp_Q08378_GOGA3_HUMAN_.pdf", "Melting_Curves/meltCurve_sp_Q08378_GOGA3_HUMAN_.pdf")</f>
        <v>Melting_Curves/meltCurve_sp_Q08378_GOGA3_HUMAN_.pdf</v>
      </c>
      <c r="AA1595" t="s">
        <v>14454</v>
      </c>
      <c r="AB1595" t="s">
        <v>18679</v>
      </c>
    </row>
    <row r="1596" spans="1:28" x14ac:dyDescent="0.25">
      <c r="A1596" t="s">
        <v>1600</v>
      </c>
      <c r="B1596">
        <v>0.99876560204751996</v>
      </c>
      <c r="C1596">
        <v>1.0676911180384301</v>
      </c>
      <c r="D1596">
        <v>0.96641140391526803</v>
      </c>
      <c r="E1596">
        <v>0.90762982506286904</v>
      </c>
      <c r="F1596">
        <v>0.81808605725917705</v>
      </c>
      <c r="G1596">
        <v>0.51799056057279502</v>
      </c>
      <c r="H1596">
        <v>0.40063802255111602</v>
      </c>
      <c r="I1596">
        <v>0.35113946192571299</v>
      </c>
      <c r="J1596">
        <v>0.44422367439959498</v>
      </c>
      <c r="K1596">
        <v>0.45500462598907399</v>
      </c>
      <c r="L1596">
        <v>1577.34140658156</v>
      </c>
      <c r="M1596">
        <v>29.116671887759502</v>
      </c>
      <c r="N1596">
        <v>57.470321276416399</v>
      </c>
      <c r="O1596">
        <v>53.919528879638499</v>
      </c>
      <c r="P1596">
        <v>-8.0201496023684898E-2</v>
      </c>
      <c r="Q1596">
        <v>0.40592179571856701</v>
      </c>
      <c r="R1596">
        <v>0.97760310497228398</v>
      </c>
      <c r="S1596" t="s">
        <v>5892</v>
      </c>
      <c r="T1596" t="s">
        <v>8590</v>
      </c>
      <c r="U1596" t="s">
        <v>8590</v>
      </c>
      <c r="V1596" t="s">
        <v>8590</v>
      </c>
      <c r="W1596">
        <v>22</v>
      </c>
      <c r="X1596" t="s">
        <v>10186</v>
      </c>
      <c r="Y1596">
        <v>0.69072711021563038</v>
      </c>
      <c r="Z1596" t="str">
        <f>HYPERLINK("Melting_Curves/meltCurve_sp_Q08379_GOGA2_HUMAN_.pdf", "Melting_Curves/meltCurve_sp_Q08379_GOGA2_HUMAN_.pdf")</f>
        <v>Melting_Curves/meltCurve_sp_Q08379_GOGA2_HUMAN_.pdf</v>
      </c>
      <c r="AA1596" t="s">
        <v>14455</v>
      </c>
      <c r="AB1596" t="s">
        <v>18680</v>
      </c>
    </row>
    <row r="1597" spans="1:28" x14ac:dyDescent="0.25">
      <c r="A1597" t="s">
        <v>1601</v>
      </c>
      <c r="B1597">
        <v>0.99876560204751996</v>
      </c>
      <c r="C1597">
        <v>1.0707083889976601</v>
      </c>
      <c r="D1597">
        <v>0.84316400823429605</v>
      </c>
      <c r="E1597">
        <v>0.92941868809275097</v>
      </c>
      <c r="F1597">
        <v>0.69203822971640006</v>
      </c>
      <c r="G1597">
        <v>0.50065578840615499</v>
      </c>
      <c r="H1597">
        <v>0.46774638029691001</v>
      </c>
      <c r="I1597">
        <v>0.34121448499805901</v>
      </c>
      <c r="J1597">
        <v>0.44497733931658301</v>
      </c>
      <c r="K1597">
        <v>0.394753749910848</v>
      </c>
      <c r="L1597">
        <v>1112.42276428992</v>
      </c>
      <c r="M1597">
        <v>20.913052299459299</v>
      </c>
      <c r="N1597">
        <v>57.407229053466899</v>
      </c>
      <c r="O1597">
        <v>52.7135439071346</v>
      </c>
      <c r="P1597">
        <v>-6.0274374507906799E-2</v>
      </c>
      <c r="Q1597">
        <v>0.39230502470197498</v>
      </c>
      <c r="R1597">
        <v>0.94748723175747596</v>
      </c>
      <c r="S1597" t="s">
        <v>5893</v>
      </c>
      <c r="T1597" t="s">
        <v>8590</v>
      </c>
      <c r="U1597" t="s">
        <v>8590</v>
      </c>
      <c r="V1597" t="s">
        <v>8590</v>
      </c>
      <c r="W1597">
        <v>6</v>
      </c>
      <c r="X1597" t="s">
        <v>10187</v>
      </c>
      <c r="Y1597">
        <v>0.66727408411280065</v>
      </c>
      <c r="Z1597" t="str">
        <f>HYPERLINK("Melting_Curves/meltCurve_sp_Q08380_LG3BP_HUMAN_.pdf", "Melting_Curves/meltCurve_sp_Q08380_LG3BP_HUMAN_.pdf")</f>
        <v>Melting_Curves/meltCurve_sp_Q08380_LG3BP_HUMAN_.pdf</v>
      </c>
      <c r="AA1597" t="s">
        <v>14456</v>
      </c>
      <c r="AB1597" t="s">
        <v>18681</v>
      </c>
    </row>
    <row r="1598" spans="1:28" x14ac:dyDescent="0.25">
      <c r="A1598" t="s">
        <v>1602</v>
      </c>
      <c r="B1598">
        <v>0.99876560204751996</v>
      </c>
      <c r="C1598">
        <v>0.96728663837425299</v>
      </c>
      <c r="D1598">
        <v>0.94131939537529197</v>
      </c>
      <c r="E1598">
        <v>0.82951653485818699</v>
      </c>
      <c r="F1598">
        <v>0.40051875242257501</v>
      </c>
      <c r="G1598">
        <v>0.15970548717205699</v>
      </c>
      <c r="H1598">
        <v>7.4238531489896897E-2</v>
      </c>
      <c r="I1598">
        <v>4.6198203711682803E-2</v>
      </c>
      <c r="J1598">
        <v>3.7855916674057299E-2</v>
      </c>
      <c r="K1598">
        <v>2.9602362764414501E-2</v>
      </c>
      <c r="L1598">
        <v>1500.47681831158</v>
      </c>
      <c r="M1598">
        <v>28.7008832175521</v>
      </c>
      <c r="N1598">
        <v>52.455087817442198</v>
      </c>
      <c r="O1598">
        <v>52.027982484148701</v>
      </c>
      <c r="P1598">
        <v>-0.131606377399792</v>
      </c>
      <c r="Q1598">
        <v>4.5721179466915098E-2</v>
      </c>
      <c r="R1598">
        <v>0.99633857921242297</v>
      </c>
      <c r="S1598" t="s">
        <v>5894</v>
      </c>
      <c r="T1598" t="s">
        <v>8590</v>
      </c>
      <c r="U1598" t="s">
        <v>8590</v>
      </c>
      <c r="V1598" t="s">
        <v>8590</v>
      </c>
      <c r="W1598">
        <v>63</v>
      </c>
      <c r="X1598" t="s">
        <v>10188</v>
      </c>
      <c r="Y1598">
        <v>0.44301521699690738</v>
      </c>
      <c r="Z1598" t="str">
        <f>HYPERLINK("Melting_Curves/meltCurve_sp_Q08426_ECHP_HUMAN_.pdf", "Melting_Curves/meltCurve_sp_Q08426_ECHP_HUMAN_.pdf")</f>
        <v>Melting_Curves/meltCurve_sp_Q08426_ECHP_HUMAN_.pdf</v>
      </c>
      <c r="AA1598" t="s">
        <v>14457</v>
      </c>
      <c r="AB1598" t="s">
        <v>18682</v>
      </c>
    </row>
    <row r="1599" spans="1:28" x14ac:dyDescent="0.25">
      <c r="A1599" t="s">
        <v>1603</v>
      </c>
      <c r="B1599">
        <v>0.99876560204751996</v>
      </c>
      <c r="C1599">
        <v>1.0933716532017199</v>
      </c>
      <c r="D1599">
        <v>0.70521507850836196</v>
      </c>
      <c r="E1599">
        <v>0.56959687432994199</v>
      </c>
      <c r="F1599">
        <v>0.33753707043758602</v>
      </c>
      <c r="G1599">
        <v>0.18095507109978801</v>
      </c>
      <c r="H1599">
        <v>0.117079326115777</v>
      </c>
      <c r="I1599">
        <v>8.6275239184109107E-2</v>
      </c>
      <c r="J1599">
        <v>8.2478506876078203E-2</v>
      </c>
      <c r="K1599">
        <v>6.3401039201166395E-2</v>
      </c>
      <c r="L1599">
        <v>804.90899465812595</v>
      </c>
      <c r="M1599">
        <v>16.071580345171899</v>
      </c>
      <c r="N1599">
        <v>50.5052687636339</v>
      </c>
      <c r="O1599">
        <v>49.326606690886003</v>
      </c>
      <c r="P1599">
        <v>-7.6337116995959298E-2</v>
      </c>
      <c r="Q1599">
        <v>6.29021702302721E-2</v>
      </c>
      <c r="R1599">
        <v>0.97315559570729504</v>
      </c>
      <c r="S1599" t="s">
        <v>5895</v>
      </c>
      <c r="T1599" t="s">
        <v>8590</v>
      </c>
      <c r="U1599" t="s">
        <v>8590</v>
      </c>
      <c r="V1599" t="s">
        <v>8590</v>
      </c>
      <c r="W1599">
        <v>6</v>
      </c>
      <c r="X1599" t="s">
        <v>10189</v>
      </c>
      <c r="Y1599">
        <v>0.39755124463366209</v>
      </c>
      <c r="Z1599" t="str">
        <f>HYPERLINK("Melting_Curves/meltCurve_sp_Q08477_2_CP4F3_HUMAN_.pdf", "Melting_Curves/meltCurve_sp_Q08477_2_CP4F3_HUMAN_.pdf")</f>
        <v>Melting_Curves/meltCurve_sp_Q08477_2_CP4F3_HUMAN_.pdf</v>
      </c>
      <c r="AA1599" t="s">
        <v>14458</v>
      </c>
      <c r="AB1599" t="s">
        <v>18683</v>
      </c>
    </row>
    <row r="1600" spans="1:28" x14ac:dyDescent="0.25">
      <c r="A1600" t="s">
        <v>1604</v>
      </c>
      <c r="B1600">
        <v>0.99876560204751996</v>
      </c>
      <c r="C1600">
        <v>0.97636611905577197</v>
      </c>
      <c r="D1600">
        <v>0.95989414334673795</v>
      </c>
      <c r="E1600">
        <v>0.88299725389887995</v>
      </c>
      <c r="F1600">
        <v>0.76723723894714602</v>
      </c>
      <c r="G1600">
        <v>0.55782271189478505</v>
      </c>
      <c r="H1600">
        <v>0.42037149696668302</v>
      </c>
      <c r="I1600">
        <v>0.42643510828799103</v>
      </c>
      <c r="J1600">
        <v>0.54204798133440102</v>
      </c>
      <c r="K1600">
        <v>0.52255727454106304</v>
      </c>
      <c r="L1600">
        <v>1336.83893586863</v>
      </c>
      <c r="M1600">
        <v>25.188777706814701</v>
      </c>
      <c r="N1600">
        <v>60.130592418156098</v>
      </c>
      <c r="O1600">
        <v>52.741679164266898</v>
      </c>
      <c r="P1600">
        <v>-6.2803585927864905E-2</v>
      </c>
      <c r="Q1600">
        <v>0.474000147963556</v>
      </c>
      <c r="R1600">
        <v>0.965144658005892</v>
      </c>
      <c r="S1600" t="s">
        <v>5896</v>
      </c>
      <c r="T1600" t="s">
        <v>8590</v>
      </c>
      <c r="U1600" t="s">
        <v>8590</v>
      </c>
      <c r="V1600" t="s">
        <v>8590</v>
      </c>
      <c r="W1600">
        <v>4</v>
      </c>
      <c r="X1600" t="s">
        <v>10190</v>
      </c>
      <c r="Y1600">
        <v>0.70798734940488672</v>
      </c>
      <c r="Z1600" t="str">
        <f>HYPERLINK("Melting_Curves/meltCurve_sp_Q08495_2_DEMA_HUMAN_.pdf", "Melting_Curves/meltCurve_sp_Q08495_2_DEMA_HUMAN_.pdf")</f>
        <v>Melting_Curves/meltCurve_sp_Q08495_2_DEMA_HUMAN_.pdf</v>
      </c>
      <c r="AA1600" t="s">
        <v>14459</v>
      </c>
      <c r="AB1600" t="s">
        <v>18684</v>
      </c>
    </row>
    <row r="1601" spans="1:28" x14ac:dyDescent="0.25">
      <c r="A1601" t="s">
        <v>1605</v>
      </c>
      <c r="B1601">
        <v>0.99876560204751996</v>
      </c>
      <c r="C1601">
        <v>0.96087249587775103</v>
      </c>
      <c r="D1601">
        <v>0.99408141898131397</v>
      </c>
      <c r="E1601">
        <v>0.72539083929278403</v>
      </c>
      <c r="F1601">
        <v>0.30593191008787302</v>
      </c>
      <c r="G1601">
        <v>0.14832382627493601</v>
      </c>
      <c r="H1601">
        <v>7.8939086499345598E-2</v>
      </c>
      <c r="I1601">
        <v>6.8093208153035004E-2</v>
      </c>
      <c r="J1601">
        <v>7.1201703016645301E-2</v>
      </c>
      <c r="K1601">
        <v>6.2981502649909399E-2</v>
      </c>
      <c r="L1601">
        <v>1651.2886878014599</v>
      </c>
      <c r="M1601">
        <v>32.184899386316303</v>
      </c>
      <c r="N1601">
        <v>51.567987215919203</v>
      </c>
      <c r="O1601">
        <v>51.109472886421599</v>
      </c>
      <c r="P1601">
        <v>-0.14557138440751699</v>
      </c>
      <c r="Q1601">
        <v>7.5337934477095803E-2</v>
      </c>
      <c r="R1601">
        <v>0.99784406702569295</v>
      </c>
      <c r="S1601" t="s">
        <v>5897</v>
      </c>
      <c r="T1601" t="s">
        <v>8590</v>
      </c>
      <c r="U1601" t="s">
        <v>8590</v>
      </c>
      <c r="V1601" t="s">
        <v>8590</v>
      </c>
      <c r="W1601">
        <v>9</v>
      </c>
      <c r="X1601" t="s">
        <v>10191</v>
      </c>
      <c r="Y1601">
        <v>0.42889814820538658</v>
      </c>
      <c r="Z1601" t="str">
        <f>HYPERLINK("Melting_Curves/meltCurve_sp_Q08752_PPID_HUMAN_.pdf", "Melting_Curves/meltCurve_sp_Q08752_PPID_HUMAN_.pdf")</f>
        <v>Melting_Curves/meltCurve_sp_Q08752_PPID_HUMAN_.pdf</v>
      </c>
      <c r="AA1601" t="s">
        <v>14460</v>
      </c>
      <c r="AB1601" t="s">
        <v>18685</v>
      </c>
    </row>
    <row r="1602" spans="1:28" x14ac:dyDescent="0.25">
      <c r="A1602" t="s">
        <v>1606</v>
      </c>
      <c r="B1602">
        <v>0.99876560204751996</v>
      </c>
      <c r="C1602">
        <v>0.96187715837137899</v>
      </c>
      <c r="D1602">
        <v>0.75402417759537999</v>
      </c>
      <c r="E1602">
        <v>0.46950248065620898</v>
      </c>
      <c r="F1602">
        <v>0.27065129573775798</v>
      </c>
      <c r="G1602">
        <v>0.17368234293270801</v>
      </c>
      <c r="H1602">
        <v>0.109539002490823</v>
      </c>
      <c r="I1602">
        <v>9.40896273774805E-2</v>
      </c>
      <c r="J1602">
        <v>8.8288946208169503E-2</v>
      </c>
      <c r="K1602">
        <v>5.4325944545072599E-2</v>
      </c>
      <c r="L1602">
        <v>839.02409140596501</v>
      </c>
      <c r="M1602">
        <v>17.091357073052599</v>
      </c>
      <c r="N1602">
        <v>49.553535784532301</v>
      </c>
      <c r="O1602">
        <v>48.433288011815698</v>
      </c>
      <c r="P1602">
        <v>-8.1715800890155704E-2</v>
      </c>
      <c r="Q1602">
        <v>7.3794924295737904E-2</v>
      </c>
      <c r="R1602">
        <v>0.99747507265174296</v>
      </c>
      <c r="S1602" t="s">
        <v>5898</v>
      </c>
      <c r="T1602" t="s">
        <v>8590</v>
      </c>
      <c r="U1602" t="s">
        <v>8590</v>
      </c>
      <c r="V1602" t="s">
        <v>8590</v>
      </c>
      <c r="W1602">
        <v>8</v>
      </c>
      <c r="X1602" t="s">
        <v>10192</v>
      </c>
      <c r="Y1602">
        <v>0.37219058758119672</v>
      </c>
      <c r="Z1602" t="str">
        <f>HYPERLINK("Melting_Curves/meltCurve_sp_Q08830_FGL1_HUMAN_.pdf", "Melting_Curves/meltCurve_sp_Q08830_FGL1_HUMAN_.pdf")</f>
        <v>Melting_Curves/meltCurve_sp_Q08830_FGL1_HUMAN_.pdf</v>
      </c>
      <c r="AA1602" t="s">
        <v>14461</v>
      </c>
      <c r="AB1602" t="s">
        <v>18686</v>
      </c>
    </row>
    <row r="1603" spans="1:28" x14ac:dyDescent="0.25">
      <c r="A1603" t="s">
        <v>1607</v>
      </c>
      <c r="B1603">
        <v>0.99876560204751996</v>
      </c>
      <c r="C1603">
        <v>0.94943870848595602</v>
      </c>
      <c r="D1603">
        <v>0.88328842016099895</v>
      </c>
      <c r="E1603">
        <v>0.81367641272701996</v>
      </c>
      <c r="F1603">
        <v>0.72326069435219797</v>
      </c>
      <c r="G1603">
        <v>0.32307202808598301</v>
      </c>
      <c r="H1603">
        <v>0.248396555073891</v>
      </c>
      <c r="I1603">
        <v>0.17463854385028801</v>
      </c>
      <c r="J1603">
        <v>5.3138646827223197E-2</v>
      </c>
      <c r="K1603">
        <v>3.5896764279480901E-2</v>
      </c>
      <c r="L1603">
        <v>761.84495198536501</v>
      </c>
      <c r="M1603">
        <v>13.7583204552864</v>
      </c>
      <c r="N1603">
        <v>55.373415300524201</v>
      </c>
      <c r="O1603">
        <v>54.242886163732898</v>
      </c>
      <c r="P1603">
        <v>-6.3419695329491294E-2</v>
      </c>
      <c r="Q1603">
        <v>0</v>
      </c>
      <c r="R1603">
        <v>0.98515866345335901</v>
      </c>
      <c r="S1603" t="s">
        <v>5899</v>
      </c>
      <c r="T1603" t="s">
        <v>8590</v>
      </c>
      <c r="U1603" t="s">
        <v>8590</v>
      </c>
      <c r="V1603" t="s">
        <v>8590</v>
      </c>
      <c r="W1603">
        <v>1</v>
      </c>
      <c r="X1603" t="s">
        <v>10193</v>
      </c>
      <c r="Y1603">
        <v>0.53273086565616479</v>
      </c>
      <c r="Z1603" t="str">
        <f>HYPERLINK("Melting_Curves/meltCurve_sp_Q08999_RBL2_HUMAN_.pdf", "Melting_Curves/meltCurve_sp_Q08999_RBL2_HUMAN_.pdf")</f>
        <v>Melting_Curves/meltCurve_sp_Q08999_RBL2_HUMAN_.pdf</v>
      </c>
      <c r="AA1603" t="s">
        <v>14462</v>
      </c>
      <c r="AB1603" t="s">
        <v>18687</v>
      </c>
    </row>
    <row r="1604" spans="1:28" x14ac:dyDescent="0.25">
      <c r="A1604" t="s">
        <v>1608</v>
      </c>
      <c r="B1604">
        <v>0.99876560204751996</v>
      </c>
      <c r="C1604">
        <v>0.91952778731583795</v>
      </c>
      <c r="D1604">
        <v>0.91043638490204803</v>
      </c>
      <c r="E1604">
        <v>0.86509289057756</v>
      </c>
      <c r="F1604">
        <v>0.73445548479258504</v>
      </c>
      <c r="G1604">
        <v>0.67741377975374895</v>
      </c>
      <c r="H1604">
        <v>0.37622035874932003</v>
      </c>
      <c r="I1604">
        <v>0.315310941759539</v>
      </c>
      <c r="J1604">
        <v>0.118099073337986</v>
      </c>
      <c r="K1604">
        <v>0.11741918678676901</v>
      </c>
      <c r="L1604">
        <v>678.99725065590496</v>
      </c>
      <c r="M1604">
        <v>11.5643014126448</v>
      </c>
      <c r="N1604">
        <v>58.714942378321098</v>
      </c>
      <c r="O1604">
        <v>57.041565236167401</v>
      </c>
      <c r="P1604">
        <v>-5.0697759283697699E-2</v>
      </c>
      <c r="Q1604">
        <v>0</v>
      </c>
      <c r="R1604">
        <v>0.97614545182897505</v>
      </c>
      <c r="S1604" t="s">
        <v>5900</v>
      </c>
      <c r="T1604" t="s">
        <v>8590</v>
      </c>
      <c r="U1604" t="s">
        <v>8590</v>
      </c>
      <c r="V1604" t="s">
        <v>8590</v>
      </c>
      <c r="W1604">
        <v>1</v>
      </c>
      <c r="X1604" t="s">
        <v>10194</v>
      </c>
      <c r="Y1604">
        <v>0.63254321144540737</v>
      </c>
      <c r="Z1604" t="str">
        <f>HYPERLINK("Melting_Curves/meltCurve_sp_Q08AG7_MZT1_HUMAN_.pdf", "Melting_Curves/meltCurve_sp_Q08AG7_MZT1_HUMAN_.pdf")</f>
        <v>Melting_Curves/meltCurve_sp_Q08AG7_MZT1_HUMAN_.pdf</v>
      </c>
      <c r="AA1604" t="s">
        <v>14463</v>
      </c>
      <c r="AB1604" t="s">
        <v>18688</v>
      </c>
    </row>
    <row r="1605" spans="1:28" x14ac:dyDescent="0.25">
      <c r="A1605" t="s">
        <v>1609</v>
      </c>
      <c r="B1605">
        <v>0.99876560204751996</v>
      </c>
      <c r="C1605">
        <v>0.92922338613491096</v>
      </c>
      <c r="D1605">
        <v>0.82922939739336798</v>
      </c>
      <c r="E1605">
        <v>0.47309646840121899</v>
      </c>
      <c r="F1605">
        <v>0.236453202094557</v>
      </c>
      <c r="G1605">
        <v>0.113698055503017</v>
      </c>
      <c r="H1605">
        <v>6.6415315979049594E-2</v>
      </c>
      <c r="I1605">
        <v>5.4570082055849199E-2</v>
      </c>
      <c r="J1605">
        <v>5.0597234633078497E-2</v>
      </c>
      <c r="K1605">
        <v>3.6734684290415202E-2</v>
      </c>
      <c r="L1605">
        <v>963.05148607240801</v>
      </c>
      <c r="M1605">
        <v>19.472973221126399</v>
      </c>
      <c r="N1605">
        <v>49.674091713549998</v>
      </c>
      <c r="O1605">
        <v>48.9431155111549</v>
      </c>
      <c r="P1605">
        <v>-9.5391996342119104E-2</v>
      </c>
      <c r="Q1605">
        <v>4.1007011009936402E-2</v>
      </c>
      <c r="R1605">
        <v>0.99932835206695503</v>
      </c>
      <c r="S1605" t="s">
        <v>5901</v>
      </c>
      <c r="T1605" t="s">
        <v>8590</v>
      </c>
      <c r="U1605" t="s">
        <v>8590</v>
      </c>
      <c r="V1605" t="s">
        <v>8590</v>
      </c>
      <c r="W1605">
        <v>33</v>
      </c>
      <c r="X1605" t="s">
        <v>10195</v>
      </c>
      <c r="Y1605">
        <v>0.35739217804596529</v>
      </c>
      <c r="Z1605" t="str">
        <f>HYPERLINK("Melting_Curves/meltCurve_sp_Q08AH3_ACS2A_HUMAN_.pdf", "Melting_Curves/meltCurve_sp_Q08AH3_ACS2A_HUMAN_.pdf")</f>
        <v>Melting_Curves/meltCurve_sp_Q08AH3_ACS2A_HUMAN_.pdf</v>
      </c>
      <c r="AA1605" t="s">
        <v>14464</v>
      </c>
      <c r="AB1605" t="s">
        <v>18689</v>
      </c>
    </row>
    <row r="1606" spans="1:28" x14ac:dyDescent="0.25">
      <c r="A1606" t="s">
        <v>1610</v>
      </c>
      <c r="B1606">
        <v>0.99876560204751996</v>
      </c>
      <c r="C1606">
        <v>1.0422850302134199</v>
      </c>
      <c r="D1606">
        <v>0.93728884928488998</v>
      </c>
      <c r="E1606">
        <v>0.84799704007255705</v>
      </c>
      <c r="F1606">
        <v>0.60683693517398696</v>
      </c>
      <c r="G1606">
        <v>0.27597605694537197</v>
      </c>
      <c r="H1606">
        <v>0.16047077913587299</v>
      </c>
      <c r="I1606">
        <v>0.124599198907079</v>
      </c>
      <c r="J1606">
        <v>0.115047726356602</v>
      </c>
      <c r="K1606">
        <v>7.5738478679266003E-2</v>
      </c>
      <c r="L1606">
        <v>1152.0257359514301</v>
      </c>
      <c r="M1606">
        <v>21.485358721226699</v>
      </c>
      <c r="N1606">
        <v>54.118080624854201</v>
      </c>
      <c r="O1606">
        <v>53.161069624496498</v>
      </c>
      <c r="P1606">
        <v>-9.1962192515105401E-2</v>
      </c>
      <c r="Q1606">
        <v>8.9856373139473894E-2</v>
      </c>
      <c r="R1606">
        <v>0.99700247380079499</v>
      </c>
      <c r="S1606" t="s">
        <v>5902</v>
      </c>
      <c r="T1606" t="s">
        <v>8590</v>
      </c>
      <c r="U1606" t="s">
        <v>8590</v>
      </c>
      <c r="V1606" t="s">
        <v>8590</v>
      </c>
      <c r="W1606">
        <v>10</v>
      </c>
      <c r="X1606" t="s">
        <v>10196</v>
      </c>
      <c r="Y1606">
        <v>0.5140570366739603</v>
      </c>
      <c r="Z1606" t="str">
        <f>HYPERLINK("Melting_Curves/meltCurve_sp_Q08AM6_VAC14_HUMAN_.pdf", "Melting_Curves/meltCurve_sp_Q08AM6_VAC14_HUMAN_.pdf")</f>
        <v>Melting_Curves/meltCurve_sp_Q08AM6_VAC14_HUMAN_.pdf</v>
      </c>
      <c r="AA1606" t="s">
        <v>14465</v>
      </c>
      <c r="AB1606" t="s">
        <v>18690</v>
      </c>
    </row>
    <row r="1607" spans="1:28" x14ac:dyDescent="0.25">
      <c r="A1607" t="s">
        <v>1611</v>
      </c>
      <c r="B1607">
        <v>0.99876560204751996</v>
      </c>
      <c r="C1607">
        <v>1.0124581957577199</v>
      </c>
      <c r="D1607">
        <v>0.94705383550915401</v>
      </c>
      <c r="E1607">
        <v>0.95955726686211595</v>
      </c>
      <c r="F1607">
        <v>0.81633947436488696</v>
      </c>
      <c r="G1607">
        <v>0.43859241047064101</v>
      </c>
      <c r="H1607">
        <v>0.159066063951847</v>
      </c>
      <c r="I1607">
        <v>9.7107321288164503E-2</v>
      </c>
      <c r="J1607">
        <v>8.5862217717171604E-2</v>
      </c>
      <c r="K1607">
        <v>6.2646762926247199E-2</v>
      </c>
      <c r="L1607">
        <v>1396.9374049263599</v>
      </c>
      <c r="M1607">
        <v>24.9242577116432</v>
      </c>
      <c r="N1607">
        <v>56.331009433226001</v>
      </c>
      <c r="O1607">
        <v>55.690240884625801</v>
      </c>
      <c r="P1607">
        <v>-0.105289547288675</v>
      </c>
      <c r="Q1607">
        <v>5.8985731208150601E-2</v>
      </c>
      <c r="R1607">
        <v>0.99825949109009904</v>
      </c>
      <c r="S1607" t="s">
        <v>5903</v>
      </c>
      <c r="T1607" t="s">
        <v>8590</v>
      </c>
      <c r="U1607" t="s">
        <v>8590</v>
      </c>
      <c r="V1607" t="s">
        <v>8590</v>
      </c>
      <c r="W1607">
        <v>17</v>
      </c>
      <c r="X1607" t="s">
        <v>10197</v>
      </c>
      <c r="Y1607">
        <v>0.57102013967210352</v>
      </c>
      <c r="Z1607" t="str">
        <f>HYPERLINK("Melting_Curves/meltCurve_sp_Q08J23_NSUN2_HUMAN_.pdf", "Melting_Curves/meltCurve_sp_Q08J23_NSUN2_HUMAN_.pdf")</f>
        <v>Melting_Curves/meltCurve_sp_Q08J23_NSUN2_HUMAN_.pdf</v>
      </c>
      <c r="AA1607" t="s">
        <v>14466</v>
      </c>
      <c r="AB1607" t="s">
        <v>18691</v>
      </c>
    </row>
    <row r="1608" spans="1:28" x14ac:dyDescent="0.25">
      <c r="A1608" t="s">
        <v>1612</v>
      </c>
      <c r="B1608">
        <v>0.99876560204751996</v>
      </c>
      <c r="C1608">
        <v>0.94249555909000104</v>
      </c>
      <c r="D1608">
        <v>0.80629793762448498</v>
      </c>
      <c r="E1608">
        <v>0.88052222512577405</v>
      </c>
      <c r="F1608">
        <v>0.76753267223225796</v>
      </c>
      <c r="G1608">
        <v>0.64022046722498804</v>
      </c>
      <c r="H1608">
        <v>0.32327399548858599</v>
      </c>
      <c r="I1608">
        <v>0.16546970629681801</v>
      </c>
      <c r="J1608">
        <v>0.109771601130996</v>
      </c>
      <c r="K1608">
        <v>0.111196645853612</v>
      </c>
      <c r="L1608">
        <v>765.80667767518401</v>
      </c>
      <c r="M1608">
        <v>13.2293669060439</v>
      </c>
      <c r="N1608">
        <v>57.886872705175499</v>
      </c>
      <c r="O1608">
        <v>56.6121493163919</v>
      </c>
      <c r="P1608">
        <v>-5.8430700790971901E-2</v>
      </c>
      <c r="Q1608">
        <v>0</v>
      </c>
      <c r="R1608">
        <v>0.96469392859855496</v>
      </c>
      <c r="S1608" t="s">
        <v>5904</v>
      </c>
      <c r="T1608" t="s">
        <v>8590</v>
      </c>
      <c r="U1608" t="s">
        <v>8590</v>
      </c>
      <c r="V1608" t="s">
        <v>8590</v>
      </c>
      <c r="W1608">
        <v>8</v>
      </c>
      <c r="X1608" t="s">
        <v>10198</v>
      </c>
      <c r="Y1608">
        <v>0.60998445820875036</v>
      </c>
      <c r="Z1608" t="str">
        <f>HYPERLINK("Melting_Curves/meltCurve_sp_Q09028_3_RBBP4_HUMAN_.pdf", "Melting_Curves/meltCurve_sp_Q09028_3_RBBP4_HUMAN_.pdf")</f>
        <v>Melting_Curves/meltCurve_sp_Q09028_3_RBBP4_HUMAN_.pdf</v>
      </c>
      <c r="AA1608" t="s">
        <v>14467</v>
      </c>
      <c r="AB1608" t="s">
        <v>18692</v>
      </c>
    </row>
    <row r="1609" spans="1:28" x14ac:dyDescent="0.25">
      <c r="A1609" t="s">
        <v>1613</v>
      </c>
      <c r="B1609">
        <v>0.99876560204751996</v>
      </c>
      <c r="C1609">
        <v>0.89515202842931896</v>
      </c>
      <c r="D1609">
        <v>0.69116954717232104</v>
      </c>
      <c r="E1609">
        <v>0.70433481002923004</v>
      </c>
      <c r="F1609">
        <v>0.335978634915927</v>
      </c>
      <c r="G1609">
        <v>0.296474170616084</v>
      </c>
      <c r="H1609">
        <v>0.23338041440877699</v>
      </c>
      <c r="I1609">
        <v>0.22747100167687501</v>
      </c>
      <c r="J1609">
        <v>0.225226478086717</v>
      </c>
      <c r="K1609">
        <v>0.13593718825649501</v>
      </c>
      <c r="L1609">
        <v>601.11827385156096</v>
      </c>
      <c r="M1609">
        <v>12.0541953842274</v>
      </c>
      <c r="N1609">
        <v>51.381166111299102</v>
      </c>
      <c r="O1609">
        <v>48.554988801385299</v>
      </c>
      <c r="P1609">
        <v>-5.2803853581783099E-2</v>
      </c>
      <c r="Q1609">
        <v>0.149413323035051</v>
      </c>
      <c r="R1609">
        <v>0.95626719800482796</v>
      </c>
      <c r="S1609" t="s">
        <v>5905</v>
      </c>
      <c r="T1609" t="s">
        <v>8590</v>
      </c>
      <c r="U1609" t="s">
        <v>8590</v>
      </c>
      <c r="V1609" t="s">
        <v>8590</v>
      </c>
      <c r="W1609">
        <v>4</v>
      </c>
      <c r="X1609" t="s">
        <v>10199</v>
      </c>
      <c r="Y1609">
        <v>0.45866237416842143</v>
      </c>
      <c r="Z1609" t="str">
        <f>HYPERLINK("Melting_Curves/meltCurve_sp_Q09472_EP300_HUMAN_.pdf", "Melting_Curves/meltCurve_sp_Q09472_EP300_HUMAN_.pdf")</f>
        <v>Melting_Curves/meltCurve_sp_Q09472_EP300_HUMAN_.pdf</v>
      </c>
      <c r="AA1609" t="s">
        <v>14468</v>
      </c>
      <c r="AB1609" t="s">
        <v>18693</v>
      </c>
    </row>
    <row r="1610" spans="1:28" x14ac:dyDescent="0.25">
      <c r="A1610" t="s">
        <v>1614</v>
      </c>
      <c r="B1610">
        <v>0.99876560204751996</v>
      </c>
      <c r="C1610">
        <v>0.97225525164436499</v>
      </c>
      <c r="D1610">
        <v>1.0560610330721101</v>
      </c>
      <c r="E1610">
        <v>0.91466703031785901</v>
      </c>
      <c r="F1610">
        <v>0.91388262233308304</v>
      </c>
      <c r="G1610">
        <v>0.67358805352662499</v>
      </c>
      <c r="H1610">
        <v>0.58078625631328495</v>
      </c>
      <c r="I1610">
        <v>0.54111070696059405</v>
      </c>
      <c r="J1610">
        <v>0.667123864000983</v>
      </c>
      <c r="K1610">
        <v>0.60759282094214695</v>
      </c>
      <c r="L1610">
        <v>1845.7391230256601</v>
      </c>
      <c r="M1610">
        <v>33.793539796377097</v>
      </c>
      <c r="O1610">
        <v>54.427908419967302</v>
      </c>
      <c r="P1610">
        <v>-6.2724303238424997E-2</v>
      </c>
      <c r="Q1610">
        <v>0.59590633973042895</v>
      </c>
      <c r="R1610">
        <v>0.94747551565025001</v>
      </c>
      <c r="S1610" t="s">
        <v>5906</v>
      </c>
      <c r="T1610" t="s">
        <v>8590</v>
      </c>
      <c r="U1610" t="s">
        <v>8590</v>
      </c>
      <c r="V1610" t="s">
        <v>8590</v>
      </c>
      <c r="W1610">
        <v>275</v>
      </c>
      <c r="X1610" t="s">
        <v>10200</v>
      </c>
      <c r="Y1610">
        <v>0.79493181307213634</v>
      </c>
      <c r="Z1610" t="str">
        <f>HYPERLINK("Melting_Curves/meltCurve_sp_Q09666_AHNK_HUMAN_.pdf", "Melting_Curves/meltCurve_sp_Q09666_AHNK_HUMAN_.pdf")</f>
        <v>Melting_Curves/meltCurve_sp_Q09666_AHNK_HUMAN_.pdf</v>
      </c>
      <c r="AA1610" t="s">
        <v>14469</v>
      </c>
      <c r="AB1610" t="s">
        <v>18694</v>
      </c>
    </row>
    <row r="1611" spans="1:28" x14ac:dyDescent="0.25">
      <c r="A1611" t="s">
        <v>1615</v>
      </c>
      <c r="B1611">
        <v>0.99876560204751996</v>
      </c>
      <c r="C1611">
        <v>0.90221171511623599</v>
      </c>
      <c r="D1611">
        <v>0.98817412987069397</v>
      </c>
      <c r="E1611">
        <v>0.83205689032267505</v>
      </c>
      <c r="F1611">
        <v>0.56887808564732401</v>
      </c>
      <c r="G1611">
        <v>0.24124145419638299</v>
      </c>
      <c r="H1611">
        <v>6.6144594334342804E-2</v>
      </c>
      <c r="I1611">
        <v>5.7370277550857302E-2</v>
      </c>
      <c r="J1611">
        <v>3.73820325176678E-2</v>
      </c>
      <c r="K1611">
        <v>3.7604248073701899E-2</v>
      </c>
      <c r="L1611">
        <v>1168.73928430654</v>
      </c>
      <c r="M1611">
        <v>21.810085164944901</v>
      </c>
      <c r="N1611">
        <v>53.708862719966703</v>
      </c>
      <c r="O1611">
        <v>53.142688749902298</v>
      </c>
      <c r="P1611">
        <v>-0.100129064047699</v>
      </c>
      <c r="Q1611">
        <v>2.4120047091755501E-2</v>
      </c>
      <c r="R1611">
        <v>0.99410967259854999</v>
      </c>
      <c r="S1611" t="s">
        <v>5907</v>
      </c>
      <c r="T1611" t="s">
        <v>8590</v>
      </c>
      <c r="U1611" t="s">
        <v>8590</v>
      </c>
      <c r="V1611" t="s">
        <v>8590</v>
      </c>
      <c r="W1611">
        <v>4</v>
      </c>
      <c r="X1611" t="s">
        <v>10201</v>
      </c>
      <c r="Y1611">
        <v>0.47761760219981342</v>
      </c>
      <c r="Z1611" t="str">
        <f>HYPERLINK("Melting_Curves/meltCurve_sp_Q0JRZ9_FCHO2_HUMAN_.pdf", "Melting_Curves/meltCurve_sp_Q0JRZ9_FCHO2_HUMAN_.pdf")</f>
        <v>Melting_Curves/meltCurve_sp_Q0JRZ9_FCHO2_HUMAN_.pdf</v>
      </c>
      <c r="AA1611" t="s">
        <v>14470</v>
      </c>
      <c r="AB1611" t="s">
        <v>18695</v>
      </c>
    </row>
    <row r="1612" spans="1:28" x14ac:dyDescent="0.25">
      <c r="A1612" t="s">
        <v>1616</v>
      </c>
      <c r="B1612">
        <v>0.99876560204751996</v>
      </c>
      <c r="C1612">
        <v>0.89681240395949402</v>
      </c>
      <c r="D1612">
        <v>0.79118357000776596</v>
      </c>
      <c r="E1612">
        <v>0.438613080142291</v>
      </c>
      <c r="F1612">
        <v>0.187109791831469</v>
      </c>
      <c r="G1612">
        <v>9.3106026392317701E-2</v>
      </c>
      <c r="H1612">
        <v>5.4102953526655402E-2</v>
      </c>
      <c r="I1612">
        <v>5.2453306830504497E-2</v>
      </c>
      <c r="J1612">
        <v>3.1827706746568998E-2</v>
      </c>
      <c r="K1612">
        <v>1.7776605855223698E-2</v>
      </c>
      <c r="L1612">
        <v>922.38081072996704</v>
      </c>
      <c r="M1612">
        <v>18.824880659380199</v>
      </c>
      <c r="N1612">
        <v>49.134288233579198</v>
      </c>
      <c r="O1612">
        <v>48.455087502576397</v>
      </c>
      <c r="P1612">
        <v>-9.4657980486330395E-2</v>
      </c>
      <c r="Q1612">
        <v>2.5444889499600901E-2</v>
      </c>
      <c r="R1612">
        <v>0.99758285364948096</v>
      </c>
      <c r="S1612" t="s">
        <v>5908</v>
      </c>
      <c r="T1612" t="s">
        <v>8590</v>
      </c>
      <c r="U1612" t="s">
        <v>8590</v>
      </c>
      <c r="V1612" t="s">
        <v>8590</v>
      </c>
      <c r="W1612">
        <v>2</v>
      </c>
      <c r="X1612" t="s">
        <v>10202</v>
      </c>
      <c r="Y1612">
        <v>0.33317634630775111</v>
      </c>
      <c r="Z1612" t="str">
        <f>HYPERLINK("Melting_Curves/meltCurve_sp_Q0VDF9_HSP7E_HUMAN_.pdf", "Melting_Curves/meltCurve_sp_Q0VDF9_HSP7E_HUMAN_.pdf")</f>
        <v>Melting_Curves/meltCurve_sp_Q0VDF9_HSP7E_HUMAN_.pdf</v>
      </c>
      <c r="AA1612" t="s">
        <v>14471</v>
      </c>
      <c r="AB1612" t="s">
        <v>18696</v>
      </c>
    </row>
    <row r="1613" spans="1:28" x14ac:dyDescent="0.25">
      <c r="A1613" t="s">
        <v>1617</v>
      </c>
      <c r="B1613">
        <v>0.99876560204751996</v>
      </c>
      <c r="C1613">
        <v>0.996708522689424</v>
      </c>
      <c r="D1613">
        <v>1.06910152626929</v>
      </c>
      <c r="E1613">
        <v>1.0214168162994901</v>
      </c>
      <c r="F1613">
        <v>0.97204201046717498</v>
      </c>
      <c r="G1613">
        <v>0.36364789896697602</v>
      </c>
      <c r="H1613">
        <v>8.2635693295006807E-2</v>
      </c>
      <c r="I1613">
        <v>5.2417113301699798E-2</v>
      </c>
      <c r="J1613">
        <v>4.1030886223139502E-2</v>
      </c>
      <c r="K1613">
        <v>3.1723717704862202E-2</v>
      </c>
      <c r="L1613">
        <v>2999.6101673184498</v>
      </c>
      <c r="M1613">
        <v>53.3116564009011</v>
      </c>
      <c r="N1613">
        <v>56.3707450753801</v>
      </c>
      <c r="O1613">
        <v>56.186557074839897</v>
      </c>
      <c r="P1613">
        <v>-0.22597971841354</v>
      </c>
      <c r="Q1613">
        <v>4.7336752531396797E-2</v>
      </c>
      <c r="R1613">
        <v>0.99711063100576103</v>
      </c>
      <c r="S1613" t="s">
        <v>5909</v>
      </c>
      <c r="T1613" t="s">
        <v>8590</v>
      </c>
      <c r="U1613" t="s">
        <v>8590</v>
      </c>
      <c r="V1613" t="s">
        <v>8590</v>
      </c>
      <c r="W1613">
        <v>6</v>
      </c>
      <c r="X1613" t="s">
        <v>10203</v>
      </c>
      <c r="Y1613">
        <v>0.56593359004937094</v>
      </c>
      <c r="Z1613" t="str">
        <f>HYPERLINK("Melting_Curves/meltCurve_sp_Q0VDG4_SCRN3_HUMAN_.pdf", "Melting_Curves/meltCurve_sp_Q0VDG4_SCRN3_HUMAN_.pdf")</f>
        <v>Melting_Curves/meltCurve_sp_Q0VDG4_SCRN3_HUMAN_.pdf</v>
      </c>
      <c r="AA1613" t="s">
        <v>14472</v>
      </c>
      <c r="AB1613" t="s">
        <v>18697</v>
      </c>
    </row>
    <row r="1614" spans="1:28" x14ac:dyDescent="0.25">
      <c r="A1614" t="s">
        <v>1618</v>
      </c>
      <c r="B1614">
        <v>0.99876560204751996</v>
      </c>
      <c r="C1614">
        <v>1.0344944425517</v>
      </c>
      <c r="D1614">
        <v>1.0301881224538301</v>
      </c>
      <c r="E1614">
        <v>1.00700727034135</v>
      </c>
      <c r="F1614">
        <v>0.97092256808880595</v>
      </c>
      <c r="G1614">
        <v>0.794875403741922</v>
      </c>
      <c r="H1614">
        <v>0.67040279342045395</v>
      </c>
      <c r="I1614">
        <v>0.62798410998941501</v>
      </c>
      <c r="J1614">
        <v>0.82399581997731997</v>
      </c>
      <c r="K1614">
        <v>0.78336744946243198</v>
      </c>
      <c r="L1614">
        <v>2920.1193206062399</v>
      </c>
      <c r="M1614">
        <v>52.493135735583998</v>
      </c>
      <c r="O1614">
        <v>55.548036617304803</v>
      </c>
      <c r="P1614">
        <v>-6.4458512835036993E-2</v>
      </c>
      <c r="Q1614">
        <v>0.72716117847816697</v>
      </c>
      <c r="R1614">
        <v>0.86646535917337297</v>
      </c>
      <c r="S1614" t="s">
        <v>5910</v>
      </c>
      <c r="T1614" t="s">
        <v>8590</v>
      </c>
      <c r="U1614" t="s">
        <v>8590</v>
      </c>
      <c r="V1614" t="s">
        <v>8590</v>
      </c>
      <c r="W1614">
        <v>46</v>
      </c>
      <c r="X1614" t="s">
        <v>10204</v>
      </c>
      <c r="Y1614">
        <v>0.86990417089323391</v>
      </c>
      <c r="Z1614" t="str">
        <f>HYPERLINK("Melting_Curves/meltCurve_sp_Q0VF96_CGNL1_HUMAN_.pdf", "Melting_Curves/meltCurve_sp_Q0VF96_CGNL1_HUMAN_.pdf")</f>
        <v>Melting_Curves/meltCurve_sp_Q0VF96_CGNL1_HUMAN_.pdf</v>
      </c>
      <c r="AA1614" t="s">
        <v>14473</v>
      </c>
      <c r="AB1614" t="s">
        <v>18698</v>
      </c>
    </row>
    <row r="1615" spans="1:28" x14ac:dyDescent="0.25">
      <c r="A1615" t="s">
        <v>1619</v>
      </c>
      <c r="B1615">
        <v>0.99876560204751996</v>
      </c>
      <c r="C1615">
        <v>1.0324141039419501</v>
      </c>
      <c r="D1615">
        <v>1.09425592357088</v>
      </c>
      <c r="E1615">
        <v>0</v>
      </c>
      <c r="F1615">
        <v>0.77986463125184502</v>
      </c>
      <c r="G1615">
        <v>0.53803764742958804</v>
      </c>
      <c r="H1615">
        <v>0.16945462466927599</v>
      </c>
      <c r="I1615">
        <v>9.2005989241811095E-2</v>
      </c>
      <c r="J1615">
        <v>7.2459760996861106E-2</v>
      </c>
      <c r="K1615">
        <v>4.3705176506176398E-2</v>
      </c>
      <c r="L1615">
        <v>534.46638647341604</v>
      </c>
      <c r="M1615">
        <v>10.093129662896899</v>
      </c>
      <c r="N1615">
        <v>52.953482816219498</v>
      </c>
      <c r="O1615">
        <v>51.000827322573699</v>
      </c>
      <c r="P1615">
        <v>-4.9498549039916698E-2</v>
      </c>
      <c r="Q1615">
        <v>0</v>
      </c>
      <c r="R1615">
        <v>0.66127162268473605</v>
      </c>
      <c r="S1615" t="s">
        <v>5911</v>
      </c>
      <c r="T1615" t="s">
        <v>8590</v>
      </c>
      <c r="U1615" t="s">
        <v>8590</v>
      </c>
      <c r="V1615" t="s">
        <v>8590</v>
      </c>
      <c r="W1615">
        <v>36</v>
      </c>
      <c r="X1615" t="s">
        <v>10205</v>
      </c>
      <c r="Y1615">
        <v>0.46588120663193622</v>
      </c>
      <c r="Z1615" t="str">
        <f>HYPERLINK("Melting_Curves/meltCurve_sp_Q10567_2_AP1B1_HUMAN_.pdf", "Melting_Curves/meltCurve_sp_Q10567_2_AP1B1_HUMAN_.pdf")</f>
        <v>Melting_Curves/meltCurve_sp_Q10567_2_AP1B1_HUMAN_.pdf</v>
      </c>
      <c r="AA1615" t="s">
        <v>14474</v>
      </c>
      <c r="AB1615" t="s">
        <v>18699</v>
      </c>
    </row>
    <row r="1616" spans="1:28" x14ac:dyDescent="0.25">
      <c r="A1616" t="s">
        <v>1620</v>
      </c>
      <c r="B1616">
        <v>0.99876560204751996</v>
      </c>
      <c r="C1616">
        <v>1.08782750521237</v>
      </c>
      <c r="D1616">
        <v>0.98548078048852905</v>
      </c>
      <c r="E1616">
        <v>1.0172866505781399</v>
      </c>
      <c r="F1616">
        <v>0.758086392955445</v>
      </c>
      <c r="G1616">
        <v>0.42471529051705098</v>
      </c>
      <c r="H1616">
        <v>0.177481196266839</v>
      </c>
      <c r="I1616">
        <v>9.1854435640187998E-2</v>
      </c>
      <c r="J1616">
        <v>5.80006821605819E-2</v>
      </c>
      <c r="K1616">
        <v>4.4436751110525502E-2</v>
      </c>
      <c r="L1616">
        <v>1311.56861968926</v>
      </c>
      <c r="M1616">
        <v>23.438873533522901</v>
      </c>
      <c r="N1616">
        <v>56.172776039337201</v>
      </c>
      <c r="O1616">
        <v>55.5544401011499</v>
      </c>
      <c r="P1616">
        <v>-0.100937581119612</v>
      </c>
      <c r="Q1616">
        <v>4.3054127320705599E-2</v>
      </c>
      <c r="R1616">
        <v>0.99171320255256501</v>
      </c>
      <c r="S1616" t="s">
        <v>5912</v>
      </c>
      <c r="T1616" t="s">
        <v>8590</v>
      </c>
      <c r="U1616" t="s">
        <v>8590</v>
      </c>
      <c r="V1616" t="s">
        <v>8590</v>
      </c>
      <c r="W1616">
        <v>36</v>
      </c>
      <c r="X1616" t="s">
        <v>10206</v>
      </c>
      <c r="Y1616">
        <v>0.56181512172331993</v>
      </c>
      <c r="Z1616" t="str">
        <f>HYPERLINK("Melting_Curves/meltCurve_sp_Q10567_3_AP1B1_HUMAN_.pdf", "Melting_Curves/meltCurve_sp_Q10567_3_AP1B1_HUMAN_.pdf")</f>
        <v>Melting_Curves/meltCurve_sp_Q10567_3_AP1B1_HUMAN_.pdf</v>
      </c>
      <c r="AA1616" t="s">
        <v>14474</v>
      </c>
      <c r="AB1616" t="s">
        <v>18700</v>
      </c>
    </row>
    <row r="1617" spans="1:28" x14ac:dyDescent="0.25">
      <c r="A1617" t="s">
        <v>1621</v>
      </c>
      <c r="B1617">
        <v>0.99876560204751996</v>
      </c>
      <c r="C1617">
        <v>1.04104381395172</v>
      </c>
      <c r="D1617">
        <v>0.96934474551980998</v>
      </c>
      <c r="E1617">
        <v>1.00984393093668</v>
      </c>
      <c r="F1617">
        <v>1.0227306846053801</v>
      </c>
      <c r="G1617">
        <v>0.85075051230160403</v>
      </c>
      <c r="H1617">
        <v>0.73401100791233398</v>
      </c>
      <c r="I1617">
        <v>0.74246719109994896</v>
      </c>
      <c r="J1617">
        <v>1.0564919858087101</v>
      </c>
      <c r="K1617">
        <v>0.974448710358085</v>
      </c>
      <c r="L1617">
        <v>5136.6902973690403</v>
      </c>
      <c r="M1617">
        <v>93.477685942337402</v>
      </c>
      <c r="O1617">
        <v>54.925842840865002</v>
      </c>
      <c r="P1617">
        <v>-5.4846108425544202E-2</v>
      </c>
      <c r="Q1617">
        <v>0.87109357747810101</v>
      </c>
      <c r="R1617">
        <v>0.35254805988168297</v>
      </c>
      <c r="S1617" t="s">
        <v>5913</v>
      </c>
      <c r="T1617" t="s">
        <v>8590</v>
      </c>
      <c r="U1617" t="s">
        <v>8590</v>
      </c>
      <c r="V1617" t="s">
        <v>8590</v>
      </c>
      <c r="W1617">
        <v>4</v>
      </c>
      <c r="X1617" t="s">
        <v>10207</v>
      </c>
      <c r="Y1617">
        <v>0.93542518753102344</v>
      </c>
      <c r="Z1617" t="str">
        <f>HYPERLINK("Melting_Curves/meltCurve_sp_Q10570_CPSF1_HUMAN_.pdf", "Melting_Curves/meltCurve_sp_Q10570_CPSF1_HUMAN_.pdf")</f>
        <v>Melting_Curves/meltCurve_sp_Q10570_CPSF1_HUMAN_.pdf</v>
      </c>
      <c r="AA1617" t="s">
        <v>14475</v>
      </c>
      <c r="AB1617" t="s">
        <v>18701</v>
      </c>
    </row>
    <row r="1618" spans="1:28" x14ac:dyDescent="0.25">
      <c r="A1618" t="s">
        <v>1622</v>
      </c>
      <c r="B1618">
        <v>0.99876560204751996</v>
      </c>
      <c r="C1618">
        <v>0.97547051876243396</v>
      </c>
      <c r="D1618">
        <v>0.87050928108598602</v>
      </c>
      <c r="E1618">
        <v>0.48212163771046601</v>
      </c>
      <c r="F1618">
        <v>0.20637624547098701</v>
      </c>
      <c r="G1618">
        <v>0.11541424862241401</v>
      </c>
      <c r="H1618">
        <v>7.0723518848033601E-2</v>
      </c>
      <c r="I1618">
        <v>5.1729373819268801E-2</v>
      </c>
      <c r="J1618">
        <v>4.9584166680690697E-2</v>
      </c>
      <c r="K1618">
        <v>3.97555375491042E-2</v>
      </c>
      <c r="L1618">
        <v>1171.84885913536</v>
      </c>
      <c r="M1618">
        <v>23.637925498418198</v>
      </c>
      <c r="N1618">
        <v>49.802912477844899</v>
      </c>
      <c r="O1618">
        <v>49.224224235321103</v>
      </c>
      <c r="P1618">
        <v>-0.113898429533333</v>
      </c>
      <c r="Q1618">
        <v>5.1275853072447398E-2</v>
      </c>
      <c r="R1618">
        <v>0.99935494879294595</v>
      </c>
      <c r="S1618" t="s">
        <v>5914</v>
      </c>
      <c r="T1618" t="s">
        <v>8590</v>
      </c>
      <c r="U1618" t="s">
        <v>8590</v>
      </c>
      <c r="V1618" t="s">
        <v>8590</v>
      </c>
      <c r="W1618">
        <v>20</v>
      </c>
      <c r="X1618" t="s">
        <v>10208</v>
      </c>
      <c r="Y1618">
        <v>0.36353627915790132</v>
      </c>
      <c r="Z1618" t="str">
        <f>HYPERLINK("Melting_Curves/meltCurve_sp_Q10713_MPPA_HUMAN_.pdf", "Melting_Curves/meltCurve_sp_Q10713_MPPA_HUMAN_.pdf")</f>
        <v>Melting_Curves/meltCurve_sp_Q10713_MPPA_HUMAN_.pdf</v>
      </c>
      <c r="AA1618" t="s">
        <v>14476</v>
      </c>
      <c r="AB1618" t="s">
        <v>18702</v>
      </c>
    </row>
    <row r="1619" spans="1:28" x14ac:dyDescent="0.25">
      <c r="A1619" t="s">
        <v>1623</v>
      </c>
      <c r="B1619">
        <v>0.99876560204751996</v>
      </c>
      <c r="C1619">
        <v>1.0746919350297801</v>
      </c>
      <c r="D1619">
        <v>0.94523779962192001</v>
      </c>
      <c r="E1619">
        <v>0.753748169147479</v>
      </c>
      <c r="F1619">
        <v>0.36676051580950902</v>
      </c>
      <c r="G1619">
        <v>0.18242004154108901</v>
      </c>
      <c r="H1619">
        <v>9.9231119491914696E-2</v>
      </c>
      <c r="I1619">
        <v>6.2887218656961397E-2</v>
      </c>
      <c r="J1619">
        <v>4.6332135816298602E-2</v>
      </c>
      <c r="K1619">
        <v>4.0962525302751997E-2</v>
      </c>
      <c r="L1619">
        <v>1316.37769238138</v>
      </c>
      <c r="M1619">
        <v>25.405830628005798</v>
      </c>
      <c r="N1619">
        <v>52.072733414001497</v>
      </c>
      <c r="O1619">
        <v>51.496177550480603</v>
      </c>
      <c r="P1619">
        <v>-0.116026550990888</v>
      </c>
      <c r="Q1619">
        <v>5.92949280652088E-2</v>
      </c>
      <c r="R1619">
        <v>0.99374716466662405</v>
      </c>
      <c r="S1619" t="s">
        <v>5915</v>
      </c>
      <c r="T1619" t="s">
        <v>8590</v>
      </c>
      <c r="U1619" t="s">
        <v>8590</v>
      </c>
      <c r="V1619" t="s">
        <v>8590</v>
      </c>
      <c r="W1619">
        <v>17</v>
      </c>
      <c r="X1619" t="s">
        <v>10209</v>
      </c>
      <c r="Y1619">
        <v>0.43805330890870309</v>
      </c>
      <c r="Z1619" t="str">
        <f>HYPERLINK("Melting_Curves/meltCurve_sp_Q12768_STRUM_HUMAN_.pdf", "Melting_Curves/meltCurve_sp_Q12768_STRUM_HUMAN_.pdf")</f>
        <v>Melting_Curves/meltCurve_sp_Q12768_STRUM_HUMAN_.pdf</v>
      </c>
      <c r="AA1619" t="s">
        <v>14477</v>
      </c>
      <c r="AB1619" t="s">
        <v>18703</v>
      </c>
    </row>
    <row r="1620" spans="1:28" x14ac:dyDescent="0.25">
      <c r="A1620" t="s">
        <v>1624</v>
      </c>
      <c r="B1620">
        <v>0.99876560204751996</v>
      </c>
      <c r="C1620">
        <v>0.95857122975619102</v>
      </c>
      <c r="D1620">
        <v>0.79452469587430496</v>
      </c>
      <c r="E1620">
        <v>0.70801071434253504</v>
      </c>
      <c r="F1620">
        <v>0.47348165708031598</v>
      </c>
      <c r="G1620">
        <v>0.22696388563654901</v>
      </c>
      <c r="H1620">
        <v>0.18212335526534301</v>
      </c>
      <c r="I1620">
        <v>0.138853674048314</v>
      </c>
      <c r="J1620">
        <v>0.11362898023526199</v>
      </c>
      <c r="K1620">
        <v>3.9246318158640998E-2</v>
      </c>
      <c r="L1620">
        <v>674.67692411658697</v>
      </c>
      <c r="M1620">
        <v>12.919371158509501</v>
      </c>
      <c r="N1620">
        <v>52.524000372732402</v>
      </c>
      <c r="O1620">
        <v>51.0184100835965</v>
      </c>
      <c r="P1620">
        <v>-6.1053168263498103E-2</v>
      </c>
      <c r="Q1620">
        <v>3.5782200792844499E-2</v>
      </c>
      <c r="R1620">
        <v>0.98990803165445995</v>
      </c>
      <c r="S1620" t="s">
        <v>5916</v>
      </c>
      <c r="T1620" t="s">
        <v>8590</v>
      </c>
      <c r="U1620" t="s">
        <v>8590</v>
      </c>
      <c r="V1620" t="s">
        <v>8590</v>
      </c>
      <c r="W1620">
        <v>1</v>
      </c>
      <c r="X1620" t="s">
        <v>10210</v>
      </c>
      <c r="Y1620">
        <v>0.45503261542082751</v>
      </c>
      <c r="Z1620" t="str">
        <f>HYPERLINK("Melting_Curves/meltCurve_sp_Q12769_NU160_HUMAN_.pdf", "Melting_Curves/meltCurve_sp_Q12769_NU160_HUMAN_.pdf")</f>
        <v>Melting_Curves/meltCurve_sp_Q12769_NU160_HUMAN_.pdf</v>
      </c>
      <c r="AA1620" t="s">
        <v>14478</v>
      </c>
      <c r="AB1620" t="s">
        <v>18704</v>
      </c>
    </row>
    <row r="1621" spans="1:28" x14ac:dyDescent="0.25">
      <c r="A1621" t="s">
        <v>1625</v>
      </c>
      <c r="B1621">
        <v>0.99876560204751996</v>
      </c>
      <c r="C1621">
        <v>1.06416049506565</v>
      </c>
      <c r="D1621">
        <v>1.0789639540674401</v>
      </c>
      <c r="E1621">
        <v>1.0093089767688399</v>
      </c>
      <c r="F1621">
        <v>0.98564519938503103</v>
      </c>
      <c r="G1621">
        <v>0.84361774348680396</v>
      </c>
      <c r="H1621">
        <v>0.75961371527925903</v>
      </c>
      <c r="I1621">
        <v>0.76291419812125105</v>
      </c>
      <c r="J1621">
        <v>0.86836033783892697</v>
      </c>
      <c r="K1621">
        <v>0.83457004490350795</v>
      </c>
      <c r="L1621">
        <v>3378.8007677732699</v>
      </c>
      <c r="M1621">
        <v>60.824188533793901</v>
      </c>
      <c r="O1621">
        <v>55.490327973599499</v>
      </c>
      <c r="P1621">
        <v>-5.29575239448518E-2</v>
      </c>
      <c r="Q1621">
        <v>0.80674601352658704</v>
      </c>
      <c r="R1621">
        <v>0.85259332235441099</v>
      </c>
      <c r="S1621" t="s">
        <v>5917</v>
      </c>
      <c r="T1621" t="s">
        <v>8590</v>
      </c>
      <c r="U1621" t="s">
        <v>8590</v>
      </c>
      <c r="V1621" t="s">
        <v>8590</v>
      </c>
      <c r="W1621">
        <v>7</v>
      </c>
      <c r="X1621" t="s">
        <v>10211</v>
      </c>
      <c r="Y1621">
        <v>0.90723718529769959</v>
      </c>
      <c r="Z1621" t="str">
        <f>HYPERLINK("Melting_Curves/meltCurve_sp_Q12774_ARHG5_HUMAN_.pdf", "Melting_Curves/meltCurve_sp_Q12774_ARHG5_HUMAN_.pdf")</f>
        <v>Melting_Curves/meltCurve_sp_Q12774_ARHG5_HUMAN_.pdf</v>
      </c>
      <c r="AA1621" t="s">
        <v>14479</v>
      </c>
      <c r="AB1621" t="s">
        <v>18705</v>
      </c>
    </row>
    <row r="1622" spans="1:28" x14ac:dyDescent="0.25">
      <c r="A1622" t="s">
        <v>1626</v>
      </c>
      <c r="B1622">
        <v>0.99876560204751996</v>
      </c>
      <c r="C1622">
        <v>0.93555864310546399</v>
      </c>
      <c r="D1622">
        <v>0.97441358879970597</v>
      </c>
      <c r="E1622">
        <v>0.90030155061890305</v>
      </c>
      <c r="F1622">
        <v>0.85073126879886096</v>
      </c>
      <c r="G1622">
        <v>0.38072397868350599</v>
      </c>
      <c r="H1622">
        <v>0.11861100546116</v>
      </c>
      <c r="I1622">
        <v>8.63886325303245E-2</v>
      </c>
      <c r="J1622">
        <v>6.8297808244069905E-2</v>
      </c>
      <c r="K1622">
        <v>6.3931528674849594E-2</v>
      </c>
      <c r="L1622">
        <v>1593.5423882504599</v>
      </c>
      <c r="M1622">
        <v>28.590800033435901</v>
      </c>
      <c r="N1622">
        <v>55.976572716633697</v>
      </c>
      <c r="O1622">
        <v>55.465670984956397</v>
      </c>
      <c r="P1622">
        <v>-0.12142379233577701</v>
      </c>
      <c r="Q1622">
        <v>5.7767152986385302E-2</v>
      </c>
      <c r="R1622">
        <v>0.99397590345222897</v>
      </c>
      <c r="S1622" t="s">
        <v>5918</v>
      </c>
      <c r="T1622" t="s">
        <v>8590</v>
      </c>
      <c r="U1622" t="s">
        <v>8590</v>
      </c>
      <c r="V1622" t="s">
        <v>8590</v>
      </c>
      <c r="W1622">
        <v>12</v>
      </c>
      <c r="X1622" t="s">
        <v>10212</v>
      </c>
      <c r="Y1622">
        <v>0.55886193431300646</v>
      </c>
      <c r="Z1622" t="str">
        <f>HYPERLINK("Melting_Curves/meltCurve_sp_Q12792_TWF1_HUMAN_.pdf", "Melting_Curves/meltCurve_sp_Q12792_TWF1_HUMAN_.pdf")</f>
        <v>Melting_Curves/meltCurve_sp_Q12792_TWF1_HUMAN_.pdf</v>
      </c>
      <c r="AA1622" t="s">
        <v>14480</v>
      </c>
      <c r="AB1622" t="s">
        <v>18706</v>
      </c>
    </row>
    <row r="1623" spans="1:28" x14ac:dyDescent="0.25">
      <c r="A1623" t="s">
        <v>1627</v>
      </c>
      <c r="B1623">
        <v>0.99876560204751996</v>
      </c>
      <c r="C1623">
        <v>0.73214604913105596</v>
      </c>
      <c r="D1623">
        <v>0.73520507288320203</v>
      </c>
      <c r="E1623">
        <v>0.43757608522731101</v>
      </c>
      <c r="F1623">
        <v>0.19739265557189001</v>
      </c>
      <c r="G1623">
        <v>0.128869468825352</v>
      </c>
      <c r="H1623">
        <v>7.5522456904441995E-2</v>
      </c>
      <c r="I1623">
        <v>3.3970652531989901E-2</v>
      </c>
      <c r="J1623">
        <v>1.3541515387182E-2</v>
      </c>
      <c r="K1623">
        <v>1.60276361205434E-2</v>
      </c>
      <c r="L1623">
        <v>635.72011509656295</v>
      </c>
      <c r="M1623">
        <v>13.095893538731501</v>
      </c>
      <c r="N1623">
        <v>48.543471136521603</v>
      </c>
      <c r="O1623">
        <v>47.453406620866801</v>
      </c>
      <c r="P1623">
        <v>-6.9005277089946707E-2</v>
      </c>
      <c r="Q1623">
        <v>0</v>
      </c>
      <c r="R1623">
        <v>0.979404224841531</v>
      </c>
      <c r="S1623" t="s">
        <v>5919</v>
      </c>
      <c r="T1623" t="s">
        <v>8590</v>
      </c>
      <c r="U1623" t="s">
        <v>8590</v>
      </c>
      <c r="V1623" t="s">
        <v>8590</v>
      </c>
      <c r="W1623">
        <v>2</v>
      </c>
      <c r="X1623" t="s">
        <v>10213</v>
      </c>
      <c r="Y1623">
        <v>0.31716995989382818</v>
      </c>
      <c r="Z1623" t="str">
        <f>HYPERLINK("Melting_Curves/meltCurve_sp_Q12794_7_HYAL1_HUMAN_.pdf", "Melting_Curves/meltCurve_sp_Q12794_7_HYAL1_HUMAN_.pdf")</f>
        <v>Melting_Curves/meltCurve_sp_Q12794_7_HYAL1_HUMAN_.pdf</v>
      </c>
      <c r="AA1623" t="s">
        <v>14481</v>
      </c>
      <c r="AB1623" t="s">
        <v>18707</v>
      </c>
    </row>
    <row r="1624" spans="1:28" x14ac:dyDescent="0.25">
      <c r="A1624" t="s">
        <v>1628</v>
      </c>
      <c r="B1624">
        <v>0.99876560204751996</v>
      </c>
      <c r="C1624">
        <v>0.92038983741939195</v>
      </c>
      <c r="D1624">
        <v>0.90236924487832304</v>
      </c>
      <c r="E1624">
        <v>0.80812137114202798</v>
      </c>
      <c r="F1624">
        <v>0.76860051090398296</v>
      </c>
      <c r="G1624">
        <v>0.61895698079998096</v>
      </c>
      <c r="H1624">
        <v>0.50584436372199904</v>
      </c>
      <c r="I1624">
        <v>0.446695593135708</v>
      </c>
      <c r="J1624">
        <v>0.55670781987528295</v>
      </c>
      <c r="K1624">
        <v>0.53479434779410395</v>
      </c>
      <c r="L1624">
        <v>629.500515030884</v>
      </c>
      <c r="M1624">
        <v>12.0044987893995</v>
      </c>
      <c r="N1624">
        <v>68.388874746326806</v>
      </c>
      <c r="O1624">
        <v>51.047107534790598</v>
      </c>
      <c r="P1624">
        <v>-3.1191088093184001E-2</v>
      </c>
      <c r="Q1624">
        <v>0.46958819776439398</v>
      </c>
      <c r="R1624">
        <v>0.95067637382852099</v>
      </c>
      <c r="S1624" t="s">
        <v>5920</v>
      </c>
      <c r="T1624" t="s">
        <v>8590</v>
      </c>
      <c r="U1624" t="s">
        <v>8590</v>
      </c>
      <c r="V1624" t="s">
        <v>8590</v>
      </c>
      <c r="W1624">
        <v>10</v>
      </c>
      <c r="X1624" t="s">
        <v>10214</v>
      </c>
      <c r="Y1624">
        <v>0.70524979502363172</v>
      </c>
      <c r="Z1624" t="str">
        <f>HYPERLINK("Melting_Curves/meltCurve_sp_Q12802_4_AKP13_HUMAN_.pdf", "Melting_Curves/meltCurve_sp_Q12802_4_AKP13_HUMAN_.pdf")</f>
        <v>Melting_Curves/meltCurve_sp_Q12802_4_AKP13_HUMAN_.pdf</v>
      </c>
      <c r="AA1624" t="s">
        <v>14482</v>
      </c>
      <c r="AB1624" t="s">
        <v>18708</v>
      </c>
    </row>
    <row r="1625" spans="1:28" x14ac:dyDescent="0.25">
      <c r="A1625" t="s">
        <v>1629</v>
      </c>
      <c r="B1625">
        <v>0.99876560204751996</v>
      </c>
      <c r="C1625">
        <v>0.90877972667092899</v>
      </c>
      <c r="D1625">
        <v>0.94792093823180501</v>
      </c>
      <c r="E1625">
        <v>0.89487153943488196</v>
      </c>
      <c r="F1625">
        <v>0.70399237776444701</v>
      </c>
      <c r="G1625">
        <v>0.50217789485554098</v>
      </c>
      <c r="H1625">
        <v>0.35069264831376401</v>
      </c>
      <c r="I1625">
        <v>0.32205698736995098</v>
      </c>
      <c r="J1625">
        <v>0.34038010331458401</v>
      </c>
      <c r="K1625">
        <v>0.38352601845047601</v>
      </c>
      <c r="L1625">
        <v>1125.29095699706</v>
      </c>
      <c r="M1625">
        <v>20.972878099760901</v>
      </c>
      <c r="N1625">
        <v>56.594083022727602</v>
      </c>
      <c r="O1625">
        <v>53.173925564568698</v>
      </c>
      <c r="P1625">
        <v>-6.5891711635449796E-2</v>
      </c>
      <c r="Q1625">
        <v>0.33177956057282298</v>
      </c>
      <c r="R1625">
        <v>0.98142313069892795</v>
      </c>
      <c r="S1625" t="s">
        <v>5921</v>
      </c>
      <c r="T1625" t="s">
        <v>8590</v>
      </c>
      <c r="U1625" t="s">
        <v>8590</v>
      </c>
      <c r="V1625" t="s">
        <v>8590</v>
      </c>
      <c r="W1625">
        <v>4</v>
      </c>
      <c r="X1625" t="s">
        <v>10215</v>
      </c>
      <c r="Y1625">
        <v>0.64435285417510357</v>
      </c>
      <c r="Z1625" t="str">
        <f>HYPERLINK("Melting_Curves/meltCurve_sp_Q12849_5_GRSF1_HUMAN_.pdf", "Melting_Curves/meltCurve_sp_Q12849_5_GRSF1_HUMAN_.pdf")</f>
        <v>Melting_Curves/meltCurve_sp_Q12849_5_GRSF1_HUMAN_.pdf</v>
      </c>
      <c r="AA1625" t="s">
        <v>14483</v>
      </c>
      <c r="AB1625" t="s">
        <v>18709</v>
      </c>
    </row>
    <row r="1626" spans="1:28" x14ac:dyDescent="0.25">
      <c r="A1626" t="s">
        <v>1630</v>
      </c>
      <c r="B1626">
        <v>0.99876560204751996</v>
      </c>
      <c r="C1626">
        <v>1.03307583695877</v>
      </c>
      <c r="D1626">
        <v>0.98329004953099697</v>
      </c>
      <c r="E1626">
        <v>0.62596486906321502</v>
      </c>
      <c r="F1626">
        <v>0.27928303883116001</v>
      </c>
      <c r="G1626">
        <v>0.141985624821798</v>
      </c>
      <c r="H1626">
        <v>8.4855438326532098E-2</v>
      </c>
      <c r="I1626">
        <v>6.0422372748045503E-2</v>
      </c>
      <c r="J1626">
        <v>5.7922738449010497E-2</v>
      </c>
      <c r="K1626">
        <v>4.4426847580601399E-2</v>
      </c>
      <c r="L1626">
        <v>1452.31341352813</v>
      </c>
      <c r="M1626">
        <v>28.5988307934274</v>
      </c>
      <c r="N1626">
        <v>51.036431397497203</v>
      </c>
      <c r="O1626">
        <v>50.535904888614297</v>
      </c>
      <c r="P1626">
        <v>-0.13208852026718701</v>
      </c>
      <c r="Q1626">
        <v>6.6372804030454494E-2</v>
      </c>
      <c r="R1626">
        <v>0.9973486252039</v>
      </c>
      <c r="S1626" t="s">
        <v>5922</v>
      </c>
      <c r="T1626" t="s">
        <v>8590</v>
      </c>
      <c r="U1626" t="s">
        <v>8590</v>
      </c>
      <c r="V1626" t="s">
        <v>8590</v>
      </c>
      <c r="W1626">
        <v>5</v>
      </c>
      <c r="X1626" t="s">
        <v>10216</v>
      </c>
      <c r="Y1626">
        <v>0.40836449001940589</v>
      </c>
      <c r="Z1626" t="str">
        <f>HYPERLINK("Melting_Curves/meltCurve_sp_Q12874_SF3A3_HUMAN_.pdf", "Melting_Curves/meltCurve_sp_Q12874_SF3A3_HUMAN_.pdf")</f>
        <v>Melting_Curves/meltCurve_sp_Q12874_SF3A3_HUMAN_.pdf</v>
      </c>
      <c r="AA1626" t="s">
        <v>14484</v>
      </c>
      <c r="AB1626" t="s">
        <v>18710</v>
      </c>
    </row>
    <row r="1627" spans="1:28" x14ac:dyDescent="0.25">
      <c r="A1627" t="s">
        <v>1631</v>
      </c>
      <c r="B1627">
        <v>0.99876560204751996</v>
      </c>
      <c r="C1627">
        <v>1.0549926995890899</v>
      </c>
      <c r="D1627">
        <v>0.87841204981378196</v>
      </c>
      <c r="E1627">
        <v>0.97212742083830594</v>
      </c>
      <c r="F1627">
        <v>0.45839215664827199</v>
      </c>
      <c r="G1627">
        <v>0.13701599023222699</v>
      </c>
      <c r="H1627">
        <v>8.1665445863775901E-2</v>
      </c>
      <c r="I1627">
        <v>5.9177150113672403E-2</v>
      </c>
      <c r="J1627">
        <v>5.5537385773138402E-2</v>
      </c>
      <c r="K1627">
        <v>4.3826834671253798E-2</v>
      </c>
      <c r="L1627">
        <v>2782.31429033527</v>
      </c>
      <c r="M1627">
        <v>52.795249154350401</v>
      </c>
      <c r="N1627">
        <v>52.853384148271502</v>
      </c>
      <c r="O1627">
        <v>52.624640859186997</v>
      </c>
      <c r="P1627">
        <v>-0.233003569002496</v>
      </c>
      <c r="Q1627">
        <v>7.09981722594379E-2</v>
      </c>
      <c r="R1627">
        <v>0.98798630055903403</v>
      </c>
      <c r="S1627" t="s">
        <v>5923</v>
      </c>
      <c r="T1627" t="s">
        <v>8590</v>
      </c>
      <c r="U1627" t="s">
        <v>8590</v>
      </c>
      <c r="V1627" t="s">
        <v>8590</v>
      </c>
      <c r="W1627">
        <v>43</v>
      </c>
      <c r="X1627" t="s">
        <v>10217</v>
      </c>
      <c r="Y1627">
        <v>0.46621405430824442</v>
      </c>
      <c r="Z1627" t="str">
        <f>HYPERLINK("Melting_Curves/meltCurve_sp_Q12882_DPYD_HUMAN_.pdf", "Melting_Curves/meltCurve_sp_Q12882_DPYD_HUMAN_.pdf")</f>
        <v>Melting_Curves/meltCurve_sp_Q12882_DPYD_HUMAN_.pdf</v>
      </c>
      <c r="AA1627" t="s">
        <v>14485</v>
      </c>
      <c r="AB1627" t="s">
        <v>18711</v>
      </c>
    </row>
    <row r="1628" spans="1:28" x14ac:dyDescent="0.25">
      <c r="A1628" t="s">
        <v>1632</v>
      </c>
      <c r="B1628">
        <v>0.99876560204751996</v>
      </c>
      <c r="C1628">
        <v>1.0030584118646699</v>
      </c>
      <c r="D1628">
        <v>0.93170604331718199</v>
      </c>
      <c r="E1628">
        <v>0.76425490751408198</v>
      </c>
      <c r="F1628">
        <v>0.73614912940978705</v>
      </c>
      <c r="G1628">
        <v>0.50784353654990999</v>
      </c>
      <c r="H1628">
        <v>0.42307307392306198</v>
      </c>
      <c r="I1628">
        <v>0.31643868015708099</v>
      </c>
      <c r="J1628">
        <v>0.40147389483424101</v>
      </c>
      <c r="K1628">
        <v>0.35534056872777903</v>
      </c>
      <c r="L1628">
        <v>755.21969727250803</v>
      </c>
      <c r="M1628">
        <v>14.138665260271299</v>
      </c>
      <c r="N1628">
        <v>57.6103333829493</v>
      </c>
      <c r="O1628">
        <v>52.380714744204298</v>
      </c>
      <c r="P1628">
        <v>-4.5796710731497201E-2</v>
      </c>
      <c r="Q1628">
        <v>0.321418659075632</v>
      </c>
      <c r="R1628">
        <v>0.98152446402562898</v>
      </c>
      <c r="S1628" t="s">
        <v>5924</v>
      </c>
      <c r="T1628" t="s">
        <v>8590</v>
      </c>
      <c r="U1628" t="s">
        <v>8590</v>
      </c>
      <c r="V1628" t="s">
        <v>8590</v>
      </c>
      <c r="W1628">
        <v>4</v>
      </c>
      <c r="X1628" t="s">
        <v>10218</v>
      </c>
      <c r="Y1628">
        <v>0.64033754825752065</v>
      </c>
      <c r="Z1628" t="str">
        <f>HYPERLINK("Melting_Curves/meltCurve_sp_Q12888_TP53B_HUMAN_.pdf", "Melting_Curves/meltCurve_sp_Q12888_TP53B_HUMAN_.pdf")</f>
        <v>Melting_Curves/meltCurve_sp_Q12888_TP53B_HUMAN_.pdf</v>
      </c>
      <c r="AA1628" t="s">
        <v>14486</v>
      </c>
      <c r="AB1628" t="s">
        <v>18712</v>
      </c>
    </row>
    <row r="1629" spans="1:28" x14ac:dyDescent="0.25">
      <c r="A1629" t="s">
        <v>1633</v>
      </c>
      <c r="B1629">
        <v>0.99876560204751996</v>
      </c>
      <c r="C1629">
        <v>0.95895840040790203</v>
      </c>
      <c r="D1629">
        <v>0.94490537704822897</v>
      </c>
      <c r="E1629">
        <v>0.84669645592090204</v>
      </c>
      <c r="F1629">
        <v>0.52588541231751995</v>
      </c>
      <c r="G1629">
        <v>0.38854227046575901</v>
      </c>
      <c r="H1629">
        <v>0.32122191703273001</v>
      </c>
      <c r="I1629">
        <v>0.28176936388155999</v>
      </c>
      <c r="J1629">
        <v>0.26985054445606799</v>
      </c>
      <c r="K1629">
        <v>0.28196633486578798</v>
      </c>
      <c r="L1629">
        <v>1296.8472309279</v>
      </c>
      <c r="M1629">
        <v>24.9166617580637</v>
      </c>
      <c r="N1629">
        <v>53.867957422980801</v>
      </c>
      <c r="O1629">
        <v>51.715599241686199</v>
      </c>
      <c r="P1629">
        <v>-8.6171504552857006E-2</v>
      </c>
      <c r="Q1629">
        <v>0.28459896431534298</v>
      </c>
      <c r="R1629">
        <v>0.99262981074638601</v>
      </c>
      <c r="S1629" t="s">
        <v>5925</v>
      </c>
      <c r="T1629" t="s">
        <v>8590</v>
      </c>
      <c r="U1629" t="s">
        <v>8590</v>
      </c>
      <c r="V1629" t="s">
        <v>8590</v>
      </c>
      <c r="W1629">
        <v>8</v>
      </c>
      <c r="X1629" t="s">
        <v>10219</v>
      </c>
      <c r="Y1629">
        <v>0.57846546820411293</v>
      </c>
      <c r="Z1629" t="str">
        <f>HYPERLINK("Melting_Curves/meltCurve_sp_Q12899_TRI26_HUMAN_.pdf", "Melting_Curves/meltCurve_sp_Q12899_TRI26_HUMAN_.pdf")</f>
        <v>Melting_Curves/meltCurve_sp_Q12899_TRI26_HUMAN_.pdf</v>
      </c>
      <c r="AA1629" t="s">
        <v>14487</v>
      </c>
      <c r="AB1629" t="s">
        <v>18713</v>
      </c>
    </row>
    <row r="1630" spans="1:28" x14ac:dyDescent="0.25">
      <c r="A1630" t="s">
        <v>1634</v>
      </c>
      <c r="B1630">
        <v>0.99876560204751996</v>
      </c>
      <c r="C1630">
        <v>0.90479859950741104</v>
      </c>
      <c r="D1630">
        <v>0.74210262128204996</v>
      </c>
      <c r="E1630">
        <v>0.49041129344186601</v>
      </c>
      <c r="F1630">
        <v>0.33877867974418502</v>
      </c>
      <c r="G1630">
        <v>0.224073539164793</v>
      </c>
      <c r="H1630">
        <v>0.17942705574465301</v>
      </c>
      <c r="I1630">
        <v>0.20202123496525801</v>
      </c>
      <c r="J1630">
        <v>0.29185372441084101</v>
      </c>
      <c r="K1630">
        <v>0.27867518963517401</v>
      </c>
      <c r="L1630">
        <v>896.06284581281102</v>
      </c>
      <c r="M1630">
        <v>18.726817421817401</v>
      </c>
      <c r="N1630">
        <v>49.4429956373138</v>
      </c>
      <c r="O1630">
        <v>47.313589642562498</v>
      </c>
      <c r="P1630">
        <v>-7.6531733652750497E-2</v>
      </c>
      <c r="Q1630">
        <v>0.226598659775714</v>
      </c>
      <c r="R1630">
        <v>0.98370550411024005</v>
      </c>
      <c r="S1630" t="s">
        <v>5926</v>
      </c>
      <c r="T1630" t="s">
        <v>8590</v>
      </c>
      <c r="U1630" t="s">
        <v>8590</v>
      </c>
      <c r="V1630" t="s">
        <v>8590</v>
      </c>
      <c r="W1630">
        <v>12</v>
      </c>
      <c r="X1630" t="s">
        <v>10220</v>
      </c>
      <c r="Y1630">
        <v>0.44163351981336191</v>
      </c>
      <c r="Z1630" t="str">
        <f>HYPERLINK("Melting_Curves/meltCurve_sp_Q12904_AIMP1_HUMAN_.pdf", "Melting_Curves/meltCurve_sp_Q12904_AIMP1_HUMAN_.pdf")</f>
        <v>Melting_Curves/meltCurve_sp_Q12904_AIMP1_HUMAN_.pdf</v>
      </c>
      <c r="AA1630" t="s">
        <v>14488</v>
      </c>
      <c r="AB1630" t="s">
        <v>18714</v>
      </c>
    </row>
    <row r="1631" spans="1:28" x14ac:dyDescent="0.25">
      <c r="A1631" t="s">
        <v>1635</v>
      </c>
      <c r="B1631">
        <v>0.99876560204751996</v>
      </c>
      <c r="C1631">
        <v>0.96207858436374305</v>
      </c>
      <c r="D1631">
        <v>0.89606120939794398</v>
      </c>
      <c r="E1631">
        <v>0.88991456460887097</v>
      </c>
      <c r="F1631">
        <v>0.79999161742994196</v>
      </c>
      <c r="G1631">
        <v>0.53840187903402503</v>
      </c>
      <c r="H1631">
        <v>0.11083030773241399</v>
      </c>
      <c r="I1631">
        <v>7.4415543282414606E-2</v>
      </c>
      <c r="J1631">
        <v>5.68203163415405E-2</v>
      </c>
      <c r="K1631">
        <v>5.5733506717183599E-2</v>
      </c>
      <c r="L1631">
        <v>1178.2565167181599</v>
      </c>
      <c r="M1631">
        <v>20.795025245327</v>
      </c>
      <c r="N1631">
        <v>56.682951979297499</v>
      </c>
      <c r="O1631">
        <v>56.144333425258303</v>
      </c>
      <c r="P1631">
        <v>-9.2219060200815994E-2</v>
      </c>
      <c r="Q1631">
        <v>4.1016417061514E-3</v>
      </c>
      <c r="R1631">
        <v>0.98390204930778502</v>
      </c>
      <c r="S1631" t="s">
        <v>5927</v>
      </c>
      <c r="T1631" t="s">
        <v>8590</v>
      </c>
      <c r="U1631" t="s">
        <v>8590</v>
      </c>
      <c r="V1631" t="s">
        <v>8590</v>
      </c>
      <c r="W1631">
        <v>9</v>
      </c>
      <c r="X1631" t="s">
        <v>10221</v>
      </c>
      <c r="Y1631">
        <v>0.5690015135584009</v>
      </c>
      <c r="Z1631" t="str">
        <f>HYPERLINK("Melting_Curves/meltCurve_sp_Q12905_ILF2_HUMAN_.pdf", "Melting_Curves/meltCurve_sp_Q12905_ILF2_HUMAN_.pdf")</f>
        <v>Melting_Curves/meltCurve_sp_Q12905_ILF2_HUMAN_.pdf</v>
      </c>
      <c r="AA1631" t="s">
        <v>14489</v>
      </c>
      <c r="AB1631" t="s">
        <v>18715</v>
      </c>
    </row>
    <row r="1632" spans="1:28" x14ac:dyDescent="0.25">
      <c r="A1632" t="s">
        <v>1636</v>
      </c>
      <c r="B1632">
        <v>0.99876560204751996</v>
      </c>
      <c r="C1632">
        <v>1.0438508452789499</v>
      </c>
      <c r="D1632">
        <v>1.0082129238433699</v>
      </c>
      <c r="E1632">
        <v>0.98406970531982796</v>
      </c>
      <c r="F1632">
        <v>0.95501210443354301</v>
      </c>
      <c r="G1632">
        <v>0.67672094651209003</v>
      </c>
      <c r="H1632">
        <v>0.23562720689785599</v>
      </c>
      <c r="I1632">
        <v>0.141816133081547</v>
      </c>
      <c r="J1632">
        <v>0.138307867439175</v>
      </c>
      <c r="K1632">
        <v>9.3874090277614605E-2</v>
      </c>
      <c r="L1632">
        <v>1978.4389489459099</v>
      </c>
      <c r="M1632">
        <v>34.167717331274602</v>
      </c>
      <c r="N1632">
        <v>58.321167740172498</v>
      </c>
      <c r="O1632">
        <v>57.706482060123399</v>
      </c>
      <c r="P1632">
        <v>-0.13196810942253101</v>
      </c>
      <c r="Q1632">
        <v>0.10847011362718401</v>
      </c>
      <c r="R1632">
        <v>0.99811907944485301</v>
      </c>
      <c r="S1632" t="s">
        <v>5928</v>
      </c>
      <c r="T1632" t="s">
        <v>8590</v>
      </c>
      <c r="U1632" t="s">
        <v>8590</v>
      </c>
      <c r="V1632" t="s">
        <v>8590</v>
      </c>
      <c r="W1632">
        <v>18</v>
      </c>
      <c r="X1632" t="s">
        <v>10222</v>
      </c>
      <c r="Y1632">
        <v>0.64521944395181285</v>
      </c>
      <c r="Z1632" t="str">
        <f>HYPERLINK("Melting_Curves/meltCurve_sp_Q12906_4_ILF3_HUMAN_.pdf", "Melting_Curves/meltCurve_sp_Q12906_4_ILF3_HUMAN_.pdf")</f>
        <v>Melting_Curves/meltCurve_sp_Q12906_4_ILF3_HUMAN_.pdf</v>
      </c>
      <c r="AA1632" t="s">
        <v>14490</v>
      </c>
      <c r="AB1632" t="s">
        <v>18716</v>
      </c>
    </row>
    <row r="1633" spans="1:28" x14ac:dyDescent="0.25">
      <c r="A1633" t="s">
        <v>1637</v>
      </c>
      <c r="B1633">
        <v>0.99876560204751996</v>
      </c>
      <c r="C1633">
        <v>1.0238510550667399</v>
      </c>
      <c r="D1633">
        <v>0.967084193992922</v>
      </c>
      <c r="E1633">
        <v>0.88042421301773299</v>
      </c>
      <c r="F1633">
        <v>0.60578951855491003</v>
      </c>
      <c r="G1633">
        <v>0.46123168866298397</v>
      </c>
      <c r="H1633">
        <v>0.359827334473313</v>
      </c>
      <c r="I1633">
        <v>0.33511569291959897</v>
      </c>
      <c r="J1633">
        <v>0.379494824903512</v>
      </c>
      <c r="K1633">
        <v>0.35866274050539698</v>
      </c>
      <c r="L1633">
        <v>1390.0041272518299</v>
      </c>
      <c r="M1633">
        <v>26.5286756655068</v>
      </c>
      <c r="N1633">
        <v>55.008164875185301</v>
      </c>
      <c r="O1633">
        <v>52.10127619643</v>
      </c>
      <c r="P1633">
        <v>-8.1708240838370402E-2</v>
      </c>
      <c r="Q1633">
        <v>0.35811973752626702</v>
      </c>
      <c r="R1633">
        <v>0.99413163035498398</v>
      </c>
      <c r="S1633" t="s">
        <v>5929</v>
      </c>
      <c r="T1633" t="s">
        <v>8590</v>
      </c>
      <c r="U1633" t="s">
        <v>8590</v>
      </c>
      <c r="V1633" t="s">
        <v>8590</v>
      </c>
      <c r="W1633">
        <v>6</v>
      </c>
      <c r="X1633" t="s">
        <v>10223</v>
      </c>
      <c r="Y1633">
        <v>0.62859862570151404</v>
      </c>
      <c r="Z1633" t="str">
        <f>HYPERLINK("Melting_Curves/meltCurve_sp_Q12929_EPS8_HUMAN_.pdf", "Melting_Curves/meltCurve_sp_Q12929_EPS8_HUMAN_.pdf")</f>
        <v>Melting_Curves/meltCurve_sp_Q12929_EPS8_HUMAN_.pdf</v>
      </c>
      <c r="AA1633" t="s">
        <v>14491</v>
      </c>
      <c r="AB1633" t="s">
        <v>18717</v>
      </c>
    </row>
    <row r="1634" spans="1:28" x14ac:dyDescent="0.25">
      <c r="A1634" t="s">
        <v>1638</v>
      </c>
      <c r="B1634">
        <v>0.99876560204751996</v>
      </c>
      <c r="C1634">
        <v>1.04981281336994</v>
      </c>
      <c r="D1634">
        <v>1.0231208843478901</v>
      </c>
      <c r="E1634">
        <v>1.0797172261532499</v>
      </c>
      <c r="F1634">
        <v>1.1303488292894399</v>
      </c>
      <c r="G1634">
        <v>0.50915851740955498</v>
      </c>
      <c r="H1634">
        <v>0.124989313002355</v>
      </c>
      <c r="I1634">
        <v>0.101310528710015</v>
      </c>
      <c r="J1634">
        <v>3.6971756255987802E-2</v>
      </c>
      <c r="K1634">
        <v>3.2242556147567998E-2</v>
      </c>
      <c r="L1634">
        <v>7580.3601804631598</v>
      </c>
      <c r="M1634">
        <v>133.10857254337799</v>
      </c>
      <c r="N1634">
        <v>57.017145013614197</v>
      </c>
      <c r="O1634">
        <v>56.935848195993103</v>
      </c>
      <c r="P1634">
        <v>-0.54131183013402595</v>
      </c>
      <c r="Q1634">
        <v>7.3837332387253707E-2</v>
      </c>
      <c r="R1634">
        <v>0.98489533943530205</v>
      </c>
      <c r="S1634" t="s">
        <v>5930</v>
      </c>
      <c r="T1634" t="s">
        <v>8590</v>
      </c>
      <c r="U1634" t="s">
        <v>8590</v>
      </c>
      <c r="V1634" t="s">
        <v>8590</v>
      </c>
      <c r="W1634">
        <v>2</v>
      </c>
      <c r="X1634" t="s">
        <v>10224</v>
      </c>
      <c r="Y1634">
        <v>0.5974058141443146</v>
      </c>
      <c r="Z1634" t="str">
        <f>HYPERLINK("Melting_Curves/meltCurve_sp_Q12933_4_TRAF2_HUMAN_.pdf", "Melting_Curves/meltCurve_sp_Q12933_4_TRAF2_HUMAN_.pdf")</f>
        <v>Melting_Curves/meltCurve_sp_Q12933_4_TRAF2_HUMAN_.pdf</v>
      </c>
      <c r="AA1634" t="s">
        <v>14492</v>
      </c>
      <c r="AB1634" t="s">
        <v>18718</v>
      </c>
    </row>
    <row r="1635" spans="1:28" x14ac:dyDescent="0.25">
      <c r="A1635" t="s">
        <v>1639</v>
      </c>
      <c r="B1635">
        <v>0.99876560204751996</v>
      </c>
      <c r="C1635">
        <v>0.98530765594136005</v>
      </c>
      <c r="D1635">
        <v>0.96773782504755601</v>
      </c>
      <c r="E1635">
        <v>0.91328042923776698</v>
      </c>
      <c r="F1635">
        <v>0.82186886437687801</v>
      </c>
      <c r="G1635">
        <v>0.44839088051255099</v>
      </c>
      <c r="H1635">
        <v>0.27824337601676102</v>
      </c>
      <c r="I1635">
        <v>0.243531927410465</v>
      </c>
      <c r="J1635">
        <v>0.30258885193646401</v>
      </c>
      <c r="K1635">
        <v>0.25668369932082602</v>
      </c>
      <c r="L1635">
        <v>1559.4844835217</v>
      </c>
      <c r="M1635">
        <v>28.408012523435801</v>
      </c>
      <c r="N1635">
        <v>56.319236984778698</v>
      </c>
      <c r="O1635">
        <v>54.626070560686401</v>
      </c>
      <c r="P1635">
        <v>-9.6713662419152094E-2</v>
      </c>
      <c r="Q1635">
        <v>0.25611908528477501</v>
      </c>
      <c r="R1635">
        <v>0.99416422672483296</v>
      </c>
      <c r="S1635" t="s">
        <v>5931</v>
      </c>
      <c r="T1635" t="s">
        <v>8590</v>
      </c>
      <c r="U1635" t="s">
        <v>8590</v>
      </c>
      <c r="V1635" t="s">
        <v>8590</v>
      </c>
      <c r="W1635">
        <v>16</v>
      </c>
      <c r="X1635" t="s">
        <v>10225</v>
      </c>
      <c r="Y1635">
        <v>0.63094065244278597</v>
      </c>
      <c r="Z1635" t="str">
        <f>HYPERLINK("Melting_Curves/meltCurve_sp_Q12959_5_DLG1_HUMAN_.pdf", "Melting_Curves/meltCurve_sp_Q12959_5_DLG1_HUMAN_.pdf")</f>
        <v>Melting_Curves/meltCurve_sp_Q12959_5_DLG1_HUMAN_.pdf</v>
      </c>
      <c r="AA1635" t="s">
        <v>14493</v>
      </c>
      <c r="AB1635" t="s">
        <v>18719</v>
      </c>
    </row>
    <row r="1636" spans="1:28" x14ac:dyDescent="0.25">
      <c r="A1636" t="s">
        <v>1640</v>
      </c>
      <c r="B1636">
        <v>0.99876560204751996</v>
      </c>
      <c r="C1636">
        <v>0.93685893695611699</v>
      </c>
      <c r="D1636">
        <v>0.89421080518456098</v>
      </c>
      <c r="E1636">
        <v>0.76501241748128401</v>
      </c>
      <c r="F1636">
        <v>0.57910923376127399</v>
      </c>
      <c r="G1636">
        <v>0.31075455565126803</v>
      </c>
      <c r="H1636">
        <v>0.303218911007479</v>
      </c>
      <c r="I1636">
        <v>0.220117774743332</v>
      </c>
      <c r="J1636">
        <v>0.344623770179807</v>
      </c>
      <c r="K1636">
        <v>0.22909561414814</v>
      </c>
      <c r="L1636">
        <v>947.12506754503499</v>
      </c>
      <c r="M1636">
        <v>18.2630778944695</v>
      </c>
      <c r="N1636">
        <v>53.849558234125801</v>
      </c>
      <c r="O1636">
        <v>51.250317231941899</v>
      </c>
      <c r="P1636">
        <v>-6.7232838868513695E-2</v>
      </c>
      <c r="Q1636">
        <v>0.24535310242064101</v>
      </c>
      <c r="R1636">
        <v>0.97891945644928302</v>
      </c>
      <c r="S1636" t="s">
        <v>5932</v>
      </c>
      <c r="T1636" t="s">
        <v>8590</v>
      </c>
      <c r="U1636" t="s">
        <v>8590</v>
      </c>
      <c r="V1636" t="s">
        <v>8590</v>
      </c>
      <c r="W1636">
        <v>2</v>
      </c>
      <c r="X1636" t="s">
        <v>10226</v>
      </c>
      <c r="Y1636">
        <v>0.55596333413130627</v>
      </c>
      <c r="Z1636" t="str">
        <f>HYPERLINK("Melting_Curves/meltCurve_sp_Q12962_TAF10_HUMAN_.pdf", "Melting_Curves/meltCurve_sp_Q12962_TAF10_HUMAN_.pdf")</f>
        <v>Melting_Curves/meltCurve_sp_Q12962_TAF10_HUMAN_.pdf</v>
      </c>
      <c r="AA1636" t="s">
        <v>14494</v>
      </c>
      <c r="AB1636" t="s">
        <v>18720</v>
      </c>
    </row>
    <row r="1637" spans="1:28" x14ac:dyDescent="0.25">
      <c r="A1637" t="s">
        <v>1641</v>
      </c>
      <c r="B1637">
        <v>0.99876560204751996</v>
      </c>
      <c r="C1637">
        <v>0.88003761608008602</v>
      </c>
      <c r="D1637">
        <v>0.8587461900069</v>
      </c>
      <c r="E1637">
        <v>0.664495883342618</v>
      </c>
      <c r="F1637">
        <v>0.50349361682436999</v>
      </c>
      <c r="G1637">
        <v>0.37464730458376</v>
      </c>
      <c r="H1637">
        <v>0.31942113187478599</v>
      </c>
      <c r="I1637">
        <v>0.35117614631937799</v>
      </c>
      <c r="J1637">
        <v>0.37228164309610201</v>
      </c>
      <c r="K1637">
        <v>0.38112873446873602</v>
      </c>
      <c r="L1637">
        <v>798.655374012528</v>
      </c>
      <c r="M1637">
        <v>16.1637139718055</v>
      </c>
      <c r="N1637">
        <v>53.098769326011102</v>
      </c>
      <c r="O1637">
        <v>48.672664131917401</v>
      </c>
      <c r="P1637">
        <v>-5.5022186150172299E-2</v>
      </c>
      <c r="Q1637">
        <v>0.337312072390897</v>
      </c>
      <c r="R1637">
        <v>0.98171274689697996</v>
      </c>
      <c r="S1637" t="s">
        <v>5933</v>
      </c>
      <c r="T1637" t="s">
        <v>8590</v>
      </c>
      <c r="U1637" t="s">
        <v>8590</v>
      </c>
      <c r="V1637" t="s">
        <v>8590</v>
      </c>
      <c r="W1637">
        <v>4</v>
      </c>
      <c r="X1637" t="s">
        <v>10227</v>
      </c>
      <c r="Y1637">
        <v>0.55920364581761983</v>
      </c>
      <c r="Z1637" t="str">
        <f>HYPERLINK("Melting_Curves/meltCurve_sp_Q12965_MYO1E_HUMAN_.pdf", "Melting_Curves/meltCurve_sp_Q12965_MYO1E_HUMAN_.pdf")</f>
        <v>Melting_Curves/meltCurve_sp_Q12965_MYO1E_HUMAN_.pdf</v>
      </c>
      <c r="AA1637" t="s">
        <v>14495</v>
      </c>
      <c r="AB1637" t="s">
        <v>18721</v>
      </c>
    </row>
    <row r="1638" spans="1:28" x14ac:dyDescent="0.25">
      <c r="A1638" t="s">
        <v>1642</v>
      </c>
      <c r="B1638">
        <v>0.99876560204751996</v>
      </c>
      <c r="C1638">
        <v>0.95492129142752702</v>
      </c>
      <c r="D1638">
        <v>0.97920907191713402</v>
      </c>
      <c r="E1638">
        <v>0.93860429251290201</v>
      </c>
      <c r="F1638">
        <v>0.64466765203183996</v>
      </c>
      <c r="G1638">
        <v>0.312844885348391</v>
      </c>
      <c r="H1638">
        <v>0.24447874671827899</v>
      </c>
      <c r="I1638">
        <v>0.18555363705096101</v>
      </c>
      <c r="J1638">
        <v>0.19235798663257</v>
      </c>
      <c r="K1638">
        <v>0.15253666824853401</v>
      </c>
      <c r="L1638">
        <v>1539.9791258499499</v>
      </c>
      <c r="M1638">
        <v>28.7146328455968</v>
      </c>
      <c r="N1638">
        <v>54.501817239805497</v>
      </c>
      <c r="O1638">
        <v>53.372381120632902</v>
      </c>
      <c r="P1638">
        <v>-0.109744994344341</v>
      </c>
      <c r="Q1638">
        <v>0.18406679870943801</v>
      </c>
      <c r="R1638">
        <v>0.995548970465857</v>
      </c>
      <c r="S1638" t="s">
        <v>5934</v>
      </c>
      <c r="T1638" t="s">
        <v>8590</v>
      </c>
      <c r="U1638" t="s">
        <v>8590</v>
      </c>
      <c r="V1638" t="s">
        <v>8590</v>
      </c>
      <c r="W1638">
        <v>4</v>
      </c>
      <c r="X1638" t="s">
        <v>10228</v>
      </c>
      <c r="Y1638">
        <v>0.5605920208827736</v>
      </c>
      <c r="Z1638" t="str">
        <f>HYPERLINK("Melting_Curves/meltCurve_sp_Q12972_PP1R8_HUMAN_.pdf", "Melting_Curves/meltCurve_sp_Q12972_PP1R8_HUMAN_.pdf")</f>
        <v>Melting_Curves/meltCurve_sp_Q12972_PP1R8_HUMAN_.pdf</v>
      </c>
      <c r="AA1638" t="s">
        <v>14496</v>
      </c>
      <c r="AB1638" t="s">
        <v>18722</v>
      </c>
    </row>
    <row r="1639" spans="1:28" x14ac:dyDescent="0.25">
      <c r="A1639" t="s">
        <v>1643</v>
      </c>
      <c r="B1639">
        <v>0.99876560204751996</v>
      </c>
      <c r="C1639">
        <v>0.755102688987773</v>
      </c>
      <c r="D1639">
        <v>0.74486181768118898</v>
      </c>
      <c r="E1639">
        <v>0.68879617562178097</v>
      </c>
      <c r="F1639">
        <v>0.67534587910694499</v>
      </c>
      <c r="G1639">
        <v>0.373433785100315</v>
      </c>
      <c r="H1639">
        <v>0.65184169803328895</v>
      </c>
      <c r="I1639">
        <v>0.30562543285820198</v>
      </c>
      <c r="J1639">
        <v>0.36112505265130501</v>
      </c>
      <c r="K1639">
        <v>0.194008317283104</v>
      </c>
      <c r="L1639">
        <v>293.49932723830199</v>
      </c>
      <c r="M1639">
        <v>5.1019050812842304</v>
      </c>
      <c r="N1639">
        <v>57.527398600970898</v>
      </c>
      <c r="O1639">
        <v>50.442132522122201</v>
      </c>
      <c r="P1639">
        <v>-2.5430513172720399E-2</v>
      </c>
      <c r="Q1639">
        <v>0</v>
      </c>
      <c r="R1639">
        <v>0.81169080472773802</v>
      </c>
      <c r="S1639" t="s">
        <v>5935</v>
      </c>
      <c r="T1639" t="s">
        <v>8590</v>
      </c>
      <c r="U1639" t="s">
        <v>8590</v>
      </c>
      <c r="V1639" t="s">
        <v>8590</v>
      </c>
      <c r="W1639">
        <v>1</v>
      </c>
      <c r="X1639" t="s">
        <v>10229</v>
      </c>
      <c r="Y1639">
        <v>0.57427005741618753</v>
      </c>
      <c r="Z1639" t="str">
        <f>HYPERLINK("Melting_Curves/meltCurve_sp_Q12986_3_NFX1_HUMAN_.pdf", "Melting_Curves/meltCurve_sp_Q12986_3_NFX1_HUMAN_.pdf")</f>
        <v>Melting_Curves/meltCurve_sp_Q12986_3_NFX1_HUMAN_.pdf</v>
      </c>
      <c r="AA1639" t="s">
        <v>14497</v>
      </c>
      <c r="AB1639" t="s">
        <v>18723</v>
      </c>
    </row>
    <row r="1640" spans="1:28" x14ac:dyDescent="0.25">
      <c r="A1640" t="s">
        <v>1644</v>
      </c>
      <c r="B1640">
        <v>0.99876560204751996</v>
      </c>
      <c r="C1640">
        <v>0.90263725097290903</v>
      </c>
      <c r="D1640">
        <v>0.83830221939955996</v>
      </c>
      <c r="E1640">
        <v>0.688616669842398</v>
      </c>
      <c r="F1640">
        <v>0.29920826907152798</v>
      </c>
      <c r="G1640">
        <v>0.17159003913899501</v>
      </c>
      <c r="H1640">
        <v>0.124761277433104</v>
      </c>
      <c r="I1640">
        <v>0.11795032974662401</v>
      </c>
      <c r="J1640">
        <v>0.11186138610874501</v>
      </c>
      <c r="K1640">
        <v>6.4409848093648095E-2</v>
      </c>
      <c r="L1640">
        <v>954.01188320855601</v>
      </c>
      <c r="M1640">
        <v>18.810073956975</v>
      </c>
      <c r="N1640">
        <v>51.197326618473298</v>
      </c>
      <c r="O1640">
        <v>50.155330485899903</v>
      </c>
      <c r="P1640">
        <v>-8.6194942890305506E-2</v>
      </c>
      <c r="Q1640">
        <v>8.0714608473092794E-2</v>
      </c>
      <c r="R1640">
        <v>0.98457876895079899</v>
      </c>
      <c r="S1640" t="s">
        <v>5936</v>
      </c>
      <c r="T1640" t="s">
        <v>8590</v>
      </c>
      <c r="U1640" t="s">
        <v>8590</v>
      </c>
      <c r="V1640" t="s">
        <v>8590</v>
      </c>
      <c r="W1640">
        <v>3</v>
      </c>
      <c r="X1640" t="s">
        <v>10230</v>
      </c>
      <c r="Y1640">
        <v>0.42347686654521238</v>
      </c>
      <c r="Z1640" t="str">
        <f>HYPERLINK("Melting_Curves/meltCurve_sp_Q12996_CSTF3_HUMAN_.pdf", "Melting_Curves/meltCurve_sp_Q12996_CSTF3_HUMAN_.pdf")</f>
        <v>Melting_Curves/meltCurve_sp_Q12996_CSTF3_HUMAN_.pdf</v>
      </c>
      <c r="AA1640" t="s">
        <v>14498</v>
      </c>
      <c r="AB1640" t="s">
        <v>18724</v>
      </c>
    </row>
    <row r="1641" spans="1:28" x14ac:dyDescent="0.25">
      <c r="A1641" t="s">
        <v>1645</v>
      </c>
      <c r="B1641">
        <v>0.99876560204751996</v>
      </c>
      <c r="C1641">
        <v>1.0898580306340599</v>
      </c>
      <c r="D1641">
        <v>1.0342735430308001</v>
      </c>
      <c r="E1641">
        <v>1.0365887581759401</v>
      </c>
      <c r="F1641">
        <v>0.64643517730795597</v>
      </c>
      <c r="G1641">
        <v>0.165133587335419</v>
      </c>
      <c r="H1641">
        <v>7.7934094277116894E-2</v>
      </c>
      <c r="I1641">
        <v>5.1338224221441103E-2</v>
      </c>
      <c r="J1641">
        <v>4.3806214684111798E-2</v>
      </c>
      <c r="K1641">
        <v>3.9933376361830801E-2</v>
      </c>
      <c r="L1641">
        <v>2282.2644269806601</v>
      </c>
      <c r="M1641">
        <v>42.446384328819903</v>
      </c>
      <c r="N1641">
        <v>53.921999990791299</v>
      </c>
      <c r="O1641">
        <v>53.649222376617999</v>
      </c>
      <c r="P1641">
        <v>-0.18651697731959199</v>
      </c>
      <c r="Q1641">
        <v>5.7024291569713198E-2</v>
      </c>
      <c r="R1641">
        <v>0.99196025907020102</v>
      </c>
      <c r="S1641" t="s">
        <v>5937</v>
      </c>
      <c r="T1641" t="s">
        <v>8590</v>
      </c>
      <c r="U1641" t="s">
        <v>8590</v>
      </c>
      <c r="V1641" t="s">
        <v>8590</v>
      </c>
      <c r="W1641">
        <v>24</v>
      </c>
      <c r="X1641" t="s">
        <v>10231</v>
      </c>
      <c r="Y1641">
        <v>0.49289894566799131</v>
      </c>
      <c r="Z1641" t="str">
        <f>HYPERLINK("Melting_Curves/meltCurve_sp_Q13011_ECH1_HUMAN_.pdf", "Melting_Curves/meltCurve_sp_Q13011_ECH1_HUMAN_.pdf")</f>
        <v>Melting_Curves/meltCurve_sp_Q13011_ECH1_HUMAN_.pdf</v>
      </c>
      <c r="AA1641" t="s">
        <v>14499</v>
      </c>
      <c r="AB1641" t="s">
        <v>18725</v>
      </c>
    </row>
    <row r="1642" spans="1:28" x14ac:dyDescent="0.25">
      <c r="A1642" t="s">
        <v>1646</v>
      </c>
      <c r="B1642">
        <v>0.99876560204751996</v>
      </c>
      <c r="C1642">
        <v>1.0142777060333501</v>
      </c>
      <c r="D1642">
        <v>0.98202240657384798</v>
      </c>
      <c r="E1642">
        <v>0.79629067275674603</v>
      </c>
      <c r="F1642">
        <v>0.30539921095220002</v>
      </c>
      <c r="G1642">
        <v>0.168838191394455</v>
      </c>
      <c r="H1642">
        <v>0.12001084970046599</v>
      </c>
      <c r="I1642">
        <v>0.14027520737763399</v>
      </c>
      <c r="J1642">
        <v>0.118416361706367</v>
      </c>
      <c r="K1642">
        <v>0.14788161894531801</v>
      </c>
      <c r="L1642">
        <v>2244.7693053512498</v>
      </c>
      <c r="M1642">
        <v>43.736139670651099</v>
      </c>
      <c r="N1642">
        <v>51.7008562739518</v>
      </c>
      <c r="O1642">
        <v>51.2183242507163</v>
      </c>
      <c r="P1642">
        <v>-0.18442629606435801</v>
      </c>
      <c r="Q1642">
        <v>0.136092844183687</v>
      </c>
      <c r="R1642">
        <v>0.99893411226859596</v>
      </c>
      <c r="S1642" t="s">
        <v>5938</v>
      </c>
      <c r="T1642" t="s">
        <v>8590</v>
      </c>
      <c r="U1642" t="s">
        <v>8590</v>
      </c>
      <c r="V1642" t="s">
        <v>8590</v>
      </c>
      <c r="W1642">
        <v>4</v>
      </c>
      <c r="X1642" t="s">
        <v>10232</v>
      </c>
      <c r="Y1642">
        <v>0.46478582854366202</v>
      </c>
      <c r="Z1642" t="str">
        <f>HYPERLINK("Melting_Curves/meltCurve_sp_Q13017_2_RHG05_HUMAN_.pdf", "Melting_Curves/meltCurve_sp_Q13017_2_RHG05_HUMAN_.pdf")</f>
        <v>Melting_Curves/meltCurve_sp_Q13017_2_RHG05_HUMAN_.pdf</v>
      </c>
      <c r="AA1642" t="s">
        <v>14500</v>
      </c>
      <c r="AB1642" t="s">
        <v>18726</v>
      </c>
    </row>
    <row r="1643" spans="1:28" x14ac:dyDescent="0.25">
      <c r="A1643" t="s">
        <v>1647</v>
      </c>
      <c r="B1643">
        <v>0.99876560204751996</v>
      </c>
      <c r="C1643">
        <v>0.96938696980221295</v>
      </c>
      <c r="D1643">
        <v>0.885142500236763</v>
      </c>
      <c r="E1643">
        <v>0.86778034482465705</v>
      </c>
      <c r="F1643">
        <v>0.70329502464328097</v>
      </c>
      <c r="G1643">
        <v>0.42364473246329998</v>
      </c>
      <c r="H1643">
        <v>0.22091538210576001</v>
      </c>
      <c r="I1643">
        <v>0.109391086057225</v>
      </c>
      <c r="J1643">
        <v>9.6096059094884403E-2</v>
      </c>
      <c r="K1643">
        <v>5.8567963379063399E-2</v>
      </c>
      <c r="L1643">
        <v>816.37815590728405</v>
      </c>
      <c r="M1643">
        <v>14.6168739467312</v>
      </c>
      <c r="N1643">
        <v>55.852654673572403</v>
      </c>
      <c r="O1643">
        <v>54.837593073733203</v>
      </c>
      <c r="P1643">
        <v>-6.6636755247736795E-2</v>
      </c>
      <c r="Q1643">
        <v>1.16810900700471E-4</v>
      </c>
      <c r="R1643">
        <v>0.99465573735528701</v>
      </c>
      <c r="S1643" t="s">
        <v>5939</v>
      </c>
      <c r="T1643" t="s">
        <v>8590</v>
      </c>
      <c r="U1643" t="s">
        <v>8590</v>
      </c>
      <c r="V1643" t="s">
        <v>8590</v>
      </c>
      <c r="W1643">
        <v>8</v>
      </c>
      <c r="X1643" t="s">
        <v>10233</v>
      </c>
      <c r="Y1643">
        <v>0.54684179130966037</v>
      </c>
      <c r="Z1643" t="str">
        <f>HYPERLINK("Melting_Curves/meltCurve_sp_Q13033_2_STRN3_HUMAN_.pdf", "Melting_Curves/meltCurve_sp_Q13033_2_STRN3_HUMAN_.pdf")</f>
        <v>Melting_Curves/meltCurve_sp_Q13033_2_STRN3_HUMAN_.pdf</v>
      </c>
      <c r="AA1643" t="s">
        <v>14501</v>
      </c>
      <c r="AB1643" t="s">
        <v>18727</v>
      </c>
    </row>
    <row r="1644" spans="1:28" x14ac:dyDescent="0.25">
      <c r="A1644" t="s">
        <v>1648</v>
      </c>
      <c r="B1644">
        <v>0.99876560204751996</v>
      </c>
      <c r="C1644">
        <v>0.979254022701882</v>
      </c>
      <c r="D1644">
        <v>0.74984060002354502</v>
      </c>
      <c r="E1644">
        <v>0.460881836146112</v>
      </c>
      <c r="F1644">
        <v>0.21771741774369199</v>
      </c>
      <c r="G1644">
        <v>0.12889104199093801</v>
      </c>
      <c r="H1644">
        <v>9.0850546731145801E-2</v>
      </c>
      <c r="I1644">
        <v>7.4284058998252203E-2</v>
      </c>
      <c r="J1644">
        <v>6.7485163399572196E-2</v>
      </c>
      <c r="K1644">
        <v>5.1048679565918097E-2</v>
      </c>
      <c r="L1644">
        <v>929.60579543729204</v>
      </c>
      <c r="M1644">
        <v>18.999225637127001</v>
      </c>
      <c r="N1644">
        <v>49.2657626720545</v>
      </c>
      <c r="O1644">
        <v>48.396237333548598</v>
      </c>
      <c r="P1644">
        <v>-9.2164835843488196E-2</v>
      </c>
      <c r="Q1644">
        <v>6.09611332763738E-2</v>
      </c>
      <c r="R1644">
        <v>0.996851830522541</v>
      </c>
      <c r="S1644" t="s">
        <v>5940</v>
      </c>
      <c r="T1644" t="s">
        <v>8590</v>
      </c>
      <c r="U1644" t="s">
        <v>8590</v>
      </c>
      <c r="V1644" t="s">
        <v>8590</v>
      </c>
      <c r="W1644">
        <v>15</v>
      </c>
      <c r="X1644" t="s">
        <v>10234</v>
      </c>
      <c r="Y1644">
        <v>0.3550477845878291</v>
      </c>
      <c r="Z1644" t="str">
        <f>HYPERLINK("Melting_Curves/meltCurve_sp_Q13045_2_FLII_HUMAN_.pdf", "Melting_Curves/meltCurve_sp_Q13045_2_FLII_HUMAN_.pdf")</f>
        <v>Melting_Curves/meltCurve_sp_Q13045_2_FLII_HUMAN_.pdf</v>
      </c>
      <c r="AA1644" t="s">
        <v>14502</v>
      </c>
      <c r="AB1644" t="s">
        <v>18728</v>
      </c>
    </row>
    <row r="1645" spans="1:28" x14ac:dyDescent="0.25">
      <c r="A1645" t="s">
        <v>1649</v>
      </c>
      <c r="B1645">
        <v>0.99876560204751996</v>
      </c>
      <c r="C1645">
        <v>0.79589981305856095</v>
      </c>
      <c r="D1645">
        <v>0.54828789183436299</v>
      </c>
      <c r="E1645">
        <v>0.31679861649590901</v>
      </c>
      <c r="F1645">
        <v>0.127092937172988</v>
      </c>
      <c r="G1645">
        <v>4.8279503694023798E-2</v>
      </c>
      <c r="H1645">
        <v>2.8280658009242701E-2</v>
      </c>
      <c r="I1645">
        <v>0</v>
      </c>
      <c r="J1645">
        <v>0</v>
      </c>
      <c r="K1645">
        <v>0</v>
      </c>
      <c r="L1645">
        <v>741.36714075368695</v>
      </c>
      <c r="M1645">
        <v>15.8049729249474</v>
      </c>
      <c r="N1645">
        <v>46.907222389857999</v>
      </c>
      <c r="O1645">
        <v>46.175536436626601</v>
      </c>
      <c r="P1645">
        <v>-8.55771065280619E-2</v>
      </c>
      <c r="Q1645">
        <v>0</v>
      </c>
      <c r="R1645">
        <v>0.99412951035116204</v>
      </c>
      <c r="S1645" t="s">
        <v>5941</v>
      </c>
      <c r="T1645" t="s">
        <v>8590</v>
      </c>
      <c r="U1645" t="s">
        <v>8590</v>
      </c>
      <c r="V1645" t="s">
        <v>8590</v>
      </c>
      <c r="W1645">
        <v>15</v>
      </c>
      <c r="X1645" t="s">
        <v>10235</v>
      </c>
      <c r="Y1645">
        <v>0.254747740406496</v>
      </c>
      <c r="Z1645" t="str">
        <f>HYPERLINK("Melting_Curves/meltCurve_sp_Q13045_FLII_HUMAN_.pdf", "Melting_Curves/meltCurve_sp_Q13045_FLII_HUMAN_.pdf")</f>
        <v>Melting_Curves/meltCurve_sp_Q13045_FLII_HUMAN_.pdf</v>
      </c>
      <c r="AA1645" t="s">
        <v>14502</v>
      </c>
      <c r="AB1645" t="s">
        <v>18729</v>
      </c>
    </row>
    <row r="1646" spans="1:28" x14ac:dyDescent="0.25">
      <c r="A1646" t="s">
        <v>1650</v>
      </c>
      <c r="B1646">
        <v>0.99876560204751996</v>
      </c>
      <c r="C1646">
        <v>0.68907515901298799</v>
      </c>
      <c r="D1646">
        <v>0.40396467545939502</v>
      </c>
      <c r="E1646">
        <v>0.29703720660792399</v>
      </c>
      <c r="F1646">
        <v>0.17285204196291501</v>
      </c>
      <c r="G1646">
        <v>7.8591986453417501E-2</v>
      </c>
      <c r="H1646">
        <v>4.8180929341316799E-2</v>
      </c>
      <c r="I1646">
        <v>3.5703744905324797E-2</v>
      </c>
      <c r="J1646">
        <v>2.9282585199755101E-2</v>
      </c>
      <c r="K1646">
        <v>2.4027671166077E-2</v>
      </c>
      <c r="L1646">
        <v>684.06040223228001</v>
      </c>
      <c r="M1646">
        <v>15.0450295159924</v>
      </c>
      <c r="N1646">
        <v>45.688643654492303</v>
      </c>
      <c r="O1646">
        <v>44.6869439942773</v>
      </c>
      <c r="P1646">
        <v>-8.1221871491532205E-2</v>
      </c>
      <c r="Q1646">
        <v>3.5111271646062703E-2</v>
      </c>
      <c r="R1646">
        <v>0.97575894313557199</v>
      </c>
      <c r="S1646" t="s">
        <v>5942</v>
      </c>
      <c r="T1646" t="s">
        <v>8590</v>
      </c>
      <c r="U1646" t="s">
        <v>8590</v>
      </c>
      <c r="V1646" t="s">
        <v>8590</v>
      </c>
      <c r="W1646">
        <v>12</v>
      </c>
      <c r="X1646" t="s">
        <v>10236</v>
      </c>
      <c r="Y1646">
        <v>0.2403295561573679</v>
      </c>
      <c r="Z1646" t="str">
        <f>HYPERLINK("Melting_Curves/meltCurve_sp_Q13057_COASY_HUMAN_.pdf", "Melting_Curves/meltCurve_sp_Q13057_COASY_HUMAN_.pdf")</f>
        <v>Melting_Curves/meltCurve_sp_Q13057_COASY_HUMAN_.pdf</v>
      </c>
      <c r="AA1646" t="s">
        <v>14503</v>
      </c>
      <c r="AB1646" t="s">
        <v>18730</v>
      </c>
    </row>
    <row r="1647" spans="1:28" x14ac:dyDescent="0.25">
      <c r="A1647" t="s">
        <v>1651</v>
      </c>
      <c r="B1647">
        <v>0.99876560204751996</v>
      </c>
      <c r="C1647">
        <v>1.03740807890216</v>
      </c>
      <c r="D1647">
        <v>0.85495738929952603</v>
      </c>
      <c r="E1647">
        <v>0.38993432664507699</v>
      </c>
      <c r="F1647">
        <v>0.21061083737554301</v>
      </c>
      <c r="G1647">
        <v>0.13617122906067</v>
      </c>
      <c r="H1647">
        <v>9.7209761863900304E-2</v>
      </c>
      <c r="I1647">
        <v>8.2830120097456897E-2</v>
      </c>
      <c r="J1647">
        <v>9.1303690736410203E-2</v>
      </c>
      <c r="K1647">
        <v>7.9806998925442796E-2</v>
      </c>
      <c r="L1647">
        <v>1343.8211118138199</v>
      </c>
      <c r="M1647">
        <v>27.530338299735899</v>
      </c>
      <c r="N1647">
        <v>49.189712320324197</v>
      </c>
      <c r="O1647">
        <v>48.556991551187799</v>
      </c>
      <c r="P1647">
        <v>-0.12825114010843799</v>
      </c>
      <c r="Q1647">
        <v>9.5189634327342995E-2</v>
      </c>
      <c r="R1647">
        <v>0.99653957141130001</v>
      </c>
      <c r="S1647" t="s">
        <v>5943</v>
      </c>
      <c r="T1647" t="s">
        <v>8590</v>
      </c>
      <c r="U1647" t="s">
        <v>8590</v>
      </c>
      <c r="V1647" t="s">
        <v>8590</v>
      </c>
      <c r="W1647">
        <v>40</v>
      </c>
      <c r="X1647" t="s">
        <v>10237</v>
      </c>
      <c r="Y1647">
        <v>0.36753481090628348</v>
      </c>
      <c r="Z1647" t="str">
        <f>HYPERLINK("Melting_Curves/meltCurve_sp_Q13085_ACACA_HUMAN_.pdf", "Melting_Curves/meltCurve_sp_Q13085_ACACA_HUMAN_.pdf")</f>
        <v>Melting_Curves/meltCurve_sp_Q13085_ACACA_HUMAN_.pdf</v>
      </c>
      <c r="AA1647" t="s">
        <v>14504</v>
      </c>
      <c r="AB1647" t="s">
        <v>18731</v>
      </c>
    </row>
    <row r="1648" spans="1:28" x14ac:dyDescent="0.25">
      <c r="A1648" t="s">
        <v>1652</v>
      </c>
      <c r="B1648">
        <v>0.99876560204751996</v>
      </c>
      <c r="C1648">
        <v>1.0120084267224101</v>
      </c>
      <c r="D1648">
        <v>0.777211398483591</v>
      </c>
      <c r="E1648">
        <v>0.359651199110117</v>
      </c>
      <c r="F1648">
        <v>0.25206819887030102</v>
      </c>
      <c r="G1648">
        <v>0.13710194591604</v>
      </c>
      <c r="H1648">
        <v>9.4562350924082397E-2</v>
      </c>
      <c r="I1648">
        <v>7.5982312691777798E-2</v>
      </c>
      <c r="J1648">
        <v>7.8448059166843304E-2</v>
      </c>
      <c r="K1648">
        <v>5.9721723692951402E-2</v>
      </c>
      <c r="L1648">
        <v>1070.8644301187001</v>
      </c>
      <c r="M1648">
        <v>22.086662911408698</v>
      </c>
      <c r="N1648">
        <v>48.886957054075097</v>
      </c>
      <c r="O1648">
        <v>48.092468090051199</v>
      </c>
      <c r="P1648">
        <v>-0.105275328852831</v>
      </c>
      <c r="Q1648">
        <v>8.3096000492499003E-2</v>
      </c>
      <c r="R1648">
        <v>0.993839552851847</v>
      </c>
      <c r="S1648" t="s">
        <v>5944</v>
      </c>
      <c r="T1648" t="s">
        <v>8590</v>
      </c>
      <c r="U1648" t="s">
        <v>8590</v>
      </c>
      <c r="V1648" t="s">
        <v>8590</v>
      </c>
      <c r="W1648">
        <v>6</v>
      </c>
      <c r="X1648" t="s">
        <v>10238</v>
      </c>
      <c r="Y1648">
        <v>0.35292186424865962</v>
      </c>
      <c r="Z1648" t="str">
        <f>HYPERLINK("Melting_Curves/meltCurve_sp_Q13107_2_UBP4_HUMAN_.pdf", "Melting_Curves/meltCurve_sp_Q13107_2_UBP4_HUMAN_.pdf")</f>
        <v>Melting_Curves/meltCurve_sp_Q13107_2_UBP4_HUMAN_.pdf</v>
      </c>
      <c r="AA1648" t="s">
        <v>14505</v>
      </c>
      <c r="AB1648" t="s">
        <v>18732</v>
      </c>
    </row>
    <row r="1649" spans="1:28" x14ac:dyDescent="0.25">
      <c r="A1649" t="s">
        <v>1653</v>
      </c>
      <c r="B1649">
        <v>0.99876560204751996</v>
      </c>
      <c r="C1649">
        <v>1.01824596443909</v>
      </c>
      <c r="D1649">
        <v>1.0487501164309101</v>
      </c>
      <c r="E1649">
        <v>0.88797836090304205</v>
      </c>
      <c r="F1649">
        <v>0.87294046334630704</v>
      </c>
      <c r="G1649">
        <v>0.56749450046678196</v>
      </c>
      <c r="H1649">
        <v>0.47075206487006899</v>
      </c>
      <c r="I1649">
        <v>0.471117376779224</v>
      </c>
      <c r="J1649">
        <v>0.61685725061792396</v>
      </c>
      <c r="K1649">
        <v>0.54422610167921104</v>
      </c>
      <c r="L1649">
        <v>2003.9408095292999</v>
      </c>
      <c r="M1649">
        <v>37.091493904565198</v>
      </c>
      <c r="O1649">
        <v>53.870642186816099</v>
      </c>
      <c r="P1649">
        <v>-8.2291709687492207E-2</v>
      </c>
      <c r="Q1649">
        <v>0.52192869555514598</v>
      </c>
      <c r="R1649">
        <v>0.94600447919563602</v>
      </c>
      <c r="S1649" t="s">
        <v>5945</v>
      </c>
      <c r="T1649" t="s">
        <v>8590</v>
      </c>
      <c r="U1649" t="s">
        <v>8590</v>
      </c>
      <c r="V1649" t="s">
        <v>8590</v>
      </c>
      <c r="W1649">
        <v>4</v>
      </c>
      <c r="X1649" t="s">
        <v>10239</v>
      </c>
      <c r="Y1649">
        <v>0.74752944847980018</v>
      </c>
      <c r="Z1649" t="str">
        <f>HYPERLINK("Melting_Curves/meltCurve_sp_Q13123_RED_HUMAN_.pdf", "Melting_Curves/meltCurve_sp_Q13123_RED_HUMAN_.pdf")</f>
        <v>Melting_Curves/meltCurve_sp_Q13123_RED_HUMAN_.pdf</v>
      </c>
      <c r="AA1649" t="s">
        <v>14506</v>
      </c>
      <c r="AB1649" t="s">
        <v>18733</v>
      </c>
    </row>
    <row r="1650" spans="1:28" x14ac:dyDescent="0.25">
      <c r="A1650" t="s">
        <v>1654</v>
      </c>
      <c r="B1650">
        <v>0.99876560204751996</v>
      </c>
      <c r="C1650">
        <v>0.99992687829488902</v>
      </c>
      <c r="D1650">
        <v>0.97403497308517195</v>
      </c>
      <c r="E1650">
        <v>1.00587330758652</v>
      </c>
      <c r="F1650">
        <v>0.955248317034465</v>
      </c>
      <c r="G1650">
        <v>0.80634139816466599</v>
      </c>
      <c r="H1650">
        <v>0.71044053800973594</v>
      </c>
      <c r="I1650">
        <v>0.72814937990682405</v>
      </c>
      <c r="J1650">
        <v>0.85429055801839904</v>
      </c>
      <c r="K1650">
        <v>0.73723184143353004</v>
      </c>
      <c r="L1650">
        <v>2466.8863060836302</v>
      </c>
      <c r="M1650">
        <v>44.920513066383201</v>
      </c>
      <c r="O1650">
        <v>54.808197909294201</v>
      </c>
      <c r="P1650">
        <v>-4.9481523540587102E-2</v>
      </c>
      <c r="Q1650">
        <v>0.75850770049363703</v>
      </c>
      <c r="R1650">
        <v>0.89791294429806801</v>
      </c>
      <c r="S1650" t="s">
        <v>5946</v>
      </c>
      <c r="T1650" t="s">
        <v>8590</v>
      </c>
      <c r="U1650" t="s">
        <v>8590</v>
      </c>
      <c r="V1650" t="s">
        <v>8590</v>
      </c>
      <c r="W1650">
        <v>17</v>
      </c>
      <c r="X1650" t="s">
        <v>10240</v>
      </c>
      <c r="Y1650">
        <v>0.87930798699876822</v>
      </c>
      <c r="Z1650" t="str">
        <f>HYPERLINK("Melting_Curves/meltCurve_sp_Q13126_MTAP_HUMAN_.pdf", "Melting_Curves/meltCurve_sp_Q13126_MTAP_HUMAN_.pdf")</f>
        <v>Melting_Curves/meltCurve_sp_Q13126_MTAP_HUMAN_.pdf</v>
      </c>
      <c r="AA1650" t="s">
        <v>14507</v>
      </c>
      <c r="AB1650" t="s">
        <v>18734</v>
      </c>
    </row>
    <row r="1651" spans="1:28" x14ac:dyDescent="0.25">
      <c r="A1651" t="s">
        <v>1655</v>
      </c>
      <c r="B1651">
        <v>0.99876560204751996</v>
      </c>
      <c r="C1651">
        <v>0.97671370020418302</v>
      </c>
      <c r="D1651">
        <v>0.86574712879764304</v>
      </c>
      <c r="E1651">
        <v>0.76232977949925695</v>
      </c>
      <c r="F1651">
        <v>0.41833841071247302</v>
      </c>
      <c r="G1651">
        <v>0.187654508521896</v>
      </c>
      <c r="H1651">
        <v>0.102463836033942</v>
      </c>
      <c r="I1651">
        <v>7.3072124018463205E-2</v>
      </c>
      <c r="J1651">
        <v>7.5032112677520899E-2</v>
      </c>
      <c r="K1651">
        <v>6.2309835298383902E-2</v>
      </c>
      <c r="L1651">
        <v>1046.11032603021</v>
      </c>
      <c r="M1651">
        <v>20.1051348692061</v>
      </c>
      <c r="N1651">
        <v>52.335272942389103</v>
      </c>
      <c r="O1651">
        <v>51.5254452864448</v>
      </c>
      <c r="P1651">
        <v>-9.2188467777138003E-2</v>
      </c>
      <c r="Q1651">
        <v>5.4987722919341502E-2</v>
      </c>
      <c r="R1651">
        <v>0.99418977122676699</v>
      </c>
      <c r="S1651" t="s">
        <v>5947</v>
      </c>
      <c r="T1651" t="s">
        <v>8590</v>
      </c>
      <c r="U1651" t="s">
        <v>8590</v>
      </c>
      <c r="V1651" t="s">
        <v>8590</v>
      </c>
      <c r="W1651">
        <v>17</v>
      </c>
      <c r="X1651" t="s">
        <v>10241</v>
      </c>
      <c r="Y1651">
        <v>0.44695434146037449</v>
      </c>
      <c r="Z1651" t="str">
        <f>HYPERLINK("Melting_Curves/meltCurve_sp_Q13131_AAPK1_HUMAN_.pdf", "Melting_Curves/meltCurve_sp_Q13131_AAPK1_HUMAN_.pdf")</f>
        <v>Melting_Curves/meltCurve_sp_Q13131_AAPK1_HUMAN_.pdf</v>
      </c>
      <c r="AA1651" t="s">
        <v>14508</v>
      </c>
      <c r="AB1651" t="s">
        <v>18735</v>
      </c>
    </row>
    <row r="1652" spans="1:28" x14ac:dyDescent="0.25">
      <c r="A1652" t="s">
        <v>1656</v>
      </c>
      <c r="B1652">
        <v>0.99876560204751996</v>
      </c>
      <c r="C1652">
        <v>0.98087098117353999</v>
      </c>
      <c r="D1652">
        <v>0.78200815459880801</v>
      </c>
      <c r="E1652">
        <v>0.84788690853786497</v>
      </c>
      <c r="F1652">
        <v>0.78557036556740401</v>
      </c>
      <c r="G1652">
        <v>0.59305223270985197</v>
      </c>
      <c r="H1652">
        <v>0.45649724876807402</v>
      </c>
      <c r="I1652">
        <v>0.43483509051713198</v>
      </c>
      <c r="J1652">
        <v>0.52176738683769097</v>
      </c>
      <c r="K1652">
        <v>0.48420226718127102</v>
      </c>
      <c r="L1652">
        <v>561.12540322514405</v>
      </c>
      <c r="M1652">
        <v>10.530177243081701</v>
      </c>
      <c r="N1652">
        <v>63.296591004085101</v>
      </c>
      <c r="O1652">
        <v>51.473219248088498</v>
      </c>
      <c r="P1652">
        <v>-3.0421323656153701E-2</v>
      </c>
      <c r="Q1652">
        <v>0.40541975003102598</v>
      </c>
      <c r="R1652">
        <v>0.91292717387049704</v>
      </c>
      <c r="S1652" t="s">
        <v>5948</v>
      </c>
      <c r="T1652" t="s">
        <v>8590</v>
      </c>
      <c r="U1652" t="s">
        <v>8590</v>
      </c>
      <c r="V1652" t="s">
        <v>8590</v>
      </c>
      <c r="W1652">
        <v>12</v>
      </c>
      <c r="X1652" t="s">
        <v>10242</v>
      </c>
      <c r="Y1652">
        <v>0.68757482227451416</v>
      </c>
      <c r="Z1652" t="str">
        <f>HYPERLINK("Melting_Curves/meltCurve_sp_Q13136_2_LIPA1_HUMAN_.pdf", "Melting_Curves/meltCurve_sp_Q13136_2_LIPA1_HUMAN_.pdf")</f>
        <v>Melting_Curves/meltCurve_sp_Q13136_2_LIPA1_HUMAN_.pdf</v>
      </c>
      <c r="AA1652" t="s">
        <v>14509</v>
      </c>
      <c r="AB1652" t="s">
        <v>18736</v>
      </c>
    </row>
    <row r="1653" spans="1:28" x14ac:dyDescent="0.25">
      <c r="A1653" t="s">
        <v>1657</v>
      </c>
      <c r="B1653">
        <v>0.99876560204751996</v>
      </c>
      <c r="C1653">
        <v>0.94009545694653196</v>
      </c>
      <c r="D1653">
        <v>0.87451435092016205</v>
      </c>
      <c r="E1653">
        <v>0.44142966283065999</v>
      </c>
      <c r="F1653">
        <v>0.25150025462298697</v>
      </c>
      <c r="G1653">
        <v>0.158812210509754</v>
      </c>
      <c r="H1653">
        <v>0.12825798344762701</v>
      </c>
      <c r="I1653">
        <v>0.140667991614955</v>
      </c>
      <c r="J1653">
        <v>0.15727104270771999</v>
      </c>
      <c r="K1653">
        <v>0.124227884379358</v>
      </c>
      <c r="L1653">
        <v>1250.6313444401501</v>
      </c>
      <c r="M1653">
        <v>25.566571028192001</v>
      </c>
      <c r="N1653">
        <v>49.533633945538199</v>
      </c>
      <c r="O1653">
        <v>48.6203409233228</v>
      </c>
      <c r="P1653">
        <v>-0.113535545697451</v>
      </c>
      <c r="Q1653">
        <v>0.13636154623628399</v>
      </c>
      <c r="R1653">
        <v>0.99790703784464097</v>
      </c>
      <c r="S1653" t="s">
        <v>5949</v>
      </c>
      <c r="T1653" t="s">
        <v>8590</v>
      </c>
      <c r="U1653" t="s">
        <v>8590</v>
      </c>
      <c r="V1653" t="s">
        <v>8590</v>
      </c>
      <c r="W1653">
        <v>5</v>
      </c>
      <c r="X1653" t="s">
        <v>10243</v>
      </c>
      <c r="Y1653">
        <v>0.40035721447349509</v>
      </c>
      <c r="Z1653" t="str">
        <f>HYPERLINK("Melting_Curves/meltCurve_sp_Q13148_TADBP_HUMAN_.pdf", "Melting_Curves/meltCurve_sp_Q13148_TADBP_HUMAN_.pdf")</f>
        <v>Melting_Curves/meltCurve_sp_Q13148_TADBP_HUMAN_.pdf</v>
      </c>
      <c r="AA1653" t="s">
        <v>14510</v>
      </c>
      <c r="AB1653" t="s">
        <v>18737</v>
      </c>
    </row>
    <row r="1654" spans="1:28" x14ac:dyDescent="0.25">
      <c r="A1654" t="s">
        <v>1658</v>
      </c>
      <c r="B1654">
        <v>0.99876560204751996</v>
      </c>
      <c r="C1654">
        <v>0.94198423175989399</v>
      </c>
      <c r="D1654">
        <v>1.02305305273872</v>
      </c>
      <c r="E1654">
        <v>0.93945537603944895</v>
      </c>
      <c r="F1654">
        <v>0.85544829682008505</v>
      </c>
      <c r="G1654">
        <v>0.68550774775166801</v>
      </c>
      <c r="H1654">
        <v>0.71989652755327604</v>
      </c>
      <c r="I1654">
        <v>0.73717573478238196</v>
      </c>
      <c r="J1654">
        <v>0.93467578793848904</v>
      </c>
      <c r="K1654">
        <v>0.88136471226462099</v>
      </c>
      <c r="L1654">
        <v>2264.59313001602</v>
      </c>
      <c r="M1654">
        <v>44.1405016063296</v>
      </c>
      <c r="O1654">
        <v>51.199240540989798</v>
      </c>
      <c r="P1654">
        <v>-4.4332496156534201E-2</v>
      </c>
      <c r="Q1654">
        <v>0.79431256820280205</v>
      </c>
      <c r="R1654">
        <v>0.58819637701161998</v>
      </c>
      <c r="S1654" t="s">
        <v>5950</v>
      </c>
      <c r="T1654" t="s">
        <v>8590</v>
      </c>
      <c r="U1654" t="s">
        <v>8590</v>
      </c>
      <c r="V1654" t="s">
        <v>8590</v>
      </c>
      <c r="W1654">
        <v>7</v>
      </c>
      <c r="X1654" t="s">
        <v>10244</v>
      </c>
      <c r="Y1654">
        <v>0.87241508531774103</v>
      </c>
      <c r="Z1654" t="str">
        <f>HYPERLINK("Melting_Curves/meltCurve_sp_Q13151_ROA0_HUMAN_.pdf", "Melting_Curves/meltCurve_sp_Q13151_ROA0_HUMAN_.pdf")</f>
        <v>Melting_Curves/meltCurve_sp_Q13151_ROA0_HUMAN_.pdf</v>
      </c>
      <c r="AA1654" t="s">
        <v>14511</v>
      </c>
      <c r="AB1654" t="s">
        <v>18738</v>
      </c>
    </row>
    <row r="1655" spans="1:28" x14ac:dyDescent="0.25">
      <c r="A1655" t="s">
        <v>1659</v>
      </c>
      <c r="B1655">
        <v>0.99876560204751996</v>
      </c>
      <c r="C1655">
        <v>0.94813847783952099</v>
      </c>
      <c r="D1655">
        <v>0.90467874093171596</v>
      </c>
      <c r="E1655">
        <v>0.73468718125600496</v>
      </c>
      <c r="F1655">
        <v>0.594302995974474</v>
      </c>
      <c r="G1655">
        <v>0.37752792578640199</v>
      </c>
      <c r="H1655">
        <v>0.24784326022490799</v>
      </c>
      <c r="I1655">
        <v>0.22871167689029001</v>
      </c>
      <c r="J1655">
        <v>0.27061212438216398</v>
      </c>
      <c r="K1655">
        <v>0.243876240140219</v>
      </c>
      <c r="L1655">
        <v>816.12022784465898</v>
      </c>
      <c r="M1655">
        <v>15.6076732777397</v>
      </c>
      <c r="N1655">
        <v>54.195671026667704</v>
      </c>
      <c r="O1655">
        <v>51.4538433279454</v>
      </c>
      <c r="P1655">
        <v>-5.98219194143823E-2</v>
      </c>
      <c r="Q1655">
        <v>0.21120810375856</v>
      </c>
      <c r="R1655">
        <v>0.99391274340193603</v>
      </c>
      <c r="S1655" t="s">
        <v>5951</v>
      </c>
      <c r="T1655" t="s">
        <v>8590</v>
      </c>
      <c r="U1655" t="s">
        <v>8590</v>
      </c>
      <c r="V1655" t="s">
        <v>8590</v>
      </c>
      <c r="W1655">
        <v>13</v>
      </c>
      <c r="X1655" t="s">
        <v>10245</v>
      </c>
      <c r="Y1655">
        <v>0.55077780882150784</v>
      </c>
      <c r="Z1655" t="str">
        <f>HYPERLINK("Melting_Curves/meltCurve_sp_Q13153_PAK1_HUMAN_.pdf", "Melting_Curves/meltCurve_sp_Q13153_PAK1_HUMAN_.pdf")</f>
        <v>Melting_Curves/meltCurve_sp_Q13153_PAK1_HUMAN_.pdf</v>
      </c>
      <c r="AA1655" t="s">
        <v>14512</v>
      </c>
      <c r="AB1655" t="s">
        <v>18739</v>
      </c>
    </row>
    <row r="1656" spans="1:28" x14ac:dyDescent="0.25">
      <c r="A1656" t="s">
        <v>1660</v>
      </c>
      <c r="B1656">
        <v>0.99876560204751996</v>
      </c>
      <c r="C1656">
        <v>0.92238013819112696</v>
      </c>
      <c r="D1656">
        <v>0.49511148854523901</v>
      </c>
      <c r="E1656">
        <v>0.27670662032667298</v>
      </c>
      <c r="F1656">
        <v>0.15392953383141</v>
      </c>
      <c r="G1656">
        <v>6.5279157388247702E-2</v>
      </c>
      <c r="H1656">
        <v>4.1217625306040798E-2</v>
      </c>
      <c r="I1656">
        <v>3.2502196062026603E-2</v>
      </c>
      <c r="J1656">
        <v>2.5950922482129799E-2</v>
      </c>
      <c r="K1656">
        <v>3.2645393638359499E-2</v>
      </c>
      <c r="L1656">
        <v>926.87447957369898</v>
      </c>
      <c r="M1656">
        <v>19.913344475309799</v>
      </c>
      <c r="N1656">
        <v>46.742133007273601</v>
      </c>
      <c r="O1656">
        <v>46.083624695362602</v>
      </c>
      <c r="P1656">
        <v>-0.10368905270980799</v>
      </c>
      <c r="Q1656">
        <v>4.01995663296629E-2</v>
      </c>
      <c r="R1656">
        <v>0.98699099184544004</v>
      </c>
      <c r="S1656" t="s">
        <v>5952</v>
      </c>
      <c r="T1656" t="s">
        <v>8590</v>
      </c>
      <c r="U1656" t="s">
        <v>8590</v>
      </c>
      <c r="V1656" t="s">
        <v>8590</v>
      </c>
      <c r="W1656">
        <v>5</v>
      </c>
      <c r="X1656" t="s">
        <v>10246</v>
      </c>
      <c r="Y1656">
        <v>0.2640988643832019</v>
      </c>
      <c r="Z1656" t="str">
        <f>HYPERLINK("Melting_Curves/meltCurve_sp_Q13155_AIMP2_HUMAN_.pdf", "Melting_Curves/meltCurve_sp_Q13155_AIMP2_HUMAN_.pdf")</f>
        <v>Melting_Curves/meltCurve_sp_Q13155_AIMP2_HUMAN_.pdf</v>
      </c>
      <c r="AA1656" t="s">
        <v>14513</v>
      </c>
      <c r="AB1656" t="s">
        <v>18740</v>
      </c>
    </row>
    <row r="1657" spans="1:28" x14ac:dyDescent="0.25">
      <c r="A1657" t="s">
        <v>1661</v>
      </c>
      <c r="B1657">
        <v>0.99876560204751996</v>
      </c>
      <c r="C1657">
        <v>1.0194562006927801</v>
      </c>
      <c r="D1657">
        <v>0.90020866823907997</v>
      </c>
      <c r="E1657">
        <v>0.96769663692706298</v>
      </c>
      <c r="F1657">
        <v>0.84691388841106596</v>
      </c>
      <c r="G1657">
        <v>0.68200771427793305</v>
      </c>
      <c r="H1657">
        <v>0.62633041617945895</v>
      </c>
      <c r="I1657">
        <v>0.57202970308940504</v>
      </c>
      <c r="J1657">
        <v>0.76142088751470305</v>
      </c>
      <c r="K1657">
        <v>0.74647286120103695</v>
      </c>
      <c r="L1657">
        <v>2284.2509077534901</v>
      </c>
      <c r="M1657">
        <v>43.051232692070897</v>
      </c>
      <c r="O1657">
        <v>52.944796021826598</v>
      </c>
      <c r="P1657">
        <v>-6.6123832711314903E-2</v>
      </c>
      <c r="Q1657">
        <v>0.67472174869425094</v>
      </c>
      <c r="R1657">
        <v>0.84064329030321105</v>
      </c>
      <c r="S1657" t="s">
        <v>5953</v>
      </c>
      <c r="T1657" t="s">
        <v>8590</v>
      </c>
      <c r="U1657" t="s">
        <v>8590</v>
      </c>
      <c r="V1657" t="s">
        <v>8590</v>
      </c>
      <c r="W1657">
        <v>14</v>
      </c>
      <c r="X1657" t="s">
        <v>10247</v>
      </c>
      <c r="Y1657">
        <v>0.81734243392284134</v>
      </c>
      <c r="Z1657" t="str">
        <f>HYPERLINK("Melting_Curves/meltCurve_sp_Q13162_PRDX4_HUMAN_.pdf", "Melting_Curves/meltCurve_sp_Q13162_PRDX4_HUMAN_.pdf")</f>
        <v>Melting_Curves/meltCurve_sp_Q13162_PRDX4_HUMAN_.pdf</v>
      </c>
      <c r="AA1657" t="s">
        <v>14514</v>
      </c>
      <c r="AB1657" t="s">
        <v>18741</v>
      </c>
    </row>
    <row r="1658" spans="1:28" x14ac:dyDescent="0.25">
      <c r="A1658" t="s">
        <v>1662</v>
      </c>
      <c r="B1658">
        <v>0.99876560204751996</v>
      </c>
      <c r="C1658">
        <v>0.94529947009506399</v>
      </c>
      <c r="D1658">
        <v>0.94794237376775903</v>
      </c>
      <c r="E1658">
        <v>0.82419815498913696</v>
      </c>
      <c r="F1658">
        <v>0.67306638968598098</v>
      </c>
      <c r="G1658">
        <v>0.33769345101807502</v>
      </c>
      <c r="H1658">
        <v>0.132512365804178</v>
      </c>
      <c r="I1658">
        <v>9.6740735955594195E-2</v>
      </c>
      <c r="J1658">
        <v>9.4046214569486294E-2</v>
      </c>
      <c r="K1658">
        <v>8.3779347165307702E-2</v>
      </c>
      <c r="L1658">
        <v>1017.22445747577</v>
      </c>
      <c r="M1658">
        <v>18.691883348880499</v>
      </c>
      <c r="N1658">
        <v>54.7455724850834</v>
      </c>
      <c r="O1658">
        <v>53.809241152188001</v>
      </c>
      <c r="P1658">
        <v>-8.2287259244044605E-2</v>
      </c>
      <c r="Q1658">
        <v>5.2502810183642702E-2</v>
      </c>
      <c r="R1658">
        <v>0.99592051956526895</v>
      </c>
      <c r="S1658" t="s">
        <v>5954</v>
      </c>
      <c r="T1658" t="s">
        <v>8590</v>
      </c>
      <c r="U1658" t="s">
        <v>8590</v>
      </c>
      <c r="V1658" t="s">
        <v>8590</v>
      </c>
      <c r="W1658">
        <v>18</v>
      </c>
      <c r="X1658" t="s">
        <v>10248</v>
      </c>
      <c r="Y1658">
        <v>0.52212368495117978</v>
      </c>
      <c r="Z1658" t="str">
        <f>HYPERLINK("Melting_Curves/meltCurve_sp_Q13177_PAK2_HUMAN_.pdf", "Melting_Curves/meltCurve_sp_Q13177_PAK2_HUMAN_.pdf")</f>
        <v>Melting_Curves/meltCurve_sp_Q13177_PAK2_HUMAN_.pdf</v>
      </c>
      <c r="AA1658" t="s">
        <v>14515</v>
      </c>
      <c r="AB1658" t="s">
        <v>18742</v>
      </c>
    </row>
    <row r="1659" spans="1:28" x14ac:dyDescent="0.25">
      <c r="A1659" t="s">
        <v>1663</v>
      </c>
      <c r="B1659">
        <v>0.99876560204751996</v>
      </c>
      <c r="C1659">
        <v>0.93965399027792895</v>
      </c>
      <c r="D1659">
        <v>1.0521290154882901</v>
      </c>
      <c r="E1659">
        <v>0.93254256250132705</v>
      </c>
      <c r="F1659">
        <v>0.86080056830491203</v>
      </c>
      <c r="G1659">
        <v>0.64795354981903297</v>
      </c>
      <c r="H1659">
        <v>0.47975494157800902</v>
      </c>
      <c r="I1659">
        <v>0.41246005079952902</v>
      </c>
      <c r="J1659">
        <v>0.45577880399862503</v>
      </c>
      <c r="K1659">
        <v>0.43512695699430198</v>
      </c>
      <c r="L1659">
        <v>1271.8861002015999</v>
      </c>
      <c r="M1659">
        <v>22.848608194238199</v>
      </c>
      <c r="N1659">
        <v>60.502162289093</v>
      </c>
      <c r="O1659">
        <v>55.244670888770798</v>
      </c>
      <c r="P1659">
        <v>-6.0022505670048701E-2</v>
      </c>
      <c r="Q1659">
        <v>0.41950788949896101</v>
      </c>
      <c r="R1659">
        <v>0.98402166736361996</v>
      </c>
      <c r="S1659" t="s">
        <v>5955</v>
      </c>
      <c r="T1659" t="s">
        <v>8590</v>
      </c>
      <c r="U1659" t="s">
        <v>8590</v>
      </c>
      <c r="V1659" t="s">
        <v>8590</v>
      </c>
      <c r="W1659">
        <v>5</v>
      </c>
      <c r="X1659" t="s">
        <v>10249</v>
      </c>
      <c r="Y1659">
        <v>0.72883762191350954</v>
      </c>
      <c r="Z1659" t="str">
        <f>HYPERLINK("Melting_Curves/meltCurve_sp_Q13185_CBX3_HUMAN_.pdf", "Melting_Curves/meltCurve_sp_Q13185_CBX3_HUMAN_.pdf")</f>
        <v>Melting_Curves/meltCurve_sp_Q13185_CBX3_HUMAN_.pdf</v>
      </c>
      <c r="AA1659" t="s">
        <v>14516</v>
      </c>
      <c r="AB1659" t="s">
        <v>18743</v>
      </c>
    </row>
    <row r="1660" spans="1:28" x14ac:dyDescent="0.25">
      <c r="A1660" t="s">
        <v>1664</v>
      </c>
      <c r="B1660">
        <v>0.99876560204751996</v>
      </c>
      <c r="C1660">
        <v>1.0344194715266199</v>
      </c>
      <c r="D1660">
        <v>1.0244309886682299</v>
      </c>
      <c r="E1660">
        <v>0.72303198825405501</v>
      </c>
      <c r="F1660">
        <v>0.42782177288228701</v>
      </c>
      <c r="G1660">
        <v>0.17603315542880299</v>
      </c>
      <c r="H1660">
        <v>0.110653817525838</v>
      </c>
      <c r="I1660">
        <v>8.3031562041842102E-2</v>
      </c>
      <c r="J1660">
        <v>6.8491629168781598E-2</v>
      </c>
      <c r="K1660">
        <v>5.9584323166003997E-2</v>
      </c>
      <c r="L1660">
        <v>1298.73075671279</v>
      </c>
      <c r="M1660">
        <v>25.001547251008301</v>
      </c>
      <c r="N1660">
        <v>52.279657467877598</v>
      </c>
      <c r="O1660">
        <v>51.617104200720597</v>
      </c>
      <c r="P1660">
        <v>-0.112163894063951</v>
      </c>
      <c r="Q1660">
        <v>7.3737712494187799E-2</v>
      </c>
      <c r="R1660">
        <v>0.996223479554883</v>
      </c>
      <c r="S1660" t="s">
        <v>5956</v>
      </c>
      <c r="T1660" t="s">
        <v>8590</v>
      </c>
      <c r="U1660" t="s">
        <v>8590</v>
      </c>
      <c r="V1660" t="s">
        <v>8590</v>
      </c>
      <c r="W1660">
        <v>3</v>
      </c>
      <c r="X1660" t="s">
        <v>10250</v>
      </c>
      <c r="Y1660">
        <v>0.4510262063235615</v>
      </c>
      <c r="Z1660" t="str">
        <f>HYPERLINK("Melting_Curves/meltCurve_sp_Q13188_STK3_HUMAN_.pdf", "Melting_Curves/meltCurve_sp_Q13188_STK3_HUMAN_.pdf")</f>
        <v>Melting_Curves/meltCurve_sp_Q13188_STK3_HUMAN_.pdf</v>
      </c>
      <c r="AA1660" t="s">
        <v>14517</v>
      </c>
      <c r="AB1660" t="s">
        <v>18744</v>
      </c>
    </row>
    <row r="1661" spans="1:28" x14ac:dyDescent="0.25">
      <c r="A1661" t="s">
        <v>1665</v>
      </c>
      <c r="B1661">
        <v>0.99876560204751996</v>
      </c>
      <c r="C1661">
        <v>0.96647040796972505</v>
      </c>
      <c r="D1661">
        <v>0.79954252629089495</v>
      </c>
      <c r="E1661">
        <v>0.55576300891028296</v>
      </c>
      <c r="F1661">
        <v>0.30778451644980698</v>
      </c>
      <c r="G1661">
        <v>0.17507775026856301</v>
      </c>
      <c r="H1661">
        <v>0.105967811110538</v>
      </c>
      <c r="I1661">
        <v>8.2739849965988294E-2</v>
      </c>
      <c r="J1661">
        <v>8.3015821902349601E-2</v>
      </c>
      <c r="K1661">
        <v>7.01073039920945E-2</v>
      </c>
      <c r="L1661">
        <v>846.28831986263299</v>
      </c>
      <c r="M1661">
        <v>16.921262253397799</v>
      </c>
      <c r="N1661">
        <v>50.424453737406203</v>
      </c>
      <c r="O1661">
        <v>49.330469646459797</v>
      </c>
      <c r="P1661">
        <v>-8.0233831809301701E-2</v>
      </c>
      <c r="Q1661">
        <v>6.4437757435185802E-2</v>
      </c>
      <c r="R1661">
        <v>0.99838513869280898</v>
      </c>
      <c r="S1661" t="s">
        <v>5957</v>
      </c>
      <c r="T1661" t="s">
        <v>8590</v>
      </c>
      <c r="U1661" t="s">
        <v>8590</v>
      </c>
      <c r="V1661" t="s">
        <v>8590</v>
      </c>
      <c r="W1661">
        <v>21</v>
      </c>
      <c r="X1661" t="s">
        <v>10251</v>
      </c>
      <c r="Y1661">
        <v>0.39462297938693941</v>
      </c>
      <c r="Z1661" t="str">
        <f>HYPERLINK("Melting_Curves/meltCurve_sp_Q13200_PSMD2_HUMAN_.pdf", "Melting_Curves/meltCurve_sp_Q13200_PSMD2_HUMAN_.pdf")</f>
        <v>Melting_Curves/meltCurve_sp_Q13200_PSMD2_HUMAN_.pdf</v>
      </c>
      <c r="AA1661" t="s">
        <v>14518</v>
      </c>
      <c r="AB1661" t="s">
        <v>18745</v>
      </c>
    </row>
    <row r="1662" spans="1:28" x14ac:dyDescent="0.25">
      <c r="A1662" t="s">
        <v>1666</v>
      </c>
      <c r="B1662">
        <v>0.99876560204751996</v>
      </c>
      <c r="C1662">
        <v>0.89376086049223902</v>
      </c>
      <c r="D1662">
        <v>1.0722115337576701</v>
      </c>
      <c r="E1662">
        <v>0.97305723770672303</v>
      </c>
      <c r="F1662">
        <v>0.87449531450783102</v>
      </c>
      <c r="G1662">
        <v>0.66796141211316695</v>
      </c>
      <c r="H1662">
        <v>0.68610447398140395</v>
      </c>
      <c r="I1662">
        <v>0.55491252546882297</v>
      </c>
      <c r="J1662">
        <v>0.70229677141104596</v>
      </c>
      <c r="K1662">
        <v>0.63565532155733195</v>
      </c>
      <c r="L1662">
        <v>2172.5788883793198</v>
      </c>
      <c r="M1662">
        <v>40.416843940918497</v>
      </c>
      <c r="O1662">
        <v>53.623207874324102</v>
      </c>
      <c r="P1662">
        <v>-6.7384710629453004E-2</v>
      </c>
      <c r="Q1662">
        <v>0.642389035024854</v>
      </c>
      <c r="R1662">
        <v>0.89541959220390799</v>
      </c>
      <c r="S1662" t="s">
        <v>5958</v>
      </c>
      <c r="T1662" t="s">
        <v>8590</v>
      </c>
      <c r="U1662" t="s">
        <v>8590</v>
      </c>
      <c r="V1662" t="s">
        <v>8590</v>
      </c>
      <c r="W1662">
        <v>4</v>
      </c>
      <c r="X1662" t="s">
        <v>10252</v>
      </c>
      <c r="Y1662">
        <v>0.80764444368912058</v>
      </c>
      <c r="Z1662" t="str">
        <f>HYPERLINK("Melting_Curves/meltCurve_sp_Q13206_DDX10_HUMAN_.pdf", "Melting_Curves/meltCurve_sp_Q13206_DDX10_HUMAN_.pdf")</f>
        <v>Melting_Curves/meltCurve_sp_Q13206_DDX10_HUMAN_.pdf</v>
      </c>
      <c r="AA1662" t="s">
        <v>14519</v>
      </c>
      <c r="AB1662" t="s">
        <v>18746</v>
      </c>
    </row>
    <row r="1663" spans="1:28" x14ac:dyDescent="0.25">
      <c r="A1663" t="s">
        <v>1667</v>
      </c>
      <c r="B1663">
        <v>0.99876560204751996</v>
      </c>
      <c r="C1663">
        <v>0.971255162623479</v>
      </c>
      <c r="D1663">
        <v>1.04169324446772</v>
      </c>
      <c r="E1663">
        <v>0.85429260515126304</v>
      </c>
      <c r="F1663">
        <v>0.31941911563692299</v>
      </c>
      <c r="G1663">
        <v>0.106762936690845</v>
      </c>
      <c r="H1663">
        <v>6.59878167580768E-2</v>
      </c>
      <c r="I1663">
        <v>5.3214559485327599E-2</v>
      </c>
      <c r="J1663">
        <v>5.3324520742586701E-2</v>
      </c>
      <c r="K1663">
        <v>4.1931687792642801E-2</v>
      </c>
      <c r="L1663">
        <v>2314.06389402692</v>
      </c>
      <c r="M1663">
        <v>44.601126979164398</v>
      </c>
      <c r="N1663">
        <v>52.032415137117702</v>
      </c>
      <c r="O1663">
        <v>51.779551559958101</v>
      </c>
      <c r="P1663">
        <v>-0.202442830674992</v>
      </c>
      <c r="Q1663">
        <v>5.9899562280798201E-2</v>
      </c>
      <c r="R1663">
        <v>0.99773205553147704</v>
      </c>
      <c r="S1663" t="s">
        <v>5959</v>
      </c>
      <c r="T1663" t="s">
        <v>8590</v>
      </c>
      <c r="U1663" t="s">
        <v>8590</v>
      </c>
      <c r="V1663" t="s">
        <v>8590</v>
      </c>
      <c r="W1663">
        <v>11</v>
      </c>
      <c r="X1663" t="s">
        <v>10253</v>
      </c>
      <c r="Y1663">
        <v>0.43499713906346571</v>
      </c>
      <c r="Z1663" t="str">
        <f>HYPERLINK("Melting_Curves/meltCurve_sp_Q13217_DNJC3_HUMAN_.pdf", "Melting_Curves/meltCurve_sp_Q13217_DNJC3_HUMAN_.pdf")</f>
        <v>Melting_Curves/meltCurve_sp_Q13217_DNJC3_HUMAN_.pdf</v>
      </c>
      <c r="AA1663" t="s">
        <v>14520</v>
      </c>
      <c r="AB1663" t="s">
        <v>18747</v>
      </c>
    </row>
    <row r="1664" spans="1:28" x14ac:dyDescent="0.25">
      <c r="A1664" t="s">
        <v>1668</v>
      </c>
      <c r="B1664">
        <v>0.99876560204751996</v>
      </c>
      <c r="C1664">
        <v>0.98103744950511196</v>
      </c>
      <c r="D1664">
        <v>1.0184827488113699</v>
      </c>
      <c r="E1664">
        <v>0.84748411326402895</v>
      </c>
      <c r="F1664">
        <v>0.78041561739973397</v>
      </c>
      <c r="G1664">
        <v>0.66260092205212495</v>
      </c>
      <c r="H1664">
        <v>0.455602396508486</v>
      </c>
      <c r="I1664">
        <v>0.45831383596670999</v>
      </c>
      <c r="J1664">
        <v>0.37765474899958401</v>
      </c>
      <c r="K1664">
        <v>0.29117294575034502</v>
      </c>
      <c r="L1664">
        <v>636.04891319293802</v>
      </c>
      <c r="M1664">
        <v>10.9976717457549</v>
      </c>
      <c r="N1664">
        <v>60.985394882295303</v>
      </c>
      <c r="O1664">
        <v>56.021313867700698</v>
      </c>
      <c r="P1664">
        <v>-3.8455248959566403E-2</v>
      </c>
      <c r="Q1664">
        <v>0.21671177624827101</v>
      </c>
      <c r="R1664">
        <v>0.985123187764256</v>
      </c>
      <c r="S1664" t="s">
        <v>5960</v>
      </c>
      <c r="T1664" t="s">
        <v>8590</v>
      </c>
      <c r="U1664" t="s">
        <v>8590</v>
      </c>
      <c r="V1664" t="s">
        <v>8590</v>
      </c>
      <c r="W1664">
        <v>39</v>
      </c>
      <c r="X1664" t="s">
        <v>10254</v>
      </c>
      <c r="Y1664">
        <v>0.69216021914422654</v>
      </c>
      <c r="Z1664" t="str">
        <f>HYPERLINK("Melting_Curves/meltCurve_sp_Q13228_SBP1_HUMAN_.pdf", "Melting_Curves/meltCurve_sp_Q13228_SBP1_HUMAN_.pdf")</f>
        <v>Melting_Curves/meltCurve_sp_Q13228_SBP1_HUMAN_.pdf</v>
      </c>
      <c r="AA1664" t="s">
        <v>14521</v>
      </c>
      <c r="AB1664" t="s">
        <v>18748</v>
      </c>
    </row>
    <row r="1665" spans="1:28" x14ac:dyDescent="0.25">
      <c r="A1665" t="s">
        <v>1669</v>
      </c>
      <c r="B1665">
        <v>0.99876560204751996</v>
      </c>
      <c r="C1665">
        <v>1.0700509165897401</v>
      </c>
      <c r="D1665">
        <v>0.91854235754453795</v>
      </c>
      <c r="E1665">
        <v>1.0205958457512001</v>
      </c>
      <c r="F1665">
        <v>0.91586241042362704</v>
      </c>
      <c r="G1665">
        <v>0.74958243786383905</v>
      </c>
      <c r="H1665">
        <v>0.54300328897329297</v>
      </c>
      <c r="I1665">
        <v>0.30770111462224398</v>
      </c>
      <c r="J1665">
        <v>0.115974832747271</v>
      </c>
      <c r="K1665">
        <v>6.8393864790374001E-2</v>
      </c>
      <c r="L1665">
        <v>1129.4204450626701</v>
      </c>
      <c r="M1665">
        <v>18.521295207293001</v>
      </c>
      <c r="N1665">
        <v>60.979562526225102</v>
      </c>
      <c r="O1665">
        <v>60.282024213222698</v>
      </c>
      <c r="P1665">
        <v>-7.6814406037182106E-2</v>
      </c>
      <c r="Q1665">
        <v>0</v>
      </c>
      <c r="R1665">
        <v>0.98591621932762497</v>
      </c>
      <c r="S1665" t="s">
        <v>5961</v>
      </c>
      <c r="T1665" t="s">
        <v>8590</v>
      </c>
      <c r="U1665" t="s">
        <v>8590</v>
      </c>
      <c r="V1665" t="s">
        <v>8590</v>
      </c>
      <c r="W1665">
        <v>9</v>
      </c>
      <c r="X1665" t="s">
        <v>10255</v>
      </c>
      <c r="Y1665">
        <v>0.70493936544889235</v>
      </c>
      <c r="Z1665" t="str">
        <f>HYPERLINK("Melting_Curves/meltCurve_sp_Q13232_NDK3_HUMAN_.pdf", "Melting_Curves/meltCurve_sp_Q13232_NDK3_HUMAN_.pdf")</f>
        <v>Melting_Curves/meltCurve_sp_Q13232_NDK3_HUMAN_.pdf</v>
      </c>
      <c r="AA1665" t="s">
        <v>14522</v>
      </c>
      <c r="AB1665" t="s">
        <v>18749</v>
      </c>
    </row>
    <row r="1666" spans="1:28" x14ac:dyDescent="0.25">
      <c r="A1666" t="s">
        <v>1670</v>
      </c>
      <c r="B1666">
        <v>0.99876560204751996</v>
      </c>
      <c r="C1666">
        <v>0.96336611758955903</v>
      </c>
      <c r="D1666">
        <v>1.1512449449162101</v>
      </c>
      <c r="E1666">
        <v>0.91027192955296099</v>
      </c>
      <c r="F1666">
        <v>0.87250749395064797</v>
      </c>
      <c r="G1666">
        <v>0.70544276082188495</v>
      </c>
      <c r="H1666">
        <v>0.63500184045913399</v>
      </c>
      <c r="I1666">
        <v>0.556657575118091</v>
      </c>
      <c r="J1666">
        <v>0.70405165902956102</v>
      </c>
      <c r="K1666">
        <v>0.70771792367699704</v>
      </c>
      <c r="L1666">
        <v>1586.05331808757</v>
      </c>
      <c r="M1666">
        <v>29.5886365373334</v>
      </c>
      <c r="O1666">
        <v>53.360413978540201</v>
      </c>
      <c r="P1666">
        <v>-4.8580156916998601E-2</v>
      </c>
      <c r="Q1666">
        <v>0.64956292128860504</v>
      </c>
      <c r="R1666">
        <v>0.86045240771577503</v>
      </c>
      <c r="S1666" t="s">
        <v>5962</v>
      </c>
      <c r="T1666" t="s">
        <v>8590</v>
      </c>
      <c r="U1666" t="s">
        <v>8590</v>
      </c>
      <c r="V1666" t="s">
        <v>8590</v>
      </c>
      <c r="W1666">
        <v>3</v>
      </c>
      <c r="X1666" t="s">
        <v>10256</v>
      </c>
      <c r="Y1666">
        <v>0.81082125656947923</v>
      </c>
      <c r="Z1666" t="str">
        <f>HYPERLINK("Melting_Curves/meltCurve_sp_Q13243_3_SRSF5_HUMAN_.pdf", "Melting_Curves/meltCurve_sp_Q13243_3_SRSF5_HUMAN_.pdf")</f>
        <v>Melting_Curves/meltCurve_sp_Q13243_3_SRSF5_HUMAN_.pdf</v>
      </c>
      <c r="AA1666" t="s">
        <v>14523</v>
      </c>
      <c r="AB1666" t="s">
        <v>18750</v>
      </c>
    </row>
    <row r="1667" spans="1:28" x14ac:dyDescent="0.25">
      <c r="A1667" t="s">
        <v>1671</v>
      </c>
      <c r="B1667">
        <v>0.99876560204751996</v>
      </c>
      <c r="C1667">
        <v>0.953968278210089</v>
      </c>
      <c r="D1667">
        <v>0.99645909378088704</v>
      </c>
      <c r="E1667">
        <v>0.86175703838080098</v>
      </c>
      <c r="F1667">
        <v>0.82885992609422299</v>
      </c>
      <c r="G1667">
        <v>0.60278045477146702</v>
      </c>
      <c r="H1667">
        <v>0.50453963811029401</v>
      </c>
      <c r="I1667">
        <v>0.45322026767804902</v>
      </c>
      <c r="J1667">
        <v>0.51811961039750398</v>
      </c>
      <c r="K1667">
        <v>0.51302423771375805</v>
      </c>
      <c r="L1667">
        <v>1089.4169644445899</v>
      </c>
      <c r="M1667">
        <v>20.204383072761701</v>
      </c>
      <c r="N1667">
        <v>63.917166828676102</v>
      </c>
      <c r="O1667">
        <v>53.399937554818003</v>
      </c>
      <c r="P1667">
        <v>-4.9302630635029702E-2</v>
      </c>
      <c r="Q1667">
        <v>0.47879109841064699</v>
      </c>
      <c r="R1667">
        <v>0.97645866756774202</v>
      </c>
      <c r="S1667" t="s">
        <v>5963</v>
      </c>
      <c r="T1667" t="s">
        <v>8590</v>
      </c>
      <c r="U1667" t="s">
        <v>8590</v>
      </c>
      <c r="V1667" t="s">
        <v>8590</v>
      </c>
      <c r="W1667">
        <v>9</v>
      </c>
      <c r="X1667" t="s">
        <v>10257</v>
      </c>
      <c r="Y1667">
        <v>0.72760563374739007</v>
      </c>
      <c r="Z1667" t="str">
        <f>HYPERLINK("Melting_Curves/meltCurve_sp_Q13247_3_SRSF6_HUMAN_.pdf", "Melting_Curves/meltCurve_sp_Q13247_3_SRSF6_HUMAN_.pdf")</f>
        <v>Melting_Curves/meltCurve_sp_Q13247_3_SRSF6_HUMAN_.pdf</v>
      </c>
      <c r="AA1667" t="s">
        <v>14524</v>
      </c>
      <c r="AB1667" t="s">
        <v>18751</v>
      </c>
    </row>
    <row r="1668" spans="1:28" x14ac:dyDescent="0.25">
      <c r="A1668" t="s">
        <v>1672</v>
      </c>
      <c r="B1668">
        <v>0.99876560204751996</v>
      </c>
      <c r="C1668">
        <v>0.82531149496534395</v>
      </c>
      <c r="D1668">
        <v>0.80304641691117895</v>
      </c>
      <c r="E1668">
        <v>0.70230269329669504</v>
      </c>
      <c r="F1668">
        <v>0.50936983421389603</v>
      </c>
      <c r="G1668">
        <v>0.44627496737406303</v>
      </c>
      <c r="H1668">
        <v>0.237373581812029</v>
      </c>
      <c r="I1668">
        <v>0.144532582413302</v>
      </c>
      <c r="J1668">
        <v>7.4019751469840703E-2</v>
      </c>
      <c r="K1668">
        <v>6.9258674047977697E-2</v>
      </c>
      <c r="L1668">
        <v>512.37928598515896</v>
      </c>
      <c r="M1668">
        <v>9.5557033411657493</v>
      </c>
      <c r="N1668">
        <v>53.620258315333302</v>
      </c>
      <c r="O1668">
        <v>51.429619488695003</v>
      </c>
      <c r="P1668">
        <v>-4.6477259276578198E-2</v>
      </c>
      <c r="Q1668">
        <v>0</v>
      </c>
      <c r="R1668">
        <v>0.97744120149354796</v>
      </c>
      <c r="S1668" t="s">
        <v>5964</v>
      </c>
      <c r="T1668" t="s">
        <v>8590</v>
      </c>
      <c r="U1668" t="s">
        <v>8590</v>
      </c>
      <c r="V1668" t="s">
        <v>8590</v>
      </c>
      <c r="W1668">
        <v>1</v>
      </c>
      <c r="X1668" t="s">
        <v>10258</v>
      </c>
      <c r="Y1668">
        <v>0.48686060986975938</v>
      </c>
      <c r="Z1668" t="str">
        <f>HYPERLINK("Melting_Curves/meltCurve_sp_Q13257_MD2L1_HUMAN_.pdf", "Melting_Curves/meltCurve_sp_Q13257_MD2L1_HUMAN_.pdf")</f>
        <v>Melting_Curves/meltCurve_sp_Q13257_MD2L1_HUMAN_.pdf</v>
      </c>
      <c r="AA1668" t="s">
        <v>14525</v>
      </c>
      <c r="AB1668" t="s">
        <v>18752</v>
      </c>
    </row>
    <row r="1669" spans="1:28" x14ac:dyDescent="0.25">
      <c r="A1669" t="s">
        <v>1673</v>
      </c>
      <c r="B1669">
        <v>0.99876560204751996</v>
      </c>
      <c r="C1669">
        <v>0.97841460682034498</v>
      </c>
      <c r="D1669">
        <v>0.89717789807822101</v>
      </c>
      <c r="E1669">
        <v>0.72727666864706397</v>
      </c>
      <c r="F1669">
        <v>0.53379241419725099</v>
      </c>
      <c r="G1669">
        <v>0.29875511247449699</v>
      </c>
      <c r="H1669">
        <v>0.20912024730402801</v>
      </c>
      <c r="I1669">
        <v>0.178141668499117</v>
      </c>
      <c r="J1669">
        <v>0.195522805056428</v>
      </c>
      <c r="K1669">
        <v>0.19501395465028601</v>
      </c>
      <c r="L1669">
        <v>910.05934026465002</v>
      </c>
      <c r="M1669">
        <v>17.499689427337</v>
      </c>
      <c r="N1669">
        <v>53.227514879829698</v>
      </c>
      <c r="O1669">
        <v>51.339475743596097</v>
      </c>
      <c r="P1669">
        <v>-7.1111108933439304E-2</v>
      </c>
      <c r="Q1669">
        <v>0.165561016322057</v>
      </c>
      <c r="R1669">
        <v>0.99780521619082096</v>
      </c>
      <c r="S1669" t="s">
        <v>5965</v>
      </c>
      <c r="T1669" t="s">
        <v>8590</v>
      </c>
      <c r="U1669" t="s">
        <v>8590</v>
      </c>
      <c r="V1669" t="s">
        <v>8590</v>
      </c>
      <c r="W1669">
        <v>18</v>
      </c>
      <c r="X1669" t="s">
        <v>10259</v>
      </c>
      <c r="Y1669">
        <v>0.51402014034336196</v>
      </c>
      <c r="Z1669" t="str">
        <f>HYPERLINK("Melting_Curves/meltCurve_sp_Q13263_TIF1B_HUMAN_.pdf", "Melting_Curves/meltCurve_sp_Q13263_TIF1B_HUMAN_.pdf")</f>
        <v>Melting_Curves/meltCurve_sp_Q13263_TIF1B_HUMAN_.pdf</v>
      </c>
      <c r="AA1669" t="s">
        <v>14526</v>
      </c>
      <c r="AB1669" t="s">
        <v>18753</v>
      </c>
    </row>
    <row r="1670" spans="1:28" x14ac:dyDescent="0.25">
      <c r="A1670" t="s">
        <v>1674</v>
      </c>
      <c r="B1670">
        <v>0.99876560204751996</v>
      </c>
      <c r="C1670">
        <v>0.96636113179392003</v>
      </c>
      <c r="D1670">
        <v>0.94414395287184205</v>
      </c>
      <c r="E1670">
        <v>0.82228009433097404</v>
      </c>
      <c r="F1670">
        <v>0.56392340527747198</v>
      </c>
      <c r="G1670">
        <v>0.34053055213751998</v>
      </c>
      <c r="H1670">
        <v>0.23925220447579301</v>
      </c>
      <c r="I1670">
        <v>0.263429340048007</v>
      </c>
      <c r="J1670">
        <v>0.29724531131215498</v>
      </c>
      <c r="K1670">
        <v>0.28740449499145698</v>
      </c>
      <c r="L1670">
        <v>1334.3331266765599</v>
      </c>
      <c r="M1670">
        <v>25.583820883981399</v>
      </c>
      <c r="N1670">
        <v>53.749533128214502</v>
      </c>
      <c r="O1670">
        <v>51.8398248730864</v>
      </c>
      <c r="P1670">
        <v>-9.0575126973121506E-2</v>
      </c>
      <c r="Q1670">
        <v>0.26588899583391701</v>
      </c>
      <c r="R1670">
        <v>0.99440575845845003</v>
      </c>
      <c r="S1670" t="s">
        <v>5966</v>
      </c>
      <c r="T1670" t="s">
        <v>8590</v>
      </c>
      <c r="U1670" t="s">
        <v>8590</v>
      </c>
      <c r="V1670" t="s">
        <v>8590</v>
      </c>
      <c r="W1670">
        <v>12</v>
      </c>
      <c r="X1670" t="s">
        <v>10260</v>
      </c>
      <c r="Y1670">
        <v>0.56975514839411423</v>
      </c>
      <c r="Z1670" t="str">
        <f>HYPERLINK("Melting_Curves/meltCurve_sp_Q13283_G3BP1_HUMAN_.pdf", "Melting_Curves/meltCurve_sp_Q13283_G3BP1_HUMAN_.pdf")</f>
        <v>Melting_Curves/meltCurve_sp_Q13283_G3BP1_HUMAN_.pdf</v>
      </c>
      <c r="AA1670" t="s">
        <v>14527</v>
      </c>
      <c r="AB1670" t="s">
        <v>18754</v>
      </c>
    </row>
    <row r="1671" spans="1:28" x14ac:dyDescent="0.25">
      <c r="A1671" t="s">
        <v>1675</v>
      </c>
      <c r="B1671">
        <v>0.99876560204751996</v>
      </c>
      <c r="C1671">
        <v>1.02278229415744</v>
      </c>
      <c r="D1671">
        <v>1.0198398564811899</v>
      </c>
      <c r="E1671">
        <v>0.96231794779551205</v>
      </c>
      <c r="F1671">
        <v>0.86743813823516902</v>
      </c>
      <c r="G1671">
        <v>0.33862340402578001</v>
      </c>
      <c r="H1671">
        <v>0.107108378590813</v>
      </c>
      <c r="I1671">
        <v>6.5678359245809406E-2</v>
      </c>
      <c r="J1671">
        <v>5.1401079732707897E-2</v>
      </c>
      <c r="K1671">
        <v>3.7550010825077203E-2</v>
      </c>
      <c r="L1671">
        <v>1914.7675197492199</v>
      </c>
      <c r="M1671">
        <v>34.386718401723599</v>
      </c>
      <c r="N1671">
        <v>55.852538688822698</v>
      </c>
      <c r="O1671">
        <v>55.496030291438501</v>
      </c>
      <c r="P1671">
        <v>-0.14724471706165099</v>
      </c>
      <c r="Q1671">
        <v>4.9462433000931602E-2</v>
      </c>
      <c r="R1671">
        <v>0.99906376440574296</v>
      </c>
      <c r="S1671" t="s">
        <v>5967</v>
      </c>
      <c r="T1671" t="s">
        <v>8590</v>
      </c>
      <c r="U1671" t="s">
        <v>8590</v>
      </c>
      <c r="V1671" t="s">
        <v>8590</v>
      </c>
      <c r="W1671">
        <v>6</v>
      </c>
      <c r="X1671" t="s">
        <v>10261</v>
      </c>
      <c r="Y1671">
        <v>0.55127304669903388</v>
      </c>
      <c r="Z1671" t="str">
        <f>HYPERLINK("Melting_Curves/meltCurve_sp_Q13287_NMI_HUMAN_.pdf", "Melting_Curves/meltCurve_sp_Q13287_NMI_HUMAN_.pdf")</f>
        <v>Melting_Curves/meltCurve_sp_Q13287_NMI_HUMAN_.pdf</v>
      </c>
      <c r="AA1671" t="s">
        <v>14528</v>
      </c>
      <c r="AB1671" t="s">
        <v>18755</v>
      </c>
    </row>
    <row r="1672" spans="1:28" x14ac:dyDescent="0.25">
      <c r="A1672" t="s">
        <v>1676</v>
      </c>
      <c r="B1672">
        <v>0.99876560204751996</v>
      </c>
      <c r="C1672">
        <v>0.96258838176258898</v>
      </c>
      <c r="D1672">
        <v>0.864225915753567</v>
      </c>
      <c r="E1672">
        <v>0.77457646292777904</v>
      </c>
      <c r="F1672">
        <v>0.50053038082040702</v>
      </c>
      <c r="G1672">
        <v>0.21623912179811799</v>
      </c>
      <c r="H1672">
        <v>8.1934856553403906E-2</v>
      </c>
      <c r="I1672">
        <v>6.7255631840378902E-2</v>
      </c>
      <c r="J1672">
        <v>6.19060876932171E-2</v>
      </c>
      <c r="K1672">
        <v>5.4035872752179102E-2</v>
      </c>
      <c r="L1672">
        <v>948.50091078196499</v>
      </c>
      <c r="M1672">
        <v>17.973715779056601</v>
      </c>
      <c r="N1672">
        <v>52.940714040870098</v>
      </c>
      <c r="O1672">
        <v>52.131334108233901</v>
      </c>
      <c r="P1672">
        <v>-8.3793232315494001E-2</v>
      </c>
      <c r="Q1672">
        <v>2.7906104593492301E-2</v>
      </c>
      <c r="R1672">
        <v>0.99449470957099895</v>
      </c>
      <c r="S1672" t="s">
        <v>5968</v>
      </c>
      <c r="T1672" t="s">
        <v>8590</v>
      </c>
      <c r="U1672" t="s">
        <v>8590</v>
      </c>
      <c r="V1672" t="s">
        <v>8590</v>
      </c>
      <c r="W1672">
        <v>20</v>
      </c>
      <c r="X1672" t="s">
        <v>10262</v>
      </c>
      <c r="Y1672">
        <v>0.45776620009377172</v>
      </c>
      <c r="Z1672" t="str">
        <f>HYPERLINK("Melting_Curves/meltCurve_sp_Q13310_3_PABP4_HUMAN_.pdf", "Melting_Curves/meltCurve_sp_Q13310_3_PABP4_HUMAN_.pdf")</f>
        <v>Melting_Curves/meltCurve_sp_Q13310_3_PABP4_HUMAN_.pdf</v>
      </c>
      <c r="AA1672" t="s">
        <v>14529</v>
      </c>
      <c r="AB1672" t="s">
        <v>18756</v>
      </c>
    </row>
    <row r="1673" spans="1:28" x14ac:dyDescent="0.25">
      <c r="A1673" t="s">
        <v>1677</v>
      </c>
      <c r="B1673">
        <v>0.99876560204751996</v>
      </c>
      <c r="C1673">
        <v>0.93781522800263495</v>
      </c>
      <c r="D1673">
        <v>1.2402253685518601</v>
      </c>
      <c r="E1673">
        <v>1.0892322512953201</v>
      </c>
      <c r="F1673">
        <v>1.1973061314095199</v>
      </c>
      <c r="G1673">
        <v>0.85328193753239501</v>
      </c>
      <c r="H1673">
        <v>0.69514650457826399</v>
      </c>
      <c r="I1673">
        <v>0.77148817073672404</v>
      </c>
      <c r="J1673">
        <v>0.594390401227749</v>
      </c>
      <c r="K1673">
        <v>0.85330418046154799</v>
      </c>
      <c r="L1673">
        <v>14240.7315168483</v>
      </c>
      <c r="M1673">
        <v>250</v>
      </c>
      <c r="O1673">
        <v>56.959279689004603</v>
      </c>
      <c r="P1673">
        <v>-0.29781987000666799</v>
      </c>
      <c r="Q1673">
        <v>0.72858231057443001</v>
      </c>
      <c r="R1673">
        <v>0.63936631985890802</v>
      </c>
      <c r="S1673" t="s">
        <v>5969</v>
      </c>
      <c r="T1673" t="s">
        <v>8590</v>
      </c>
      <c r="U1673" t="s">
        <v>8590</v>
      </c>
      <c r="V1673" t="s">
        <v>8590</v>
      </c>
      <c r="W1673">
        <v>21</v>
      </c>
      <c r="X1673" t="s">
        <v>10263</v>
      </c>
      <c r="Y1673">
        <v>0.88207738391293256</v>
      </c>
      <c r="Z1673" t="str">
        <f>HYPERLINK("Melting_Curves/meltCurve_sp_Q13310_PABP4_HUMAN_.pdf", "Melting_Curves/meltCurve_sp_Q13310_PABP4_HUMAN_.pdf")</f>
        <v>Melting_Curves/meltCurve_sp_Q13310_PABP4_HUMAN_.pdf</v>
      </c>
      <c r="AA1673" t="s">
        <v>14529</v>
      </c>
      <c r="AB1673" t="s">
        <v>18757</v>
      </c>
    </row>
    <row r="1674" spans="1:28" x14ac:dyDescent="0.25">
      <c r="A1674" t="s">
        <v>1678</v>
      </c>
      <c r="B1674">
        <v>0.99876560204751996</v>
      </c>
      <c r="C1674">
        <v>0.854248034702356</v>
      </c>
      <c r="D1674">
        <v>0.76087671315633398</v>
      </c>
      <c r="E1674">
        <v>0.55364980563226296</v>
      </c>
      <c r="F1674">
        <v>0.19677135626999001</v>
      </c>
      <c r="G1674">
        <v>8.9760812641219101E-2</v>
      </c>
      <c r="H1674">
        <v>6.0363479984445197E-2</v>
      </c>
      <c r="I1674">
        <v>6.8516280206609895E-2</v>
      </c>
      <c r="J1674">
        <v>6.1196274657203897E-2</v>
      </c>
      <c r="K1674">
        <v>5.2578400535633403E-2</v>
      </c>
      <c r="L1674">
        <v>817.19506260286801</v>
      </c>
      <c r="M1674">
        <v>16.562321177755098</v>
      </c>
      <c r="N1674">
        <v>49.527503506570802</v>
      </c>
      <c r="O1674">
        <v>48.638138032890801</v>
      </c>
      <c r="P1674">
        <v>-8.2557173363089903E-2</v>
      </c>
      <c r="Q1674">
        <v>3.02924058021064E-2</v>
      </c>
      <c r="R1674">
        <v>0.98412386479678504</v>
      </c>
      <c r="S1674" t="s">
        <v>5970</v>
      </c>
      <c r="T1674" t="s">
        <v>8590</v>
      </c>
      <c r="U1674" t="s">
        <v>8590</v>
      </c>
      <c r="V1674" t="s">
        <v>8590</v>
      </c>
      <c r="W1674">
        <v>4</v>
      </c>
      <c r="X1674" t="s">
        <v>10264</v>
      </c>
      <c r="Y1674">
        <v>0.35183522447168653</v>
      </c>
      <c r="Z1674" t="str">
        <f>HYPERLINK("Melting_Curves/meltCurve_sp_Q13325_IFIT5_HUMAN_.pdf", "Melting_Curves/meltCurve_sp_Q13325_IFIT5_HUMAN_.pdf")</f>
        <v>Melting_Curves/meltCurve_sp_Q13325_IFIT5_HUMAN_.pdf</v>
      </c>
      <c r="AA1674" t="s">
        <v>14530</v>
      </c>
      <c r="AB1674" t="s">
        <v>18758</v>
      </c>
    </row>
    <row r="1675" spans="1:28" x14ac:dyDescent="0.25">
      <c r="A1675" t="s">
        <v>1679</v>
      </c>
      <c r="B1675">
        <v>0.99876560204751996</v>
      </c>
      <c r="C1675">
        <v>0.79698922952613704</v>
      </c>
      <c r="D1675">
        <v>0.98596765086036398</v>
      </c>
      <c r="E1675">
        <v>0.88318087926024003</v>
      </c>
      <c r="F1675">
        <v>0.45598254362475199</v>
      </c>
      <c r="G1675">
        <v>0.273780061955545</v>
      </c>
      <c r="H1675">
        <v>9.8387653436344993E-2</v>
      </c>
      <c r="I1675">
        <v>8.9057194361138195E-2</v>
      </c>
      <c r="J1675">
        <v>4.4710622523926602E-2</v>
      </c>
      <c r="K1675">
        <v>3.8009644501456198E-2</v>
      </c>
      <c r="L1675">
        <v>1195.0489696602899</v>
      </c>
      <c r="M1675">
        <v>22.520272343273501</v>
      </c>
      <c r="N1675">
        <v>53.3305782959835</v>
      </c>
      <c r="O1675">
        <v>52.652390346939598</v>
      </c>
      <c r="P1675">
        <v>-0.10126879752413501</v>
      </c>
      <c r="Q1675">
        <v>5.2954007828667903E-2</v>
      </c>
      <c r="R1675">
        <v>0.96366671958526295</v>
      </c>
      <c r="S1675" t="s">
        <v>5971</v>
      </c>
      <c r="T1675" t="s">
        <v>8590</v>
      </c>
      <c r="U1675" t="s">
        <v>8590</v>
      </c>
      <c r="V1675" t="s">
        <v>8590</v>
      </c>
      <c r="W1675">
        <v>4</v>
      </c>
      <c r="X1675" t="s">
        <v>10265</v>
      </c>
      <c r="Y1675">
        <v>0.47597973149386302</v>
      </c>
      <c r="Z1675" t="str">
        <f>HYPERLINK("Melting_Curves/meltCurve_sp_Q13330_3_MTA1_HUMAN_.pdf", "Melting_Curves/meltCurve_sp_Q13330_3_MTA1_HUMAN_.pdf")</f>
        <v>Melting_Curves/meltCurve_sp_Q13330_3_MTA1_HUMAN_.pdf</v>
      </c>
      <c r="AA1675" t="s">
        <v>14531</v>
      </c>
      <c r="AB1675" t="s">
        <v>18759</v>
      </c>
    </row>
    <row r="1676" spans="1:28" x14ac:dyDescent="0.25">
      <c r="A1676" t="s">
        <v>1680</v>
      </c>
      <c r="B1676">
        <v>0.99876560204751996</v>
      </c>
      <c r="C1676">
        <v>0.92789042872111205</v>
      </c>
      <c r="D1676">
        <v>0.60308083198276796</v>
      </c>
      <c r="E1676">
        <v>0.284619624353951</v>
      </c>
      <c r="F1676">
        <v>0.14953031717535401</v>
      </c>
      <c r="G1676">
        <v>0.104814959632248</v>
      </c>
      <c r="H1676">
        <v>8.3710591623089997E-2</v>
      </c>
      <c r="I1676">
        <v>7.5242429040700706E-2</v>
      </c>
      <c r="J1676">
        <v>8.6223046371238496E-2</v>
      </c>
      <c r="K1676">
        <v>6.7524031182228106E-2</v>
      </c>
      <c r="L1676">
        <v>1036.26739969132</v>
      </c>
      <c r="M1676">
        <v>22.1132575807781</v>
      </c>
      <c r="N1676">
        <v>47.235816889118297</v>
      </c>
      <c r="O1676">
        <v>46.483632891670801</v>
      </c>
      <c r="P1676">
        <v>-0.10938168154080601</v>
      </c>
      <c r="Q1676">
        <v>8.0308017839910706E-2</v>
      </c>
      <c r="R1676">
        <v>0.99738034049576696</v>
      </c>
      <c r="S1676" t="s">
        <v>5972</v>
      </c>
      <c r="T1676" t="s">
        <v>8590</v>
      </c>
      <c r="U1676" t="s">
        <v>8590</v>
      </c>
      <c r="V1676" t="s">
        <v>8590</v>
      </c>
      <c r="W1676">
        <v>6</v>
      </c>
      <c r="X1676" t="s">
        <v>10266</v>
      </c>
      <c r="Y1676">
        <v>0.30149152376804439</v>
      </c>
      <c r="Z1676" t="str">
        <f>HYPERLINK("Melting_Curves/meltCurve_sp_Q13347_EIF3I_HUMAN_.pdf", "Melting_Curves/meltCurve_sp_Q13347_EIF3I_HUMAN_.pdf")</f>
        <v>Melting_Curves/meltCurve_sp_Q13347_EIF3I_HUMAN_.pdf</v>
      </c>
      <c r="AA1676" t="s">
        <v>14532</v>
      </c>
      <c r="AB1676" t="s">
        <v>18760</v>
      </c>
    </row>
    <row r="1677" spans="1:28" x14ac:dyDescent="0.25">
      <c r="A1677" t="s">
        <v>1681</v>
      </c>
      <c r="B1677">
        <v>0.99876560204751996</v>
      </c>
      <c r="C1677">
        <v>1.0619539437746199</v>
      </c>
      <c r="D1677">
        <v>0.91753612751301505</v>
      </c>
      <c r="E1677">
        <v>0.72610839097760904</v>
      </c>
      <c r="F1677">
        <v>0.40299701163538199</v>
      </c>
      <c r="G1677">
        <v>0.285083047985217</v>
      </c>
      <c r="H1677">
        <v>0.27256959612707499</v>
      </c>
      <c r="I1677">
        <v>0.140790698075376</v>
      </c>
      <c r="J1677">
        <v>0.14933792901628301</v>
      </c>
      <c r="K1677">
        <v>0.122821288207611</v>
      </c>
      <c r="L1677">
        <v>1072.6038821126499</v>
      </c>
      <c r="M1677">
        <v>20.8602822214444</v>
      </c>
      <c r="N1677">
        <v>52.373807636842301</v>
      </c>
      <c r="O1677">
        <v>50.952940127667198</v>
      </c>
      <c r="P1677">
        <v>-8.6156903332436294E-2</v>
      </c>
      <c r="Q1677">
        <v>0.15824214134414899</v>
      </c>
      <c r="R1677">
        <v>0.98479972994482401</v>
      </c>
      <c r="S1677" t="s">
        <v>5973</v>
      </c>
      <c r="T1677" t="s">
        <v>8590</v>
      </c>
      <c r="U1677" t="s">
        <v>8590</v>
      </c>
      <c r="V1677" t="s">
        <v>8590</v>
      </c>
      <c r="W1677">
        <v>6</v>
      </c>
      <c r="X1677" t="s">
        <v>10267</v>
      </c>
      <c r="Y1677">
        <v>0.48942481237217328</v>
      </c>
      <c r="Z1677" t="str">
        <f>HYPERLINK("Melting_Curves/meltCurve_sp_Q13362_4_2A5G_HUMAN_.pdf", "Melting_Curves/meltCurve_sp_Q13362_4_2A5G_HUMAN_.pdf")</f>
        <v>Melting_Curves/meltCurve_sp_Q13362_4_2A5G_HUMAN_.pdf</v>
      </c>
      <c r="AA1677" t="s">
        <v>14533</v>
      </c>
      <c r="AB1677" t="s">
        <v>18761</v>
      </c>
    </row>
    <row r="1678" spans="1:28" x14ac:dyDescent="0.25">
      <c r="A1678" t="s">
        <v>1682</v>
      </c>
      <c r="B1678">
        <v>0.99876560204751996</v>
      </c>
      <c r="C1678">
        <v>0.95918423370190398</v>
      </c>
      <c r="D1678">
        <v>0.93988470668184498</v>
      </c>
      <c r="E1678">
        <v>0.63691578952341898</v>
      </c>
      <c r="F1678">
        <v>0.40826669482179301</v>
      </c>
      <c r="G1678">
        <v>0.25257889875165801</v>
      </c>
      <c r="H1678">
        <v>0.15754136114977199</v>
      </c>
      <c r="I1678">
        <v>0.126154410300823</v>
      </c>
      <c r="J1678">
        <v>9.7380136896138905E-2</v>
      </c>
      <c r="K1678">
        <v>9.4358335474619401E-2</v>
      </c>
      <c r="L1678">
        <v>930.75101117218196</v>
      </c>
      <c r="M1678">
        <v>18.144342588798999</v>
      </c>
      <c r="N1678">
        <v>51.928935368310903</v>
      </c>
      <c r="O1678">
        <v>50.686109890779299</v>
      </c>
      <c r="P1678">
        <v>-8.0632759945217E-2</v>
      </c>
      <c r="Q1678">
        <v>9.9054590712538998E-2</v>
      </c>
      <c r="R1678">
        <v>0.99735497760827796</v>
      </c>
      <c r="S1678" t="s">
        <v>5974</v>
      </c>
      <c r="T1678" t="s">
        <v>8590</v>
      </c>
      <c r="U1678" t="s">
        <v>8590</v>
      </c>
      <c r="V1678" t="s">
        <v>8590</v>
      </c>
      <c r="W1678">
        <v>11</v>
      </c>
      <c r="X1678" t="s">
        <v>10268</v>
      </c>
      <c r="Y1678">
        <v>0.45323572893580077</v>
      </c>
      <c r="Z1678" t="str">
        <f>HYPERLINK("Melting_Curves/meltCurve_sp_Q13363_2_CTBP1_HUMAN_.pdf", "Melting_Curves/meltCurve_sp_Q13363_2_CTBP1_HUMAN_.pdf")</f>
        <v>Melting_Curves/meltCurve_sp_Q13363_2_CTBP1_HUMAN_.pdf</v>
      </c>
      <c r="AA1678" t="s">
        <v>14534</v>
      </c>
      <c r="AB1678" t="s">
        <v>18762</v>
      </c>
    </row>
    <row r="1679" spans="1:28" x14ac:dyDescent="0.25">
      <c r="A1679" t="s">
        <v>1683</v>
      </c>
      <c r="B1679">
        <v>0.99876560204751996</v>
      </c>
      <c r="C1679">
        <v>0.88411440090737003</v>
      </c>
      <c r="D1679">
        <v>0.944224387307107</v>
      </c>
      <c r="E1679">
        <v>0.75494853252470295</v>
      </c>
      <c r="F1679">
        <v>0.69450419541582498</v>
      </c>
      <c r="G1679">
        <v>0.54717119806258296</v>
      </c>
      <c r="H1679">
        <v>0.33995799646070102</v>
      </c>
      <c r="I1679">
        <v>0.14759861534434701</v>
      </c>
      <c r="J1679">
        <v>4.2405924072071603E-2</v>
      </c>
      <c r="K1679">
        <v>4.0187242160769E-2</v>
      </c>
      <c r="L1679">
        <v>694.06923635212297</v>
      </c>
      <c r="M1679">
        <v>12.296932724977999</v>
      </c>
      <c r="N1679">
        <v>56.442468344737399</v>
      </c>
      <c r="O1679">
        <v>55.012078344644003</v>
      </c>
      <c r="P1679">
        <v>-5.5895130185635702E-2</v>
      </c>
      <c r="Q1679">
        <v>0</v>
      </c>
      <c r="R1679">
        <v>0.97249325151529098</v>
      </c>
      <c r="S1679" t="s">
        <v>5975</v>
      </c>
      <c r="T1679" t="s">
        <v>8590</v>
      </c>
      <c r="U1679" t="s">
        <v>8590</v>
      </c>
      <c r="V1679" t="s">
        <v>8590</v>
      </c>
      <c r="W1679">
        <v>9</v>
      </c>
      <c r="X1679" t="s">
        <v>10269</v>
      </c>
      <c r="Y1679">
        <v>0.56684390058268053</v>
      </c>
      <c r="Z1679" t="str">
        <f>HYPERLINK("Melting_Curves/meltCurve_sp_Q13404_UB2V1_HUMAN_.pdf", "Melting_Curves/meltCurve_sp_Q13404_UB2V1_HUMAN_.pdf")</f>
        <v>Melting_Curves/meltCurve_sp_Q13404_UB2V1_HUMAN_.pdf</v>
      </c>
      <c r="AA1679" t="s">
        <v>14535</v>
      </c>
      <c r="AB1679" t="s">
        <v>18763</v>
      </c>
    </row>
    <row r="1680" spans="1:28" x14ac:dyDescent="0.25">
      <c r="A1680" t="s">
        <v>1684</v>
      </c>
      <c r="B1680">
        <v>0.99876560204751996</v>
      </c>
      <c r="C1680">
        <v>1.1317260693703599</v>
      </c>
      <c r="D1680">
        <v>1.1766802063286801</v>
      </c>
      <c r="E1680">
        <v>0.77616000916489902</v>
      </c>
      <c r="F1680">
        <v>0.79774628069429598</v>
      </c>
      <c r="G1680">
        <v>0.42364477123272698</v>
      </c>
      <c r="H1680">
        <v>0.18245559126629801</v>
      </c>
      <c r="I1680">
        <v>0.127056182823128</v>
      </c>
      <c r="J1680">
        <v>0.1273212892276</v>
      </c>
      <c r="K1680">
        <v>0.103733717059175</v>
      </c>
      <c r="L1680">
        <v>1151.3208658379299</v>
      </c>
      <c r="M1680">
        <v>20.7609065306345</v>
      </c>
      <c r="N1680">
        <v>55.9593292395015</v>
      </c>
      <c r="O1680">
        <v>54.9493598704587</v>
      </c>
      <c r="P1680">
        <v>-8.6415434259414295E-2</v>
      </c>
      <c r="Q1680">
        <v>8.5138335708868904E-2</v>
      </c>
      <c r="R1680">
        <v>0.95612950854673595</v>
      </c>
      <c r="S1680" t="s">
        <v>5976</v>
      </c>
      <c r="T1680" t="s">
        <v>8590</v>
      </c>
      <c r="U1680" t="s">
        <v>8590</v>
      </c>
      <c r="V1680" t="s">
        <v>8590</v>
      </c>
      <c r="W1680">
        <v>3</v>
      </c>
      <c r="X1680" t="s">
        <v>10270</v>
      </c>
      <c r="Y1680">
        <v>0.56786212073920017</v>
      </c>
      <c r="Z1680" t="str">
        <f>HYPERLINK("Melting_Curves/meltCurve_sp_Q13409_6_DC1I2_HUMAN_.pdf", "Melting_Curves/meltCurve_sp_Q13409_6_DC1I2_HUMAN_.pdf")</f>
        <v>Melting_Curves/meltCurve_sp_Q13409_6_DC1I2_HUMAN_.pdf</v>
      </c>
      <c r="AA1680" t="s">
        <v>14536</v>
      </c>
      <c r="AB1680" t="s">
        <v>18764</v>
      </c>
    </row>
    <row r="1681" spans="1:28" x14ac:dyDescent="0.25">
      <c r="A1681" t="s">
        <v>1685</v>
      </c>
      <c r="B1681">
        <v>0.99876560204751996</v>
      </c>
      <c r="C1681">
        <v>0.915737104525016</v>
      </c>
      <c r="D1681">
        <v>0.69929272916204699</v>
      </c>
      <c r="E1681">
        <v>0.386425901356927</v>
      </c>
      <c r="F1681">
        <v>0.154917310343784</v>
      </c>
      <c r="G1681">
        <v>9.0062655916003403E-2</v>
      </c>
      <c r="H1681">
        <v>7.06728592043597E-2</v>
      </c>
      <c r="I1681">
        <v>4.8241252410116002E-2</v>
      </c>
      <c r="J1681">
        <v>4.8299393933408701E-2</v>
      </c>
      <c r="K1681">
        <v>3.6202528891900898E-2</v>
      </c>
      <c r="L1681">
        <v>906.39913476546099</v>
      </c>
      <c r="M1681">
        <v>18.833429305491499</v>
      </c>
      <c r="N1681">
        <v>48.341673398044101</v>
      </c>
      <c r="O1681">
        <v>47.594388270778403</v>
      </c>
      <c r="P1681">
        <v>-9.4964155982901199E-2</v>
      </c>
      <c r="Q1681">
        <v>4.0095290297676098E-2</v>
      </c>
      <c r="R1681">
        <v>0.99802469275179495</v>
      </c>
      <c r="S1681" t="s">
        <v>5977</v>
      </c>
      <c r="T1681" t="s">
        <v>8590</v>
      </c>
      <c r="U1681" t="s">
        <v>8590</v>
      </c>
      <c r="V1681" t="s">
        <v>8590</v>
      </c>
      <c r="W1681">
        <v>19</v>
      </c>
      <c r="X1681" t="s">
        <v>10271</v>
      </c>
      <c r="Y1681">
        <v>0.3155774157822695</v>
      </c>
      <c r="Z1681" t="str">
        <f>HYPERLINK("Melting_Curves/meltCurve_sp_Q13418_ILK_HUMAN_.pdf", "Melting_Curves/meltCurve_sp_Q13418_ILK_HUMAN_.pdf")</f>
        <v>Melting_Curves/meltCurve_sp_Q13418_ILK_HUMAN_.pdf</v>
      </c>
      <c r="AA1681" t="s">
        <v>14537</v>
      </c>
      <c r="AB1681" t="s">
        <v>18765</v>
      </c>
    </row>
    <row r="1682" spans="1:28" x14ac:dyDescent="0.25">
      <c r="A1682" t="s">
        <v>1686</v>
      </c>
      <c r="B1682">
        <v>0.99876560204751996</v>
      </c>
      <c r="C1682">
        <v>0.94499015620424498</v>
      </c>
      <c r="D1682">
        <v>0.77921523508579105</v>
      </c>
      <c r="E1682">
        <v>0.63196449988745396</v>
      </c>
      <c r="F1682">
        <v>0.44636230879114602</v>
      </c>
      <c r="G1682">
        <v>0.25219985329562</v>
      </c>
      <c r="H1682">
        <v>0.160293210953834</v>
      </c>
      <c r="I1682">
        <v>0.12779473913918599</v>
      </c>
      <c r="J1682">
        <v>0.12571891165059099</v>
      </c>
      <c r="K1682">
        <v>0.10192041176033401</v>
      </c>
      <c r="L1682">
        <v>660.04304666693099</v>
      </c>
      <c r="M1682">
        <v>12.8849945355371</v>
      </c>
      <c r="N1682">
        <v>51.816555310010301</v>
      </c>
      <c r="O1682">
        <v>50.038886802109303</v>
      </c>
      <c r="P1682">
        <v>-5.9987810080866399E-2</v>
      </c>
      <c r="Q1682">
        <v>6.8319206554856904E-2</v>
      </c>
      <c r="R1682">
        <v>0.996244141518145</v>
      </c>
      <c r="S1682" t="s">
        <v>5978</v>
      </c>
      <c r="T1682" t="s">
        <v>8590</v>
      </c>
      <c r="U1682" t="s">
        <v>8590</v>
      </c>
      <c r="V1682" t="s">
        <v>8590</v>
      </c>
      <c r="W1682">
        <v>11</v>
      </c>
      <c r="X1682" t="s">
        <v>10272</v>
      </c>
      <c r="Y1682">
        <v>0.44400088545130301</v>
      </c>
      <c r="Z1682" t="str">
        <f>HYPERLINK("Melting_Curves/meltCurve_sp_Q13423_NNTM_HUMAN_.pdf", "Melting_Curves/meltCurve_sp_Q13423_NNTM_HUMAN_.pdf")</f>
        <v>Melting_Curves/meltCurve_sp_Q13423_NNTM_HUMAN_.pdf</v>
      </c>
      <c r="AA1682" t="s">
        <v>14538</v>
      </c>
      <c r="AB1682" t="s">
        <v>18766</v>
      </c>
    </row>
    <row r="1683" spans="1:28" x14ac:dyDescent="0.25">
      <c r="A1683" t="s">
        <v>1687</v>
      </c>
      <c r="B1683">
        <v>0.99876560204751996</v>
      </c>
      <c r="C1683">
        <v>1.0082449783991201</v>
      </c>
      <c r="D1683">
        <v>0.89077589456792095</v>
      </c>
      <c r="E1683">
        <v>0.831535131841039</v>
      </c>
      <c r="F1683">
        <v>0.56690248266874499</v>
      </c>
      <c r="G1683">
        <v>0.21421012157118999</v>
      </c>
      <c r="H1683">
        <v>0.10285888453735</v>
      </c>
      <c r="I1683">
        <v>6.2154405656869499E-2</v>
      </c>
      <c r="J1683">
        <v>5.8881602664167899E-2</v>
      </c>
      <c r="K1683">
        <v>7.0086126206644603E-2</v>
      </c>
      <c r="L1683">
        <v>1168.3805059209899</v>
      </c>
      <c r="M1683">
        <v>21.919935892982199</v>
      </c>
      <c r="N1683">
        <v>53.5458253507352</v>
      </c>
      <c r="O1683">
        <v>52.864508680811497</v>
      </c>
      <c r="P1683">
        <v>-9.8743131992837699E-2</v>
      </c>
      <c r="Q1683">
        <v>4.7462740150754502E-2</v>
      </c>
      <c r="R1683">
        <v>0.99508944761506102</v>
      </c>
      <c r="S1683" t="s">
        <v>5979</v>
      </c>
      <c r="T1683" t="s">
        <v>8590</v>
      </c>
      <c r="U1683" t="s">
        <v>8590</v>
      </c>
      <c r="V1683" t="s">
        <v>8590</v>
      </c>
      <c r="W1683">
        <v>4</v>
      </c>
      <c r="X1683" t="s">
        <v>10273</v>
      </c>
      <c r="Y1683">
        <v>0.48097942261438209</v>
      </c>
      <c r="Z1683" t="str">
        <f>HYPERLINK("Melting_Curves/meltCurve_sp_Q13424_SNTA1_HUMAN_.pdf", "Melting_Curves/meltCurve_sp_Q13424_SNTA1_HUMAN_.pdf")</f>
        <v>Melting_Curves/meltCurve_sp_Q13424_SNTA1_HUMAN_.pdf</v>
      </c>
      <c r="AA1683" t="s">
        <v>14539</v>
      </c>
      <c r="AB1683" t="s">
        <v>18767</v>
      </c>
    </row>
    <row r="1684" spans="1:28" x14ac:dyDescent="0.25">
      <c r="A1684" t="s">
        <v>1688</v>
      </c>
      <c r="B1684">
        <v>0.99876560204751996</v>
      </c>
      <c r="C1684">
        <v>1.0016549190253801</v>
      </c>
      <c r="D1684">
        <v>0.96124705919268905</v>
      </c>
      <c r="E1684">
        <v>0.81415425597719004</v>
      </c>
      <c r="F1684">
        <v>0.70072644518499605</v>
      </c>
      <c r="G1684">
        <v>0.59924055629410899</v>
      </c>
      <c r="H1684">
        <v>0.41096108687143201</v>
      </c>
      <c r="I1684">
        <v>0.35893605442292897</v>
      </c>
      <c r="J1684">
        <v>0.35230607032556099</v>
      </c>
      <c r="K1684">
        <v>0.29598472539700998</v>
      </c>
      <c r="L1684">
        <v>667.26692835695701</v>
      </c>
      <c r="M1684">
        <v>12.0691557662451</v>
      </c>
      <c r="N1684">
        <v>58.644211665377</v>
      </c>
      <c r="O1684">
        <v>53.834795918967799</v>
      </c>
      <c r="P1684">
        <v>-4.2076407788471201E-2</v>
      </c>
      <c r="Q1684">
        <v>0.24944541439779799</v>
      </c>
      <c r="R1684">
        <v>0.99334151320209696</v>
      </c>
      <c r="S1684" t="s">
        <v>5980</v>
      </c>
      <c r="T1684" t="s">
        <v>8590</v>
      </c>
      <c r="U1684" t="s">
        <v>8590</v>
      </c>
      <c r="V1684" t="s">
        <v>8590</v>
      </c>
      <c r="W1684">
        <v>3</v>
      </c>
      <c r="X1684" t="s">
        <v>10274</v>
      </c>
      <c r="Y1684">
        <v>0.64881646380263058</v>
      </c>
      <c r="Z1684" t="str">
        <f>HYPERLINK("Melting_Curves/meltCurve_sp_Q13426_2_XRCC4_HUMAN_.pdf", "Melting_Curves/meltCurve_sp_Q13426_2_XRCC4_HUMAN_.pdf")</f>
        <v>Melting_Curves/meltCurve_sp_Q13426_2_XRCC4_HUMAN_.pdf</v>
      </c>
      <c r="AA1684" t="s">
        <v>14540</v>
      </c>
      <c r="AB1684" t="s">
        <v>18768</v>
      </c>
    </row>
    <row r="1685" spans="1:28" x14ac:dyDescent="0.25">
      <c r="A1685" t="s">
        <v>1689</v>
      </c>
      <c r="B1685">
        <v>0.99876560204751996</v>
      </c>
      <c r="C1685">
        <v>0.93535070438648504</v>
      </c>
      <c r="D1685">
        <v>1.0481638375125599</v>
      </c>
      <c r="E1685">
        <v>0.81069046438049497</v>
      </c>
      <c r="F1685">
        <v>0.75449190442953995</v>
      </c>
      <c r="G1685">
        <v>0.57247805293399201</v>
      </c>
      <c r="H1685">
        <v>0.45618937806974202</v>
      </c>
      <c r="I1685">
        <v>0.39479031740020798</v>
      </c>
      <c r="J1685">
        <v>0.50180975395805205</v>
      </c>
      <c r="K1685">
        <v>0.50869047043023197</v>
      </c>
      <c r="L1685">
        <v>1070.9820948080101</v>
      </c>
      <c r="M1685">
        <v>20.2709380313762</v>
      </c>
      <c r="N1685">
        <v>60.037106599843803</v>
      </c>
      <c r="O1685">
        <v>52.327257498062501</v>
      </c>
      <c r="P1685">
        <v>-5.2678477101189898E-2</v>
      </c>
      <c r="Q1685">
        <v>0.45608132773187199</v>
      </c>
      <c r="R1685">
        <v>0.95291893707753295</v>
      </c>
      <c r="S1685" t="s">
        <v>5981</v>
      </c>
      <c r="T1685" t="s">
        <v>8590</v>
      </c>
      <c r="U1685" t="s">
        <v>8590</v>
      </c>
      <c r="V1685" t="s">
        <v>8590</v>
      </c>
      <c r="W1685">
        <v>3</v>
      </c>
      <c r="X1685" t="s">
        <v>10275</v>
      </c>
      <c r="Y1685">
        <v>0.69607737139273884</v>
      </c>
      <c r="Z1685" t="str">
        <f>HYPERLINK("Melting_Curves/meltCurve_sp_Q13427_2_PPIG_HUMAN_.pdf", "Melting_Curves/meltCurve_sp_Q13427_2_PPIG_HUMAN_.pdf")</f>
        <v>Melting_Curves/meltCurve_sp_Q13427_2_PPIG_HUMAN_.pdf</v>
      </c>
      <c r="AA1685" t="s">
        <v>14541</v>
      </c>
      <c r="AB1685" t="s">
        <v>18769</v>
      </c>
    </row>
    <row r="1686" spans="1:28" x14ac:dyDescent="0.25">
      <c r="A1686" t="s">
        <v>1690</v>
      </c>
      <c r="B1686">
        <v>0.99876560204751996</v>
      </c>
      <c r="C1686">
        <v>0.97578846788509799</v>
      </c>
      <c r="D1686">
        <v>1.11970762980711</v>
      </c>
      <c r="E1686">
        <v>0.86667140322801905</v>
      </c>
      <c r="F1686">
        <v>0.95433660385127905</v>
      </c>
      <c r="G1686">
        <v>0.79858861549514903</v>
      </c>
      <c r="H1686">
        <v>0.74770214437275095</v>
      </c>
      <c r="I1686">
        <v>0.90881285084704699</v>
      </c>
      <c r="J1686">
        <v>1.16771540049735</v>
      </c>
      <c r="K1686">
        <v>1.23331576356565</v>
      </c>
      <c r="L1686">
        <v>15000</v>
      </c>
      <c r="M1686">
        <v>224.81826229773301</v>
      </c>
      <c r="O1686">
        <v>66.715279187133305</v>
      </c>
      <c r="P1686">
        <v>0.19657695756970101</v>
      </c>
      <c r="Q1686">
        <v>1.2333384552249</v>
      </c>
      <c r="R1686">
        <v>0.34424497121877501</v>
      </c>
      <c r="S1686" t="s">
        <v>5982</v>
      </c>
      <c r="T1686" t="s">
        <v>8590</v>
      </c>
      <c r="U1686" t="s">
        <v>8590</v>
      </c>
      <c r="V1686" t="s">
        <v>8590</v>
      </c>
      <c r="W1686">
        <v>27</v>
      </c>
      <c r="X1686" t="s">
        <v>10276</v>
      </c>
      <c r="Y1686">
        <v>1.0254736085123151</v>
      </c>
      <c r="Z1686" t="str">
        <f>HYPERLINK("Melting_Curves/meltCurve_sp_Q13428_4_TCOF_HUMAN_.pdf", "Melting_Curves/meltCurve_sp_Q13428_4_TCOF_HUMAN_.pdf")</f>
        <v>Melting_Curves/meltCurve_sp_Q13428_4_TCOF_HUMAN_.pdf</v>
      </c>
      <c r="AA1686" t="s">
        <v>14542</v>
      </c>
      <c r="AB1686" t="s">
        <v>18770</v>
      </c>
    </row>
    <row r="1687" spans="1:28" x14ac:dyDescent="0.25">
      <c r="A1687" t="s">
        <v>1691</v>
      </c>
      <c r="B1687">
        <v>0.99876560204751996</v>
      </c>
      <c r="C1687">
        <v>1.00504802598483</v>
      </c>
      <c r="D1687">
        <v>0.99707864412107094</v>
      </c>
      <c r="E1687">
        <v>0.83925834096549401</v>
      </c>
      <c r="F1687">
        <v>0.71302211168723195</v>
      </c>
      <c r="G1687">
        <v>0.51504301898603699</v>
      </c>
      <c r="H1687">
        <v>0.44386131862245398</v>
      </c>
      <c r="I1687">
        <v>0.39687154493507798</v>
      </c>
      <c r="J1687">
        <v>0.50524655254299899</v>
      </c>
      <c r="K1687">
        <v>0.45574746214620798</v>
      </c>
      <c r="L1687">
        <v>1215.8210567691301</v>
      </c>
      <c r="M1687">
        <v>23.170289256348902</v>
      </c>
      <c r="N1687">
        <v>57.897906818739898</v>
      </c>
      <c r="O1687">
        <v>52.087106130196801</v>
      </c>
      <c r="P1687">
        <v>-6.1948958279869598E-2</v>
      </c>
      <c r="Q1687">
        <v>0.442961962460586</v>
      </c>
      <c r="R1687">
        <v>0.98513733581341201</v>
      </c>
      <c r="S1687" t="s">
        <v>5983</v>
      </c>
      <c r="T1687" t="s">
        <v>8590</v>
      </c>
      <c r="U1687" t="s">
        <v>8590</v>
      </c>
      <c r="V1687" t="s">
        <v>8590</v>
      </c>
      <c r="W1687">
        <v>17</v>
      </c>
      <c r="X1687" t="s">
        <v>10277</v>
      </c>
      <c r="Y1687">
        <v>0.68045811753968399</v>
      </c>
      <c r="Z1687" t="str">
        <f>HYPERLINK("Melting_Curves/meltCurve_sp_Q13435_SF3B2_HUMAN_.pdf", "Melting_Curves/meltCurve_sp_Q13435_SF3B2_HUMAN_.pdf")</f>
        <v>Melting_Curves/meltCurve_sp_Q13435_SF3B2_HUMAN_.pdf</v>
      </c>
      <c r="AA1687" t="s">
        <v>14543</v>
      </c>
      <c r="AB1687" t="s">
        <v>18771</v>
      </c>
    </row>
    <row r="1688" spans="1:28" x14ac:dyDescent="0.25">
      <c r="A1688" t="s">
        <v>1692</v>
      </c>
      <c r="B1688">
        <v>0.99876560204751996</v>
      </c>
      <c r="C1688">
        <v>0.87643517448157005</v>
      </c>
      <c r="D1688">
        <v>1.01429176878764</v>
      </c>
      <c r="E1688">
        <v>0.88511123368804701</v>
      </c>
      <c r="F1688">
        <v>0.82755272776452404</v>
      </c>
      <c r="G1688">
        <v>0.54536034695302804</v>
      </c>
      <c r="H1688">
        <v>0.61654561482639803</v>
      </c>
      <c r="I1688">
        <v>0.43875729136511799</v>
      </c>
      <c r="J1688">
        <v>0.62906823752211705</v>
      </c>
      <c r="K1688">
        <v>0.58838460141222204</v>
      </c>
      <c r="L1688">
        <v>1575.8612605584599</v>
      </c>
      <c r="M1688">
        <v>29.709184372996202</v>
      </c>
      <c r="O1688">
        <v>52.804317310479597</v>
      </c>
      <c r="P1688">
        <v>-6.2528635754626402E-2</v>
      </c>
      <c r="Q1688">
        <v>0.55545606938749303</v>
      </c>
      <c r="R1688">
        <v>0.871328528201883</v>
      </c>
      <c r="S1688" t="s">
        <v>5984</v>
      </c>
      <c r="T1688" t="s">
        <v>8590</v>
      </c>
      <c r="U1688" t="s">
        <v>8590</v>
      </c>
      <c r="V1688" t="s">
        <v>8590</v>
      </c>
      <c r="W1688">
        <v>2</v>
      </c>
      <c r="X1688" t="s">
        <v>10278</v>
      </c>
      <c r="Y1688">
        <v>0.75166754531211111</v>
      </c>
      <c r="Z1688" t="str">
        <f>HYPERLINK("Melting_Curves/meltCurve_sp_Q13442_HAP28_HUMAN_.pdf", "Melting_Curves/meltCurve_sp_Q13442_HAP28_HUMAN_.pdf")</f>
        <v>Melting_Curves/meltCurve_sp_Q13442_HAP28_HUMAN_.pdf</v>
      </c>
      <c r="AA1688" t="s">
        <v>14544</v>
      </c>
      <c r="AB1688" t="s">
        <v>18772</v>
      </c>
    </row>
    <row r="1689" spans="1:28" x14ac:dyDescent="0.25">
      <c r="A1689" t="s">
        <v>1693</v>
      </c>
      <c r="B1689">
        <v>0.99876560204751996</v>
      </c>
      <c r="C1689">
        <v>0.94975303260074495</v>
      </c>
      <c r="D1689">
        <v>0.88211313736098196</v>
      </c>
      <c r="E1689">
        <v>0.51363174961883495</v>
      </c>
      <c r="F1689">
        <v>0.28095971867464298</v>
      </c>
      <c r="G1689">
        <v>0.15196897206379301</v>
      </c>
      <c r="H1689">
        <v>8.9120362292697597E-2</v>
      </c>
      <c r="I1689">
        <v>7.4977557804133996E-2</v>
      </c>
      <c r="J1689">
        <v>8.2929137586520096E-2</v>
      </c>
      <c r="K1689">
        <v>6.7918670319733296E-2</v>
      </c>
      <c r="L1689">
        <v>1044.6345454854099</v>
      </c>
      <c r="M1689">
        <v>20.948113420324599</v>
      </c>
      <c r="N1689">
        <v>50.245521916230501</v>
      </c>
      <c r="O1689">
        <v>49.419934694284699</v>
      </c>
      <c r="P1689">
        <v>-9.8250870755850206E-2</v>
      </c>
      <c r="Q1689">
        <v>7.2867175532358497E-2</v>
      </c>
      <c r="R1689">
        <v>0.99909255186704404</v>
      </c>
      <c r="S1689" t="s">
        <v>5985</v>
      </c>
      <c r="T1689" t="s">
        <v>8590</v>
      </c>
      <c r="U1689" t="s">
        <v>8590</v>
      </c>
      <c r="V1689" t="s">
        <v>8590</v>
      </c>
      <c r="W1689">
        <v>30</v>
      </c>
      <c r="X1689" t="s">
        <v>10279</v>
      </c>
      <c r="Y1689">
        <v>0.3896109862255171</v>
      </c>
      <c r="Z1689" t="str">
        <f>HYPERLINK("Melting_Curves/meltCurve_sp_Q13451_FKBP5_HUMAN_.pdf", "Melting_Curves/meltCurve_sp_Q13451_FKBP5_HUMAN_.pdf")</f>
        <v>Melting_Curves/meltCurve_sp_Q13451_FKBP5_HUMAN_.pdf</v>
      </c>
      <c r="AA1689" t="s">
        <v>14545</v>
      </c>
      <c r="AB1689" t="s">
        <v>18773</v>
      </c>
    </row>
    <row r="1690" spans="1:28" x14ac:dyDescent="0.25">
      <c r="A1690" t="s">
        <v>1694</v>
      </c>
      <c r="B1690">
        <v>0.99876560204751996</v>
      </c>
      <c r="C1690">
        <v>1.2804730920327001</v>
      </c>
      <c r="D1690">
        <v>1.0229168894405201</v>
      </c>
      <c r="E1690">
        <v>0.92447382256645905</v>
      </c>
      <c r="F1690">
        <v>1.12439214625161</v>
      </c>
      <c r="G1690">
        <v>0.64463556788528797</v>
      </c>
      <c r="H1690">
        <v>0.42987731377885202</v>
      </c>
      <c r="I1690">
        <v>0.68865173822128301</v>
      </c>
      <c r="J1690">
        <v>0.54741975688257105</v>
      </c>
      <c r="K1690">
        <v>0.95206627938670996</v>
      </c>
      <c r="L1690">
        <v>13809.0585580596</v>
      </c>
      <c r="M1690">
        <v>250</v>
      </c>
      <c r="O1690">
        <v>55.232699543420701</v>
      </c>
      <c r="P1690">
        <v>-0.39322139188722199</v>
      </c>
      <c r="Q1690">
        <v>0.65250113693426504</v>
      </c>
      <c r="R1690">
        <v>0.62010525383464998</v>
      </c>
      <c r="S1690" t="s">
        <v>5986</v>
      </c>
      <c r="T1690" t="s">
        <v>8590</v>
      </c>
      <c r="U1690" t="s">
        <v>8590</v>
      </c>
      <c r="V1690" t="s">
        <v>8590</v>
      </c>
      <c r="W1690">
        <v>1</v>
      </c>
      <c r="X1690" t="s">
        <v>10280</v>
      </c>
      <c r="Y1690">
        <v>0.82902062547008692</v>
      </c>
      <c r="Z1690" t="str">
        <f>HYPERLINK("Melting_Curves/meltCurve_sp_Q13459_2_MYO9B_HUMAN_.pdf", "Melting_Curves/meltCurve_sp_Q13459_2_MYO9B_HUMAN_.pdf")</f>
        <v>Melting_Curves/meltCurve_sp_Q13459_2_MYO9B_HUMAN_.pdf</v>
      </c>
      <c r="AA1690" t="s">
        <v>14546</v>
      </c>
      <c r="AB1690" t="s">
        <v>18774</v>
      </c>
    </row>
    <row r="1691" spans="1:28" x14ac:dyDescent="0.25">
      <c r="A1691" t="s">
        <v>1695</v>
      </c>
      <c r="B1691">
        <v>0.99876560204751996</v>
      </c>
      <c r="C1691">
        <v>1.07054962220995</v>
      </c>
      <c r="D1691">
        <v>1.0086986635452999</v>
      </c>
      <c r="E1691">
        <v>0.97614815190892101</v>
      </c>
      <c r="F1691">
        <v>0.49490127808430201</v>
      </c>
      <c r="G1691">
        <v>0.23700826207317399</v>
      </c>
      <c r="H1691">
        <v>0.1526333349051</v>
      </c>
      <c r="I1691">
        <v>0.123505534641302</v>
      </c>
      <c r="J1691">
        <v>0.121182078227976</v>
      </c>
      <c r="K1691">
        <v>9.0116241465750105E-2</v>
      </c>
      <c r="L1691">
        <v>2539.5832388887102</v>
      </c>
      <c r="M1691">
        <v>48.183451581871502</v>
      </c>
      <c r="N1691">
        <v>53.063127999197597</v>
      </c>
      <c r="O1691">
        <v>52.6159958729111</v>
      </c>
      <c r="P1691">
        <v>-0.197277948571009</v>
      </c>
      <c r="Q1691">
        <v>0.13829623336738101</v>
      </c>
      <c r="R1691">
        <v>0.99088024771709404</v>
      </c>
      <c r="S1691" t="s">
        <v>5987</v>
      </c>
      <c r="T1691" t="s">
        <v>8590</v>
      </c>
      <c r="U1691" t="s">
        <v>8590</v>
      </c>
      <c r="V1691" t="s">
        <v>8590</v>
      </c>
      <c r="W1691">
        <v>39</v>
      </c>
      <c r="X1691" t="s">
        <v>10281</v>
      </c>
      <c r="Y1691">
        <v>0.50542997439454784</v>
      </c>
      <c r="Z1691" t="str">
        <f>HYPERLINK("Melting_Curves/meltCurve_sp_Q13464_ROCK1_HUMAN_.pdf", "Melting_Curves/meltCurve_sp_Q13464_ROCK1_HUMAN_.pdf")</f>
        <v>Melting_Curves/meltCurve_sp_Q13464_ROCK1_HUMAN_.pdf</v>
      </c>
      <c r="AA1691" t="s">
        <v>14547</v>
      </c>
      <c r="AB1691" t="s">
        <v>18775</v>
      </c>
    </row>
    <row r="1692" spans="1:28" x14ac:dyDescent="0.25">
      <c r="A1692" t="s">
        <v>1696</v>
      </c>
      <c r="B1692">
        <v>0.99876560204751996</v>
      </c>
      <c r="C1692">
        <v>0.99378696699535496</v>
      </c>
      <c r="D1692">
        <v>1.0698521797430001</v>
      </c>
      <c r="E1692">
        <v>0.96368313282771001</v>
      </c>
      <c r="F1692">
        <v>0.91976942819531504</v>
      </c>
      <c r="G1692">
        <v>0.39081458782219097</v>
      </c>
      <c r="H1692">
        <v>0.16002686445805001</v>
      </c>
      <c r="I1692">
        <v>0.12715218391124</v>
      </c>
      <c r="J1692">
        <v>0.14387057009807699</v>
      </c>
      <c r="K1692">
        <v>0.130508870626245</v>
      </c>
      <c r="L1692">
        <v>2322.9590798190702</v>
      </c>
      <c r="M1692">
        <v>41.6069188773115</v>
      </c>
      <c r="N1692">
        <v>56.248166416673001</v>
      </c>
      <c r="O1692">
        <v>55.702582864757197</v>
      </c>
      <c r="P1692">
        <v>-0.16195052132281201</v>
      </c>
      <c r="Q1692">
        <v>0.13273618780996199</v>
      </c>
      <c r="R1692">
        <v>0.99635126820731201</v>
      </c>
      <c r="S1692" t="s">
        <v>5988</v>
      </c>
      <c r="T1692" t="s">
        <v>8590</v>
      </c>
      <c r="U1692" t="s">
        <v>8590</v>
      </c>
      <c r="V1692" t="s">
        <v>8590</v>
      </c>
      <c r="W1692">
        <v>11</v>
      </c>
      <c r="X1692" t="s">
        <v>10282</v>
      </c>
      <c r="Y1692">
        <v>0.59347143173665629</v>
      </c>
      <c r="Z1692" t="str">
        <f>HYPERLINK("Melting_Curves/meltCurve_sp_Q13492_3_PICAL_HUMAN_.pdf", "Melting_Curves/meltCurve_sp_Q13492_3_PICAL_HUMAN_.pdf")</f>
        <v>Melting_Curves/meltCurve_sp_Q13492_3_PICAL_HUMAN_.pdf</v>
      </c>
      <c r="AA1692" t="s">
        <v>14548</v>
      </c>
      <c r="AB1692" t="s">
        <v>18776</v>
      </c>
    </row>
    <row r="1693" spans="1:28" x14ac:dyDescent="0.25">
      <c r="A1693" t="s">
        <v>1697</v>
      </c>
      <c r="B1693">
        <v>0.99876560204751996</v>
      </c>
      <c r="C1693">
        <v>1.06435683164232</v>
      </c>
      <c r="D1693">
        <v>0.99295579144865198</v>
      </c>
      <c r="E1693">
        <v>0.978719231520774</v>
      </c>
      <c r="F1693">
        <v>0.64152101953855101</v>
      </c>
      <c r="G1693">
        <v>0.41529468645297701</v>
      </c>
      <c r="H1693">
        <v>0.209745551522109</v>
      </c>
      <c r="I1693">
        <v>6.7434552932770703E-2</v>
      </c>
      <c r="J1693">
        <v>4.8315805325568603E-2</v>
      </c>
      <c r="K1693">
        <v>5.4415080763413302E-2</v>
      </c>
      <c r="L1693">
        <v>1065.5287476825699</v>
      </c>
      <c r="M1693">
        <v>19.19920115827</v>
      </c>
      <c r="N1693">
        <v>55.660036356774697</v>
      </c>
      <c r="O1693">
        <v>54.907019864493201</v>
      </c>
      <c r="P1693">
        <v>-8.5052710292749897E-2</v>
      </c>
      <c r="Q1693">
        <v>2.7081976496689E-2</v>
      </c>
      <c r="R1693">
        <v>0.98786018402621201</v>
      </c>
      <c r="S1693" t="s">
        <v>5989</v>
      </c>
      <c r="T1693" t="s">
        <v>8590</v>
      </c>
      <c r="U1693" t="s">
        <v>8590</v>
      </c>
      <c r="V1693" t="s">
        <v>8590</v>
      </c>
      <c r="W1693">
        <v>10</v>
      </c>
      <c r="X1693" t="s">
        <v>10283</v>
      </c>
      <c r="Y1693">
        <v>0.54322928544674609</v>
      </c>
      <c r="Z1693" t="str">
        <f>HYPERLINK("Melting_Curves/meltCurve_sp_Q13496_MTM1_HUMAN_.pdf", "Melting_Curves/meltCurve_sp_Q13496_MTM1_HUMAN_.pdf")</f>
        <v>Melting_Curves/meltCurve_sp_Q13496_MTM1_HUMAN_.pdf</v>
      </c>
      <c r="AA1693" t="s">
        <v>14549</v>
      </c>
      <c r="AB1693" t="s">
        <v>18777</v>
      </c>
    </row>
    <row r="1694" spans="1:28" x14ac:dyDescent="0.25">
      <c r="A1694" t="s">
        <v>1698</v>
      </c>
      <c r="B1694">
        <v>0.99876560204751996</v>
      </c>
      <c r="C1694">
        <v>0.97248136367132398</v>
      </c>
      <c r="D1694">
        <v>0.86604947789482101</v>
      </c>
      <c r="E1694">
        <v>0.76081160412114202</v>
      </c>
      <c r="F1694">
        <v>0.63242818024073999</v>
      </c>
      <c r="G1694">
        <v>0.40988523867174498</v>
      </c>
      <c r="H1694">
        <v>0.267347996825123</v>
      </c>
      <c r="I1694">
        <v>0.248450688246274</v>
      </c>
      <c r="J1694">
        <v>0.25802773638618898</v>
      </c>
      <c r="K1694">
        <v>0.266806033821815</v>
      </c>
      <c r="L1694">
        <v>751.446011132791</v>
      </c>
      <c r="M1694">
        <v>14.2235955621145</v>
      </c>
      <c r="N1694">
        <v>54.912910807309501</v>
      </c>
      <c r="O1694">
        <v>51.819560363818503</v>
      </c>
      <c r="P1694">
        <v>-5.43260211434516E-2</v>
      </c>
      <c r="Q1694">
        <v>0.208413825440732</v>
      </c>
      <c r="R1694">
        <v>0.99144432645546399</v>
      </c>
      <c r="S1694" t="s">
        <v>5990</v>
      </c>
      <c r="T1694" t="s">
        <v>8590</v>
      </c>
      <c r="U1694" t="s">
        <v>8590</v>
      </c>
      <c r="V1694" t="s">
        <v>8590</v>
      </c>
      <c r="W1694">
        <v>3</v>
      </c>
      <c r="X1694" t="s">
        <v>10284</v>
      </c>
      <c r="Y1694">
        <v>0.5654369613373601</v>
      </c>
      <c r="Z1694" t="str">
        <f>HYPERLINK("Melting_Curves/meltCurve_sp_Q13501_2_SQSTM_HUMAN_.pdf", "Melting_Curves/meltCurve_sp_Q13501_2_SQSTM_HUMAN_.pdf")</f>
        <v>Melting_Curves/meltCurve_sp_Q13501_2_SQSTM_HUMAN_.pdf</v>
      </c>
      <c r="AA1694" t="s">
        <v>14550</v>
      </c>
      <c r="AB1694" t="s">
        <v>18778</v>
      </c>
    </row>
    <row r="1695" spans="1:28" x14ac:dyDescent="0.25">
      <c r="A1695" t="s">
        <v>1699</v>
      </c>
      <c r="B1695">
        <v>0.99876560204751996</v>
      </c>
      <c r="C1695">
        <v>0.92575655709573301</v>
      </c>
      <c r="D1695">
        <v>1.10000962244086</v>
      </c>
      <c r="E1695">
        <v>0.92905895414141704</v>
      </c>
      <c r="F1695">
        <v>0.97265369135149105</v>
      </c>
      <c r="G1695">
        <v>0.63987961298511098</v>
      </c>
      <c r="H1695">
        <v>0.55005799323971705</v>
      </c>
      <c r="I1695">
        <v>0.55372267074808901</v>
      </c>
      <c r="J1695">
        <v>0.70083887307146497</v>
      </c>
      <c r="K1695">
        <v>0.67958047912697905</v>
      </c>
      <c r="L1695">
        <v>4145.3277968483799</v>
      </c>
      <c r="M1695">
        <v>75.698237922682694</v>
      </c>
      <c r="O1695">
        <v>54.7230374682836</v>
      </c>
      <c r="P1695">
        <v>-0.13103212484638199</v>
      </c>
      <c r="Q1695">
        <v>0.62110216067940005</v>
      </c>
      <c r="R1695">
        <v>0.89057926103419904</v>
      </c>
      <c r="S1695" t="s">
        <v>5991</v>
      </c>
      <c r="T1695" t="s">
        <v>8590</v>
      </c>
      <c r="U1695" t="s">
        <v>8590</v>
      </c>
      <c r="V1695" t="s">
        <v>8590</v>
      </c>
      <c r="W1695">
        <v>3</v>
      </c>
      <c r="X1695" t="s">
        <v>10285</v>
      </c>
      <c r="Y1695">
        <v>0.80793333987517635</v>
      </c>
      <c r="Z1695" t="str">
        <f>HYPERLINK("Melting_Curves/meltCurve_sp_Q13526_PIN1_HUMAN_.pdf", "Melting_Curves/meltCurve_sp_Q13526_PIN1_HUMAN_.pdf")</f>
        <v>Melting_Curves/meltCurve_sp_Q13526_PIN1_HUMAN_.pdf</v>
      </c>
      <c r="AA1695" t="s">
        <v>14551</v>
      </c>
      <c r="AB1695" t="s">
        <v>18779</v>
      </c>
    </row>
    <row r="1696" spans="1:28" x14ac:dyDescent="0.25">
      <c r="A1696" t="s">
        <v>1700</v>
      </c>
      <c r="B1696">
        <v>0.99876560204751996</v>
      </c>
      <c r="C1696">
        <v>0.94153702492255598</v>
      </c>
      <c r="D1696">
        <v>1.0098741020431401</v>
      </c>
      <c r="E1696">
        <v>0.79610531679494301</v>
      </c>
      <c r="F1696">
        <v>0.69450669803190801</v>
      </c>
      <c r="G1696">
        <v>0.53834352420891296</v>
      </c>
      <c r="H1696">
        <v>0.54489521941934105</v>
      </c>
      <c r="I1696">
        <v>0.74788725072017204</v>
      </c>
      <c r="J1696">
        <v>1.0067921531864701</v>
      </c>
      <c r="K1696">
        <v>0.93787799790202797</v>
      </c>
      <c r="L1696">
        <v>12430.764768700999</v>
      </c>
      <c r="M1696">
        <v>250</v>
      </c>
      <c r="O1696">
        <v>49.719877371228201</v>
      </c>
      <c r="P1696">
        <v>-0.32048239565683201</v>
      </c>
      <c r="Q1696">
        <v>0.74505047495458199</v>
      </c>
      <c r="R1696">
        <v>0.368457759795562</v>
      </c>
      <c r="S1696" t="s">
        <v>5992</v>
      </c>
      <c r="T1696" t="s">
        <v>8590</v>
      </c>
      <c r="U1696" t="s">
        <v>8590</v>
      </c>
      <c r="V1696" t="s">
        <v>8590</v>
      </c>
      <c r="W1696">
        <v>3</v>
      </c>
      <c r="X1696" t="s">
        <v>10286</v>
      </c>
      <c r="Y1696">
        <v>0.82770236576831457</v>
      </c>
      <c r="Z1696" t="str">
        <f>HYPERLINK("Melting_Curves/meltCurve_sp_Q13541_4EBP1_HUMAN_.pdf", "Melting_Curves/meltCurve_sp_Q13541_4EBP1_HUMAN_.pdf")</f>
        <v>Melting_Curves/meltCurve_sp_Q13541_4EBP1_HUMAN_.pdf</v>
      </c>
      <c r="AA1696" t="s">
        <v>14552</v>
      </c>
      <c r="AB1696" t="s">
        <v>18780</v>
      </c>
    </row>
    <row r="1697" spans="1:28" x14ac:dyDescent="0.25">
      <c r="A1697" t="s">
        <v>1701</v>
      </c>
      <c r="B1697">
        <v>0.99876560204751996</v>
      </c>
      <c r="C1697">
        <v>0.83979446555287096</v>
      </c>
      <c r="D1697">
        <v>0.74196735890461596</v>
      </c>
      <c r="E1697">
        <v>0.74977640337517104</v>
      </c>
      <c r="F1697">
        <v>0.52429562651940698</v>
      </c>
      <c r="G1697">
        <v>0.54768434054016701</v>
      </c>
      <c r="H1697">
        <v>0.24881946773062999</v>
      </c>
      <c r="I1697">
        <v>0.102297799074529</v>
      </c>
      <c r="J1697">
        <v>9.2246924895412197E-2</v>
      </c>
      <c r="K1697">
        <v>0</v>
      </c>
      <c r="L1697">
        <v>528.55024367731403</v>
      </c>
      <c r="M1697">
        <v>9.7601405041150802</v>
      </c>
      <c r="N1697">
        <v>54.1539583217249</v>
      </c>
      <c r="O1697">
        <v>52.027346869287598</v>
      </c>
      <c r="P1697">
        <v>-4.6924115158487302E-2</v>
      </c>
      <c r="Q1697">
        <v>0</v>
      </c>
      <c r="R1697">
        <v>0.93752555520835801</v>
      </c>
      <c r="S1697" t="s">
        <v>5993</v>
      </c>
      <c r="T1697" t="s">
        <v>8590</v>
      </c>
      <c r="U1697" t="s">
        <v>8590</v>
      </c>
      <c r="V1697" t="s">
        <v>8590</v>
      </c>
      <c r="W1697">
        <v>1</v>
      </c>
      <c r="X1697" t="s">
        <v>10287</v>
      </c>
      <c r="Y1697">
        <v>0.5018162217962403</v>
      </c>
      <c r="Z1697" t="str">
        <f>HYPERLINK("Melting_Curves/meltCurve_sp_Q13542_4EBP2_HUMAN_.pdf", "Melting_Curves/meltCurve_sp_Q13542_4EBP2_HUMAN_.pdf")</f>
        <v>Melting_Curves/meltCurve_sp_Q13542_4EBP2_HUMAN_.pdf</v>
      </c>
      <c r="AA1697" t="s">
        <v>14553</v>
      </c>
      <c r="AB1697" t="s">
        <v>18781</v>
      </c>
    </row>
    <row r="1698" spans="1:28" x14ac:dyDescent="0.25">
      <c r="A1698" t="s">
        <v>1702</v>
      </c>
      <c r="B1698">
        <v>0.99876560204751996</v>
      </c>
      <c r="C1698">
        <v>0.97267456715299005</v>
      </c>
      <c r="D1698">
        <v>0.98214692851696805</v>
      </c>
      <c r="E1698">
        <v>0.678069859182581</v>
      </c>
      <c r="F1698">
        <v>0.38406814980147902</v>
      </c>
      <c r="G1698">
        <v>0.19202386224361301</v>
      </c>
      <c r="H1698">
        <v>0.104803615020746</v>
      </c>
      <c r="I1698">
        <v>8.7009220631034806E-2</v>
      </c>
      <c r="J1698">
        <v>8.7477621574938699E-2</v>
      </c>
      <c r="K1698">
        <v>7.7523154637528402E-2</v>
      </c>
      <c r="L1698">
        <v>1201.8148274575799</v>
      </c>
      <c r="M1698">
        <v>23.367934534594902</v>
      </c>
      <c r="N1698">
        <v>51.836704396258199</v>
      </c>
      <c r="O1698">
        <v>51.057868869769301</v>
      </c>
      <c r="P1698">
        <v>-0.104838778021906</v>
      </c>
      <c r="Q1698">
        <v>8.3744084301546798E-2</v>
      </c>
      <c r="R1698">
        <v>0.99832488388635998</v>
      </c>
      <c r="S1698" t="s">
        <v>5994</v>
      </c>
      <c r="T1698" t="s">
        <v>8590</v>
      </c>
      <c r="U1698" t="s">
        <v>8590</v>
      </c>
      <c r="V1698" t="s">
        <v>8590</v>
      </c>
      <c r="W1698">
        <v>11</v>
      </c>
      <c r="X1698" t="s">
        <v>10288</v>
      </c>
      <c r="Y1698">
        <v>0.44231752751353931</v>
      </c>
      <c r="Z1698" t="str">
        <f>HYPERLINK("Melting_Curves/meltCurve_sp_Q13546_RIPK1_HUMAN_.pdf", "Melting_Curves/meltCurve_sp_Q13546_RIPK1_HUMAN_.pdf")</f>
        <v>Melting_Curves/meltCurve_sp_Q13546_RIPK1_HUMAN_.pdf</v>
      </c>
      <c r="AA1698" t="s">
        <v>14554</v>
      </c>
      <c r="AB1698" t="s">
        <v>18782</v>
      </c>
    </row>
    <row r="1699" spans="1:28" x14ac:dyDescent="0.25">
      <c r="A1699" t="s">
        <v>1703</v>
      </c>
      <c r="B1699">
        <v>0.99876560204751996</v>
      </c>
      <c r="C1699">
        <v>1.01607736601386</v>
      </c>
      <c r="D1699">
        <v>0.97568833629435203</v>
      </c>
      <c r="E1699">
        <v>0.74015238867394795</v>
      </c>
      <c r="F1699">
        <v>0.32631819033791698</v>
      </c>
      <c r="G1699">
        <v>0.15075890825489599</v>
      </c>
      <c r="H1699">
        <v>9.5133407819007199E-2</v>
      </c>
      <c r="I1699">
        <v>8.4752026724687402E-2</v>
      </c>
      <c r="J1699">
        <v>0.158405814182009</v>
      </c>
      <c r="K1699">
        <v>8.0420522893356397E-2</v>
      </c>
      <c r="L1699">
        <v>1736.074295654</v>
      </c>
      <c r="M1699">
        <v>33.845894979043003</v>
      </c>
      <c r="N1699">
        <v>51.658231933654903</v>
      </c>
      <c r="O1699">
        <v>51.115401461819403</v>
      </c>
      <c r="P1699">
        <v>-0.147943676840366</v>
      </c>
      <c r="Q1699">
        <v>0.106281743485797</v>
      </c>
      <c r="R1699">
        <v>0.99699367932775396</v>
      </c>
      <c r="S1699" t="s">
        <v>5995</v>
      </c>
      <c r="T1699" t="s">
        <v>8590</v>
      </c>
      <c r="U1699" t="s">
        <v>8590</v>
      </c>
      <c r="V1699" t="s">
        <v>8590</v>
      </c>
      <c r="W1699">
        <v>3</v>
      </c>
      <c r="X1699" t="s">
        <v>10289</v>
      </c>
      <c r="Y1699">
        <v>0.44715577115638661</v>
      </c>
      <c r="Z1699" t="str">
        <f>HYPERLINK("Melting_Curves/meltCurve_sp_Q13547_HDAC1_HUMAN_.pdf", "Melting_Curves/meltCurve_sp_Q13547_HDAC1_HUMAN_.pdf")</f>
        <v>Melting_Curves/meltCurve_sp_Q13547_HDAC1_HUMAN_.pdf</v>
      </c>
      <c r="AA1699" t="s">
        <v>14555</v>
      </c>
      <c r="AB1699" t="s">
        <v>18783</v>
      </c>
    </row>
    <row r="1700" spans="1:28" x14ac:dyDescent="0.25">
      <c r="A1700" t="s">
        <v>1704</v>
      </c>
      <c r="B1700">
        <v>0.99876560204751996</v>
      </c>
      <c r="C1700">
        <v>1.3376166078787</v>
      </c>
      <c r="D1700">
        <v>1.16491456300278</v>
      </c>
      <c r="E1700">
        <v>1.1112722634622101</v>
      </c>
      <c r="F1700">
        <v>0.58093276874002397</v>
      </c>
      <c r="G1700">
        <v>9.5870326552462498E-2</v>
      </c>
      <c r="H1700">
        <v>9.2803521379067999E-2</v>
      </c>
      <c r="I1700">
        <v>0</v>
      </c>
      <c r="J1700">
        <v>0</v>
      </c>
      <c r="K1700">
        <v>0</v>
      </c>
      <c r="L1700">
        <v>13263.7504817136</v>
      </c>
      <c r="M1700">
        <v>250</v>
      </c>
      <c r="N1700">
        <v>53.071659963919302</v>
      </c>
      <c r="O1700">
        <v>53.051606551120898</v>
      </c>
      <c r="P1700">
        <v>-1.13364290736179</v>
      </c>
      <c r="Q1700">
        <v>3.7734757510444E-2</v>
      </c>
      <c r="R1700">
        <v>0.94210895806716599</v>
      </c>
      <c r="S1700" t="s">
        <v>5996</v>
      </c>
      <c r="T1700" t="s">
        <v>8590</v>
      </c>
      <c r="U1700" t="s">
        <v>8590</v>
      </c>
      <c r="V1700" t="s">
        <v>8590</v>
      </c>
      <c r="W1700">
        <v>6</v>
      </c>
      <c r="X1700" t="s">
        <v>10290</v>
      </c>
      <c r="Y1700">
        <v>0.45657017453152599</v>
      </c>
      <c r="Z1700" t="str">
        <f>HYPERLINK("Melting_Curves/meltCurve_sp_Q13555_10_KCC2G_HUMAN_.pdf", "Melting_Curves/meltCurve_sp_Q13555_10_KCC2G_HUMAN_.pdf")</f>
        <v>Melting_Curves/meltCurve_sp_Q13555_10_KCC2G_HUMAN_.pdf</v>
      </c>
      <c r="AA1700" t="s">
        <v>14556</v>
      </c>
      <c r="AB1700" t="s">
        <v>18784</v>
      </c>
    </row>
    <row r="1701" spans="1:28" x14ac:dyDescent="0.25">
      <c r="A1701" t="s">
        <v>1705</v>
      </c>
      <c r="B1701">
        <v>0.99876560204751996</v>
      </c>
      <c r="C1701">
        <v>0.92931178101013501</v>
      </c>
      <c r="D1701">
        <v>0.968932043880945</v>
      </c>
      <c r="E1701">
        <v>0.80184794824666195</v>
      </c>
      <c r="F1701">
        <v>0.71039618157381301</v>
      </c>
      <c r="G1701">
        <v>0.45911642245369899</v>
      </c>
      <c r="H1701">
        <v>0.184152875895159</v>
      </c>
      <c r="I1701">
        <v>0.109142598821678</v>
      </c>
      <c r="J1701">
        <v>0.134565037799489</v>
      </c>
      <c r="K1701">
        <v>0.12526057531481799</v>
      </c>
      <c r="L1701">
        <v>869.03799609636997</v>
      </c>
      <c r="M1701">
        <v>15.7210725986246</v>
      </c>
      <c r="N1701">
        <v>55.704233733958702</v>
      </c>
      <c r="O1701">
        <v>54.407301811403102</v>
      </c>
      <c r="P1701">
        <v>-6.8154809280930706E-2</v>
      </c>
      <c r="Q1701">
        <v>5.66018561393479E-2</v>
      </c>
      <c r="R1701">
        <v>0.98873016484368104</v>
      </c>
      <c r="S1701" t="s">
        <v>5997</v>
      </c>
      <c r="T1701" t="s">
        <v>8590</v>
      </c>
      <c r="U1701" t="s">
        <v>8590</v>
      </c>
      <c r="V1701" t="s">
        <v>8590</v>
      </c>
      <c r="W1701">
        <v>16</v>
      </c>
      <c r="X1701" t="s">
        <v>10291</v>
      </c>
      <c r="Y1701">
        <v>0.55402315747274689</v>
      </c>
      <c r="Z1701" t="str">
        <f>HYPERLINK("Melting_Curves/meltCurve_sp_Q13557_8_KCC2D_HUMAN_.pdf", "Melting_Curves/meltCurve_sp_Q13557_8_KCC2D_HUMAN_.pdf")</f>
        <v>Melting_Curves/meltCurve_sp_Q13557_8_KCC2D_HUMAN_.pdf</v>
      </c>
      <c r="AA1701" t="s">
        <v>14557</v>
      </c>
      <c r="AB1701" t="s">
        <v>18785</v>
      </c>
    </row>
    <row r="1702" spans="1:28" x14ac:dyDescent="0.25">
      <c r="A1702" t="s">
        <v>1706</v>
      </c>
      <c r="B1702">
        <v>0.99876560204751996</v>
      </c>
      <c r="C1702">
        <v>1.09758502875993</v>
      </c>
      <c r="D1702">
        <v>1.0460583746551899</v>
      </c>
      <c r="E1702">
        <v>0.96570336380453903</v>
      </c>
      <c r="F1702">
        <v>0.87915096818323502</v>
      </c>
      <c r="G1702">
        <v>0.61517229823493302</v>
      </c>
      <c r="H1702">
        <v>0.44750915796504798</v>
      </c>
      <c r="I1702">
        <v>0.40520080106825501</v>
      </c>
      <c r="J1702">
        <v>0.49963581216474101</v>
      </c>
      <c r="K1702">
        <v>0.47134162530949503</v>
      </c>
      <c r="L1702">
        <v>1751.88273698493</v>
      </c>
      <c r="M1702">
        <v>31.721462675982998</v>
      </c>
      <c r="N1702">
        <v>59.545010476732003</v>
      </c>
      <c r="O1702">
        <v>55.008955525435397</v>
      </c>
      <c r="P1702">
        <v>-7.9307554429271801E-2</v>
      </c>
      <c r="Q1702">
        <v>0.44988627869029402</v>
      </c>
      <c r="R1702">
        <v>0.97372048647376797</v>
      </c>
      <c r="S1702" t="s">
        <v>5998</v>
      </c>
      <c r="T1702" t="s">
        <v>8590</v>
      </c>
      <c r="U1702" t="s">
        <v>8590</v>
      </c>
      <c r="V1702" t="s">
        <v>8590</v>
      </c>
      <c r="W1702">
        <v>21</v>
      </c>
      <c r="X1702" t="s">
        <v>10292</v>
      </c>
      <c r="Y1702">
        <v>0.73239532859851697</v>
      </c>
      <c r="Z1702" t="str">
        <f>HYPERLINK("Melting_Curves/meltCurve_sp_Q13561_DCTN2_HUMAN_.pdf", "Melting_Curves/meltCurve_sp_Q13561_DCTN2_HUMAN_.pdf")</f>
        <v>Melting_Curves/meltCurve_sp_Q13561_DCTN2_HUMAN_.pdf</v>
      </c>
      <c r="AA1702" t="s">
        <v>14558</v>
      </c>
      <c r="AB1702" t="s">
        <v>18786</v>
      </c>
    </row>
    <row r="1703" spans="1:28" x14ac:dyDescent="0.25">
      <c r="A1703" t="s">
        <v>1707</v>
      </c>
      <c r="B1703">
        <v>0.99876560204751996</v>
      </c>
      <c r="C1703">
        <v>0.94085750924492995</v>
      </c>
      <c r="D1703">
        <v>0.849055182676138</v>
      </c>
      <c r="E1703">
        <v>0.54826729542355901</v>
      </c>
      <c r="F1703">
        <v>0.294171135467027</v>
      </c>
      <c r="G1703">
        <v>0.11159004030457099</v>
      </c>
      <c r="H1703">
        <v>0.106338871092968</v>
      </c>
      <c r="I1703">
        <v>8.6859536894332401E-2</v>
      </c>
      <c r="J1703">
        <v>4.8748729359551699E-2</v>
      </c>
      <c r="K1703">
        <v>3.8671780239567299E-2</v>
      </c>
      <c r="L1703">
        <v>945.09295582970003</v>
      </c>
      <c r="M1703">
        <v>18.858974622272999</v>
      </c>
      <c r="N1703">
        <v>50.3909780719869</v>
      </c>
      <c r="O1703">
        <v>49.560421662020801</v>
      </c>
      <c r="P1703">
        <v>-9.0446383917201501E-2</v>
      </c>
      <c r="Q1703">
        <v>4.9285018338335498E-2</v>
      </c>
      <c r="R1703">
        <v>0.99800753443895796</v>
      </c>
      <c r="S1703" t="s">
        <v>5999</v>
      </c>
      <c r="T1703" t="s">
        <v>8590</v>
      </c>
      <c r="U1703" t="s">
        <v>8590</v>
      </c>
      <c r="V1703" t="s">
        <v>8590</v>
      </c>
      <c r="W1703">
        <v>2</v>
      </c>
      <c r="X1703" t="s">
        <v>10293</v>
      </c>
      <c r="Y1703">
        <v>0.38460942601847059</v>
      </c>
      <c r="Z1703" t="str">
        <f>HYPERLINK("Melting_Curves/meltCurve_sp_Q13572_ITPK1_HUMAN_.pdf", "Melting_Curves/meltCurve_sp_Q13572_ITPK1_HUMAN_.pdf")</f>
        <v>Melting_Curves/meltCurve_sp_Q13572_ITPK1_HUMAN_.pdf</v>
      </c>
      <c r="AA1703" t="s">
        <v>14559</v>
      </c>
      <c r="AB1703" t="s">
        <v>18787</v>
      </c>
    </row>
    <row r="1704" spans="1:28" x14ac:dyDescent="0.25">
      <c r="A1704" t="s">
        <v>1708</v>
      </c>
      <c r="B1704">
        <v>0.99876560204751996</v>
      </c>
      <c r="C1704">
        <v>0.91232723801848503</v>
      </c>
      <c r="D1704">
        <v>0.883134738600859</v>
      </c>
      <c r="E1704">
        <v>0.86178409430207903</v>
      </c>
      <c r="F1704">
        <v>0.71831905296736098</v>
      </c>
      <c r="G1704">
        <v>0.57829005181785198</v>
      </c>
      <c r="H1704">
        <v>0.483969702914542</v>
      </c>
      <c r="I1704">
        <v>0.43665265689891503</v>
      </c>
      <c r="J1704">
        <v>0.49538302033644499</v>
      </c>
      <c r="K1704">
        <v>0.428067526523421</v>
      </c>
      <c r="L1704">
        <v>610.29486539899597</v>
      </c>
      <c r="M1704">
        <v>11.414104089940899</v>
      </c>
      <c r="N1704">
        <v>61.6227766175383</v>
      </c>
      <c r="O1704">
        <v>51.906204959227502</v>
      </c>
      <c r="P1704">
        <v>-3.3567056501497397E-2</v>
      </c>
      <c r="Q1704">
        <v>0.38958716529367099</v>
      </c>
      <c r="R1704">
        <v>0.97390039333945</v>
      </c>
      <c r="S1704" t="s">
        <v>6000</v>
      </c>
      <c r="T1704" t="s">
        <v>8590</v>
      </c>
      <c r="U1704" t="s">
        <v>8590</v>
      </c>
      <c r="V1704" t="s">
        <v>8590</v>
      </c>
      <c r="W1704">
        <v>14</v>
      </c>
      <c r="X1704" t="s">
        <v>10294</v>
      </c>
      <c r="Y1704">
        <v>0.68121462232486896</v>
      </c>
      <c r="Z1704" t="str">
        <f>HYPERLINK("Melting_Curves/meltCurve_sp_Q13573_SNW1_HUMAN_.pdf", "Melting_Curves/meltCurve_sp_Q13573_SNW1_HUMAN_.pdf")</f>
        <v>Melting_Curves/meltCurve_sp_Q13573_SNW1_HUMAN_.pdf</v>
      </c>
      <c r="AA1704" t="s">
        <v>14560</v>
      </c>
      <c r="AB1704" t="s">
        <v>18788</v>
      </c>
    </row>
    <row r="1705" spans="1:28" x14ac:dyDescent="0.25">
      <c r="A1705" t="s">
        <v>1709</v>
      </c>
      <c r="B1705">
        <v>0.99876560204751996</v>
      </c>
      <c r="C1705">
        <v>0.76795579329952701</v>
      </c>
      <c r="D1705">
        <v>0.523687071871905</v>
      </c>
      <c r="E1705">
        <v>0.35979997635422201</v>
      </c>
      <c r="F1705">
        <v>0.19767048931203299</v>
      </c>
      <c r="G1705">
        <v>8.45537356761588E-2</v>
      </c>
      <c r="H1705">
        <v>4.6005095614004399E-2</v>
      </c>
      <c r="I1705">
        <v>3.5078493754908902E-2</v>
      </c>
      <c r="J1705">
        <v>3.1339689269109898E-2</v>
      </c>
      <c r="K1705">
        <v>2.50202836322692E-2</v>
      </c>
      <c r="L1705">
        <v>640.434576551943</v>
      </c>
      <c r="M1705">
        <v>13.634478148557299</v>
      </c>
      <c r="N1705">
        <v>47.067183959460003</v>
      </c>
      <c r="O1705">
        <v>45.9958196354184</v>
      </c>
      <c r="P1705">
        <v>-7.3107156072368798E-2</v>
      </c>
      <c r="Q1705">
        <v>1.3638839396267E-2</v>
      </c>
      <c r="R1705">
        <v>0.98859551529541101</v>
      </c>
      <c r="S1705" t="s">
        <v>6001</v>
      </c>
      <c r="T1705" t="s">
        <v>8590</v>
      </c>
      <c r="U1705" t="s">
        <v>8590</v>
      </c>
      <c r="V1705" t="s">
        <v>8590</v>
      </c>
      <c r="W1705">
        <v>71</v>
      </c>
      <c r="X1705" t="s">
        <v>10295</v>
      </c>
      <c r="Y1705">
        <v>0.27540400926608138</v>
      </c>
      <c r="Z1705" t="str">
        <f>HYPERLINK("Melting_Curves/meltCurve_sp_Q13576_IQGA2_HUMAN_.pdf", "Melting_Curves/meltCurve_sp_Q13576_IQGA2_HUMAN_.pdf")</f>
        <v>Melting_Curves/meltCurve_sp_Q13576_IQGA2_HUMAN_.pdf</v>
      </c>
      <c r="AA1705" t="s">
        <v>14561</v>
      </c>
      <c r="AB1705" t="s">
        <v>18789</v>
      </c>
    </row>
    <row r="1706" spans="1:28" x14ac:dyDescent="0.25">
      <c r="A1706" t="s">
        <v>1710</v>
      </c>
      <c r="B1706">
        <v>0.99876560204751996</v>
      </c>
      <c r="C1706">
        <v>0.88045459112581004</v>
      </c>
      <c r="D1706">
        <v>0.88028256595147403</v>
      </c>
      <c r="E1706">
        <v>1.00999337466985</v>
      </c>
      <c r="F1706">
        <v>1.0772721626481701</v>
      </c>
      <c r="G1706">
        <v>0.86126169945652398</v>
      </c>
      <c r="H1706">
        <v>0.87116952007242598</v>
      </c>
      <c r="I1706">
        <v>0.89357604000894197</v>
      </c>
      <c r="J1706">
        <v>1.3188452172218099</v>
      </c>
      <c r="K1706">
        <v>1.3395548223781899</v>
      </c>
      <c r="L1706">
        <v>15000</v>
      </c>
      <c r="M1706">
        <v>226.55072286143201</v>
      </c>
      <c r="O1706">
        <v>66.2051788892621</v>
      </c>
      <c r="P1706">
        <v>0.29101226365648197</v>
      </c>
      <c r="Q1706">
        <v>1.3401713963925801</v>
      </c>
      <c r="R1706">
        <v>0.72435049138934704</v>
      </c>
      <c r="S1706" t="s">
        <v>6002</v>
      </c>
      <c r="T1706" t="s">
        <v>8590</v>
      </c>
      <c r="U1706" t="s">
        <v>8590</v>
      </c>
      <c r="V1706" t="s">
        <v>8590</v>
      </c>
      <c r="W1706">
        <v>4</v>
      </c>
      <c r="X1706" t="s">
        <v>10296</v>
      </c>
      <c r="Y1706">
        <v>1.0429230325185079</v>
      </c>
      <c r="Z1706" t="str">
        <f>HYPERLINK("Melting_Curves/meltCurve_sp_Q13586_STIM1_HUMAN_.pdf", "Melting_Curves/meltCurve_sp_Q13586_STIM1_HUMAN_.pdf")</f>
        <v>Melting_Curves/meltCurve_sp_Q13586_STIM1_HUMAN_.pdf</v>
      </c>
      <c r="AA1706" t="s">
        <v>14562</v>
      </c>
      <c r="AB1706" t="s">
        <v>18790</v>
      </c>
    </row>
    <row r="1707" spans="1:28" x14ac:dyDescent="0.25">
      <c r="A1707" t="s">
        <v>1711</v>
      </c>
      <c r="B1707">
        <v>0.99876560204751996</v>
      </c>
      <c r="C1707">
        <v>0.97075390117990701</v>
      </c>
      <c r="D1707">
        <v>1.06191212236789</v>
      </c>
      <c r="E1707">
        <v>0.84110320709408304</v>
      </c>
      <c r="F1707">
        <v>0.68310001133232201</v>
      </c>
      <c r="G1707">
        <v>0.36372204437761302</v>
      </c>
      <c r="H1707">
        <v>0.29017074662585901</v>
      </c>
      <c r="I1707">
        <v>0.26890620864380399</v>
      </c>
      <c r="J1707">
        <v>0.316299279925708</v>
      </c>
      <c r="K1707">
        <v>0.30012196063574897</v>
      </c>
      <c r="L1707">
        <v>1436.93796646086</v>
      </c>
      <c r="M1707">
        <v>27.0575395950322</v>
      </c>
      <c r="N1707">
        <v>54.810806573700503</v>
      </c>
      <c r="O1707">
        <v>52.819215324102203</v>
      </c>
      <c r="P1707">
        <v>-9.1644645410647096E-2</v>
      </c>
      <c r="Q1707">
        <v>0.28440648882653002</v>
      </c>
      <c r="R1707">
        <v>0.98870894425133105</v>
      </c>
      <c r="S1707" t="s">
        <v>6003</v>
      </c>
      <c r="T1707" t="s">
        <v>8590</v>
      </c>
      <c r="U1707" t="s">
        <v>8590</v>
      </c>
      <c r="V1707" t="s">
        <v>8590</v>
      </c>
      <c r="W1707">
        <v>11</v>
      </c>
      <c r="X1707" t="s">
        <v>10297</v>
      </c>
      <c r="Y1707">
        <v>0.6027194045963078</v>
      </c>
      <c r="Z1707" t="str">
        <f>HYPERLINK("Melting_Curves/meltCurve_sp_Q13596_SNX1_HUMAN_.pdf", "Melting_Curves/meltCurve_sp_Q13596_SNX1_HUMAN_.pdf")</f>
        <v>Melting_Curves/meltCurve_sp_Q13596_SNX1_HUMAN_.pdf</v>
      </c>
      <c r="AA1707" t="s">
        <v>14563</v>
      </c>
      <c r="AB1707" t="s">
        <v>18791</v>
      </c>
    </row>
    <row r="1708" spans="1:28" x14ac:dyDescent="0.25">
      <c r="A1708" t="s">
        <v>1712</v>
      </c>
      <c r="B1708">
        <v>0.99876560204751996</v>
      </c>
      <c r="C1708">
        <v>0.95192330011205595</v>
      </c>
      <c r="D1708">
        <v>0.87696597956371802</v>
      </c>
      <c r="E1708">
        <v>0.87362851274458997</v>
      </c>
      <c r="F1708">
        <v>0.67517262979641501</v>
      </c>
      <c r="G1708">
        <v>0.48858284107342698</v>
      </c>
      <c r="H1708">
        <v>0.18910402436145499</v>
      </c>
      <c r="I1708">
        <v>6.5826040460615007E-2</v>
      </c>
      <c r="J1708">
        <v>2.7437483442291299E-2</v>
      </c>
      <c r="K1708">
        <v>2.09451631223402E-2</v>
      </c>
      <c r="L1708">
        <v>899.99780107796096</v>
      </c>
      <c r="M1708">
        <v>16.125138682691201</v>
      </c>
      <c r="N1708">
        <v>55.813343671858597</v>
      </c>
      <c r="O1708">
        <v>54.976120917050402</v>
      </c>
      <c r="P1708">
        <v>-7.3333500388512898E-2</v>
      </c>
      <c r="Q1708">
        <v>0</v>
      </c>
      <c r="R1708">
        <v>0.98673291364476301</v>
      </c>
      <c r="S1708" t="s">
        <v>6004</v>
      </c>
      <c r="T1708" t="s">
        <v>8590</v>
      </c>
      <c r="U1708" t="s">
        <v>8590</v>
      </c>
      <c r="V1708" t="s">
        <v>8590</v>
      </c>
      <c r="W1708">
        <v>2</v>
      </c>
      <c r="X1708" t="s">
        <v>10298</v>
      </c>
      <c r="Y1708">
        <v>0.54395706650277953</v>
      </c>
      <c r="Z1708" t="str">
        <f>HYPERLINK("Melting_Curves/meltCurve_sp_Q13610_PWP1_HUMAN_.pdf", "Melting_Curves/meltCurve_sp_Q13610_PWP1_HUMAN_.pdf")</f>
        <v>Melting_Curves/meltCurve_sp_Q13610_PWP1_HUMAN_.pdf</v>
      </c>
      <c r="AA1708" t="s">
        <v>14564</v>
      </c>
      <c r="AB1708" t="s">
        <v>18792</v>
      </c>
    </row>
    <row r="1709" spans="1:28" x14ac:dyDescent="0.25">
      <c r="A1709" t="s">
        <v>1713</v>
      </c>
      <c r="B1709">
        <v>0.99876560204751996</v>
      </c>
      <c r="C1709">
        <v>1.00323902094932</v>
      </c>
      <c r="D1709">
        <v>0.92370207397099502</v>
      </c>
      <c r="E1709">
        <v>0.990230945065801</v>
      </c>
      <c r="F1709">
        <v>0.88237115806963895</v>
      </c>
      <c r="G1709">
        <v>0.67606000514551601</v>
      </c>
      <c r="H1709">
        <v>0.42560813020696497</v>
      </c>
      <c r="I1709">
        <v>0.127953524406164</v>
      </c>
      <c r="J1709">
        <v>6.5121545838945596E-2</v>
      </c>
      <c r="K1709">
        <v>5.5668968579645497E-2</v>
      </c>
      <c r="L1709">
        <v>1181.5955868672299</v>
      </c>
      <c r="M1709">
        <v>19.943034569684201</v>
      </c>
      <c r="N1709">
        <v>59.248535264189101</v>
      </c>
      <c r="O1709">
        <v>58.662456464077799</v>
      </c>
      <c r="P1709">
        <v>-8.4993415285655696E-2</v>
      </c>
      <c r="Q1709">
        <v>0</v>
      </c>
      <c r="R1709">
        <v>0.99003952418307795</v>
      </c>
      <c r="S1709" t="s">
        <v>6005</v>
      </c>
      <c r="T1709" t="s">
        <v>8590</v>
      </c>
      <c r="U1709" t="s">
        <v>8590</v>
      </c>
      <c r="V1709" t="s">
        <v>8590</v>
      </c>
      <c r="W1709">
        <v>27</v>
      </c>
      <c r="X1709" t="s">
        <v>10299</v>
      </c>
      <c r="Y1709">
        <v>0.65132269949228006</v>
      </c>
      <c r="Z1709" t="str">
        <f>HYPERLINK("Melting_Curves/meltCurve_sp_Q13616_CUL1_HUMAN_.pdf", "Melting_Curves/meltCurve_sp_Q13616_CUL1_HUMAN_.pdf")</f>
        <v>Melting_Curves/meltCurve_sp_Q13616_CUL1_HUMAN_.pdf</v>
      </c>
      <c r="AA1709" t="s">
        <v>14565</v>
      </c>
      <c r="AB1709" t="s">
        <v>18793</v>
      </c>
    </row>
    <row r="1710" spans="1:28" x14ac:dyDescent="0.25">
      <c r="A1710" t="s">
        <v>1714</v>
      </c>
      <c r="B1710">
        <v>0.99876560204751996</v>
      </c>
      <c r="C1710">
        <v>1.0536510540145601</v>
      </c>
      <c r="D1710">
        <v>0.91514867708398795</v>
      </c>
      <c r="E1710">
        <v>1.0004611067087199</v>
      </c>
      <c r="F1710">
        <v>0.7182855912717</v>
      </c>
      <c r="G1710">
        <v>0.23192651752510099</v>
      </c>
      <c r="H1710">
        <v>9.9182994443149902E-2</v>
      </c>
      <c r="I1710">
        <v>6.8009821351990504E-2</v>
      </c>
      <c r="J1710">
        <v>6.2399027176122203E-2</v>
      </c>
      <c r="K1710">
        <v>5.1067237547445299E-2</v>
      </c>
      <c r="L1710">
        <v>1866.00075715717</v>
      </c>
      <c r="M1710">
        <v>34.291676409293999</v>
      </c>
      <c r="N1710">
        <v>54.630724037993197</v>
      </c>
      <c r="O1710">
        <v>54.231503108931797</v>
      </c>
      <c r="P1710">
        <v>-0.148095025338491</v>
      </c>
      <c r="Q1710">
        <v>6.3167994682492096E-2</v>
      </c>
      <c r="R1710">
        <v>0.99330846005207996</v>
      </c>
      <c r="S1710" t="s">
        <v>6006</v>
      </c>
      <c r="T1710" t="s">
        <v>8590</v>
      </c>
      <c r="U1710" t="s">
        <v>8590</v>
      </c>
      <c r="V1710" t="s">
        <v>8590</v>
      </c>
      <c r="W1710">
        <v>22</v>
      </c>
      <c r="X1710" t="s">
        <v>10300</v>
      </c>
      <c r="Y1710">
        <v>0.51810182949909356</v>
      </c>
      <c r="Z1710" t="str">
        <f>HYPERLINK("Melting_Curves/meltCurve_sp_Q13617_CUL2_HUMAN_.pdf", "Melting_Curves/meltCurve_sp_Q13617_CUL2_HUMAN_.pdf")</f>
        <v>Melting_Curves/meltCurve_sp_Q13617_CUL2_HUMAN_.pdf</v>
      </c>
      <c r="AA1710" t="s">
        <v>14566</v>
      </c>
      <c r="AB1710" t="s">
        <v>18794</v>
      </c>
    </row>
    <row r="1711" spans="1:28" x14ac:dyDescent="0.25">
      <c r="A1711" t="s">
        <v>1715</v>
      </c>
      <c r="B1711">
        <v>0.99876560204751996</v>
      </c>
      <c r="C1711">
        <v>1.04351168473734</v>
      </c>
      <c r="D1711">
        <v>0.95896737891830697</v>
      </c>
      <c r="E1711">
        <v>1.0683152964623399</v>
      </c>
      <c r="F1711">
        <v>0.97116418442896202</v>
      </c>
      <c r="G1711">
        <v>0.51086590966947798</v>
      </c>
      <c r="H1711">
        <v>0.123992849343426</v>
      </c>
      <c r="I1711">
        <v>9.5731762212509702E-2</v>
      </c>
      <c r="J1711">
        <v>9.4864653602279705E-2</v>
      </c>
      <c r="K1711">
        <v>8.2540659679805103E-2</v>
      </c>
      <c r="L1711">
        <v>2773.6417026323402</v>
      </c>
      <c r="M1711">
        <v>48.809591638257302</v>
      </c>
      <c r="N1711">
        <v>57.058646177151502</v>
      </c>
      <c r="O1711">
        <v>56.730602449909398</v>
      </c>
      <c r="P1711">
        <v>-0.19566904380115699</v>
      </c>
      <c r="Q1711">
        <v>9.0308862886692695E-2</v>
      </c>
      <c r="R1711">
        <v>0.99541352240638903</v>
      </c>
      <c r="S1711" t="s">
        <v>6007</v>
      </c>
      <c r="T1711" t="s">
        <v>8590</v>
      </c>
      <c r="U1711" t="s">
        <v>8590</v>
      </c>
      <c r="V1711" t="s">
        <v>8590</v>
      </c>
      <c r="W1711">
        <v>34</v>
      </c>
      <c r="X1711" t="s">
        <v>10301</v>
      </c>
      <c r="Y1711">
        <v>0.6029044489095331</v>
      </c>
      <c r="Z1711" t="str">
        <f>HYPERLINK("Melting_Curves/meltCurve_sp_Q13618_CUL3_HUMAN_.pdf", "Melting_Curves/meltCurve_sp_Q13618_CUL3_HUMAN_.pdf")</f>
        <v>Melting_Curves/meltCurve_sp_Q13618_CUL3_HUMAN_.pdf</v>
      </c>
      <c r="AA1711" t="s">
        <v>14567</v>
      </c>
      <c r="AB1711" t="s">
        <v>18795</v>
      </c>
    </row>
    <row r="1712" spans="1:28" x14ac:dyDescent="0.25">
      <c r="A1712" t="s">
        <v>1716</v>
      </c>
      <c r="B1712">
        <v>0.99876560204751996</v>
      </c>
      <c r="C1712">
        <v>1.05973388786693</v>
      </c>
      <c r="D1712">
        <v>0.94538982714984399</v>
      </c>
      <c r="E1712">
        <v>0.92742782448470096</v>
      </c>
      <c r="F1712">
        <v>0.58152051972901297</v>
      </c>
      <c r="G1712">
        <v>0.214720580309124</v>
      </c>
      <c r="H1712">
        <v>0.11080826164398699</v>
      </c>
      <c r="I1712">
        <v>8.4418165377961499E-2</v>
      </c>
      <c r="J1712">
        <v>7.8513078040961304E-2</v>
      </c>
      <c r="K1712">
        <v>5.9509430667016E-2</v>
      </c>
      <c r="L1712">
        <v>1596.23843641653</v>
      </c>
      <c r="M1712">
        <v>29.851009887806001</v>
      </c>
      <c r="N1712">
        <v>53.773116862228903</v>
      </c>
      <c r="O1712">
        <v>53.235238459959099</v>
      </c>
      <c r="P1712">
        <v>-0.129445522869687</v>
      </c>
      <c r="Q1712">
        <v>7.6611480788775096E-2</v>
      </c>
      <c r="R1712">
        <v>0.99550948761392899</v>
      </c>
      <c r="S1712" t="s">
        <v>6008</v>
      </c>
      <c r="T1712" t="s">
        <v>8590</v>
      </c>
      <c r="U1712" t="s">
        <v>8590</v>
      </c>
      <c r="V1712" t="s">
        <v>8590</v>
      </c>
      <c r="W1712">
        <v>18</v>
      </c>
      <c r="X1712" t="s">
        <v>10302</v>
      </c>
      <c r="Y1712">
        <v>0.49740629232065647</v>
      </c>
      <c r="Z1712" t="str">
        <f>HYPERLINK("Melting_Curves/meltCurve_sp_Q13619_CUL4A_HUMAN_.pdf", "Melting_Curves/meltCurve_sp_Q13619_CUL4A_HUMAN_.pdf")</f>
        <v>Melting_Curves/meltCurve_sp_Q13619_CUL4A_HUMAN_.pdf</v>
      </c>
      <c r="AA1712" t="s">
        <v>14568</v>
      </c>
      <c r="AB1712" t="s">
        <v>18796</v>
      </c>
    </row>
    <row r="1713" spans="1:28" x14ac:dyDescent="0.25">
      <c r="A1713" t="s">
        <v>1717</v>
      </c>
      <c r="B1713">
        <v>0.99876560204751996</v>
      </c>
      <c r="C1713">
        <v>1.0713738833127799</v>
      </c>
      <c r="D1713">
        <v>0.962946811084468</v>
      </c>
      <c r="E1713">
        <v>0.98094918219884697</v>
      </c>
      <c r="F1713">
        <v>0.80725453912629497</v>
      </c>
      <c r="G1713">
        <v>0.41355933323777799</v>
      </c>
      <c r="H1713">
        <v>0.12283956947175401</v>
      </c>
      <c r="I1713">
        <v>9.6750473554105404E-2</v>
      </c>
      <c r="J1713">
        <v>9.9451617738366901E-2</v>
      </c>
      <c r="K1713">
        <v>8.7752589765308406E-2</v>
      </c>
      <c r="L1713">
        <v>1573.9818666978199</v>
      </c>
      <c r="M1713">
        <v>28.255741375896701</v>
      </c>
      <c r="N1713">
        <v>56.040337837442799</v>
      </c>
      <c r="O1713">
        <v>55.428072779912803</v>
      </c>
      <c r="P1713">
        <v>-0.11752844285292501</v>
      </c>
      <c r="Q1713">
        <v>7.7805662056176297E-2</v>
      </c>
      <c r="R1713">
        <v>0.99521122183725197</v>
      </c>
      <c r="S1713" t="s">
        <v>6009</v>
      </c>
      <c r="T1713" t="s">
        <v>8590</v>
      </c>
      <c r="U1713" t="s">
        <v>8590</v>
      </c>
      <c r="V1713" t="s">
        <v>8590</v>
      </c>
      <c r="W1713">
        <v>19</v>
      </c>
      <c r="X1713" t="s">
        <v>10303</v>
      </c>
      <c r="Y1713">
        <v>0.5674246679687226</v>
      </c>
      <c r="Z1713" t="str">
        <f>HYPERLINK("Melting_Curves/meltCurve_sp_Q13620_1_CUL4B_HUMAN_.pdf", "Melting_Curves/meltCurve_sp_Q13620_1_CUL4B_HUMAN_.pdf")</f>
        <v>Melting_Curves/meltCurve_sp_Q13620_1_CUL4B_HUMAN_.pdf</v>
      </c>
      <c r="AA1713" t="s">
        <v>14569</v>
      </c>
      <c r="AB1713" t="s">
        <v>18797</v>
      </c>
    </row>
    <row r="1714" spans="1:28" x14ac:dyDescent="0.25">
      <c r="A1714" t="s">
        <v>1718</v>
      </c>
      <c r="B1714">
        <v>0.99876560204751996</v>
      </c>
      <c r="C1714">
        <v>1.0263925728533401</v>
      </c>
      <c r="D1714">
        <v>1.0051639279011499</v>
      </c>
      <c r="E1714">
        <v>0.93896057793516896</v>
      </c>
      <c r="F1714">
        <v>0.63962303998585301</v>
      </c>
      <c r="G1714">
        <v>0.21884134021624399</v>
      </c>
      <c r="H1714">
        <v>7.8591287592818304E-2</v>
      </c>
      <c r="I1714">
        <v>5.8322956983504502E-2</v>
      </c>
      <c r="J1714">
        <v>6.02063013280279E-2</v>
      </c>
      <c r="K1714">
        <v>4.5748539029714902E-2</v>
      </c>
      <c r="L1714">
        <v>1636.79739368989</v>
      </c>
      <c r="M1714">
        <v>30.339893309826198</v>
      </c>
      <c r="N1714">
        <v>54.146331873328698</v>
      </c>
      <c r="O1714">
        <v>53.715941317239199</v>
      </c>
      <c r="P1714">
        <v>-0.133804459923832</v>
      </c>
      <c r="Q1714">
        <v>5.2417545555202401E-2</v>
      </c>
      <c r="R1714">
        <v>0.99918929651750299</v>
      </c>
      <c r="S1714" t="s">
        <v>6010</v>
      </c>
      <c r="T1714" t="s">
        <v>8590</v>
      </c>
      <c r="U1714" t="s">
        <v>8590</v>
      </c>
      <c r="V1714" t="s">
        <v>8590</v>
      </c>
      <c r="W1714">
        <v>14</v>
      </c>
      <c r="X1714" t="s">
        <v>10304</v>
      </c>
      <c r="Y1714">
        <v>0.49908864764799182</v>
      </c>
      <c r="Z1714" t="str">
        <f>HYPERLINK("Melting_Curves/meltCurve_sp_Q13630_FCL_HUMAN_.pdf", "Melting_Curves/meltCurve_sp_Q13630_FCL_HUMAN_.pdf")</f>
        <v>Melting_Curves/meltCurve_sp_Q13630_FCL_HUMAN_.pdf</v>
      </c>
      <c r="AA1714" t="s">
        <v>14570</v>
      </c>
      <c r="AB1714" t="s">
        <v>18798</v>
      </c>
    </row>
    <row r="1715" spans="1:28" x14ac:dyDescent="0.25">
      <c r="A1715" t="s">
        <v>1719</v>
      </c>
      <c r="B1715">
        <v>0.99876560204751996</v>
      </c>
      <c r="C1715">
        <v>0.98758403283298302</v>
      </c>
      <c r="D1715">
        <v>0.99279010384059896</v>
      </c>
      <c r="E1715">
        <v>0.97559723634133799</v>
      </c>
      <c r="F1715">
        <v>0.90795089624220504</v>
      </c>
      <c r="G1715">
        <v>0.66897032629414099</v>
      </c>
      <c r="H1715">
        <v>0.59546198179948195</v>
      </c>
      <c r="I1715">
        <v>0.58954402825536201</v>
      </c>
      <c r="J1715">
        <v>0.73857063603164097</v>
      </c>
      <c r="K1715">
        <v>0.73578604613783205</v>
      </c>
      <c r="L1715">
        <v>3523.2100743030401</v>
      </c>
      <c r="M1715">
        <v>65.520665007856906</v>
      </c>
      <c r="O1715">
        <v>53.722475497001497</v>
      </c>
      <c r="P1715">
        <v>-0.102419309661478</v>
      </c>
      <c r="Q1715">
        <v>0.66409270354919903</v>
      </c>
      <c r="R1715">
        <v>0.91721992663745899</v>
      </c>
      <c r="S1715" t="s">
        <v>6011</v>
      </c>
      <c r="T1715" t="s">
        <v>8590</v>
      </c>
      <c r="U1715" t="s">
        <v>8590</v>
      </c>
      <c r="V1715" t="s">
        <v>8590</v>
      </c>
      <c r="W1715">
        <v>12</v>
      </c>
      <c r="X1715" t="s">
        <v>10305</v>
      </c>
      <c r="Y1715">
        <v>0.81876505940131605</v>
      </c>
      <c r="Z1715" t="str">
        <f>HYPERLINK("Melting_Curves/meltCurve_sp_Q13642_1_FHL1_HUMAN_.pdf", "Melting_Curves/meltCurve_sp_Q13642_1_FHL1_HUMAN_.pdf")</f>
        <v>Melting_Curves/meltCurve_sp_Q13642_1_FHL1_HUMAN_.pdf</v>
      </c>
      <c r="AA1715" t="s">
        <v>14571</v>
      </c>
      <c r="AB1715" t="s">
        <v>18799</v>
      </c>
    </row>
    <row r="1716" spans="1:28" x14ac:dyDescent="0.25">
      <c r="A1716" t="s">
        <v>1720</v>
      </c>
      <c r="B1716">
        <v>0.99876560204751996</v>
      </c>
      <c r="C1716">
        <v>0.94324605559796604</v>
      </c>
      <c r="D1716">
        <v>0.82218968315433705</v>
      </c>
      <c r="E1716">
        <v>0.70531262720919796</v>
      </c>
      <c r="F1716">
        <v>0.58475555224306297</v>
      </c>
      <c r="G1716">
        <v>0.16457199007550999</v>
      </c>
      <c r="H1716">
        <v>0.123061655097808</v>
      </c>
      <c r="I1716">
        <v>8.7012303206579003E-2</v>
      </c>
      <c r="J1716">
        <v>0.107844932056333</v>
      </c>
      <c r="K1716">
        <v>0</v>
      </c>
      <c r="L1716">
        <v>750.28260502605599</v>
      </c>
      <c r="M1716">
        <v>14.1856951797697</v>
      </c>
      <c r="N1716">
        <v>52.890092704527099</v>
      </c>
      <c r="O1716">
        <v>51.872320269689702</v>
      </c>
      <c r="P1716">
        <v>-6.8376921260107804E-2</v>
      </c>
      <c r="Q1716">
        <v>0</v>
      </c>
      <c r="R1716">
        <v>0.97949901210965296</v>
      </c>
      <c r="S1716" t="s">
        <v>6012</v>
      </c>
      <c r="T1716" t="s">
        <v>8590</v>
      </c>
      <c r="U1716" t="s">
        <v>8590</v>
      </c>
      <c r="V1716" t="s">
        <v>8590</v>
      </c>
      <c r="W1716">
        <v>1</v>
      </c>
      <c r="X1716" t="s">
        <v>10306</v>
      </c>
      <c r="Y1716">
        <v>0.45301012004902758</v>
      </c>
      <c r="Z1716" t="str">
        <f>HYPERLINK("Melting_Curves/meltCurve_sp_Q13686_ALKB1_HUMAN_.pdf", "Melting_Curves/meltCurve_sp_Q13686_ALKB1_HUMAN_.pdf")</f>
        <v>Melting_Curves/meltCurve_sp_Q13686_ALKB1_HUMAN_.pdf</v>
      </c>
      <c r="AA1716" t="s">
        <v>14572</v>
      </c>
      <c r="AB1716" t="s">
        <v>18800</v>
      </c>
    </row>
    <row r="1717" spans="1:28" x14ac:dyDescent="0.25">
      <c r="A1717" t="s">
        <v>1721</v>
      </c>
      <c r="B1717">
        <v>0.99876560204751996</v>
      </c>
      <c r="C1717">
        <v>1.13239762688225</v>
      </c>
      <c r="D1717">
        <v>1.28143802063561</v>
      </c>
      <c r="E1717">
        <v>1.0908778254328999</v>
      </c>
      <c r="F1717">
        <v>1.1689381101305001</v>
      </c>
      <c r="G1717">
        <v>0.645449235994072</v>
      </c>
      <c r="H1717">
        <v>0.59419965637210004</v>
      </c>
      <c r="I1717">
        <v>0.55649941338356701</v>
      </c>
      <c r="J1717">
        <v>0.74357602531435996</v>
      </c>
      <c r="K1717">
        <v>0.66353116053668804</v>
      </c>
      <c r="L1717">
        <v>14017.537723787</v>
      </c>
      <c r="M1717">
        <v>250</v>
      </c>
      <c r="O1717">
        <v>56.066558200757598</v>
      </c>
      <c r="P1717">
        <v>-0.401921614417455</v>
      </c>
      <c r="Q1717">
        <v>0.63945018556363797</v>
      </c>
      <c r="R1717">
        <v>0.77139648010169104</v>
      </c>
      <c r="S1717" t="s">
        <v>6013</v>
      </c>
      <c r="T1717" t="s">
        <v>8590</v>
      </c>
      <c r="U1717" t="s">
        <v>8590</v>
      </c>
      <c r="V1717" t="s">
        <v>8590</v>
      </c>
      <c r="W1717">
        <v>6</v>
      </c>
      <c r="X1717" t="s">
        <v>10307</v>
      </c>
      <c r="Y1717">
        <v>0.83262199524746028</v>
      </c>
      <c r="Z1717" t="str">
        <f>HYPERLINK("Melting_Curves/meltCurve_sp_Q13796_SHRM2_HUMAN_.pdf", "Melting_Curves/meltCurve_sp_Q13796_SHRM2_HUMAN_.pdf")</f>
        <v>Melting_Curves/meltCurve_sp_Q13796_SHRM2_HUMAN_.pdf</v>
      </c>
      <c r="AA1717" t="s">
        <v>14573</v>
      </c>
      <c r="AB1717" t="s">
        <v>18801</v>
      </c>
    </row>
    <row r="1718" spans="1:28" x14ac:dyDescent="0.25">
      <c r="A1718" t="s">
        <v>1722</v>
      </c>
      <c r="B1718">
        <v>0.99876560204751996</v>
      </c>
      <c r="C1718">
        <v>1.05555532655081</v>
      </c>
      <c r="D1718">
        <v>0.91730777352384096</v>
      </c>
      <c r="E1718">
        <v>1.09724901177724</v>
      </c>
      <c r="F1718">
        <v>1.0181301417305</v>
      </c>
      <c r="G1718">
        <v>0.81141497174869204</v>
      </c>
      <c r="H1718">
        <v>0.18838817539202099</v>
      </c>
      <c r="I1718">
        <v>8.1539400653728805E-2</v>
      </c>
      <c r="J1718">
        <v>6.7141016760013897E-2</v>
      </c>
      <c r="K1718">
        <v>4.9219824810951697E-2</v>
      </c>
      <c r="L1718">
        <v>2814.8184589267098</v>
      </c>
      <c r="M1718">
        <v>47.9868940239027</v>
      </c>
      <c r="N1718">
        <v>58.813118059649902</v>
      </c>
      <c r="O1718">
        <v>58.556469769215497</v>
      </c>
      <c r="P1718">
        <v>-0.19270160031632899</v>
      </c>
      <c r="Q1718">
        <v>5.9417020932472503E-2</v>
      </c>
      <c r="R1718">
        <v>0.98966793645845696</v>
      </c>
      <c r="S1718" t="s">
        <v>6014</v>
      </c>
      <c r="T1718" t="s">
        <v>8590</v>
      </c>
      <c r="U1718" t="s">
        <v>8590</v>
      </c>
      <c r="V1718" t="s">
        <v>8590</v>
      </c>
      <c r="W1718">
        <v>144</v>
      </c>
      <c r="X1718" t="s">
        <v>10308</v>
      </c>
      <c r="Y1718">
        <v>0.64701833346565041</v>
      </c>
      <c r="Z1718" t="str">
        <f>HYPERLINK("Melting_Curves/meltCurve_sp_Q13813_2_SPTN1_HUMAN_.pdf", "Melting_Curves/meltCurve_sp_Q13813_2_SPTN1_HUMAN_.pdf")</f>
        <v>Melting_Curves/meltCurve_sp_Q13813_2_SPTN1_HUMAN_.pdf</v>
      </c>
      <c r="AA1718" t="s">
        <v>14574</v>
      </c>
      <c r="AB1718" t="s">
        <v>18802</v>
      </c>
    </row>
    <row r="1719" spans="1:28" x14ac:dyDescent="0.25">
      <c r="A1719" t="s">
        <v>1723</v>
      </c>
      <c r="B1719">
        <v>0.99876560204751996</v>
      </c>
      <c r="C1719">
        <v>1.05172732592716</v>
      </c>
      <c r="D1719">
        <v>0.92443968428574996</v>
      </c>
      <c r="E1719">
        <v>1.01711917869201</v>
      </c>
      <c r="F1719">
        <v>0.99265024454059703</v>
      </c>
      <c r="G1719">
        <v>0.75227805972401096</v>
      </c>
      <c r="H1719">
        <v>0.29581842145525</v>
      </c>
      <c r="I1719">
        <v>0.181489553226554</v>
      </c>
      <c r="J1719">
        <v>0.185957249182061</v>
      </c>
      <c r="K1719">
        <v>0.16889538263384399</v>
      </c>
      <c r="L1719">
        <v>2302.2261520477</v>
      </c>
      <c r="M1719">
        <v>39.519857444919303</v>
      </c>
      <c r="N1719">
        <v>58.8763413058739</v>
      </c>
      <c r="O1719">
        <v>58.106361637388801</v>
      </c>
      <c r="P1719">
        <v>-0.141037290121343</v>
      </c>
      <c r="Q1719">
        <v>0.17052886388803901</v>
      </c>
      <c r="R1719">
        <v>0.99355182038145495</v>
      </c>
      <c r="S1719" t="s">
        <v>6015</v>
      </c>
      <c r="T1719" t="s">
        <v>8590</v>
      </c>
      <c r="U1719" t="s">
        <v>8590</v>
      </c>
      <c r="V1719" t="s">
        <v>8590</v>
      </c>
      <c r="W1719">
        <v>144</v>
      </c>
      <c r="X1719" t="s">
        <v>10309</v>
      </c>
      <c r="Y1719">
        <v>0.67860052998734088</v>
      </c>
      <c r="Z1719" t="str">
        <f>HYPERLINK("Melting_Curves/meltCurve_sp_Q13813_SPTN1_HUMAN_.pdf", "Melting_Curves/meltCurve_sp_Q13813_SPTN1_HUMAN_.pdf")</f>
        <v>Melting_Curves/meltCurve_sp_Q13813_SPTN1_HUMAN_.pdf</v>
      </c>
      <c r="AA1719" t="s">
        <v>14574</v>
      </c>
      <c r="AB1719" t="s">
        <v>18803</v>
      </c>
    </row>
    <row r="1720" spans="1:28" x14ac:dyDescent="0.25">
      <c r="A1720" t="s">
        <v>1724</v>
      </c>
      <c r="B1720">
        <v>0.99876560204751996</v>
      </c>
      <c r="C1720">
        <v>1.05017379737367</v>
      </c>
      <c r="D1720">
        <v>0.963574427081625</v>
      </c>
      <c r="E1720">
        <v>0.96008439334986395</v>
      </c>
      <c r="F1720">
        <v>0.82238787484276399</v>
      </c>
      <c r="G1720">
        <v>0.69746252724074098</v>
      </c>
      <c r="H1720">
        <v>0.334267266320739</v>
      </c>
      <c r="I1720">
        <v>9.3210776437371204E-2</v>
      </c>
      <c r="J1720">
        <v>4.0293227131216497E-2</v>
      </c>
      <c r="K1720">
        <v>4.0240918656117501E-2</v>
      </c>
      <c r="L1720">
        <v>1240.1672027177899</v>
      </c>
      <c r="M1720">
        <v>21.133299656972401</v>
      </c>
      <c r="N1720">
        <v>58.683085216198698</v>
      </c>
      <c r="O1720">
        <v>58.1652237543477</v>
      </c>
      <c r="P1720">
        <v>-9.08354410588499E-2</v>
      </c>
      <c r="Q1720">
        <v>0</v>
      </c>
      <c r="R1720">
        <v>0.98935735846189099</v>
      </c>
      <c r="S1720" t="s">
        <v>6016</v>
      </c>
      <c r="T1720" t="s">
        <v>8590</v>
      </c>
      <c r="U1720" t="s">
        <v>8590</v>
      </c>
      <c r="V1720" t="s">
        <v>8590</v>
      </c>
      <c r="W1720">
        <v>17</v>
      </c>
      <c r="X1720" t="s">
        <v>10310</v>
      </c>
      <c r="Y1720">
        <v>0.63281583192280733</v>
      </c>
      <c r="Z1720" t="str">
        <f>HYPERLINK("Melting_Curves/meltCurve_sp_Q13825_AUHM_HUMAN_.pdf", "Melting_Curves/meltCurve_sp_Q13825_AUHM_HUMAN_.pdf")</f>
        <v>Melting_Curves/meltCurve_sp_Q13825_AUHM_HUMAN_.pdf</v>
      </c>
      <c r="AA1720" t="s">
        <v>14575</v>
      </c>
      <c r="AB1720" t="s">
        <v>18804</v>
      </c>
    </row>
    <row r="1721" spans="1:28" x14ac:dyDescent="0.25">
      <c r="A1721" t="s">
        <v>1725</v>
      </c>
      <c r="B1721">
        <v>0.99876560204751996</v>
      </c>
      <c r="C1721">
        <v>0.95091263841040696</v>
      </c>
      <c r="D1721">
        <v>0.98348826256833699</v>
      </c>
      <c r="E1721">
        <v>0.87521415875844299</v>
      </c>
      <c r="F1721">
        <v>0.70388630057909995</v>
      </c>
      <c r="G1721">
        <v>0.195083632216836</v>
      </c>
      <c r="H1721">
        <v>9.0926536579726297E-2</v>
      </c>
      <c r="I1721">
        <v>6.7944124192468605E-2</v>
      </c>
      <c r="J1721">
        <v>5.44650502591289E-2</v>
      </c>
      <c r="K1721">
        <v>3.8175605816053698E-2</v>
      </c>
      <c r="L1721">
        <v>1604.0887731739199</v>
      </c>
      <c r="M1721">
        <v>29.625939053053401</v>
      </c>
      <c r="N1721">
        <v>54.326054620761603</v>
      </c>
      <c r="O1721">
        <v>53.899841264071704</v>
      </c>
      <c r="P1721">
        <v>-0.130944493628223</v>
      </c>
      <c r="Q1721">
        <v>4.7073055494371102E-2</v>
      </c>
      <c r="R1721">
        <v>0.99583888634390205</v>
      </c>
      <c r="S1721" t="s">
        <v>6017</v>
      </c>
      <c r="T1721" t="s">
        <v>8590</v>
      </c>
      <c r="U1721" t="s">
        <v>8590</v>
      </c>
      <c r="V1721" t="s">
        <v>8590</v>
      </c>
      <c r="W1721">
        <v>18</v>
      </c>
      <c r="X1721" t="s">
        <v>10311</v>
      </c>
      <c r="Y1721">
        <v>0.50279254036869891</v>
      </c>
      <c r="Z1721" t="str">
        <f>HYPERLINK("Melting_Curves/meltCurve_sp_Q13838_DX39B_HUMAN_.pdf", "Melting_Curves/meltCurve_sp_Q13838_DX39B_HUMAN_.pdf")</f>
        <v>Melting_Curves/meltCurve_sp_Q13838_DX39B_HUMAN_.pdf</v>
      </c>
      <c r="AA1721" t="s">
        <v>14576</v>
      </c>
      <c r="AB1721" t="s">
        <v>18805</v>
      </c>
    </row>
    <row r="1722" spans="1:28" x14ac:dyDescent="0.25">
      <c r="A1722" t="s">
        <v>1726</v>
      </c>
      <c r="B1722">
        <v>0.99876560204751996</v>
      </c>
      <c r="C1722">
        <v>1.0232780437786699</v>
      </c>
      <c r="D1722">
        <v>0.88265356728889499</v>
      </c>
      <c r="E1722">
        <v>0.78756067979680999</v>
      </c>
      <c r="F1722">
        <v>0.71567879285945901</v>
      </c>
      <c r="G1722">
        <v>0.71839938789506697</v>
      </c>
      <c r="H1722">
        <v>0.43835728763175202</v>
      </c>
      <c r="I1722">
        <v>0.31970203179422202</v>
      </c>
      <c r="J1722">
        <v>0.106113303615904</v>
      </c>
      <c r="K1722">
        <v>6.8719406185014903E-2</v>
      </c>
      <c r="L1722">
        <v>661.48848690590205</v>
      </c>
      <c r="M1722">
        <v>11.2453525962742</v>
      </c>
      <c r="N1722">
        <v>58.8232910287797</v>
      </c>
      <c r="O1722">
        <v>57.055145696231897</v>
      </c>
      <c r="P1722">
        <v>-4.9289334279404198E-2</v>
      </c>
      <c r="Q1722">
        <v>0</v>
      </c>
      <c r="R1722">
        <v>0.952323673673941</v>
      </c>
      <c r="S1722" t="s">
        <v>6018</v>
      </c>
      <c r="T1722" t="s">
        <v>8590</v>
      </c>
      <c r="U1722" t="s">
        <v>8590</v>
      </c>
      <c r="V1722" t="s">
        <v>8590</v>
      </c>
      <c r="W1722">
        <v>11</v>
      </c>
      <c r="X1722" t="s">
        <v>10312</v>
      </c>
      <c r="Y1722">
        <v>0.63500311873786675</v>
      </c>
      <c r="Z1722" t="str">
        <f>HYPERLINK("Melting_Curves/meltCurve_sp_Q13867_BLMH_HUMAN_.pdf", "Melting_Curves/meltCurve_sp_Q13867_BLMH_HUMAN_.pdf")</f>
        <v>Melting_Curves/meltCurve_sp_Q13867_BLMH_HUMAN_.pdf</v>
      </c>
      <c r="AA1722" t="s">
        <v>14577</v>
      </c>
      <c r="AB1722" t="s">
        <v>18806</v>
      </c>
    </row>
    <row r="1723" spans="1:28" x14ac:dyDescent="0.25">
      <c r="A1723" t="s">
        <v>1727</v>
      </c>
      <c r="B1723">
        <v>0.99876560204751996</v>
      </c>
      <c r="C1723">
        <v>1.1278371064599799</v>
      </c>
      <c r="D1723">
        <v>1.04177753544755</v>
      </c>
      <c r="E1723">
        <v>1.02625056116129</v>
      </c>
      <c r="F1723">
        <v>0.72060665859927198</v>
      </c>
      <c r="G1723">
        <v>0.508543723961426</v>
      </c>
      <c r="H1723">
        <v>0.28048247845340502</v>
      </c>
      <c r="I1723">
        <v>0.10882173017212</v>
      </c>
      <c r="J1723">
        <v>4.5502079588798497E-2</v>
      </c>
      <c r="K1723">
        <v>5.5912634114137598E-2</v>
      </c>
      <c r="L1723">
        <v>1050.7288724162399</v>
      </c>
      <c r="M1723">
        <v>18.4402667503009</v>
      </c>
      <c r="N1723">
        <v>57.052374638703199</v>
      </c>
      <c r="O1723">
        <v>56.322715813326099</v>
      </c>
      <c r="P1723">
        <v>-8.0910053063041804E-2</v>
      </c>
      <c r="Q1723">
        <v>1.1539340236761699E-2</v>
      </c>
      <c r="R1723">
        <v>0.97829219950239499</v>
      </c>
      <c r="S1723" t="s">
        <v>6019</v>
      </c>
      <c r="T1723" t="s">
        <v>8590</v>
      </c>
      <c r="U1723" t="s">
        <v>8590</v>
      </c>
      <c r="V1723" t="s">
        <v>8590</v>
      </c>
      <c r="W1723">
        <v>6</v>
      </c>
      <c r="X1723" t="s">
        <v>10313</v>
      </c>
      <c r="Y1723">
        <v>0.58427202760924191</v>
      </c>
      <c r="Z1723" t="str">
        <f>HYPERLINK("Melting_Curves/meltCurve_sp_Q13868_EXOS2_HUMAN_.pdf", "Melting_Curves/meltCurve_sp_Q13868_EXOS2_HUMAN_.pdf")</f>
        <v>Melting_Curves/meltCurve_sp_Q13868_EXOS2_HUMAN_.pdf</v>
      </c>
      <c r="AA1723" t="s">
        <v>14578</v>
      </c>
      <c r="AB1723" t="s">
        <v>18807</v>
      </c>
    </row>
    <row r="1724" spans="1:28" x14ac:dyDescent="0.25">
      <c r="A1724" t="s">
        <v>1728</v>
      </c>
      <c r="B1724">
        <v>0.99876560204751996</v>
      </c>
      <c r="C1724">
        <v>0.981518671019593</v>
      </c>
      <c r="D1724">
        <v>0.89856584798444294</v>
      </c>
      <c r="E1724">
        <v>0.51619779623152096</v>
      </c>
      <c r="F1724">
        <v>0.26285316835018602</v>
      </c>
      <c r="G1724">
        <v>0.14474055510110001</v>
      </c>
      <c r="H1724">
        <v>0.108376008839436</v>
      </c>
      <c r="I1724">
        <v>8.5648724996729902E-2</v>
      </c>
      <c r="J1724">
        <v>9.8460296601421499E-2</v>
      </c>
      <c r="K1724">
        <v>8.4877496849077305E-2</v>
      </c>
      <c r="L1724">
        <v>1206.0232105335499</v>
      </c>
      <c r="M1724">
        <v>24.2271739553956</v>
      </c>
      <c r="N1724">
        <v>50.203864318284701</v>
      </c>
      <c r="O1724">
        <v>49.444336610967099</v>
      </c>
      <c r="P1724">
        <v>-0.11116361601624</v>
      </c>
      <c r="Q1724">
        <v>9.2535110169383206E-2</v>
      </c>
      <c r="R1724">
        <v>0.99966237175931805</v>
      </c>
      <c r="S1724" t="s">
        <v>6020</v>
      </c>
      <c r="T1724" t="s">
        <v>8590</v>
      </c>
      <c r="U1724" t="s">
        <v>8590</v>
      </c>
      <c r="V1724" t="s">
        <v>8590</v>
      </c>
      <c r="W1724">
        <v>16</v>
      </c>
      <c r="X1724" t="s">
        <v>10314</v>
      </c>
      <c r="Y1724">
        <v>0.39698457890589051</v>
      </c>
      <c r="Z1724" t="str">
        <f>HYPERLINK("Melting_Curves/meltCurve_sp_Q13884_SNTB1_HUMAN_.pdf", "Melting_Curves/meltCurve_sp_Q13884_SNTB1_HUMAN_.pdf")</f>
        <v>Melting_Curves/meltCurve_sp_Q13884_SNTB1_HUMAN_.pdf</v>
      </c>
      <c r="AA1724" t="s">
        <v>14579</v>
      </c>
      <c r="AB1724" t="s">
        <v>18808</v>
      </c>
    </row>
    <row r="1725" spans="1:28" x14ac:dyDescent="0.25">
      <c r="A1725" t="s">
        <v>1729</v>
      </c>
      <c r="B1725">
        <v>0.99876560204751996</v>
      </c>
      <c r="C1725">
        <v>0.84253021730065802</v>
      </c>
      <c r="D1725">
        <v>0.60938427032073095</v>
      </c>
      <c r="E1725">
        <v>0.44121972165824103</v>
      </c>
      <c r="F1725">
        <v>0.26742052655946602</v>
      </c>
      <c r="G1725">
        <v>0.150799142722322</v>
      </c>
      <c r="H1725">
        <v>9.0809861415325793E-2</v>
      </c>
      <c r="I1725">
        <v>8.4904490901427501E-2</v>
      </c>
      <c r="J1725">
        <v>8.1810182187484995E-2</v>
      </c>
      <c r="K1725">
        <v>6.38136667597268E-2</v>
      </c>
      <c r="L1725">
        <v>641.11233768155</v>
      </c>
      <c r="M1725">
        <v>13.3466491315677</v>
      </c>
      <c r="N1725">
        <v>48.435268931801602</v>
      </c>
      <c r="O1725">
        <v>46.995503586386803</v>
      </c>
      <c r="P1725">
        <v>-6.7306859202955996E-2</v>
      </c>
      <c r="Q1725">
        <v>5.2161720932776698E-2</v>
      </c>
      <c r="R1725">
        <v>0.99258047058601595</v>
      </c>
      <c r="S1725" t="s">
        <v>6021</v>
      </c>
      <c r="T1725" t="s">
        <v>8590</v>
      </c>
      <c r="U1725" t="s">
        <v>8590</v>
      </c>
      <c r="V1725" t="s">
        <v>8590</v>
      </c>
      <c r="W1725">
        <v>17</v>
      </c>
      <c r="X1725" t="s">
        <v>10315</v>
      </c>
      <c r="Y1725">
        <v>0.33653318872295562</v>
      </c>
      <c r="Z1725" t="str">
        <f>HYPERLINK("Melting_Curves/meltCurve_sp_Q13885_TBB2A_HUMAN_.pdf", "Melting_Curves/meltCurve_sp_Q13885_TBB2A_HUMAN_.pdf")</f>
        <v>Melting_Curves/meltCurve_sp_Q13885_TBB2A_HUMAN_.pdf</v>
      </c>
      <c r="AA1725" t="s">
        <v>14580</v>
      </c>
      <c r="AB1725" t="s">
        <v>18809</v>
      </c>
    </row>
    <row r="1726" spans="1:28" x14ac:dyDescent="0.25">
      <c r="A1726" t="s">
        <v>1730</v>
      </c>
      <c r="B1726">
        <v>0.99876560204751996</v>
      </c>
      <c r="C1726">
        <v>0.91138950617932202</v>
      </c>
      <c r="D1726">
        <v>1.0157666836649999</v>
      </c>
      <c r="E1726">
        <v>0.84941210055408001</v>
      </c>
      <c r="F1726">
        <v>0.80988685814240602</v>
      </c>
      <c r="G1726">
        <v>0.65678034775599003</v>
      </c>
      <c r="H1726">
        <v>0.40870555146377102</v>
      </c>
      <c r="I1726">
        <v>0.35989777072211399</v>
      </c>
      <c r="J1726">
        <v>0.33919260857755801</v>
      </c>
      <c r="K1726">
        <v>0.263879870122952</v>
      </c>
      <c r="L1726">
        <v>728.688038116999</v>
      </c>
      <c r="M1726">
        <v>12.682159754379001</v>
      </c>
      <c r="N1726">
        <v>59.788426603422103</v>
      </c>
      <c r="O1726">
        <v>56.085316263983501</v>
      </c>
      <c r="P1726">
        <v>-4.5514566143741102E-2</v>
      </c>
      <c r="Q1726">
        <v>0.19502622117337701</v>
      </c>
      <c r="R1726">
        <v>0.98006906260747695</v>
      </c>
      <c r="S1726" t="s">
        <v>6022</v>
      </c>
      <c r="T1726" t="s">
        <v>8590</v>
      </c>
      <c r="U1726" t="s">
        <v>8590</v>
      </c>
      <c r="V1726" t="s">
        <v>8590</v>
      </c>
      <c r="W1726">
        <v>13</v>
      </c>
      <c r="X1726" t="s">
        <v>10316</v>
      </c>
      <c r="Y1726">
        <v>0.67568925254026724</v>
      </c>
      <c r="Z1726" t="str">
        <f>HYPERLINK("Melting_Curves/meltCurve_sp_Q13907_IDI1_HUMAN_.pdf", "Melting_Curves/meltCurve_sp_Q13907_IDI1_HUMAN_.pdf")</f>
        <v>Melting_Curves/meltCurve_sp_Q13907_IDI1_HUMAN_.pdf</v>
      </c>
      <c r="AA1726" t="s">
        <v>14581</v>
      </c>
      <c r="AB1726" t="s">
        <v>18810</v>
      </c>
    </row>
    <row r="1727" spans="1:28" x14ac:dyDescent="0.25">
      <c r="A1727" t="s">
        <v>1731</v>
      </c>
      <c r="B1727">
        <v>0.99876560204751996</v>
      </c>
      <c r="C1727">
        <v>0.86693028478810197</v>
      </c>
      <c r="D1727">
        <v>1.09037061813271</v>
      </c>
      <c r="E1727">
        <v>0.885622891891237</v>
      </c>
      <c r="F1727">
        <v>1.0084129166725</v>
      </c>
      <c r="G1727">
        <v>0.58849352493127305</v>
      </c>
      <c r="H1727">
        <v>0.296510133210381</v>
      </c>
      <c r="I1727">
        <v>0.218614015107882</v>
      </c>
      <c r="J1727">
        <v>0.29270447629228202</v>
      </c>
      <c r="K1727">
        <v>0.272776847693953</v>
      </c>
      <c r="L1727">
        <v>3480.6580075931702</v>
      </c>
      <c r="M1727">
        <v>61.3022258331576</v>
      </c>
      <c r="N1727">
        <v>57.495277342517902</v>
      </c>
      <c r="O1727">
        <v>56.718327683906097</v>
      </c>
      <c r="P1727">
        <v>-0.198028540224884</v>
      </c>
      <c r="Q1727">
        <v>0.26711676459092298</v>
      </c>
      <c r="R1727">
        <v>0.96226083751773905</v>
      </c>
      <c r="S1727" t="s">
        <v>6023</v>
      </c>
      <c r="T1727" t="s">
        <v>8590</v>
      </c>
      <c r="U1727" t="s">
        <v>8590</v>
      </c>
      <c r="V1727" t="s">
        <v>8590</v>
      </c>
      <c r="W1727">
        <v>1</v>
      </c>
      <c r="X1727" t="s">
        <v>10317</v>
      </c>
      <c r="Y1727">
        <v>0.67822842319214005</v>
      </c>
      <c r="Z1727" t="str">
        <f>HYPERLINK("Melting_Curves/meltCurve_sp_Q13951_2_PEBB_HUMAN_.pdf", "Melting_Curves/meltCurve_sp_Q13951_2_PEBB_HUMAN_.pdf")</f>
        <v>Melting_Curves/meltCurve_sp_Q13951_2_PEBB_HUMAN_.pdf</v>
      </c>
      <c r="AA1727" t="s">
        <v>14582</v>
      </c>
      <c r="AB1727" t="s">
        <v>18811</v>
      </c>
    </row>
    <row r="1728" spans="1:28" x14ac:dyDescent="0.25">
      <c r="A1728" t="s">
        <v>1732</v>
      </c>
      <c r="B1728">
        <v>0.99876560204751996</v>
      </c>
      <c r="C1728">
        <v>0.86666043811867299</v>
      </c>
      <c r="D1728">
        <v>0.89853881759822196</v>
      </c>
      <c r="E1728">
        <v>0.65921197812131105</v>
      </c>
      <c r="F1728">
        <v>0.31691546637504697</v>
      </c>
      <c r="G1728">
        <v>0.177765584571972</v>
      </c>
      <c r="H1728">
        <v>0.12516002583626001</v>
      </c>
      <c r="I1728">
        <v>0.108276481574337</v>
      </c>
      <c r="J1728">
        <v>0.10982949747812699</v>
      </c>
      <c r="K1728">
        <v>0.112553561249583</v>
      </c>
      <c r="L1728">
        <v>1067.8708539311599</v>
      </c>
      <c r="M1728">
        <v>21.0702694054043</v>
      </c>
      <c r="N1728">
        <v>51.222256885105701</v>
      </c>
      <c r="O1728">
        <v>50.231511188007701</v>
      </c>
      <c r="P1728">
        <v>-9.4409615750694398E-2</v>
      </c>
      <c r="Q1728">
        <v>9.9733946932494599E-2</v>
      </c>
      <c r="R1728">
        <v>0.98671728774558698</v>
      </c>
      <c r="S1728" t="s">
        <v>6024</v>
      </c>
      <c r="T1728" t="s">
        <v>8590</v>
      </c>
      <c r="U1728" t="s">
        <v>8590</v>
      </c>
      <c r="V1728" t="s">
        <v>8590</v>
      </c>
      <c r="W1728">
        <v>19</v>
      </c>
      <c r="X1728" t="s">
        <v>10318</v>
      </c>
      <c r="Y1728">
        <v>0.43159250404112182</v>
      </c>
      <c r="Z1728" t="str">
        <f>HYPERLINK("Melting_Curves/meltCurve_sp_Q14008_2_CKAP5_HUMAN_.pdf", "Melting_Curves/meltCurve_sp_Q14008_2_CKAP5_HUMAN_.pdf")</f>
        <v>Melting_Curves/meltCurve_sp_Q14008_2_CKAP5_HUMAN_.pdf</v>
      </c>
      <c r="AA1728" t="s">
        <v>14583</v>
      </c>
      <c r="AB1728" t="s">
        <v>18812</v>
      </c>
    </row>
    <row r="1729" spans="1:28" x14ac:dyDescent="0.25">
      <c r="A1729" t="s">
        <v>1733</v>
      </c>
      <c r="B1729">
        <v>0.99876560204751996</v>
      </c>
      <c r="C1729">
        <v>0.97040953289055099</v>
      </c>
      <c r="D1729">
        <v>1.0161147732775599</v>
      </c>
      <c r="E1729">
        <v>0.82825237803361096</v>
      </c>
      <c r="F1729">
        <v>0.80811809327620798</v>
      </c>
      <c r="G1729">
        <v>0.66997520327500504</v>
      </c>
      <c r="H1729">
        <v>0.61836009470687003</v>
      </c>
      <c r="I1729">
        <v>0.59629915609733997</v>
      </c>
      <c r="J1729">
        <v>0.65911724583004605</v>
      </c>
      <c r="K1729">
        <v>0.71191755280282998</v>
      </c>
      <c r="L1729">
        <v>1126.8103771006799</v>
      </c>
      <c r="M1729">
        <v>21.9526003025629</v>
      </c>
      <c r="O1729">
        <v>50.909009489752101</v>
      </c>
      <c r="P1729">
        <v>-3.8359007838245002E-2</v>
      </c>
      <c r="Q1729">
        <v>0.64418340504918803</v>
      </c>
      <c r="R1729">
        <v>0.93494106791491505</v>
      </c>
      <c r="S1729" t="s">
        <v>6025</v>
      </c>
      <c r="T1729" t="s">
        <v>8590</v>
      </c>
      <c r="U1729" t="s">
        <v>8590</v>
      </c>
      <c r="V1729" t="s">
        <v>8590</v>
      </c>
      <c r="W1729">
        <v>4</v>
      </c>
      <c r="X1729" t="s">
        <v>10319</v>
      </c>
      <c r="Y1729">
        <v>0.7826993273674947</v>
      </c>
      <c r="Z1729" t="str">
        <f>HYPERLINK("Melting_Curves/meltCurve_sp_Q14011_CIRBP_HUMAN_.pdf", "Melting_Curves/meltCurve_sp_Q14011_CIRBP_HUMAN_.pdf")</f>
        <v>Melting_Curves/meltCurve_sp_Q14011_CIRBP_HUMAN_.pdf</v>
      </c>
      <c r="AA1729" t="s">
        <v>14584</v>
      </c>
      <c r="AB1729" t="s">
        <v>18813</v>
      </c>
    </row>
    <row r="1730" spans="1:28" x14ac:dyDescent="0.25">
      <c r="A1730" t="s">
        <v>1734</v>
      </c>
      <c r="B1730">
        <v>0.99876560204751996</v>
      </c>
      <c r="C1730">
        <v>0.95927409012028897</v>
      </c>
      <c r="D1730">
        <v>0.92893247932552203</v>
      </c>
      <c r="E1730">
        <v>0.76080468628403697</v>
      </c>
      <c r="F1730">
        <v>0.52500086521345102</v>
      </c>
      <c r="G1730">
        <v>0.329947406433659</v>
      </c>
      <c r="H1730">
        <v>0.15427830218569799</v>
      </c>
      <c r="I1730">
        <v>0.12384409553291301</v>
      </c>
      <c r="J1730">
        <v>0.11536779974447001</v>
      </c>
      <c r="K1730">
        <v>9.7085512243339306E-2</v>
      </c>
      <c r="L1730">
        <v>850.56847099197296</v>
      </c>
      <c r="M1730">
        <v>16.022315836809401</v>
      </c>
      <c r="N1730">
        <v>53.620890150580202</v>
      </c>
      <c r="O1730">
        <v>52.280164431401403</v>
      </c>
      <c r="P1730">
        <v>-7.0969228284918695E-2</v>
      </c>
      <c r="Q1730">
        <v>7.3793188995186498E-2</v>
      </c>
      <c r="R1730">
        <v>0.998341281830742</v>
      </c>
      <c r="S1730" t="s">
        <v>6026</v>
      </c>
      <c r="T1730" t="s">
        <v>8590</v>
      </c>
      <c r="U1730" t="s">
        <v>8590</v>
      </c>
      <c r="V1730" t="s">
        <v>8590</v>
      </c>
      <c r="W1730">
        <v>6</v>
      </c>
      <c r="X1730" t="s">
        <v>10320</v>
      </c>
      <c r="Y1730">
        <v>0.49590309985598952</v>
      </c>
      <c r="Z1730" t="str">
        <f>HYPERLINK("Melting_Curves/meltCurve_sp_Q14012_KCC1A_HUMAN_.pdf", "Melting_Curves/meltCurve_sp_Q14012_KCC1A_HUMAN_.pdf")</f>
        <v>Melting_Curves/meltCurve_sp_Q14012_KCC1A_HUMAN_.pdf</v>
      </c>
      <c r="AA1730" t="s">
        <v>14585</v>
      </c>
      <c r="AB1730" t="s">
        <v>18814</v>
      </c>
    </row>
    <row r="1731" spans="1:28" x14ac:dyDescent="0.25">
      <c r="A1731" t="s">
        <v>1735</v>
      </c>
      <c r="B1731">
        <v>0.99876560204751996</v>
      </c>
      <c r="C1731">
        <v>0.88302604990179501</v>
      </c>
      <c r="D1731">
        <v>1.01459226734727</v>
      </c>
      <c r="E1731">
        <v>0.83525351725226504</v>
      </c>
      <c r="F1731">
        <v>0.83659555974358502</v>
      </c>
      <c r="G1731">
        <v>0.67095870392984902</v>
      </c>
      <c r="H1731">
        <v>0.42757375588559499</v>
      </c>
      <c r="I1731">
        <v>0.25730546552587102</v>
      </c>
      <c r="J1731">
        <v>0.121323555571521</v>
      </c>
      <c r="K1731">
        <v>7.6000133760144001E-2</v>
      </c>
      <c r="L1731">
        <v>833.16889602879803</v>
      </c>
      <c r="M1731">
        <v>14.0663730574182</v>
      </c>
      <c r="N1731">
        <v>59.231252822672303</v>
      </c>
      <c r="O1731">
        <v>58.072675564389101</v>
      </c>
      <c r="P1731">
        <v>-6.0562909837334901E-2</v>
      </c>
      <c r="Q1731">
        <v>0</v>
      </c>
      <c r="R1731">
        <v>0.976719544254677</v>
      </c>
      <c r="S1731" t="s">
        <v>6027</v>
      </c>
      <c r="T1731" t="s">
        <v>8590</v>
      </c>
      <c r="U1731" t="s">
        <v>8590</v>
      </c>
      <c r="V1731" t="s">
        <v>8590</v>
      </c>
      <c r="W1731">
        <v>7</v>
      </c>
      <c r="X1731" t="s">
        <v>10321</v>
      </c>
      <c r="Y1731">
        <v>0.65020627250823304</v>
      </c>
      <c r="Z1731" t="str">
        <f>HYPERLINK("Melting_Curves/meltCurve_sp_Q14019_COTL1_HUMAN_.pdf", "Melting_Curves/meltCurve_sp_Q14019_COTL1_HUMAN_.pdf")</f>
        <v>Melting_Curves/meltCurve_sp_Q14019_COTL1_HUMAN_.pdf</v>
      </c>
      <c r="AA1731" t="s">
        <v>14586</v>
      </c>
      <c r="AB1731" t="s">
        <v>18815</v>
      </c>
    </row>
    <row r="1732" spans="1:28" x14ac:dyDescent="0.25">
      <c r="A1732" t="s">
        <v>1736</v>
      </c>
      <c r="B1732">
        <v>0.99876560204751996</v>
      </c>
      <c r="C1732">
        <v>1.01278489284648</v>
      </c>
      <c r="D1732">
        <v>1.04153161913101</v>
      </c>
      <c r="E1732">
        <v>0.798638539347993</v>
      </c>
      <c r="F1732">
        <v>0.40566905808922499</v>
      </c>
      <c r="G1732">
        <v>0.193680940556615</v>
      </c>
      <c r="H1732">
        <v>9.7234920188937701E-2</v>
      </c>
      <c r="I1732">
        <v>6.5646332401428503E-2</v>
      </c>
      <c r="J1732">
        <v>4.8761105303826997E-2</v>
      </c>
      <c r="K1732">
        <v>3.9085567207935601E-2</v>
      </c>
      <c r="L1732">
        <v>1474.7828354010201</v>
      </c>
      <c r="M1732">
        <v>28.252474965813501</v>
      </c>
      <c r="N1732">
        <v>52.457354946272297</v>
      </c>
      <c r="O1732">
        <v>51.940715936438203</v>
      </c>
      <c r="P1732">
        <v>-0.127189289652198</v>
      </c>
      <c r="Q1732">
        <v>6.4684184904357803E-2</v>
      </c>
      <c r="R1732">
        <v>0.99504260687129498</v>
      </c>
      <c r="S1732" t="s">
        <v>6028</v>
      </c>
      <c r="T1732" t="s">
        <v>8590</v>
      </c>
      <c r="U1732" t="s">
        <v>8590</v>
      </c>
      <c r="V1732" t="s">
        <v>8590</v>
      </c>
      <c r="W1732">
        <v>18</v>
      </c>
      <c r="X1732" t="s">
        <v>10322</v>
      </c>
      <c r="Y1732">
        <v>0.4517971802661685</v>
      </c>
      <c r="Z1732" t="str">
        <f>HYPERLINK("Melting_Curves/meltCurve_sp_Q14032_BAAT_HUMAN_.pdf", "Melting_Curves/meltCurve_sp_Q14032_BAAT_HUMAN_.pdf")</f>
        <v>Melting_Curves/meltCurve_sp_Q14032_BAAT_HUMAN_.pdf</v>
      </c>
      <c r="AA1732" t="s">
        <v>14587</v>
      </c>
      <c r="AB1732" t="s">
        <v>18816</v>
      </c>
    </row>
    <row r="1733" spans="1:28" x14ac:dyDescent="0.25">
      <c r="A1733" t="s">
        <v>1737</v>
      </c>
      <c r="B1733">
        <v>0.99876560204751996</v>
      </c>
      <c r="C1733">
        <v>0.92063385507415796</v>
      </c>
      <c r="D1733">
        <v>1.14237040916139</v>
      </c>
      <c r="E1733">
        <v>0.98968774236752799</v>
      </c>
      <c r="F1733">
        <v>1.1895228627182901</v>
      </c>
      <c r="G1733">
        <v>0.95441280215165003</v>
      </c>
      <c r="H1733">
        <v>0.880593012871561</v>
      </c>
      <c r="I1733">
        <v>0.92127273412816701</v>
      </c>
      <c r="J1733">
        <v>1.17166606669069</v>
      </c>
      <c r="K1733">
        <v>1.2081557353921399</v>
      </c>
      <c r="L1733">
        <v>15000</v>
      </c>
      <c r="M1733">
        <v>225.425385516668</v>
      </c>
      <c r="O1733">
        <v>66.535638989693098</v>
      </c>
      <c r="P1733">
        <v>0.17635313669425701</v>
      </c>
      <c r="Q1733">
        <v>1.20820665840577</v>
      </c>
      <c r="R1733">
        <v>0.40759488539329403</v>
      </c>
      <c r="S1733" t="s">
        <v>6029</v>
      </c>
      <c r="T1733" t="s">
        <v>8590</v>
      </c>
      <c r="U1733" t="s">
        <v>8590</v>
      </c>
      <c r="V1733" t="s">
        <v>8590</v>
      </c>
      <c r="W1733">
        <v>7</v>
      </c>
      <c r="X1733" t="s">
        <v>10323</v>
      </c>
      <c r="Y1733">
        <v>1.0239772967376131</v>
      </c>
      <c r="Z1733" t="str">
        <f>HYPERLINK("Melting_Curves/meltCurve_sp_Q14061_COX17_HUMAN_.pdf", "Melting_Curves/meltCurve_sp_Q14061_COX17_HUMAN_.pdf")</f>
        <v>Melting_Curves/meltCurve_sp_Q14061_COX17_HUMAN_.pdf</v>
      </c>
      <c r="AA1733" t="s">
        <v>14588</v>
      </c>
      <c r="AB1733" t="s">
        <v>18817</v>
      </c>
    </row>
    <row r="1734" spans="1:28" x14ac:dyDescent="0.25">
      <c r="A1734" t="s">
        <v>1738</v>
      </c>
      <c r="B1734">
        <v>0.99876560204751996</v>
      </c>
      <c r="C1734">
        <v>1.00433311786605</v>
      </c>
      <c r="D1734">
        <v>1.0621761997886201</v>
      </c>
      <c r="E1734">
        <v>1.0020629551767399</v>
      </c>
      <c r="F1734">
        <v>0.96662370813720899</v>
      </c>
      <c r="G1734">
        <v>0.81687314661559196</v>
      </c>
      <c r="H1734">
        <v>0.64876381110533299</v>
      </c>
      <c r="I1734">
        <v>0.58282744387281604</v>
      </c>
      <c r="J1734">
        <v>0.63696958457865804</v>
      </c>
      <c r="K1734">
        <v>0.66083771125116397</v>
      </c>
      <c r="L1734">
        <v>2340.6157028812099</v>
      </c>
      <c r="M1734">
        <v>41.071915269831599</v>
      </c>
      <c r="O1734">
        <v>56.853644510981198</v>
      </c>
      <c r="P1734">
        <v>-6.7593584723813702E-2</v>
      </c>
      <c r="Q1734">
        <v>0.62573613408308604</v>
      </c>
      <c r="R1734">
        <v>0.97579818673090901</v>
      </c>
      <c r="S1734" t="s">
        <v>6030</v>
      </c>
      <c r="T1734" t="s">
        <v>8590</v>
      </c>
      <c r="U1734" t="s">
        <v>8590</v>
      </c>
      <c r="V1734" t="s">
        <v>8590</v>
      </c>
      <c r="W1734">
        <v>16</v>
      </c>
      <c r="X1734" t="s">
        <v>10324</v>
      </c>
      <c r="Y1734">
        <v>0.83905679242006004</v>
      </c>
      <c r="Z1734" t="str">
        <f>HYPERLINK("Melting_Curves/meltCurve_sp_Q14103_3_HNRPD_HUMAN_.pdf", "Melting_Curves/meltCurve_sp_Q14103_3_HNRPD_HUMAN_.pdf")</f>
        <v>Melting_Curves/meltCurve_sp_Q14103_3_HNRPD_HUMAN_.pdf</v>
      </c>
      <c r="AA1734" t="s">
        <v>14589</v>
      </c>
      <c r="AB1734" t="s">
        <v>18818</v>
      </c>
    </row>
    <row r="1735" spans="1:28" x14ac:dyDescent="0.25">
      <c r="A1735" t="s">
        <v>1739</v>
      </c>
      <c r="B1735">
        <v>0.99876560204751996</v>
      </c>
      <c r="C1735">
        <v>0.95573231393338098</v>
      </c>
      <c r="D1735">
        <v>0.95985721439881599</v>
      </c>
      <c r="E1735">
        <v>0.94506702846854296</v>
      </c>
      <c r="F1735">
        <v>0.97179273574303704</v>
      </c>
      <c r="G1735">
        <v>0.698475821227722</v>
      </c>
      <c r="H1735">
        <v>0.51936172384007495</v>
      </c>
      <c r="I1735">
        <v>0.425605076030868</v>
      </c>
      <c r="J1735">
        <v>0.267409240618245</v>
      </c>
      <c r="K1735">
        <v>0.17234763612685899</v>
      </c>
      <c r="L1735">
        <v>814.43361516404002</v>
      </c>
      <c r="M1735">
        <v>13.240877360177899</v>
      </c>
      <c r="N1735">
        <v>61.707056530474901</v>
      </c>
      <c r="O1735">
        <v>60.156819682262999</v>
      </c>
      <c r="P1735">
        <v>-5.3890807253980502E-2</v>
      </c>
      <c r="Q1735">
        <v>2.08001164505579E-2</v>
      </c>
      <c r="R1735">
        <v>0.98638642213667704</v>
      </c>
      <c r="S1735" t="s">
        <v>6031</v>
      </c>
      <c r="T1735" t="s">
        <v>8590</v>
      </c>
      <c r="U1735" t="s">
        <v>8590</v>
      </c>
      <c r="V1735" t="s">
        <v>8590</v>
      </c>
      <c r="W1735">
        <v>3</v>
      </c>
      <c r="X1735" t="s">
        <v>10325</v>
      </c>
      <c r="Y1735">
        <v>0.71909295854476718</v>
      </c>
      <c r="Z1735" t="str">
        <f>HYPERLINK("Melting_Curves/meltCurve_sp_Q14116_2_IL18_HUMAN_.pdf", "Melting_Curves/meltCurve_sp_Q14116_2_IL18_HUMAN_.pdf")</f>
        <v>Melting_Curves/meltCurve_sp_Q14116_2_IL18_HUMAN_.pdf</v>
      </c>
      <c r="AA1735" t="s">
        <v>14590</v>
      </c>
      <c r="AB1735" t="s">
        <v>18819</v>
      </c>
    </row>
    <row r="1736" spans="1:28" x14ac:dyDescent="0.25">
      <c r="A1736" t="s">
        <v>1740</v>
      </c>
      <c r="B1736">
        <v>0.99876560204751996</v>
      </c>
      <c r="C1736">
        <v>1.0612474661439699</v>
      </c>
      <c r="D1736">
        <v>0.95787366922355799</v>
      </c>
      <c r="E1736">
        <v>1.0497416423657699</v>
      </c>
      <c r="F1736">
        <v>0.92101932739658499</v>
      </c>
      <c r="G1736">
        <v>0.63592492238163201</v>
      </c>
      <c r="H1736">
        <v>0.16875906706226701</v>
      </c>
      <c r="I1736">
        <v>7.49747837644507E-2</v>
      </c>
      <c r="J1736">
        <v>5.5541756658674397E-2</v>
      </c>
      <c r="K1736">
        <v>4.7570877504958697E-2</v>
      </c>
      <c r="L1736">
        <v>1947.1063237027799</v>
      </c>
      <c r="M1736">
        <v>33.715706653069297</v>
      </c>
      <c r="N1736">
        <v>57.901954166848498</v>
      </c>
      <c r="O1736">
        <v>57.5486950374342</v>
      </c>
      <c r="P1736">
        <v>-0.14029332286178101</v>
      </c>
      <c r="Q1736">
        <v>4.2148045528158297E-2</v>
      </c>
      <c r="R1736">
        <v>0.99468203375706699</v>
      </c>
      <c r="S1736" t="s">
        <v>6032</v>
      </c>
      <c r="T1736" t="s">
        <v>8590</v>
      </c>
      <c r="U1736" t="s">
        <v>8590</v>
      </c>
      <c r="V1736" t="s">
        <v>8590</v>
      </c>
      <c r="W1736">
        <v>33</v>
      </c>
      <c r="X1736" t="s">
        <v>10326</v>
      </c>
      <c r="Y1736">
        <v>0.61406558966458269</v>
      </c>
      <c r="Z1736" t="str">
        <f>HYPERLINK("Melting_Curves/meltCurve_sp_Q14117_DPYS_HUMAN_.pdf", "Melting_Curves/meltCurve_sp_Q14117_DPYS_HUMAN_.pdf")</f>
        <v>Melting_Curves/meltCurve_sp_Q14117_DPYS_HUMAN_.pdf</v>
      </c>
      <c r="AA1736" t="s">
        <v>14591</v>
      </c>
      <c r="AB1736" t="s">
        <v>18820</v>
      </c>
    </row>
    <row r="1737" spans="1:28" x14ac:dyDescent="0.25">
      <c r="A1737" t="s">
        <v>1741</v>
      </c>
      <c r="B1737">
        <v>0.99876560204751996</v>
      </c>
      <c r="C1737">
        <v>0.96645221599119302</v>
      </c>
      <c r="D1737">
        <v>0.95288547104556498</v>
      </c>
      <c r="E1737">
        <v>0.83509435704636104</v>
      </c>
      <c r="F1737">
        <v>0.71066074802456003</v>
      </c>
      <c r="G1737">
        <v>0.58352785721022404</v>
      </c>
      <c r="H1737">
        <v>0.52487553922859498</v>
      </c>
      <c r="I1737">
        <v>0.44079121614788602</v>
      </c>
      <c r="J1737">
        <v>0.48079888604863702</v>
      </c>
      <c r="K1737">
        <v>0.43106839645001999</v>
      </c>
      <c r="L1737">
        <v>751.28001179512103</v>
      </c>
      <c r="M1737">
        <v>14.1342662280701</v>
      </c>
      <c r="N1737">
        <v>61.343475516832498</v>
      </c>
      <c r="O1737">
        <v>52.123053080748498</v>
      </c>
      <c r="P1737">
        <v>-3.9036731970671597E-2</v>
      </c>
      <c r="Q1737">
        <v>0.42424905478088898</v>
      </c>
      <c r="R1737">
        <v>0.99435074203651597</v>
      </c>
      <c r="S1737" t="s">
        <v>6033</v>
      </c>
      <c r="T1737" t="s">
        <v>8590</v>
      </c>
      <c r="U1737" t="s">
        <v>8590</v>
      </c>
      <c r="V1737" t="s">
        <v>8590</v>
      </c>
      <c r="W1737">
        <v>8</v>
      </c>
      <c r="X1737" t="s">
        <v>10327</v>
      </c>
      <c r="Y1737">
        <v>0.69000243637689807</v>
      </c>
      <c r="Z1737" t="str">
        <f>HYPERLINK("Melting_Curves/meltCurve_sp_Q14118_DAG1_HUMAN_.pdf", "Melting_Curves/meltCurve_sp_Q14118_DAG1_HUMAN_.pdf")</f>
        <v>Melting_Curves/meltCurve_sp_Q14118_DAG1_HUMAN_.pdf</v>
      </c>
      <c r="AA1737" t="s">
        <v>14592</v>
      </c>
      <c r="AB1737" t="s">
        <v>18821</v>
      </c>
    </row>
    <row r="1738" spans="1:28" x14ac:dyDescent="0.25">
      <c r="A1738" t="s">
        <v>1742</v>
      </c>
      <c r="B1738">
        <v>0.99876560204751996</v>
      </c>
      <c r="C1738">
        <v>1.0286165813307899</v>
      </c>
      <c r="D1738">
        <v>0.94240803954043195</v>
      </c>
      <c r="E1738">
        <v>0.89911910596498601</v>
      </c>
      <c r="F1738">
        <v>0.87124545912769902</v>
      </c>
      <c r="G1738">
        <v>0.64490874523388697</v>
      </c>
      <c r="H1738">
        <v>0.52903268051767605</v>
      </c>
      <c r="I1738">
        <v>0.51216882036803602</v>
      </c>
      <c r="J1738">
        <v>0.63489358784674899</v>
      </c>
      <c r="K1738">
        <v>0.57536975517413003</v>
      </c>
      <c r="L1738">
        <v>1397.59724366193</v>
      </c>
      <c r="M1738">
        <v>25.860932852150299</v>
      </c>
      <c r="O1738">
        <v>53.722757572806401</v>
      </c>
      <c r="P1738">
        <v>-5.3389219921834097E-2</v>
      </c>
      <c r="Q1738">
        <v>0.55636829656896503</v>
      </c>
      <c r="R1738">
        <v>0.94898340943084203</v>
      </c>
      <c r="S1738" t="s">
        <v>6034</v>
      </c>
      <c r="T1738" t="s">
        <v>8590</v>
      </c>
      <c r="U1738" t="s">
        <v>8590</v>
      </c>
      <c r="V1738" t="s">
        <v>8590</v>
      </c>
      <c r="W1738">
        <v>5</v>
      </c>
      <c r="X1738" t="s">
        <v>10328</v>
      </c>
      <c r="Y1738">
        <v>0.7678882754855072</v>
      </c>
      <c r="Z1738" t="str">
        <f>HYPERLINK("Melting_Curves/meltCurve_sp_Q14126_DSG2_HUMAN_.pdf", "Melting_Curves/meltCurve_sp_Q14126_DSG2_HUMAN_.pdf")</f>
        <v>Melting_Curves/meltCurve_sp_Q14126_DSG2_HUMAN_.pdf</v>
      </c>
      <c r="AA1738" t="s">
        <v>14593</v>
      </c>
      <c r="AB1738" t="s">
        <v>18822</v>
      </c>
    </row>
    <row r="1739" spans="1:28" x14ac:dyDescent="0.25">
      <c r="A1739" t="s">
        <v>1743</v>
      </c>
      <c r="B1739">
        <v>0.99876560204751996</v>
      </c>
      <c r="C1739">
        <v>0.956635137993881</v>
      </c>
      <c r="D1739">
        <v>0.85792228860419695</v>
      </c>
      <c r="E1739">
        <v>0.69743296613666705</v>
      </c>
      <c r="F1739">
        <v>0.21369181992057901</v>
      </c>
      <c r="G1739">
        <v>0.116309985096194</v>
      </c>
      <c r="H1739">
        <v>5.9668908421516398E-2</v>
      </c>
      <c r="I1739">
        <v>5.2041047386690499E-2</v>
      </c>
      <c r="J1739">
        <v>3.5194432190318897E-2</v>
      </c>
      <c r="K1739">
        <v>3.5322289575398701E-2</v>
      </c>
      <c r="L1739">
        <v>1508.9020627526299</v>
      </c>
      <c r="M1739">
        <v>29.6583107421141</v>
      </c>
      <c r="N1739">
        <v>51.037193621149399</v>
      </c>
      <c r="O1739">
        <v>50.646580646698801</v>
      </c>
      <c r="P1739">
        <v>-0.139861865739145</v>
      </c>
      <c r="Q1739">
        <v>4.4655405835170497E-2</v>
      </c>
      <c r="R1739">
        <v>0.98780550568332004</v>
      </c>
      <c r="S1739" t="s">
        <v>6035</v>
      </c>
      <c r="T1739" t="s">
        <v>8590</v>
      </c>
      <c r="U1739" t="s">
        <v>8590</v>
      </c>
      <c r="V1739" t="s">
        <v>8590</v>
      </c>
      <c r="W1739">
        <v>8</v>
      </c>
      <c r="X1739" t="s">
        <v>10329</v>
      </c>
      <c r="Y1739">
        <v>0.39713966856188271</v>
      </c>
      <c r="Z1739" t="str">
        <f>HYPERLINK("Melting_Curves/meltCurve_sp_Q14139_UBE4A_HUMAN_.pdf", "Melting_Curves/meltCurve_sp_Q14139_UBE4A_HUMAN_.pdf")</f>
        <v>Melting_Curves/meltCurve_sp_Q14139_UBE4A_HUMAN_.pdf</v>
      </c>
      <c r="AA1739" t="s">
        <v>14594</v>
      </c>
      <c r="AB1739" t="s">
        <v>18823</v>
      </c>
    </row>
    <row r="1740" spans="1:28" x14ac:dyDescent="0.25">
      <c r="A1740" t="s">
        <v>1744</v>
      </c>
      <c r="B1740">
        <v>0.99876560204751996</v>
      </c>
      <c r="C1740">
        <v>1.0580034981501001</v>
      </c>
      <c r="D1740">
        <v>0.98743061995569503</v>
      </c>
      <c r="E1740">
        <v>1.0899588703140799</v>
      </c>
      <c r="F1740">
        <v>0.89515377451644895</v>
      </c>
      <c r="G1740">
        <v>0.61701770530338396</v>
      </c>
      <c r="H1740">
        <v>0.35582597886947998</v>
      </c>
      <c r="I1740">
        <v>0.211394391100581</v>
      </c>
      <c r="J1740">
        <v>0.11394215597293</v>
      </c>
      <c r="K1740">
        <v>7.4421876059564504E-2</v>
      </c>
      <c r="L1740">
        <v>1228.4397198151801</v>
      </c>
      <c r="M1740">
        <v>21.021728076803502</v>
      </c>
      <c r="N1740">
        <v>58.801381903166501</v>
      </c>
      <c r="O1740">
        <v>57.915567594103102</v>
      </c>
      <c r="P1740">
        <v>-8.5199128849616196E-2</v>
      </c>
      <c r="Q1740">
        <v>6.1119237660372201E-2</v>
      </c>
      <c r="R1740">
        <v>0.98751516207745504</v>
      </c>
      <c r="S1740" t="s">
        <v>6036</v>
      </c>
      <c r="T1740" t="s">
        <v>8590</v>
      </c>
      <c r="U1740" t="s">
        <v>8590</v>
      </c>
      <c r="V1740" t="s">
        <v>8590</v>
      </c>
      <c r="W1740">
        <v>12</v>
      </c>
      <c r="X1740" t="s">
        <v>10330</v>
      </c>
      <c r="Y1740">
        <v>0.6478378143662229</v>
      </c>
      <c r="Z1740" t="str">
        <f>HYPERLINK("Melting_Curves/meltCurve_sp_Q14141_2_SEPT6_HUMAN_.pdf", "Melting_Curves/meltCurve_sp_Q14141_2_SEPT6_HUMAN_.pdf")</f>
        <v>Melting_Curves/meltCurve_sp_Q14141_2_SEPT6_HUMAN_.pdf</v>
      </c>
      <c r="AA1740" t="s">
        <v>14595</v>
      </c>
      <c r="AB1740" t="s">
        <v>18824</v>
      </c>
    </row>
    <row r="1741" spans="1:28" x14ac:dyDescent="0.25">
      <c r="A1741" t="s">
        <v>1745</v>
      </c>
      <c r="B1741">
        <v>0.99876560204751996</v>
      </c>
      <c r="C1741">
        <v>0.97630885450331995</v>
      </c>
      <c r="D1741">
        <v>0.891690146696829</v>
      </c>
      <c r="E1741">
        <v>0.87680848792601196</v>
      </c>
      <c r="F1741">
        <v>0.48436874656581602</v>
      </c>
      <c r="G1741">
        <v>0.313235834767846</v>
      </c>
      <c r="H1741">
        <v>0.22830236043198801</v>
      </c>
      <c r="I1741">
        <v>0.22139600756296099</v>
      </c>
      <c r="J1741">
        <v>0.212892547788465</v>
      </c>
      <c r="K1741">
        <v>0.199981257444973</v>
      </c>
      <c r="L1741">
        <v>1567.75079101341</v>
      </c>
      <c r="M1741">
        <v>30.047107731457402</v>
      </c>
      <c r="N1741">
        <v>53.187348430770101</v>
      </c>
      <c r="O1741">
        <v>51.946964478973698</v>
      </c>
      <c r="P1741">
        <v>-0.113147074702586</v>
      </c>
      <c r="Q1741">
        <v>0.21754761999917399</v>
      </c>
      <c r="R1741">
        <v>0.98706413837644702</v>
      </c>
      <c r="S1741" t="s">
        <v>6037</v>
      </c>
      <c r="T1741" t="s">
        <v>8590</v>
      </c>
      <c r="U1741" t="s">
        <v>8590</v>
      </c>
      <c r="V1741" t="s">
        <v>8590</v>
      </c>
      <c r="W1741">
        <v>4</v>
      </c>
      <c r="X1741" t="s">
        <v>10331</v>
      </c>
      <c r="Y1741">
        <v>0.54012763932419006</v>
      </c>
      <c r="Z1741" t="str">
        <f>HYPERLINK("Melting_Curves/meltCurve_sp_Q14155_1_ARHG7_HUMAN_.pdf", "Melting_Curves/meltCurve_sp_Q14155_1_ARHG7_HUMAN_.pdf")</f>
        <v>Melting_Curves/meltCurve_sp_Q14155_1_ARHG7_HUMAN_.pdf</v>
      </c>
      <c r="AA1741" t="s">
        <v>14596</v>
      </c>
      <c r="AB1741" t="s">
        <v>18825</v>
      </c>
    </row>
    <row r="1742" spans="1:28" x14ac:dyDescent="0.25">
      <c r="A1742" t="s">
        <v>1746</v>
      </c>
      <c r="B1742">
        <v>0.99876560204751996</v>
      </c>
      <c r="C1742">
        <v>0.89497716262278604</v>
      </c>
      <c r="D1742">
        <v>0.99718219784601103</v>
      </c>
      <c r="E1742">
        <v>0.87860072297694203</v>
      </c>
      <c r="F1742">
        <v>0.89641540475358805</v>
      </c>
      <c r="G1742">
        <v>0.72851096832931495</v>
      </c>
      <c r="H1742">
        <v>0.631215776717304</v>
      </c>
      <c r="I1742">
        <v>0.62639819597629198</v>
      </c>
      <c r="J1742">
        <v>0.75966965857389601</v>
      </c>
      <c r="K1742">
        <v>0.70357529625321202</v>
      </c>
      <c r="L1742">
        <v>1077.7602589453199</v>
      </c>
      <c r="M1742">
        <v>20.322497719940198</v>
      </c>
      <c r="O1742">
        <v>52.527371563733702</v>
      </c>
      <c r="P1742">
        <v>-3.14973943797935E-2</v>
      </c>
      <c r="Q1742">
        <v>0.67436584602004301</v>
      </c>
      <c r="R1742">
        <v>0.82352131062532596</v>
      </c>
      <c r="S1742" t="s">
        <v>6038</v>
      </c>
      <c r="T1742" t="s">
        <v>8590</v>
      </c>
      <c r="U1742" t="s">
        <v>8590</v>
      </c>
      <c r="V1742" t="s">
        <v>8590</v>
      </c>
      <c r="W1742">
        <v>13</v>
      </c>
      <c r="X1742" t="s">
        <v>10332</v>
      </c>
      <c r="Y1742">
        <v>0.82018724896472694</v>
      </c>
      <c r="Z1742" t="str">
        <f>HYPERLINK("Melting_Curves/meltCurve_sp_Q14157_UBP2L_HUMAN_.pdf", "Melting_Curves/meltCurve_sp_Q14157_UBP2L_HUMAN_.pdf")</f>
        <v>Melting_Curves/meltCurve_sp_Q14157_UBP2L_HUMAN_.pdf</v>
      </c>
      <c r="AA1742" t="s">
        <v>14597</v>
      </c>
      <c r="AB1742" t="s">
        <v>18826</v>
      </c>
    </row>
    <row r="1743" spans="1:28" x14ac:dyDescent="0.25">
      <c r="A1743" t="s">
        <v>1747</v>
      </c>
      <c r="B1743">
        <v>0.99876560204751996</v>
      </c>
      <c r="C1743">
        <v>0.94586040506092905</v>
      </c>
      <c r="D1743">
        <v>0.87733798609536995</v>
      </c>
      <c r="E1743">
        <v>0.61605906778929498</v>
      </c>
      <c r="F1743">
        <v>0.43182228996806299</v>
      </c>
      <c r="G1743">
        <v>0.32260584545672799</v>
      </c>
      <c r="H1743">
        <v>0.253123253032628</v>
      </c>
      <c r="I1743">
        <v>0.24546912209278199</v>
      </c>
      <c r="J1743">
        <v>0.30488381735637099</v>
      </c>
      <c r="K1743">
        <v>0.29380202868387401</v>
      </c>
      <c r="L1743">
        <v>985.29503066196503</v>
      </c>
      <c r="M1743">
        <v>19.831601905073999</v>
      </c>
      <c r="N1743">
        <v>51.6760322967205</v>
      </c>
      <c r="O1743">
        <v>49.186163815037403</v>
      </c>
      <c r="P1743">
        <v>-7.3858280171450602E-2</v>
      </c>
      <c r="Q1743">
        <v>0.26729386895028701</v>
      </c>
      <c r="R1743">
        <v>0.994901526836932</v>
      </c>
      <c r="S1743" t="s">
        <v>6039</v>
      </c>
      <c r="T1743" t="s">
        <v>8590</v>
      </c>
      <c r="U1743" t="s">
        <v>8590</v>
      </c>
      <c r="V1743" t="s">
        <v>8590</v>
      </c>
      <c r="W1743">
        <v>20</v>
      </c>
      <c r="X1743" t="s">
        <v>10333</v>
      </c>
      <c r="Y1743">
        <v>0.51417541134622402</v>
      </c>
      <c r="Z1743" t="str">
        <f>HYPERLINK("Melting_Curves/meltCurve_sp_Q14160_SCRIB_HUMAN_.pdf", "Melting_Curves/meltCurve_sp_Q14160_SCRIB_HUMAN_.pdf")</f>
        <v>Melting_Curves/meltCurve_sp_Q14160_SCRIB_HUMAN_.pdf</v>
      </c>
      <c r="AA1743" t="s">
        <v>14598</v>
      </c>
      <c r="AB1743" t="s">
        <v>18827</v>
      </c>
    </row>
    <row r="1744" spans="1:28" x14ac:dyDescent="0.25">
      <c r="A1744" t="s">
        <v>1748</v>
      </c>
      <c r="B1744">
        <v>0.99876560204751996</v>
      </c>
      <c r="C1744">
        <v>0.95930787326621703</v>
      </c>
      <c r="D1744">
        <v>0.92454119341821905</v>
      </c>
      <c r="E1744">
        <v>0.732042414371468</v>
      </c>
      <c r="F1744">
        <v>0.49716911621300602</v>
      </c>
      <c r="G1744">
        <v>0.35936697087131497</v>
      </c>
      <c r="H1744">
        <v>0.27185276080807302</v>
      </c>
      <c r="I1744">
        <v>0.22891731708926899</v>
      </c>
      <c r="J1744">
        <v>0.26279359965507199</v>
      </c>
      <c r="K1744">
        <v>0.26715443231588798</v>
      </c>
      <c r="L1744">
        <v>988.42291760891396</v>
      </c>
      <c r="M1744">
        <v>19.2457656147803</v>
      </c>
      <c r="N1744">
        <v>53.2112653344089</v>
      </c>
      <c r="O1744">
        <v>50.813098888213297</v>
      </c>
      <c r="P1744">
        <v>-7.15659702159194E-2</v>
      </c>
      <c r="Q1744">
        <v>0.244228348922823</v>
      </c>
      <c r="R1744">
        <v>0.99695938228238801</v>
      </c>
      <c r="S1744" t="s">
        <v>6040</v>
      </c>
      <c r="T1744" t="s">
        <v>8590</v>
      </c>
      <c r="U1744" t="s">
        <v>8590</v>
      </c>
      <c r="V1744" t="s">
        <v>8590</v>
      </c>
      <c r="W1744">
        <v>6</v>
      </c>
      <c r="X1744" t="s">
        <v>10334</v>
      </c>
      <c r="Y1744">
        <v>0.54160800572083778</v>
      </c>
      <c r="Z1744" t="str">
        <f>HYPERLINK("Melting_Curves/meltCurve_sp_Q14161_GIT2_HUMAN_.pdf", "Melting_Curves/meltCurve_sp_Q14161_GIT2_HUMAN_.pdf")</f>
        <v>Melting_Curves/meltCurve_sp_Q14161_GIT2_HUMAN_.pdf</v>
      </c>
      <c r="AA1744" t="s">
        <v>14599</v>
      </c>
      <c r="AB1744" t="s">
        <v>18828</v>
      </c>
    </row>
    <row r="1745" spans="1:28" x14ac:dyDescent="0.25">
      <c r="A1745" t="s">
        <v>1749</v>
      </c>
      <c r="B1745">
        <v>0.99876560204751996</v>
      </c>
      <c r="C1745">
        <v>0.81673846873438705</v>
      </c>
      <c r="D1745">
        <v>0.37670658178452898</v>
      </c>
      <c r="E1745">
        <v>0.21695991125175301</v>
      </c>
      <c r="F1745">
        <v>0.112013101532717</v>
      </c>
      <c r="G1745">
        <v>5.9285009251350398E-2</v>
      </c>
      <c r="H1745">
        <v>4.6785995371943702E-2</v>
      </c>
      <c r="I1745">
        <v>3.1632296675809003E-2</v>
      </c>
      <c r="J1745">
        <v>3.3727371936158698E-2</v>
      </c>
      <c r="K1745">
        <v>1.4779245687328199E-2</v>
      </c>
      <c r="L1745">
        <v>1034.10797087683</v>
      </c>
      <c r="M1745">
        <v>22.8525984941163</v>
      </c>
      <c r="N1745">
        <v>45.4523355899127</v>
      </c>
      <c r="O1745">
        <v>44.909011747742902</v>
      </c>
      <c r="P1745">
        <v>-0.121101092343686</v>
      </c>
      <c r="Q1745">
        <v>4.8086699880794503E-2</v>
      </c>
      <c r="R1745">
        <v>0.98766982441192797</v>
      </c>
      <c r="S1745" t="s">
        <v>6041</v>
      </c>
      <c r="T1745" t="s">
        <v>8590</v>
      </c>
      <c r="U1745" t="s">
        <v>8590</v>
      </c>
      <c r="V1745" t="s">
        <v>8590</v>
      </c>
      <c r="W1745">
        <v>13</v>
      </c>
      <c r="X1745" t="s">
        <v>10335</v>
      </c>
      <c r="Y1745">
        <v>0.22617349953013399</v>
      </c>
      <c r="Z1745" t="str">
        <f>HYPERLINK("Melting_Curves/meltCurve_sp_Q14166_TTL12_HUMAN_.pdf", "Melting_Curves/meltCurve_sp_Q14166_TTL12_HUMAN_.pdf")</f>
        <v>Melting_Curves/meltCurve_sp_Q14166_TTL12_HUMAN_.pdf</v>
      </c>
      <c r="AA1745" t="s">
        <v>14600</v>
      </c>
      <c r="AB1745" t="s">
        <v>18829</v>
      </c>
    </row>
    <row r="1746" spans="1:28" x14ac:dyDescent="0.25">
      <c r="A1746" t="s">
        <v>1750</v>
      </c>
      <c r="B1746">
        <v>0.99876560204751996</v>
      </c>
      <c r="C1746">
        <v>1.0040318118645399</v>
      </c>
      <c r="D1746">
        <v>1.0328171617376001</v>
      </c>
      <c r="E1746">
        <v>0.74577499978386697</v>
      </c>
      <c r="F1746">
        <v>0.40305782140500901</v>
      </c>
      <c r="G1746">
        <v>0.233739652857264</v>
      </c>
      <c r="H1746">
        <v>0.22847008018364001</v>
      </c>
      <c r="I1746">
        <v>0.16010622110185199</v>
      </c>
      <c r="J1746">
        <v>0.14390597632318999</v>
      </c>
      <c r="K1746">
        <v>5.8166116529365999E-2</v>
      </c>
      <c r="L1746">
        <v>1445.21159286292</v>
      </c>
      <c r="M1746">
        <v>28.023451111977199</v>
      </c>
      <c r="N1746">
        <v>52.224171727020597</v>
      </c>
      <c r="O1746">
        <v>51.3110198048537</v>
      </c>
      <c r="P1746">
        <v>-0.116366795437212</v>
      </c>
      <c r="Q1746">
        <v>0.14773527377199899</v>
      </c>
      <c r="R1746">
        <v>0.98745844422303497</v>
      </c>
      <c r="S1746" t="s">
        <v>6042</v>
      </c>
      <c r="T1746" t="s">
        <v>8590</v>
      </c>
      <c r="U1746" t="s">
        <v>8590</v>
      </c>
      <c r="V1746" t="s">
        <v>8590</v>
      </c>
      <c r="W1746">
        <v>3</v>
      </c>
      <c r="X1746" t="s">
        <v>10336</v>
      </c>
      <c r="Y1746">
        <v>0.48266030240632579</v>
      </c>
      <c r="Z1746" t="str">
        <f>HYPERLINK("Melting_Curves/meltCurve_sp_Q14185_DOCK1_HUMAN_.pdf", "Melting_Curves/meltCurve_sp_Q14185_DOCK1_HUMAN_.pdf")</f>
        <v>Melting_Curves/meltCurve_sp_Q14185_DOCK1_HUMAN_.pdf</v>
      </c>
      <c r="AA1746" t="s">
        <v>14601</v>
      </c>
      <c r="AB1746" t="s">
        <v>18830</v>
      </c>
    </row>
    <row r="1747" spans="1:28" x14ac:dyDescent="0.25">
      <c r="A1747" t="s">
        <v>1751</v>
      </c>
      <c r="B1747">
        <v>0.99876560204751996</v>
      </c>
      <c r="C1747">
        <v>0.93564593258502604</v>
      </c>
      <c r="D1747">
        <v>0.94389935377772005</v>
      </c>
      <c r="E1747">
        <v>0.83997698549213995</v>
      </c>
      <c r="F1747">
        <v>0.76643753840152096</v>
      </c>
      <c r="G1747">
        <v>0.58761104636127204</v>
      </c>
      <c r="H1747">
        <v>0.53522888740276198</v>
      </c>
      <c r="I1747">
        <v>0.519897084724948</v>
      </c>
      <c r="J1747">
        <v>0.66064081976958899</v>
      </c>
      <c r="K1747">
        <v>0.60928472648729903</v>
      </c>
      <c r="L1747">
        <v>1033.8287637421599</v>
      </c>
      <c r="M1747">
        <v>20.1096783965756</v>
      </c>
      <c r="O1747">
        <v>50.909234620722003</v>
      </c>
      <c r="P1747">
        <v>-4.2283135755678297E-2</v>
      </c>
      <c r="Q1747">
        <v>0.57184126854962303</v>
      </c>
      <c r="R1747">
        <v>0.92607201477343104</v>
      </c>
      <c r="S1747" t="s">
        <v>6043</v>
      </c>
      <c r="T1747" t="s">
        <v>8590</v>
      </c>
      <c r="U1747" t="s">
        <v>8590</v>
      </c>
      <c r="V1747" t="s">
        <v>8590</v>
      </c>
      <c r="W1747">
        <v>8</v>
      </c>
      <c r="X1747" t="s">
        <v>10337</v>
      </c>
      <c r="Y1747">
        <v>0.74055503751327378</v>
      </c>
      <c r="Z1747" t="str">
        <f>HYPERLINK("Melting_Curves/meltCurve_sp_Q14192_FHL2_HUMAN_.pdf", "Melting_Curves/meltCurve_sp_Q14192_FHL2_HUMAN_.pdf")</f>
        <v>Melting_Curves/meltCurve_sp_Q14192_FHL2_HUMAN_.pdf</v>
      </c>
      <c r="AA1747" t="s">
        <v>14602</v>
      </c>
      <c r="AB1747" t="s">
        <v>18831</v>
      </c>
    </row>
    <row r="1748" spans="1:28" x14ac:dyDescent="0.25">
      <c r="A1748" t="s">
        <v>1752</v>
      </c>
      <c r="B1748">
        <v>0.99876560204751996</v>
      </c>
      <c r="C1748">
        <v>1.005831771892</v>
      </c>
      <c r="D1748">
        <v>0.90914443513542298</v>
      </c>
      <c r="E1748">
        <v>0.71606867340229097</v>
      </c>
      <c r="F1748">
        <v>0.46750288064435802</v>
      </c>
      <c r="G1748">
        <v>0.23254904344215099</v>
      </c>
      <c r="H1748">
        <v>0.12702741350406099</v>
      </c>
      <c r="I1748">
        <v>8.94607830708046E-2</v>
      </c>
      <c r="J1748">
        <v>8.5620050486798396E-2</v>
      </c>
      <c r="K1748">
        <v>7.2815518641737006E-2</v>
      </c>
      <c r="L1748">
        <v>946.85892865847404</v>
      </c>
      <c r="M1748">
        <v>18.1326337065268</v>
      </c>
      <c r="N1748">
        <v>52.6117178952071</v>
      </c>
      <c r="O1748">
        <v>51.595810955111197</v>
      </c>
      <c r="P1748">
        <v>-8.2295334419680899E-2</v>
      </c>
      <c r="Q1748">
        <v>6.3370259801299206E-2</v>
      </c>
      <c r="R1748">
        <v>0.99934642554019804</v>
      </c>
      <c r="S1748" t="s">
        <v>6044</v>
      </c>
      <c r="T1748" t="s">
        <v>8590</v>
      </c>
      <c r="U1748" t="s">
        <v>8590</v>
      </c>
      <c r="V1748" t="s">
        <v>8590</v>
      </c>
      <c r="W1748">
        <v>33</v>
      </c>
      <c r="X1748" t="s">
        <v>10338</v>
      </c>
      <c r="Y1748">
        <v>0.46019068126287799</v>
      </c>
      <c r="Z1748" t="str">
        <f>HYPERLINK("Melting_Curves/meltCurve_sp_Q14203_6_DCTN1_HUMAN_.pdf", "Melting_Curves/meltCurve_sp_Q14203_6_DCTN1_HUMAN_.pdf")</f>
        <v>Melting_Curves/meltCurve_sp_Q14203_6_DCTN1_HUMAN_.pdf</v>
      </c>
      <c r="AA1748" t="s">
        <v>14603</v>
      </c>
      <c r="AB1748" t="s">
        <v>18832</v>
      </c>
    </row>
    <row r="1749" spans="1:28" x14ac:dyDescent="0.25">
      <c r="A1749" t="s">
        <v>1753</v>
      </c>
      <c r="B1749">
        <v>0.99876560204751996</v>
      </c>
      <c r="C1749">
        <v>1.03534660312203</v>
      </c>
      <c r="D1749">
        <v>0.92304782885916203</v>
      </c>
      <c r="E1749">
        <v>0.49866370373895202</v>
      </c>
      <c r="F1749">
        <v>0.22832049205628699</v>
      </c>
      <c r="G1749">
        <v>0.151383942660029</v>
      </c>
      <c r="H1749">
        <v>0.11087692731674099</v>
      </c>
      <c r="I1749">
        <v>0.107859603776517</v>
      </c>
      <c r="J1749">
        <v>9.5114343941344395E-2</v>
      </c>
      <c r="K1749">
        <v>6.8022728271749502E-2</v>
      </c>
      <c r="L1749">
        <v>1440.80056712788</v>
      </c>
      <c r="M1749">
        <v>29.013782830518799</v>
      </c>
      <c r="N1749">
        <v>50.048214423865801</v>
      </c>
      <c r="O1749">
        <v>49.425061982315803</v>
      </c>
      <c r="P1749">
        <v>-0.13194114182491401</v>
      </c>
      <c r="Q1749">
        <v>0.100958244840252</v>
      </c>
      <c r="R1749">
        <v>0.99724614160215796</v>
      </c>
      <c r="S1749" t="s">
        <v>6045</v>
      </c>
      <c r="T1749" t="s">
        <v>8590</v>
      </c>
      <c r="U1749" t="s">
        <v>8590</v>
      </c>
      <c r="V1749" t="s">
        <v>8590</v>
      </c>
      <c r="W1749">
        <v>111</v>
      </c>
      <c r="X1749" t="s">
        <v>10339</v>
      </c>
      <c r="Y1749">
        <v>0.39634415992051142</v>
      </c>
      <c r="Z1749" t="str">
        <f>HYPERLINK("Melting_Curves/meltCurve_sp_Q14204_DYHC1_HUMAN_.pdf", "Melting_Curves/meltCurve_sp_Q14204_DYHC1_HUMAN_.pdf")</f>
        <v>Melting_Curves/meltCurve_sp_Q14204_DYHC1_HUMAN_.pdf</v>
      </c>
      <c r="AA1749" t="s">
        <v>14604</v>
      </c>
      <c r="AB1749" t="s">
        <v>18833</v>
      </c>
    </row>
    <row r="1750" spans="1:28" x14ac:dyDescent="0.25">
      <c r="A1750" t="s">
        <v>1754</v>
      </c>
      <c r="B1750">
        <v>0.99876560204751996</v>
      </c>
      <c r="C1750">
        <v>0.988275589497144</v>
      </c>
      <c r="D1750">
        <v>1.0351313585131401</v>
      </c>
      <c r="E1750">
        <v>0.89271826574685798</v>
      </c>
      <c r="F1750">
        <v>0.78111373832596098</v>
      </c>
      <c r="G1750">
        <v>0.44921699174068402</v>
      </c>
      <c r="H1750">
        <v>0.111679811863578</v>
      </c>
      <c r="I1750">
        <v>7.3004116552918594E-2</v>
      </c>
      <c r="J1750">
        <v>6.2557293389978494E-2</v>
      </c>
      <c r="K1750">
        <v>6.6456820257942598E-2</v>
      </c>
      <c r="L1750">
        <v>1264.15453200508</v>
      </c>
      <c r="M1750">
        <v>22.604332416401402</v>
      </c>
      <c r="N1750">
        <v>56.084773610087801</v>
      </c>
      <c r="O1750">
        <v>55.493138793877499</v>
      </c>
      <c r="P1750">
        <v>-9.8666594100277796E-2</v>
      </c>
      <c r="Q1750">
        <v>3.1122156619977099E-2</v>
      </c>
      <c r="R1750">
        <v>0.995115057332154</v>
      </c>
      <c r="S1750" t="s">
        <v>6046</v>
      </c>
      <c r="T1750" t="s">
        <v>8590</v>
      </c>
      <c r="U1750" t="s">
        <v>8590</v>
      </c>
      <c r="V1750" t="s">
        <v>8590</v>
      </c>
      <c r="W1750">
        <v>10</v>
      </c>
      <c r="X1750" t="s">
        <v>10340</v>
      </c>
      <c r="Y1750">
        <v>0.5559139738953297</v>
      </c>
      <c r="Z1750" t="str">
        <f>HYPERLINK("Melting_Curves/meltCurve_sp_Q14232_EI2BA_HUMAN_.pdf", "Melting_Curves/meltCurve_sp_Q14232_EI2BA_HUMAN_.pdf")</f>
        <v>Melting_Curves/meltCurve_sp_Q14232_EI2BA_HUMAN_.pdf</v>
      </c>
      <c r="AA1750" t="s">
        <v>14605</v>
      </c>
      <c r="AB1750" t="s">
        <v>18834</v>
      </c>
    </row>
    <row r="1751" spans="1:28" x14ac:dyDescent="0.25">
      <c r="A1751" t="s">
        <v>1755</v>
      </c>
      <c r="B1751">
        <v>0.99876560204751996</v>
      </c>
      <c r="C1751">
        <v>0.97224559788843101</v>
      </c>
      <c r="D1751">
        <v>1.01402552633939</v>
      </c>
      <c r="E1751">
        <v>0.91469698521346099</v>
      </c>
      <c r="F1751">
        <v>0.87436212450698603</v>
      </c>
      <c r="G1751">
        <v>0.52186706812648498</v>
      </c>
      <c r="H1751">
        <v>0.12239187518217801</v>
      </c>
      <c r="I1751">
        <v>8.6371150517751502E-2</v>
      </c>
      <c r="J1751">
        <v>8.0975769807736506E-2</v>
      </c>
      <c r="K1751">
        <v>7.8388083313193996E-2</v>
      </c>
      <c r="L1751">
        <v>1618.8611934247201</v>
      </c>
      <c r="M1751">
        <v>28.551142296494099</v>
      </c>
      <c r="N1751">
        <v>56.937448780825697</v>
      </c>
      <c r="O1751">
        <v>56.424427721508899</v>
      </c>
      <c r="P1751">
        <v>-0.119413763014396</v>
      </c>
      <c r="Q1751">
        <v>5.6037802084796098E-2</v>
      </c>
      <c r="R1751">
        <v>0.99473190078666696</v>
      </c>
      <c r="S1751" t="s">
        <v>6047</v>
      </c>
      <c r="T1751" t="s">
        <v>8590</v>
      </c>
      <c r="U1751" t="s">
        <v>8590</v>
      </c>
      <c r="V1751" t="s">
        <v>8590</v>
      </c>
      <c r="W1751">
        <v>21</v>
      </c>
      <c r="X1751" t="s">
        <v>10341</v>
      </c>
      <c r="Y1751">
        <v>0.58838945220732675</v>
      </c>
      <c r="Z1751" t="str">
        <f>HYPERLINK("Melting_Curves/meltCurve_sp_Q14240_IF4A2_HUMAN_.pdf", "Melting_Curves/meltCurve_sp_Q14240_IF4A2_HUMAN_.pdf")</f>
        <v>Melting_Curves/meltCurve_sp_Q14240_IF4A2_HUMAN_.pdf</v>
      </c>
      <c r="AA1751" t="s">
        <v>14606</v>
      </c>
      <c r="AB1751" t="s">
        <v>18835</v>
      </c>
    </row>
    <row r="1752" spans="1:28" x14ac:dyDescent="0.25">
      <c r="A1752" t="s">
        <v>1756</v>
      </c>
      <c r="B1752">
        <v>0.99876560204751996</v>
      </c>
      <c r="C1752">
        <v>0.87205529337785204</v>
      </c>
      <c r="D1752">
        <v>0.94103133111603399</v>
      </c>
      <c r="E1752">
        <v>0.59900759696742101</v>
      </c>
      <c r="F1752">
        <v>0.41737899719060101</v>
      </c>
      <c r="G1752">
        <v>0.296851630825611</v>
      </c>
      <c r="H1752">
        <v>0.24034790683219001</v>
      </c>
      <c r="I1752">
        <v>0.23014831972845401</v>
      </c>
      <c r="J1752">
        <v>0.32324853810897403</v>
      </c>
      <c r="K1752">
        <v>0.228223036092606</v>
      </c>
      <c r="L1752">
        <v>1081.6194925422501</v>
      </c>
      <c r="M1752">
        <v>21.701754622029</v>
      </c>
      <c r="N1752">
        <v>51.484902438589501</v>
      </c>
      <c r="O1752">
        <v>49.422780566082402</v>
      </c>
      <c r="P1752">
        <v>-8.2330472579226002E-2</v>
      </c>
      <c r="Q1752">
        <v>0.25003206968862501</v>
      </c>
      <c r="R1752">
        <v>0.97694217203839995</v>
      </c>
      <c r="S1752" t="s">
        <v>6048</v>
      </c>
      <c r="T1752" t="s">
        <v>8590</v>
      </c>
      <c r="U1752" t="s">
        <v>8590</v>
      </c>
      <c r="V1752" t="s">
        <v>8590</v>
      </c>
      <c r="W1752">
        <v>7</v>
      </c>
      <c r="X1752" t="s">
        <v>10342</v>
      </c>
      <c r="Y1752">
        <v>0.50491538712008432</v>
      </c>
      <c r="Z1752" t="str">
        <f>HYPERLINK("Melting_Curves/meltCurve_sp_Q14241_ELOA1_HUMAN_.pdf", "Melting_Curves/meltCurve_sp_Q14241_ELOA1_HUMAN_.pdf")</f>
        <v>Melting_Curves/meltCurve_sp_Q14241_ELOA1_HUMAN_.pdf</v>
      </c>
      <c r="AA1752" t="s">
        <v>14607</v>
      </c>
      <c r="AB1752" t="s">
        <v>18836</v>
      </c>
    </row>
    <row r="1753" spans="1:28" x14ac:dyDescent="0.25">
      <c r="A1753" t="s">
        <v>1757</v>
      </c>
      <c r="B1753">
        <v>0.99876560204751996</v>
      </c>
      <c r="C1753">
        <v>0.94082320877284997</v>
      </c>
      <c r="D1753">
        <v>1.05952766171701</v>
      </c>
      <c r="E1753">
        <v>0.91841223984921905</v>
      </c>
      <c r="F1753">
        <v>0.98317494387392701</v>
      </c>
      <c r="G1753">
        <v>0.73092339277114604</v>
      </c>
      <c r="H1753">
        <v>0.67258162829975399</v>
      </c>
      <c r="I1753">
        <v>0.674754310011353</v>
      </c>
      <c r="J1753">
        <v>0.81975577625680995</v>
      </c>
      <c r="K1753">
        <v>0.79526358818891496</v>
      </c>
      <c r="L1753">
        <v>13391.850306238201</v>
      </c>
      <c r="M1753">
        <v>250</v>
      </c>
      <c r="O1753">
        <v>53.5639748428652</v>
      </c>
      <c r="P1753">
        <v>-0.30494409222949798</v>
      </c>
      <c r="Q1753">
        <v>0.73865572503912802</v>
      </c>
      <c r="R1753">
        <v>0.81831080907299603</v>
      </c>
      <c r="S1753" t="s">
        <v>6049</v>
      </c>
      <c r="T1753" t="s">
        <v>8590</v>
      </c>
      <c r="U1753" t="s">
        <v>8590</v>
      </c>
      <c r="V1753" t="s">
        <v>8590</v>
      </c>
      <c r="W1753">
        <v>11</v>
      </c>
      <c r="X1753" t="s">
        <v>10343</v>
      </c>
      <c r="Y1753">
        <v>0.85687238187739156</v>
      </c>
      <c r="Z1753" t="str">
        <f>HYPERLINK("Melting_Curves/meltCurve_sp_Q14244_2_MAP7_HUMAN_.pdf", "Melting_Curves/meltCurve_sp_Q14244_2_MAP7_HUMAN_.pdf")</f>
        <v>Melting_Curves/meltCurve_sp_Q14244_2_MAP7_HUMAN_.pdf</v>
      </c>
      <c r="AA1753" t="s">
        <v>14608</v>
      </c>
      <c r="AB1753" t="s">
        <v>18837</v>
      </c>
    </row>
    <row r="1754" spans="1:28" x14ac:dyDescent="0.25">
      <c r="A1754" t="s">
        <v>1758</v>
      </c>
      <c r="B1754">
        <v>0.99876560204751996</v>
      </c>
      <c r="C1754">
        <v>0.85098258746310396</v>
      </c>
      <c r="D1754">
        <v>1.10234759533513</v>
      </c>
      <c r="E1754">
        <v>0.89474858848007899</v>
      </c>
      <c r="F1754">
        <v>0.92070158818474501</v>
      </c>
      <c r="G1754">
        <v>0.67199422897636396</v>
      </c>
      <c r="H1754">
        <v>0.70125357826844803</v>
      </c>
      <c r="I1754">
        <v>0.57167676086765995</v>
      </c>
      <c r="J1754">
        <v>0.67993209505974295</v>
      </c>
      <c r="K1754">
        <v>0.75391038164707802</v>
      </c>
      <c r="L1754">
        <v>2232.0002106778102</v>
      </c>
      <c r="M1754">
        <v>41.3677535577228</v>
      </c>
      <c r="O1754">
        <v>53.829447796692698</v>
      </c>
      <c r="P1754">
        <v>-6.3361224571568897E-2</v>
      </c>
      <c r="Q1754">
        <v>0.67020751582970295</v>
      </c>
      <c r="R1754">
        <v>0.75657545537329296</v>
      </c>
      <c r="S1754" t="s">
        <v>6050</v>
      </c>
      <c r="T1754" t="s">
        <v>8590</v>
      </c>
      <c r="U1754" t="s">
        <v>8590</v>
      </c>
      <c r="V1754" t="s">
        <v>8590</v>
      </c>
      <c r="W1754">
        <v>37</v>
      </c>
      <c r="X1754" t="s">
        <v>10344</v>
      </c>
      <c r="Y1754">
        <v>0.82476448597621566</v>
      </c>
      <c r="Z1754" t="str">
        <f>HYPERLINK("Melting_Curves/meltCurve_sp_Q14247_3_SRC8_HUMAN_.pdf", "Melting_Curves/meltCurve_sp_Q14247_3_SRC8_HUMAN_.pdf")</f>
        <v>Melting_Curves/meltCurve_sp_Q14247_3_SRC8_HUMAN_.pdf</v>
      </c>
      <c r="AA1754" t="s">
        <v>14609</v>
      </c>
      <c r="AB1754" t="s">
        <v>18838</v>
      </c>
    </row>
    <row r="1755" spans="1:28" x14ac:dyDescent="0.25">
      <c r="A1755" t="s">
        <v>1759</v>
      </c>
      <c r="B1755">
        <v>0.99876560204751996</v>
      </c>
      <c r="C1755">
        <v>0.95501030835652201</v>
      </c>
      <c r="D1755">
        <v>1.0397019655034401</v>
      </c>
      <c r="E1755">
        <v>0.94179279680372896</v>
      </c>
      <c r="F1755">
        <v>0.96120452031428005</v>
      </c>
      <c r="G1755">
        <v>0.76072182981955005</v>
      </c>
      <c r="H1755">
        <v>0.70240202065663604</v>
      </c>
      <c r="I1755">
        <v>0.68841435444584997</v>
      </c>
      <c r="J1755">
        <v>0.83760652131195601</v>
      </c>
      <c r="K1755">
        <v>0.84892167398346796</v>
      </c>
      <c r="L1755">
        <v>6576.9895101817201</v>
      </c>
      <c r="M1755">
        <v>122.489314078663</v>
      </c>
      <c r="O1755">
        <v>53.680097065129097</v>
      </c>
      <c r="P1755">
        <v>-0.132587456850629</v>
      </c>
      <c r="Q1755">
        <v>0.76757790169655404</v>
      </c>
      <c r="R1755">
        <v>0.79301848877927295</v>
      </c>
      <c r="S1755" t="s">
        <v>6051</v>
      </c>
      <c r="T1755" t="s">
        <v>8590</v>
      </c>
      <c r="U1755" t="s">
        <v>8590</v>
      </c>
      <c r="V1755" t="s">
        <v>8590</v>
      </c>
      <c r="W1755">
        <v>40</v>
      </c>
      <c r="X1755" t="s">
        <v>10345</v>
      </c>
      <c r="Y1755">
        <v>0.87376519523839868</v>
      </c>
      <c r="Z1755" t="str">
        <f>HYPERLINK("Melting_Curves/meltCurve_sp_Q14247_SRC8_HUMAN_.pdf", "Melting_Curves/meltCurve_sp_Q14247_SRC8_HUMAN_.pdf")</f>
        <v>Melting_Curves/meltCurve_sp_Q14247_SRC8_HUMAN_.pdf</v>
      </c>
      <c r="AA1755" t="s">
        <v>14609</v>
      </c>
      <c r="AB1755" t="s">
        <v>18839</v>
      </c>
    </row>
    <row r="1756" spans="1:28" x14ac:dyDescent="0.25">
      <c r="A1756" t="s">
        <v>1760</v>
      </c>
      <c r="B1756">
        <v>0.99876560204751996</v>
      </c>
      <c r="C1756">
        <v>1.15231641090495</v>
      </c>
      <c r="D1756">
        <v>0.92311097164843703</v>
      </c>
      <c r="E1756">
        <v>0.68285532009324301</v>
      </c>
      <c r="F1756">
        <v>0.253743275881812</v>
      </c>
      <c r="G1756">
        <v>0.15129757850341599</v>
      </c>
      <c r="H1756">
        <v>8.0873175506151002E-2</v>
      </c>
      <c r="I1756">
        <v>2.2880643831556201E-2</v>
      </c>
      <c r="J1756">
        <v>0</v>
      </c>
      <c r="K1756">
        <v>0</v>
      </c>
      <c r="L1756">
        <v>1411.8483074436699</v>
      </c>
      <c r="M1756">
        <v>27.621769414367101</v>
      </c>
      <c r="N1756">
        <v>51.2352364160269</v>
      </c>
      <c r="O1756">
        <v>50.847952274590597</v>
      </c>
      <c r="P1756">
        <v>-0.13149754438804001</v>
      </c>
      <c r="Q1756">
        <v>3.1731784386317199E-2</v>
      </c>
      <c r="R1756">
        <v>0.98106841650155896</v>
      </c>
      <c r="S1756" t="s">
        <v>6052</v>
      </c>
      <c r="T1756" t="s">
        <v>8590</v>
      </c>
      <c r="U1756" t="s">
        <v>8590</v>
      </c>
      <c r="V1756" t="s">
        <v>8590</v>
      </c>
      <c r="W1756">
        <v>1</v>
      </c>
      <c r="X1756" t="s">
        <v>10346</v>
      </c>
      <c r="Y1756">
        <v>0.39762183605260137</v>
      </c>
      <c r="Z1756" t="str">
        <f>HYPERLINK("Melting_Curves/meltCurve_sp_Q14249_NUCG_HUMAN_.pdf", "Melting_Curves/meltCurve_sp_Q14249_NUCG_HUMAN_.pdf")</f>
        <v>Melting_Curves/meltCurve_sp_Q14249_NUCG_HUMAN_.pdf</v>
      </c>
      <c r="AA1756" t="s">
        <v>14610</v>
      </c>
      <c r="AB1756" t="s">
        <v>18840</v>
      </c>
    </row>
    <row r="1757" spans="1:28" x14ac:dyDescent="0.25">
      <c r="A1757" t="s">
        <v>1761</v>
      </c>
      <c r="B1757">
        <v>0.99876560204751996</v>
      </c>
      <c r="C1757">
        <v>0.93650493642746901</v>
      </c>
      <c r="D1757">
        <v>0.92843954244862303</v>
      </c>
      <c r="E1757">
        <v>0.82828518592641798</v>
      </c>
      <c r="F1757">
        <v>0.5722948126156</v>
      </c>
      <c r="G1757">
        <v>0.35193755361329099</v>
      </c>
      <c r="H1757">
        <v>0.22724753947665</v>
      </c>
      <c r="I1757">
        <v>0.195247519550828</v>
      </c>
      <c r="J1757">
        <v>0.232347116089482</v>
      </c>
      <c r="K1757">
        <v>0.203161091902332</v>
      </c>
      <c r="L1757">
        <v>1055.8957710946099</v>
      </c>
      <c r="M1757">
        <v>19.9894214512539</v>
      </c>
      <c r="N1757">
        <v>54.141645793151604</v>
      </c>
      <c r="O1757">
        <v>52.302600934684797</v>
      </c>
      <c r="P1757">
        <v>-7.7132639017151797E-2</v>
      </c>
      <c r="Q1757">
        <v>0.19275186432574001</v>
      </c>
      <c r="R1757">
        <v>0.99387481328003602</v>
      </c>
      <c r="S1757" t="s">
        <v>6053</v>
      </c>
      <c r="T1757" t="s">
        <v>8590</v>
      </c>
      <c r="U1757" t="s">
        <v>8590</v>
      </c>
      <c r="V1757" t="s">
        <v>8590</v>
      </c>
      <c r="W1757">
        <v>17</v>
      </c>
      <c r="X1757" t="s">
        <v>10347</v>
      </c>
      <c r="Y1757">
        <v>0.5489180994136672</v>
      </c>
      <c r="Z1757" t="str">
        <f>HYPERLINK("Melting_Curves/meltCurve_sp_Q14258_TRI25_HUMAN_.pdf", "Melting_Curves/meltCurve_sp_Q14258_TRI25_HUMAN_.pdf")</f>
        <v>Melting_Curves/meltCurve_sp_Q14258_TRI25_HUMAN_.pdf</v>
      </c>
      <c r="AA1757" t="s">
        <v>14611</v>
      </c>
      <c r="AB1757" t="s">
        <v>18841</v>
      </c>
    </row>
    <row r="1758" spans="1:28" x14ac:dyDescent="0.25">
      <c r="A1758" t="s">
        <v>1762</v>
      </c>
      <c r="B1758">
        <v>0.99876560204751996</v>
      </c>
      <c r="C1758">
        <v>1.0113308090661199</v>
      </c>
      <c r="D1758">
        <v>0.94926000505836805</v>
      </c>
      <c r="E1758">
        <v>0.91702908471345401</v>
      </c>
      <c r="F1758">
        <v>0.52591359676235505</v>
      </c>
      <c r="G1758">
        <v>0.223152176549544</v>
      </c>
      <c r="H1758">
        <v>9.3704802633164802E-2</v>
      </c>
      <c r="I1758">
        <v>6.4495034090605002E-2</v>
      </c>
      <c r="J1758">
        <v>5.2427927000869998E-2</v>
      </c>
      <c r="K1758">
        <v>7.3499923403426204E-2</v>
      </c>
      <c r="L1758">
        <v>1517.38897511656</v>
      </c>
      <c r="M1758">
        <v>28.511664707297001</v>
      </c>
      <c r="N1758">
        <v>53.489494026649801</v>
      </c>
      <c r="O1758">
        <v>52.960201754592902</v>
      </c>
      <c r="P1758">
        <v>-0.12558443974231401</v>
      </c>
      <c r="Q1758">
        <v>6.6919030337050794E-2</v>
      </c>
      <c r="R1758">
        <v>0.99609314174345898</v>
      </c>
      <c r="S1758" t="s">
        <v>6054</v>
      </c>
      <c r="T1758" t="s">
        <v>8590</v>
      </c>
      <c r="U1758" t="s">
        <v>8590</v>
      </c>
      <c r="V1758" t="s">
        <v>8590</v>
      </c>
      <c r="W1758">
        <v>1</v>
      </c>
      <c r="X1758" t="s">
        <v>10348</v>
      </c>
      <c r="Y1758">
        <v>0.48479508577027658</v>
      </c>
      <c r="Z1758" t="str">
        <f>HYPERLINK("Melting_Curves/meltCurve_sp_Q14289_2_FAK2_HUMAN_.pdf", "Melting_Curves/meltCurve_sp_Q14289_2_FAK2_HUMAN_.pdf")</f>
        <v>Melting_Curves/meltCurve_sp_Q14289_2_FAK2_HUMAN_.pdf</v>
      </c>
      <c r="AA1758" t="s">
        <v>14612</v>
      </c>
      <c r="AB1758" t="s">
        <v>18842</v>
      </c>
    </row>
    <row r="1759" spans="1:28" x14ac:dyDescent="0.25">
      <c r="A1759" t="s">
        <v>1763</v>
      </c>
      <c r="B1759">
        <v>0.99876560204751996</v>
      </c>
      <c r="C1759">
        <v>0.94828721192199505</v>
      </c>
      <c r="D1759">
        <v>0.94638958733568102</v>
      </c>
      <c r="E1759">
        <v>0.73586072018360205</v>
      </c>
      <c r="F1759">
        <v>0.48900456080102001</v>
      </c>
      <c r="G1759">
        <v>0.23995968041386601</v>
      </c>
      <c r="H1759">
        <v>0.14076586502138999</v>
      </c>
      <c r="I1759">
        <v>0.10937388297463101</v>
      </c>
      <c r="J1759">
        <v>0.11326183542383</v>
      </c>
      <c r="K1759">
        <v>9.3390590799818304E-2</v>
      </c>
      <c r="L1759">
        <v>1009.1244313754499</v>
      </c>
      <c r="M1759">
        <v>19.292948852711302</v>
      </c>
      <c r="N1759">
        <v>52.840310607027803</v>
      </c>
      <c r="O1759">
        <v>51.753143742243502</v>
      </c>
      <c r="P1759">
        <v>-8.4932189869553407E-2</v>
      </c>
      <c r="Q1759">
        <v>8.8715594651792504E-2</v>
      </c>
      <c r="R1759">
        <v>0.99873279905811696</v>
      </c>
      <c r="S1759" t="s">
        <v>6055</v>
      </c>
      <c r="T1759" t="s">
        <v>8590</v>
      </c>
      <c r="U1759" t="s">
        <v>8590</v>
      </c>
      <c r="V1759" t="s">
        <v>8590</v>
      </c>
      <c r="W1759">
        <v>8</v>
      </c>
      <c r="X1759" t="s">
        <v>10349</v>
      </c>
      <c r="Y1759">
        <v>0.47591737470093298</v>
      </c>
      <c r="Z1759" t="str">
        <f>HYPERLINK("Melting_Curves/meltCurve_sp_Q14318_2_FKBP8_HUMAN_.pdf", "Melting_Curves/meltCurve_sp_Q14318_2_FKBP8_HUMAN_.pdf")</f>
        <v>Melting_Curves/meltCurve_sp_Q14318_2_FKBP8_HUMAN_.pdf</v>
      </c>
      <c r="AA1759" t="s">
        <v>14613</v>
      </c>
      <c r="AB1759" t="s">
        <v>18843</v>
      </c>
    </row>
    <row r="1760" spans="1:28" x14ac:dyDescent="0.25">
      <c r="A1760" t="s">
        <v>1764</v>
      </c>
      <c r="B1760">
        <v>0.99876560204751996</v>
      </c>
      <c r="C1760">
        <v>0.91665060061484305</v>
      </c>
      <c r="D1760">
        <v>0.97077617621165202</v>
      </c>
      <c r="E1760">
        <v>0.83600866177151401</v>
      </c>
      <c r="F1760">
        <v>0.74161839802659602</v>
      </c>
      <c r="G1760">
        <v>0.53937999690920702</v>
      </c>
      <c r="H1760">
        <v>0.323679652436414</v>
      </c>
      <c r="I1760">
        <v>0.26432799839676502</v>
      </c>
      <c r="J1760">
        <v>0.27026470321528701</v>
      </c>
      <c r="K1760">
        <v>0.21890300413757799</v>
      </c>
      <c r="L1760">
        <v>774.43090643873802</v>
      </c>
      <c r="M1760">
        <v>13.919255238289599</v>
      </c>
      <c r="N1760">
        <v>57.348012673364003</v>
      </c>
      <c r="O1760">
        <v>54.526734771800399</v>
      </c>
      <c r="P1760">
        <v>-5.2983273610137098E-2</v>
      </c>
      <c r="Q1760">
        <v>0.16989412169571799</v>
      </c>
      <c r="R1760">
        <v>0.99026575312516496</v>
      </c>
      <c r="S1760" t="s">
        <v>6056</v>
      </c>
      <c r="T1760" t="s">
        <v>8590</v>
      </c>
      <c r="U1760" t="s">
        <v>8590</v>
      </c>
      <c r="V1760" t="s">
        <v>8590</v>
      </c>
      <c r="W1760">
        <v>7</v>
      </c>
      <c r="X1760" t="s">
        <v>10350</v>
      </c>
      <c r="Y1760">
        <v>0.61882267929975965</v>
      </c>
      <c r="Z1760" t="str">
        <f>HYPERLINK("Melting_Curves/meltCurve_sp_Q14320_FA50A_HUMAN_.pdf", "Melting_Curves/meltCurve_sp_Q14320_FA50A_HUMAN_.pdf")</f>
        <v>Melting_Curves/meltCurve_sp_Q14320_FA50A_HUMAN_.pdf</v>
      </c>
      <c r="AA1760" t="s">
        <v>14614</v>
      </c>
      <c r="AB1760" t="s">
        <v>18844</v>
      </c>
    </row>
    <row r="1761" spans="1:28" x14ac:dyDescent="0.25">
      <c r="A1761" t="s">
        <v>1765</v>
      </c>
      <c r="B1761">
        <v>0.99876560204751996</v>
      </c>
      <c r="C1761">
        <v>0.89320467689806005</v>
      </c>
      <c r="D1761">
        <v>1.0789228535739099</v>
      </c>
      <c r="E1761">
        <v>0.80131842260717101</v>
      </c>
      <c r="F1761">
        <v>0.37319790867263097</v>
      </c>
      <c r="G1761">
        <v>9.3414853661718297E-2</v>
      </c>
      <c r="H1761">
        <v>5.1524093306287502E-2</v>
      </c>
      <c r="I1761">
        <v>3.57272097306192E-2</v>
      </c>
      <c r="J1761">
        <v>3.4984518898784803E-2</v>
      </c>
      <c r="K1761">
        <v>2.99676933544753E-2</v>
      </c>
      <c r="L1761">
        <v>1799.67335599586</v>
      </c>
      <c r="M1761">
        <v>34.586144788904399</v>
      </c>
      <c r="N1761">
        <v>52.154730570166102</v>
      </c>
      <c r="O1761">
        <v>51.861482374146597</v>
      </c>
      <c r="P1761">
        <v>-0.16033746270208199</v>
      </c>
      <c r="Q1761">
        <v>3.8307655623790897E-2</v>
      </c>
      <c r="R1761">
        <v>0.98929358145718105</v>
      </c>
      <c r="S1761" t="s">
        <v>6057</v>
      </c>
      <c r="T1761" t="s">
        <v>8590</v>
      </c>
      <c r="U1761" t="s">
        <v>8590</v>
      </c>
      <c r="V1761" t="s">
        <v>8590</v>
      </c>
      <c r="W1761">
        <v>10</v>
      </c>
      <c r="X1761" t="s">
        <v>10351</v>
      </c>
      <c r="Y1761">
        <v>0.42872065368305567</v>
      </c>
      <c r="Z1761" t="str">
        <f>HYPERLINK("Melting_Curves/meltCurve_sp_Q14353_GAMT_HUMAN_.pdf", "Melting_Curves/meltCurve_sp_Q14353_GAMT_HUMAN_.pdf")</f>
        <v>Melting_Curves/meltCurve_sp_Q14353_GAMT_HUMAN_.pdf</v>
      </c>
      <c r="AA1761" t="s">
        <v>14615</v>
      </c>
      <c r="AB1761" t="s">
        <v>18845</v>
      </c>
    </row>
    <row r="1762" spans="1:28" x14ac:dyDescent="0.25">
      <c r="A1762" t="s">
        <v>1766</v>
      </c>
      <c r="B1762">
        <v>0.99876560204751996</v>
      </c>
      <c r="C1762">
        <v>0.816160287931183</v>
      </c>
      <c r="D1762">
        <v>0.72197649545106901</v>
      </c>
      <c r="E1762">
        <v>0.53417525205400695</v>
      </c>
      <c r="F1762">
        <v>0.39701572727149498</v>
      </c>
      <c r="G1762">
        <v>0.26511160174794701</v>
      </c>
      <c r="H1762">
        <v>0.19159807357529701</v>
      </c>
      <c r="I1762">
        <v>0.142951595518828</v>
      </c>
      <c r="J1762">
        <v>0.13899802539498199</v>
      </c>
      <c r="K1762">
        <v>9.0544051409769899E-2</v>
      </c>
      <c r="L1762">
        <v>518.86015864545197</v>
      </c>
      <c r="M1762">
        <v>10.383556147322</v>
      </c>
      <c r="N1762">
        <v>50.602773715408397</v>
      </c>
      <c r="O1762">
        <v>48.222609456119798</v>
      </c>
      <c r="P1762">
        <v>-5.0572341925298997E-2</v>
      </c>
      <c r="Q1762">
        <v>6.0936859761560797E-2</v>
      </c>
      <c r="R1762">
        <v>0.99317028704562604</v>
      </c>
      <c r="S1762" t="s">
        <v>6058</v>
      </c>
      <c r="T1762" t="s">
        <v>8590</v>
      </c>
      <c r="U1762" t="s">
        <v>8590</v>
      </c>
      <c r="V1762" t="s">
        <v>8590</v>
      </c>
      <c r="W1762">
        <v>13</v>
      </c>
      <c r="X1762" t="s">
        <v>10352</v>
      </c>
      <c r="Y1762">
        <v>0.41338891579423309</v>
      </c>
      <c r="Z1762" t="str">
        <f>HYPERLINK("Melting_Curves/meltCurve_sp_Q14376_GALE_HUMAN_.pdf", "Melting_Curves/meltCurve_sp_Q14376_GALE_HUMAN_.pdf")</f>
        <v>Melting_Curves/meltCurve_sp_Q14376_GALE_HUMAN_.pdf</v>
      </c>
      <c r="AA1762" t="s">
        <v>14616</v>
      </c>
      <c r="AB1762" t="s">
        <v>18846</v>
      </c>
    </row>
    <row r="1763" spans="1:28" x14ac:dyDescent="0.25">
      <c r="A1763" t="s">
        <v>1767</v>
      </c>
      <c r="B1763">
        <v>0.99876560204751996</v>
      </c>
      <c r="C1763">
        <v>0.84182943586421299</v>
      </c>
      <c r="D1763">
        <v>0.57746666605169605</v>
      </c>
      <c r="E1763">
        <v>0.448938570573155</v>
      </c>
      <c r="F1763">
        <v>0.291384267218598</v>
      </c>
      <c r="G1763">
        <v>0.19349373768369901</v>
      </c>
      <c r="H1763">
        <v>0.15399579167549099</v>
      </c>
      <c r="I1763">
        <v>0.118104657122062</v>
      </c>
      <c r="J1763">
        <v>0.123781347997392</v>
      </c>
      <c r="K1763">
        <v>6.1689595584490303E-2</v>
      </c>
      <c r="L1763">
        <v>610.41951108769501</v>
      </c>
      <c r="M1763">
        <v>12.7863519874709</v>
      </c>
      <c r="N1763">
        <v>48.4532890880282</v>
      </c>
      <c r="O1763">
        <v>46.617409791401798</v>
      </c>
      <c r="P1763">
        <v>-6.2699356573005405E-2</v>
      </c>
      <c r="Q1763">
        <v>8.5796812906332703E-2</v>
      </c>
      <c r="R1763">
        <v>0.98568154700192501</v>
      </c>
      <c r="S1763" t="s">
        <v>6059</v>
      </c>
      <c r="T1763" t="s">
        <v>8590</v>
      </c>
      <c r="U1763" t="s">
        <v>8590</v>
      </c>
      <c r="V1763" t="s">
        <v>8590</v>
      </c>
      <c r="W1763">
        <v>9</v>
      </c>
      <c r="X1763" t="s">
        <v>10353</v>
      </c>
      <c r="Y1763">
        <v>0.35409216611425709</v>
      </c>
      <c r="Z1763" t="str">
        <f>HYPERLINK("Melting_Curves/meltCurve_sp_Q14397_GCKR_HUMAN_.pdf", "Melting_Curves/meltCurve_sp_Q14397_GCKR_HUMAN_.pdf")</f>
        <v>Melting_Curves/meltCurve_sp_Q14397_GCKR_HUMAN_.pdf</v>
      </c>
      <c r="AA1763" t="s">
        <v>14617</v>
      </c>
      <c r="AB1763" t="s">
        <v>18847</v>
      </c>
    </row>
    <row r="1764" spans="1:28" x14ac:dyDescent="0.25">
      <c r="A1764" t="s">
        <v>1768</v>
      </c>
      <c r="B1764">
        <v>0.99876560204751996</v>
      </c>
      <c r="C1764">
        <v>0.934589521725113</v>
      </c>
      <c r="D1764">
        <v>0.88351283795787605</v>
      </c>
      <c r="E1764">
        <v>0.762090578979286</v>
      </c>
      <c r="F1764">
        <v>0.62306533379694795</v>
      </c>
      <c r="G1764">
        <v>0.48155289983698302</v>
      </c>
      <c r="H1764">
        <v>0.27140628465272099</v>
      </c>
      <c r="I1764">
        <v>0.25695096491477698</v>
      </c>
      <c r="J1764">
        <v>0.248413866657552</v>
      </c>
      <c r="K1764">
        <v>0.17684972923567999</v>
      </c>
      <c r="L1764">
        <v>589.42794769425404</v>
      </c>
      <c r="M1764">
        <v>10.817735654419099</v>
      </c>
      <c r="N1764">
        <v>55.775829354953501</v>
      </c>
      <c r="O1764">
        <v>52.724316879781099</v>
      </c>
      <c r="P1764">
        <v>-4.56384982421075E-2</v>
      </c>
      <c r="Q1764">
        <v>0.11057386304981601</v>
      </c>
      <c r="R1764">
        <v>0.99376720644618499</v>
      </c>
      <c r="S1764" t="s">
        <v>6060</v>
      </c>
      <c r="T1764" t="s">
        <v>8590</v>
      </c>
      <c r="U1764" t="s">
        <v>8590</v>
      </c>
      <c r="V1764" t="s">
        <v>8590</v>
      </c>
      <c r="W1764">
        <v>3</v>
      </c>
      <c r="X1764" t="s">
        <v>10354</v>
      </c>
      <c r="Y1764">
        <v>0.56395592879686518</v>
      </c>
      <c r="Z1764" t="str">
        <f>HYPERLINK("Melting_Curves/meltCurve_sp_Q14410_GLPK2_HUMAN_.pdf", "Melting_Curves/meltCurve_sp_Q14410_GLPK2_HUMAN_.pdf")</f>
        <v>Melting_Curves/meltCurve_sp_Q14410_GLPK2_HUMAN_.pdf</v>
      </c>
      <c r="AA1764" t="s">
        <v>14618</v>
      </c>
      <c r="AB1764" t="s">
        <v>18848</v>
      </c>
    </row>
    <row r="1765" spans="1:28" x14ac:dyDescent="0.25">
      <c r="A1765" t="s">
        <v>1769</v>
      </c>
      <c r="B1765">
        <v>0.99876560204751996</v>
      </c>
      <c r="C1765">
        <v>1.00006538390836</v>
      </c>
      <c r="D1765">
        <v>1.04356238546812</v>
      </c>
      <c r="E1765">
        <v>0.97331324964105304</v>
      </c>
      <c r="F1765">
        <v>0.96719585091250704</v>
      </c>
      <c r="G1765">
        <v>0.782086836718904</v>
      </c>
      <c r="H1765">
        <v>0.65341972885640498</v>
      </c>
      <c r="I1765">
        <v>0.64722030495800897</v>
      </c>
      <c r="J1765">
        <v>0.80535265362590103</v>
      </c>
      <c r="K1765">
        <v>0.785620285992783</v>
      </c>
      <c r="L1765">
        <v>2786.7797169983801</v>
      </c>
      <c r="M1765">
        <v>50.407600693008298</v>
      </c>
      <c r="O1765">
        <v>55.198107106674598</v>
      </c>
      <c r="P1765">
        <v>-6.3018036722752996E-2</v>
      </c>
      <c r="Q1765">
        <v>0.72397230129747203</v>
      </c>
      <c r="R1765">
        <v>0.87789703148283005</v>
      </c>
      <c r="S1765" t="s">
        <v>6061</v>
      </c>
      <c r="T1765" t="s">
        <v>8590</v>
      </c>
      <c r="U1765" t="s">
        <v>8590</v>
      </c>
      <c r="V1765" t="s">
        <v>8590</v>
      </c>
      <c r="W1765">
        <v>12</v>
      </c>
      <c r="X1765" t="s">
        <v>10355</v>
      </c>
      <c r="Y1765">
        <v>0.86526939882444043</v>
      </c>
      <c r="Z1765" t="str">
        <f>HYPERLINK("Melting_Curves/meltCurve_sp_Q14444_2_CAPR1_HUMAN_.pdf", "Melting_Curves/meltCurve_sp_Q14444_2_CAPR1_HUMAN_.pdf")</f>
        <v>Melting_Curves/meltCurve_sp_Q14444_2_CAPR1_HUMAN_.pdf</v>
      </c>
      <c r="AA1765" t="s">
        <v>14619</v>
      </c>
      <c r="AB1765" t="s">
        <v>18849</v>
      </c>
    </row>
    <row r="1766" spans="1:28" x14ac:dyDescent="0.25">
      <c r="A1766" t="s">
        <v>1770</v>
      </c>
      <c r="B1766">
        <v>0.99876560204751996</v>
      </c>
      <c r="C1766">
        <v>0.984214169556342</v>
      </c>
      <c r="D1766">
        <v>0.94596955789716197</v>
      </c>
      <c r="E1766">
        <v>0.82522944921325803</v>
      </c>
      <c r="F1766">
        <v>0.592015198575923</v>
      </c>
      <c r="G1766">
        <v>0.34435271721520999</v>
      </c>
      <c r="H1766">
        <v>0.242768649792104</v>
      </c>
      <c r="I1766">
        <v>0.17577463252039299</v>
      </c>
      <c r="J1766">
        <v>0.19784787170615201</v>
      </c>
      <c r="K1766">
        <v>0.171492525661849</v>
      </c>
      <c r="L1766">
        <v>1031.4177266673901</v>
      </c>
      <c r="M1766">
        <v>19.3913094935155</v>
      </c>
      <c r="N1766">
        <v>54.328583854422497</v>
      </c>
      <c r="O1766">
        <v>52.633714579462797</v>
      </c>
      <c r="P1766">
        <v>-7.6725031660218795E-2</v>
      </c>
      <c r="Q1766">
        <v>0.167013591500421</v>
      </c>
      <c r="R1766">
        <v>0.99883134532824402</v>
      </c>
      <c r="S1766" t="s">
        <v>6062</v>
      </c>
      <c r="T1766" t="s">
        <v>8590</v>
      </c>
      <c r="U1766" t="s">
        <v>8590</v>
      </c>
      <c r="V1766" t="s">
        <v>8590</v>
      </c>
      <c r="W1766">
        <v>7</v>
      </c>
      <c r="X1766" t="s">
        <v>10356</v>
      </c>
      <c r="Y1766">
        <v>0.54528564679505809</v>
      </c>
      <c r="Z1766" t="str">
        <f>HYPERLINK("Melting_Curves/meltCurve_sp_Q14498_2_RBM39_HUMAN_.pdf", "Melting_Curves/meltCurve_sp_Q14498_2_RBM39_HUMAN_.pdf")</f>
        <v>Melting_Curves/meltCurve_sp_Q14498_2_RBM39_HUMAN_.pdf</v>
      </c>
      <c r="AA1766" t="s">
        <v>14620</v>
      </c>
      <c r="AB1766" t="s">
        <v>18850</v>
      </c>
    </row>
    <row r="1767" spans="1:28" x14ac:dyDescent="0.25">
      <c r="A1767" t="s">
        <v>1771</v>
      </c>
      <c r="B1767">
        <v>0.99876560204751996</v>
      </c>
      <c r="C1767">
        <v>0.98370096194258605</v>
      </c>
      <c r="D1767">
        <v>0.95330318883430598</v>
      </c>
      <c r="E1767">
        <v>0.95325942790224005</v>
      </c>
      <c r="F1767">
        <v>0.86155383210439396</v>
      </c>
      <c r="G1767">
        <v>0.42185915445762701</v>
      </c>
      <c r="H1767">
        <v>0.13068901708092501</v>
      </c>
      <c r="I1767">
        <v>9.2248525081454397E-2</v>
      </c>
      <c r="J1767">
        <v>8.8819641276651401E-2</v>
      </c>
      <c r="K1767">
        <v>8.2958299507268102E-2</v>
      </c>
      <c r="L1767">
        <v>1698.2807579335699</v>
      </c>
      <c r="M1767">
        <v>30.331100454491601</v>
      </c>
      <c r="N1767">
        <v>56.292661776477203</v>
      </c>
      <c r="O1767">
        <v>55.749712806973399</v>
      </c>
      <c r="P1767">
        <v>-0.12582562725118701</v>
      </c>
      <c r="Q1767">
        <v>7.4916858261690006E-2</v>
      </c>
      <c r="R1767">
        <v>0.99803965631286196</v>
      </c>
      <c r="S1767" t="s">
        <v>6063</v>
      </c>
      <c r="T1767" t="s">
        <v>8590</v>
      </c>
      <c r="U1767" t="s">
        <v>8590</v>
      </c>
      <c r="V1767" t="s">
        <v>8590</v>
      </c>
      <c r="W1767">
        <v>1</v>
      </c>
      <c r="X1767" t="s">
        <v>10357</v>
      </c>
      <c r="Y1767">
        <v>0.57407492219462875</v>
      </c>
      <c r="Z1767" t="str">
        <f>HYPERLINK("Melting_Curves/meltCurve_sp_Q14520_2_HABP2_HUMAN_.pdf", "Melting_Curves/meltCurve_sp_Q14520_2_HABP2_HUMAN_.pdf")</f>
        <v>Melting_Curves/meltCurve_sp_Q14520_2_HABP2_HUMAN_.pdf</v>
      </c>
      <c r="AA1767" t="s">
        <v>14621</v>
      </c>
      <c r="AB1767" t="s">
        <v>18851</v>
      </c>
    </row>
    <row r="1768" spans="1:28" x14ac:dyDescent="0.25">
      <c r="A1768" t="s">
        <v>1772</v>
      </c>
      <c r="B1768">
        <v>0.99876560204751996</v>
      </c>
      <c r="C1768">
        <v>0.98391842785994699</v>
      </c>
      <c r="D1768">
        <v>1.1353422849846899</v>
      </c>
      <c r="E1768">
        <v>0.94410305015257401</v>
      </c>
      <c r="F1768">
        <v>1.06132779371566</v>
      </c>
      <c r="G1768">
        <v>0.87942331180945099</v>
      </c>
      <c r="H1768">
        <v>0.80038102437298397</v>
      </c>
      <c r="I1768">
        <v>0.99258409163703298</v>
      </c>
      <c r="J1768">
        <v>1.1045703700132501</v>
      </c>
      <c r="K1768">
        <v>1.11919540462041</v>
      </c>
      <c r="L1768">
        <v>15000</v>
      </c>
      <c r="M1768">
        <v>225.84586604210199</v>
      </c>
      <c r="O1768">
        <v>66.411778949951994</v>
      </c>
      <c r="P1768">
        <v>0.101346551241463</v>
      </c>
      <c r="Q1768">
        <v>1.1192070328341699</v>
      </c>
      <c r="R1768">
        <v>0.239062880146625</v>
      </c>
      <c r="S1768" t="s">
        <v>6064</v>
      </c>
      <c r="T1768" t="s">
        <v>8590</v>
      </c>
      <c r="U1768" t="s">
        <v>8590</v>
      </c>
      <c r="V1768" t="s">
        <v>8590</v>
      </c>
      <c r="W1768">
        <v>2</v>
      </c>
      <c r="X1768" t="s">
        <v>10358</v>
      </c>
      <c r="Y1768">
        <v>1.0142203649875099</v>
      </c>
      <c r="Z1768" t="str">
        <f>HYPERLINK("Melting_Curves/meltCurve_sp_Q14527_HLTF_HUMAN_.pdf", "Melting_Curves/meltCurve_sp_Q14527_HLTF_HUMAN_.pdf")</f>
        <v>Melting_Curves/meltCurve_sp_Q14527_HLTF_HUMAN_.pdf</v>
      </c>
      <c r="AA1768" t="s">
        <v>14622</v>
      </c>
      <c r="AB1768" t="s">
        <v>18852</v>
      </c>
    </row>
    <row r="1769" spans="1:28" x14ac:dyDescent="0.25">
      <c r="A1769" t="s">
        <v>1773</v>
      </c>
      <c r="B1769">
        <v>0.99876560204751996</v>
      </c>
      <c r="C1769">
        <v>0.93509277350709297</v>
      </c>
      <c r="D1769">
        <v>0.93589032047779797</v>
      </c>
      <c r="E1769">
        <v>0.86104567456862902</v>
      </c>
      <c r="F1769">
        <v>0.58088230376649597</v>
      </c>
      <c r="G1769">
        <v>0.178780785417822</v>
      </c>
      <c r="H1769">
        <v>9.3709674394959697E-2</v>
      </c>
      <c r="I1769">
        <v>7.4829565141553797E-2</v>
      </c>
      <c r="J1769">
        <v>7.2643970443225195E-2</v>
      </c>
      <c r="K1769">
        <v>5.5979649083683601E-2</v>
      </c>
      <c r="L1769">
        <v>1436.8532039740301</v>
      </c>
      <c r="M1769">
        <v>26.95498688356</v>
      </c>
      <c r="N1769">
        <v>53.558466790688797</v>
      </c>
      <c r="O1769">
        <v>53.014854473839897</v>
      </c>
      <c r="P1769">
        <v>-0.119518511964332</v>
      </c>
      <c r="Q1769">
        <v>5.9737130006981998E-2</v>
      </c>
      <c r="R1769">
        <v>0.99530520363616104</v>
      </c>
      <c r="S1769" t="s">
        <v>6065</v>
      </c>
      <c r="T1769" t="s">
        <v>8590</v>
      </c>
      <c r="U1769" t="s">
        <v>8590</v>
      </c>
      <c r="V1769" t="s">
        <v>8590</v>
      </c>
      <c r="W1769">
        <v>27</v>
      </c>
      <c r="X1769" t="s">
        <v>10359</v>
      </c>
      <c r="Y1769">
        <v>0.4842915280373527</v>
      </c>
      <c r="Z1769" t="str">
        <f>HYPERLINK("Melting_Curves/meltCurve_sp_Q14554_PDIA5_HUMAN_.pdf", "Melting_Curves/meltCurve_sp_Q14554_PDIA5_HUMAN_.pdf")</f>
        <v>Melting_Curves/meltCurve_sp_Q14554_PDIA5_HUMAN_.pdf</v>
      </c>
      <c r="AA1769" t="s">
        <v>14623</v>
      </c>
      <c r="AB1769" t="s">
        <v>18853</v>
      </c>
    </row>
    <row r="1770" spans="1:28" x14ac:dyDescent="0.25">
      <c r="A1770" t="s">
        <v>1774</v>
      </c>
      <c r="B1770">
        <v>0.99876560204751996</v>
      </c>
      <c r="C1770">
        <v>1.06637730622292</v>
      </c>
      <c r="D1770">
        <v>1.0437949340552499</v>
      </c>
      <c r="E1770">
        <v>0.91188861508029695</v>
      </c>
      <c r="F1770">
        <v>0.46060076542281297</v>
      </c>
      <c r="G1770">
        <v>0.18759832790862899</v>
      </c>
      <c r="H1770">
        <v>8.7938458343053999E-2</v>
      </c>
      <c r="I1770">
        <v>4.8312717615076398E-2</v>
      </c>
      <c r="J1770">
        <v>4.7859465450008097E-2</v>
      </c>
      <c r="K1770">
        <v>2.0544833499175099E-2</v>
      </c>
      <c r="L1770">
        <v>1790.8984739503401</v>
      </c>
      <c r="M1770">
        <v>33.932565495265401</v>
      </c>
      <c r="N1770">
        <v>52.970951892330703</v>
      </c>
      <c r="O1770">
        <v>52.595867878972101</v>
      </c>
      <c r="P1770">
        <v>-0.15192066565776799</v>
      </c>
      <c r="Q1770">
        <v>5.8088626781346603E-2</v>
      </c>
      <c r="R1770">
        <v>0.99223412821405499</v>
      </c>
      <c r="S1770" t="s">
        <v>6066</v>
      </c>
      <c r="T1770" t="s">
        <v>8590</v>
      </c>
      <c r="U1770" t="s">
        <v>8590</v>
      </c>
      <c r="V1770" t="s">
        <v>8590</v>
      </c>
      <c r="W1770">
        <v>8</v>
      </c>
      <c r="X1770" t="s">
        <v>10360</v>
      </c>
      <c r="Y1770">
        <v>0.46405666411473723</v>
      </c>
      <c r="Z1770" t="str">
        <f>HYPERLINK("Melting_Curves/meltCurve_sp_Q14558_KPRA_HUMAN_.pdf", "Melting_Curves/meltCurve_sp_Q14558_KPRA_HUMAN_.pdf")</f>
        <v>Melting_Curves/meltCurve_sp_Q14558_KPRA_HUMAN_.pdf</v>
      </c>
      <c r="AA1770" t="s">
        <v>14624</v>
      </c>
      <c r="AB1770" t="s">
        <v>18854</v>
      </c>
    </row>
    <row r="1771" spans="1:28" x14ac:dyDescent="0.25">
      <c r="A1771" t="s">
        <v>1775</v>
      </c>
      <c r="B1771">
        <v>0.99876560204751996</v>
      </c>
      <c r="C1771">
        <v>1.01287479448365</v>
      </c>
      <c r="D1771">
        <v>0.84721609798834596</v>
      </c>
      <c r="E1771">
        <v>0.45080803745110798</v>
      </c>
      <c r="F1771">
        <v>0.25282793530293102</v>
      </c>
      <c r="G1771">
        <v>0.14685445409581799</v>
      </c>
      <c r="H1771">
        <v>9.7432151399911807E-2</v>
      </c>
      <c r="I1771">
        <v>9.0261049267319898E-2</v>
      </c>
      <c r="J1771">
        <v>0.115301155456103</v>
      </c>
      <c r="K1771">
        <v>0.126828313385597</v>
      </c>
      <c r="L1771">
        <v>1187.10815349825</v>
      </c>
      <c r="M1771">
        <v>24.172501916905599</v>
      </c>
      <c r="N1771">
        <v>49.610158387688898</v>
      </c>
      <c r="O1771">
        <v>48.777442473851302</v>
      </c>
      <c r="P1771">
        <v>-0.110492669080867</v>
      </c>
      <c r="Q1771">
        <v>0.108165419062093</v>
      </c>
      <c r="R1771">
        <v>0.99771568429997204</v>
      </c>
      <c r="S1771" t="s">
        <v>6067</v>
      </c>
      <c r="T1771" t="s">
        <v>8590</v>
      </c>
      <c r="U1771" t="s">
        <v>8590</v>
      </c>
      <c r="V1771" t="s">
        <v>8590</v>
      </c>
      <c r="W1771">
        <v>13</v>
      </c>
      <c r="X1771" t="s">
        <v>10361</v>
      </c>
      <c r="Y1771">
        <v>0.38745660275235899</v>
      </c>
      <c r="Z1771" t="str">
        <f>HYPERLINK("Melting_Curves/meltCurve_sp_Q14566_MCM6_HUMAN_.pdf", "Melting_Curves/meltCurve_sp_Q14566_MCM6_HUMAN_.pdf")</f>
        <v>Melting_Curves/meltCurve_sp_Q14566_MCM6_HUMAN_.pdf</v>
      </c>
      <c r="AA1771" t="s">
        <v>14625</v>
      </c>
      <c r="AB1771" t="s">
        <v>18855</v>
      </c>
    </row>
    <row r="1772" spans="1:28" x14ac:dyDescent="0.25">
      <c r="A1772" t="s">
        <v>1776</v>
      </c>
      <c r="B1772">
        <v>0.99876560204751996</v>
      </c>
      <c r="C1772">
        <v>0.94148844444819901</v>
      </c>
      <c r="D1772">
        <v>0.94810747693941499</v>
      </c>
      <c r="E1772">
        <v>0.861663289934119</v>
      </c>
      <c r="F1772">
        <v>0.75631700380561995</v>
      </c>
      <c r="G1772">
        <v>0.57448106306718105</v>
      </c>
      <c r="H1772">
        <v>0.41660865033517902</v>
      </c>
      <c r="I1772">
        <v>0.36337611665999697</v>
      </c>
      <c r="J1772">
        <v>0.41513023019554601</v>
      </c>
      <c r="K1772">
        <v>0.342232377926736</v>
      </c>
      <c r="L1772">
        <v>807.97768644471898</v>
      </c>
      <c r="M1772">
        <v>14.7731113840166</v>
      </c>
      <c r="N1772">
        <v>58.844286373639001</v>
      </c>
      <c r="O1772">
        <v>53.719628414636297</v>
      </c>
      <c r="P1772">
        <v>-4.6502316360862397E-2</v>
      </c>
      <c r="Q1772">
        <v>0.32368498130269902</v>
      </c>
      <c r="R1772">
        <v>0.98912267047943703</v>
      </c>
      <c r="S1772" t="s">
        <v>6068</v>
      </c>
      <c r="T1772" t="s">
        <v>8590</v>
      </c>
      <c r="U1772" t="s">
        <v>8590</v>
      </c>
      <c r="V1772" t="s">
        <v>8590</v>
      </c>
      <c r="W1772">
        <v>14</v>
      </c>
      <c r="X1772" t="s">
        <v>10362</v>
      </c>
      <c r="Y1772">
        <v>0.66845380962998191</v>
      </c>
      <c r="Z1772" t="str">
        <f>HYPERLINK("Melting_Curves/meltCurve_sp_Q14624_ITIH4_HUMAN_.pdf", "Melting_Curves/meltCurve_sp_Q14624_ITIH4_HUMAN_.pdf")</f>
        <v>Melting_Curves/meltCurve_sp_Q14624_ITIH4_HUMAN_.pdf</v>
      </c>
      <c r="AA1772" t="s">
        <v>14626</v>
      </c>
      <c r="AB1772" t="s">
        <v>18856</v>
      </c>
    </row>
    <row r="1773" spans="1:28" x14ac:dyDescent="0.25">
      <c r="A1773" t="s">
        <v>1777</v>
      </c>
      <c r="B1773">
        <v>0.99876560204751996</v>
      </c>
      <c r="C1773">
        <v>0.97667512016032798</v>
      </c>
      <c r="D1773">
        <v>1.0085190580301999</v>
      </c>
      <c r="E1773">
        <v>0.85126615073062795</v>
      </c>
      <c r="F1773">
        <v>0.50074847167090297</v>
      </c>
      <c r="G1773">
        <v>0.20451392812145899</v>
      </c>
      <c r="H1773">
        <v>8.9911561465576606E-2</v>
      </c>
      <c r="I1773">
        <v>6.6612582028224399E-2</v>
      </c>
      <c r="J1773">
        <v>5.7113225849491099E-2</v>
      </c>
      <c r="K1773">
        <v>4.8971239519019202E-2</v>
      </c>
      <c r="L1773">
        <v>1403.7907482939199</v>
      </c>
      <c r="M1773">
        <v>26.5178218372129</v>
      </c>
      <c r="N1773">
        <v>53.185617849898698</v>
      </c>
      <c r="O1773">
        <v>52.6393325186868</v>
      </c>
      <c r="P1773">
        <v>-0.118618631075408</v>
      </c>
      <c r="Q1773">
        <v>5.81520510030255E-2</v>
      </c>
      <c r="R1773">
        <v>0.99855738840362496</v>
      </c>
      <c r="S1773" t="s">
        <v>6069</v>
      </c>
      <c r="T1773" t="s">
        <v>8590</v>
      </c>
      <c r="U1773" t="s">
        <v>8590</v>
      </c>
      <c r="V1773" t="s">
        <v>8590</v>
      </c>
      <c r="W1773">
        <v>13</v>
      </c>
      <c r="X1773" t="s">
        <v>10363</v>
      </c>
      <c r="Y1773">
        <v>0.47207925442764392</v>
      </c>
      <c r="Z1773" t="str">
        <f>HYPERLINK("Melting_Curves/meltCurve_sp_Q14651_PLSI_HUMAN_.pdf", "Melting_Curves/meltCurve_sp_Q14651_PLSI_HUMAN_.pdf")</f>
        <v>Melting_Curves/meltCurve_sp_Q14651_PLSI_HUMAN_.pdf</v>
      </c>
      <c r="AA1773" t="s">
        <v>14627</v>
      </c>
      <c r="AB1773" t="s">
        <v>18857</v>
      </c>
    </row>
    <row r="1774" spans="1:28" x14ac:dyDescent="0.25">
      <c r="A1774" t="s">
        <v>1778</v>
      </c>
      <c r="B1774">
        <v>0.99876560204751996</v>
      </c>
      <c r="C1774">
        <v>0.96981291938578496</v>
      </c>
      <c r="D1774">
        <v>0.96492911616728205</v>
      </c>
      <c r="E1774">
        <v>0.85548251234275996</v>
      </c>
      <c r="F1774">
        <v>0.77139328296118204</v>
      </c>
      <c r="G1774">
        <v>0.35322354546997797</v>
      </c>
      <c r="H1774">
        <v>0.17637877146809799</v>
      </c>
      <c r="I1774">
        <v>0.13669563582257999</v>
      </c>
      <c r="J1774">
        <v>0.104307227499684</v>
      </c>
      <c r="K1774">
        <v>0.294714473854639</v>
      </c>
      <c r="L1774">
        <v>1467.1312584869399</v>
      </c>
      <c r="M1774">
        <v>26.937366325722401</v>
      </c>
      <c r="N1774">
        <v>55.273795276000897</v>
      </c>
      <c r="O1774">
        <v>54.167032827625199</v>
      </c>
      <c r="P1774">
        <v>-0.104067491219114</v>
      </c>
      <c r="Q1774">
        <v>0.16295145062486299</v>
      </c>
      <c r="R1774">
        <v>0.97496609054125905</v>
      </c>
      <c r="S1774" t="s">
        <v>6070</v>
      </c>
      <c r="T1774" t="s">
        <v>8590</v>
      </c>
      <c r="U1774" t="s">
        <v>8590</v>
      </c>
      <c r="V1774" t="s">
        <v>8590</v>
      </c>
      <c r="W1774">
        <v>4</v>
      </c>
      <c r="X1774" t="s">
        <v>10364</v>
      </c>
      <c r="Y1774">
        <v>0.57330213927576845</v>
      </c>
      <c r="Z1774" t="str">
        <f>HYPERLINK("Melting_Curves/meltCurve_sp_Q14653_IRF3_HUMAN_.pdf", "Melting_Curves/meltCurve_sp_Q14653_IRF3_HUMAN_.pdf")</f>
        <v>Melting_Curves/meltCurve_sp_Q14653_IRF3_HUMAN_.pdf</v>
      </c>
      <c r="AA1774" t="s">
        <v>14628</v>
      </c>
      <c r="AB1774" t="s">
        <v>18858</v>
      </c>
    </row>
    <row r="1775" spans="1:28" x14ac:dyDescent="0.25">
      <c r="A1775" t="s">
        <v>1779</v>
      </c>
      <c r="B1775">
        <v>0.99876560204751996</v>
      </c>
      <c r="C1775">
        <v>0.98761556555068597</v>
      </c>
      <c r="D1775">
        <v>0.78743309901427405</v>
      </c>
      <c r="E1775">
        <v>0.94957245648159105</v>
      </c>
      <c r="F1775">
        <v>0.66577366731899401</v>
      </c>
      <c r="G1775">
        <v>0.504551391798992</v>
      </c>
      <c r="H1775">
        <v>0.28187165552048399</v>
      </c>
      <c r="I1775">
        <v>0.192990616247494</v>
      </c>
      <c r="J1775">
        <v>0</v>
      </c>
      <c r="K1775">
        <v>6.5442567794102804E-2</v>
      </c>
      <c r="L1775">
        <v>781.60738668143904</v>
      </c>
      <c r="M1775">
        <v>13.828178223156399</v>
      </c>
      <c r="N1775">
        <v>56.5227975008737</v>
      </c>
      <c r="O1775">
        <v>55.380066377809399</v>
      </c>
      <c r="P1775">
        <v>-6.2432656023012997E-2</v>
      </c>
      <c r="Q1775">
        <v>0</v>
      </c>
      <c r="R1775">
        <v>0.96103035311281804</v>
      </c>
      <c r="S1775" t="s">
        <v>6071</v>
      </c>
      <c r="T1775" t="s">
        <v>8590</v>
      </c>
      <c r="U1775" t="s">
        <v>8590</v>
      </c>
      <c r="V1775" t="s">
        <v>8590</v>
      </c>
      <c r="W1775">
        <v>3</v>
      </c>
      <c r="X1775" t="s">
        <v>10365</v>
      </c>
      <c r="Y1775">
        <v>0.56842228615119461</v>
      </c>
      <c r="Z1775" t="str">
        <f>HYPERLINK("Melting_Curves/meltCurve_sp_Q14657_LAGE3_HUMAN_.pdf", "Melting_Curves/meltCurve_sp_Q14657_LAGE3_HUMAN_.pdf")</f>
        <v>Melting_Curves/meltCurve_sp_Q14657_LAGE3_HUMAN_.pdf</v>
      </c>
      <c r="AA1775" t="s">
        <v>14629</v>
      </c>
      <c r="AB1775" t="s">
        <v>18859</v>
      </c>
    </row>
    <row r="1776" spans="1:28" x14ac:dyDescent="0.25">
      <c r="A1776" t="s">
        <v>1780</v>
      </c>
      <c r="B1776">
        <v>0.99876560204751996</v>
      </c>
      <c r="C1776">
        <v>1.18791387889321</v>
      </c>
      <c r="D1776">
        <v>1.11861616841141</v>
      </c>
      <c r="E1776">
        <v>0.97622673999755005</v>
      </c>
      <c r="F1776">
        <v>0.62700361105607005</v>
      </c>
      <c r="G1776">
        <v>0.30303653192709901</v>
      </c>
      <c r="H1776">
        <v>0.159606500823568</v>
      </c>
      <c r="I1776">
        <v>5.5854731148105699E-2</v>
      </c>
      <c r="J1776">
        <v>0</v>
      </c>
      <c r="K1776">
        <v>5.2454949342167503E-2</v>
      </c>
      <c r="L1776">
        <v>1368.4773177489999</v>
      </c>
      <c r="M1776">
        <v>25.0960491649309</v>
      </c>
      <c r="N1776">
        <v>54.722563537069703</v>
      </c>
      <c r="O1776">
        <v>54.186891252033199</v>
      </c>
      <c r="P1776">
        <v>-0.110882972556682</v>
      </c>
      <c r="Q1776">
        <v>4.2347442607763297E-2</v>
      </c>
      <c r="R1776">
        <v>0.96892896515826599</v>
      </c>
      <c r="S1776" t="s">
        <v>6072</v>
      </c>
      <c r="T1776" t="s">
        <v>8590</v>
      </c>
      <c r="U1776" t="s">
        <v>8590</v>
      </c>
      <c r="V1776" t="s">
        <v>8590</v>
      </c>
      <c r="W1776">
        <v>3</v>
      </c>
      <c r="X1776" t="s">
        <v>10366</v>
      </c>
      <c r="Y1776">
        <v>0.5149647055601041</v>
      </c>
      <c r="Z1776" t="str">
        <f>HYPERLINK("Melting_Curves/meltCurve_sp_Q14669_TRIPC_HUMAN_.pdf", "Melting_Curves/meltCurve_sp_Q14669_TRIPC_HUMAN_.pdf")</f>
        <v>Melting_Curves/meltCurve_sp_Q14669_TRIPC_HUMAN_.pdf</v>
      </c>
      <c r="AA1776" t="s">
        <v>14630</v>
      </c>
      <c r="AB1776" t="s">
        <v>18860</v>
      </c>
    </row>
    <row r="1777" spans="1:28" x14ac:dyDescent="0.25">
      <c r="A1777" t="s">
        <v>1781</v>
      </c>
      <c r="B1777">
        <v>0.99876560204751996</v>
      </c>
      <c r="C1777">
        <v>0.96181392180650804</v>
      </c>
      <c r="D1777">
        <v>0.897958552358054</v>
      </c>
      <c r="E1777">
        <v>0.70098652965570696</v>
      </c>
      <c r="F1777">
        <v>0.556315351939214</v>
      </c>
      <c r="G1777">
        <v>0.38504907938243099</v>
      </c>
      <c r="H1777">
        <v>0.31448522296696901</v>
      </c>
      <c r="I1777">
        <v>0.29292569500862697</v>
      </c>
      <c r="J1777">
        <v>0.31634213435619801</v>
      </c>
      <c r="K1777">
        <v>0.284992143353276</v>
      </c>
      <c r="L1777">
        <v>826.706196999398</v>
      </c>
      <c r="M1777">
        <v>16.152051395143801</v>
      </c>
      <c r="N1777">
        <v>53.873157270487297</v>
      </c>
      <c r="O1777">
        <v>50.4174745368014</v>
      </c>
      <c r="P1777">
        <v>-5.7924900537548299E-2</v>
      </c>
      <c r="Q1777">
        <v>0.27682091198042602</v>
      </c>
      <c r="R1777">
        <v>0.99834241279670699</v>
      </c>
      <c r="S1777" t="s">
        <v>6073</v>
      </c>
      <c r="T1777" t="s">
        <v>8590</v>
      </c>
      <c r="U1777" t="s">
        <v>8590</v>
      </c>
      <c r="V1777" t="s">
        <v>8590</v>
      </c>
      <c r="W1777">
        <v>5</v>
      </c>
      <c r="X1777" t="s">
        <v>10367</v>
      </c>
      <c r="Y1777">
        <v>0.56107796161652845</v>
      </c>
      <c r="Z1777" t="str">
        <f>HYPERLINK("Melting_Curves/meltCurve_sp_Q14676_3_MDC1_HUMAN_.pdf", "Melting_Curves/meltCurve_sp_Q14676_3_MDC1_HUMAN_.pdf")</f>
        <v>Melting_Curves/meltCurve_sp_Q14676_3_MDC1_HUMAN_.pdf</v>
      </c>
      <c r="AA1777" t="s">
        <v>14631</v>
      </c>
      <c r="AB1777" t="s">
        <v>18861</v>
      </c>
    </row>
    <row r="1778" spans="1:28" x14ac:dyDescent="0.25">
      <c r="A1778" t="s">
        <v>1782</v>
      </c>
      <c r="B1778">
        <v>0.99876560204751996</v>
      </c>
      <c r="C1778">
        <v>1.02750713106992</v>
      </c>
      <c r="D1778">
        <v>1.0699080066320299</v>
      </c>
      <c r="E1778">
        <v>0.94700288338349603</v>
      </c>
      <c r="F1778">
        <v>0.92097772590080396</v>
      </c>
      <c r="G1778">
        <v>0.70987425352119404</v>
      </c>
      <c r="H1778">
        <v>0.58122793693901997</v>
      </c>
      <c r="I1778">
        <v>0.51322670946446303</v>
      </c>
      <c r="J1778">
        <v>0.59679572243339696</v>
      </c>
      <c r="K1778">
        <v>0.50041824840696203</v>
      </c>
      <c r="L1778">
        <v>1463.7361892758499</v>
      </c>
      <c r="M1778">
        <v>26.151534107928001</v>
      </c>
      <c r="O1778">
        <v>55.647142987752503</v>
      </c>
      <c r="P1778">
        <v>-5.5288675363346598E-2</v>
      </c>
      <c r="Q1778">
        <v>0.52941634452492004</v>
      </c>
      <c r="R1778">
        <v>0.97241070888760905</v>
      </c>
      <c r="S1778" t="s">
        <v>6074</v>
      </c>
      <c r="T1778" t="s">
        <v>8590</v>
      </c>
      <c r="U1778" t="s">
        <v>8590</v>
      </c>
      <c r="V1778" t="s">
        <v>8590</v>
      </c>
      <c r="W1778">
        <v>9</v>
      </c>
      <c r="X1778" t="s">
        <v>10368</v>
      </c>
      <c r="Y1778">
        <v>0.78394944812229783</v>
      </c>
      <c r="Z1778" t="str">
        <f>HYPERLINK("Melting_Curves/meltCurve_sp_Q14677_EPN4_HUMAN_.pdf", "Melting_Curves/meltCurve_sp_Q14677_EPN4_HUMAN_.pdf")</f>
        <v>Melting_Curves/meltCurve_sp_Q14677_EPN4_HUMAN_.pdf</v>
      </c>
      <c r="AA1778" t="s">
        <v>14632</v>
      </c>
      <c r="AB1778" t="s">
        <v>18862</v>
      </c>
    </row>
    <row r="1779" spans="1:28" x14ac:dyDescent="0.25">
      <c r="A1779" t="s">
        <v>1783</v>
      </c>
      <c r="B1779">
        <v>0.99876560204751996</v>
      </c>
      <c r="C1779">
        <v>1.01640491834156</v>
      </c>
      <c r="D1779">
        <v>0.97265569349219405</v>
      </c>
      <c r="E1779">
        <v>0.79587368385805402</v>
      </c>
      <c r="F1779">
        <v>0.52769542528510105</v>
      </c>
      <c r="G1779">
        <v>0.300250803376438</v>
      </c>
      <c r="H1779">
        <v>0.210891473762575</v>
      </c>
      <c r="I1779">
        <v>0.17485574886028499</v>
      </c>
      <c r="J1779">
        <v>0.22139717513988799</v>
      </c>
      <c r="K1779">
        <v>0.18718844510174701</v>
      </c>
      <c r="L1779">
        <v>1244.3983235698599</v>
      </c>
      <c r="M1779">
        <v>23.7953337419228</v>
      </c>
      <c r="N1779">
        <v>53.366425930228402</v>
      </c>
      <c r="O1779">
        <v>51.930739104431197</v>
      </c>
      <c r="P1779">
        <v>-9.2814524107564397E-2</v>
      </c>
      <c r="Q1779">
        <v>0.18978251292164799</v>
      </c>
      <c r="R1779">
        <v>0.99835588847693602</v>
      </c>
      <c r="S1779" t="s">
        <v>6075</v>
      </c>
      <c r="T1779" t="s">
        <v>8590</v>
      </c>
      <c r="U1779" t="s">
        <v>8590</v>
      </c>
      <c r="V1779" t="s">
        <v>8590</v>
      </c>
      <c r="W1779">
        <v>18</v>
      </c>
      <c r="X1779" t="s">
        <v>10369</v>
      </c>
      <c r="Y1779">
        <v>0.53000732998836964</v>
      </c>
      <c r="Z1779" t="str">
        <f>HYPERLINK("Melting_Curves/meltCurve_sp_Q14678_2_KANK1_HUMAN_.pdf", "Melting_Curves/meltCurve_sp_Q14678_2_KANK1_HUMAN_.pdf")</f>
        <v>Melting_Curves/meltCurve_sp_Q14678_2_KANK1_HUMAN_.pdf</v>
      </c>
      <c r="AA1779" t="s">
        <v>14633</v>
      </c>
      <c r="AB1779" t="s">
        <v>18863</v>
      </c>
    </row>
    <row r="1780" spans="1:28" x14ac:dyDescent="0.25">
      <c r="A1780" t="s">
        <v>1784</v>
      </c>
      <c r="B1780">
        <v>0.99876560204751996</v>
      </c>
      <c r="C1780">
        <v>1.04178943701425</v>
      </c>
      <c r="D1780">
        <v>0.93104598780872405</v>
      </c>
      <c r="E1780">
        <v>0.82116759739136203</v>
      </c>
      <c r="F1780">
        <v>0.41598175370192197</v>
      </c>
      <c r="G1780">
        <v>0.205189609165113</v>
      </c>
      <c r="H1780">
        <v>0.129668607061841</v>
      </c>
      <c r="I1780">
        <v>9.4519779883174698E-2</v>
      </c>
      <c r="J1780">
        <v>9.2880790844616506E-2</v>
      </c>
      <c r="K1780">
        <v>8.9116617859819003E-2</v>
      </c>
      <c r="L1780">
        <v>1476.14465262211</v>
      </c>
      <c r="M1780">
        <v>28.327552364164301</v>
      </c>
      <c r="N1780">
        <v>52.5260528871246</v>
      </c>
      <c r="O1780">
        <v>51.8522391254591</v>
      </c>
      <c r="P1780">
        <v>-0.122849700839348</v>
      </c>
      <c r="Q1780">
        <v>0.10052519307612701</v>
      </c>
      <c r="R1780">
        <v>0.99510476323039898</v>
      </c>
      <c r="S1780" t="s">
        <v>6076</v>
      </c>
      <c r="T1780" t="s">
        <v>8590</v>
      </c>
      <c r="U1780" t="s">
        <v>8590</v>
      </c>
      <c r="V1780" t="s">
        <v>8590</v>
      </c>
      <c r="W1780">
        <v>10</v>
      </c>
      <c r="X1780" t="s">
        <v>10370</v>
      </c>
      <c r="Y1780">
        <v>0.47005566438864899</v>
      </c>
      <c r="Z1780" t="str">
        <f>HYPERLINK("Melting_Curves/meltCurve_sp_Q14683_SMC1A_HUMAN_.pdf", "Melting_Curves/meltCurve_sp_Q14683_SMC1A_HUMAN_.pdf")</f>
        <v>Melting_Curves/meltCurve_sp_Q14683_SMC1A_HUMAN_.pdf</v>
      </c>
      <c r="AA1780" t="s">
        <v>14634</v>
      </c>
      <c r="AB1780" t="s">
        <v>18864</v>
      </c>
    </row>
    <row r="1781" spans="1:28" x14ac:dyDescent="0.25">
      <c r="A1781" t="s">
        <v>1785</v>
      </c>
      <c r="B1781">
        <v>0.99876560204751996</v>
      </c>
      <c r="C1781">
        <v>0.81732331395302504</v>
      </c>
      <c r="D1781">
        <v>1.11140957433517</v>
      </c>
      <c r="E1781">
        <v>0.79685320683194905</v>
      </c>
      <c r="F1781">
        <v>0.93325285674187097</v>
      </c>
      <c r="G1781">
        <v>0.61377660669237</v>
      </c>
      <c r="H1781">
        <v>0.57007374071916594</v>
      </c>
      <c r="I1781">
        <v>0.53774303620084296</v>
      </c>
      <c r="J1781">
        <v>0.73339421153407303</v>
      </c>
      <c r="K1781">
        <v>0.72499563272412504</v>
      </c>
      <c r="L1781">
        <v>1362.53551167407</v>
      </c>
      <c r="M1781">
        <v>25.716033559763702</v>
      </c>
      <c r="O1781">
        <v>52.666608862269797</v>
      </c>
      <c r="P1781">
        <v>-4.49493585521702E-2</v>
      </c>
      <c r="Q1781">
        <v>0.63177808283580394</v>
      </c>
      <c r="R1781">
        <v>0.62732348098198298</v>
      </c>
      <c r="S1781" t="s">
        <v>6077</v>
      </c>
      <c r="T1781" t="s">
        <v>8590</v>
      </c>
      <c r="U1781" t="s">
        <v>8590</v>
      </c>
      <c r="V1781" t="s">
        <v>8590</v>
      </c>
      <c r="W1781">
        <v>1</v>
      </c>
      <c r="X1781" t="s">
        <v>10371</v>
      </c>
      <c r="Y1781">
        <v>0.79435724321521717</v>
      </c>
      <c r="Z1781" t="str">
        <f>HYPERLINK("Melting_Curves/meltCurve_sp_Q14684_2_RRP1B_HUMAN_.pdf", "Melting_Curves/meltCurve_sp_Q14684_2_RRP1B_HUMAN_.pdf")</f>
        <v>Melting_Curves/meltCurve_sp_Q14684_2_RRP1B_HUMAN_.pdf</v>
      </c>
      <c r="AA1781" t="s">
        <v>14635</v>
      </c>
      <c r="AB1781" t="s">
        <v>18865</v>
      </c>
    </row>
    <row r="1782" spans="1:28" x14ac:dyDescent="0.25">
      <c r="A1782" t="s">
        <v>1786</v>
      </c>
      <c r="B1782">
        <v>0.99876560204751996</v>
      </c>
      <c r="C1782">
        <v>0.84670966824494698</v>
      </c>
      <c r="D1782">
        <v>0.83211449333806198</v>
      </c>
      <c r="E1782">
        <v>0.56875068490791303</v>
      </c>
      <c r="F1782">
        <v>0.34377297877417001</v>
      </c>
      <c r="G1782">
        <v>0.28840016642417099</v>
      </c>
      <c r="H1782">
        <v>0.25402069622889201</v>
      </c>
      <c r="I1782">
        <v>0.25031308771324601</v>
      </c>
      <c r="J1782">
        <v>0.2333983864983</v>
      </c>
      <c r="K1782">
        <v>0</v>
      </c>
      <c r="L1782">
        <v>620.22485935315206</v>
      </c>
      <c r="M1782">
        <v>12.4066779017096</v>
      </c>
      <c r="N1782">
        <v>51.183234572658002</v>
      </c>
      <c r="O1782">
        <v>48.745714742702802</v>
      </c>
      <c r="P1782">
        <v>-5.5657610263625999E-2</v>
      </c>
      <c r="Q1782">
        <v>0.12547252388301</v>
      </c>
      <c r="R1782">
        <v>0.952238423129528</v>
      </c>
      <c r="S1782" t="s">
        <v>6078</v>
      </c>
      <c r="T1782" t="s">
        <v>8590</v>
      </c>
      <c r="U1782" t="s">
        <v>8590</v>
      </c>
      <c r="V1782" t="s">
        <v>8590</v>
      </c>
      <c r="W1782">
        <v>1</v>
      </c>
      <c r="X1782" t="s">
        <v>10372</v>
      </c>
      <c r="Y1782">
        <v>0.44546092599438858</v>
      </c>
      <c r="Z1782" t="str">
        <f>HYPERLINK("Melting_Curves/meltCurve_sp_Q14687_2_GSE1_HUMAN_.pdf", "Melting_Curves/meltCurve_sp_Q14687_2_GSE1_HUMAN_.pdf")</f>
        <v>Melting_Curves/meltCurve_sp_Q14687_2_GSE1_HUMAN_.pdf</v>
      </c>
      <c r="AA1782" t="s">
        <v>14636</v>
      </c>
      <c r="AB1782" t="s">
        <v>18866</v>
      </c>
    </row>
    <row r="1783" spans="1:28" x14ac:dyDescent="0.25">
      <c r="A1783" t="s">
        <v>1787</v>
      </c>
      <c r="B1783">
        <v>0.99876560204751996</v>
      </c>
      <c r="C1783">
        <v>0.97871802875394098</v>
      </c>
      <c r="D1783">
        <v>1.03397805325665</v>
      </c>
      <c r="E1783">
        <v>0.91938650681912104</v>
      </c>
      <c r="F1783">
        <v>0.95741554875460699</v>
      </c>
      <c r="G1783">
        <v>0.80823276916344</v>
      </c>
      <c r="H1783">
        <v>0.69692281154910296</v>
      </c>
      <c r="I1783">
        <v>0.96543136614207503</v>
      </c>
      <c r="J1783">
        <v>0.74381107753367603</v>
      </c>
      <c r="K1783">
        <v>0.72548038452250296</v>
      </c>
      <c r="L1783">
        <v>1540.6770629984101</v>
      </c>
      <c r="M1783">
        <v>28.470440597738101</v>
      </c>
      <c r="O1783">
        <v>53.850099071033704</v>
      </c>
      <c r="P1783">
        <v>-2.9164809186507601E-2</v>
      </c>
      <c r="Q1783">
        <v>0.77934795187685202</v>
      </c>
      <c r="R1783">
        <v>0.62984899749367596</v>
      </c>
      <c r="S1783" t="s">
        <v>6079</v>
      </c>
      <c r="T1783" t="s">
        <v>8590</v>
      </c>
      <c r="U1783" t="s">
        <v>8590</v>
      </c>
      <c r="V1783" t="s">
        <v>8590</v>
      </c>
      <c r="W1783">
        <v>3</v>
      </c>
      <c r="X1783" t="s">
        <v>10373</v>
      </c>
      <c r="Y1783">
        <v>0.88476854532005866</v>
      </c>
      <c r="Z1783" t="str">
        <f>HYPERLINK("Melting_Curves/meltCurve_sp_Q14689_6_DIP2A_HUMAN_.pdf", "Melting_Curves/meltCurve_sp_Q14689_6_DIP2A_HUMAN_.pdf")</f>
        <v>Melting_Curves/meltCurve_sp_Q14689_6_DIP2A_HUMAN_.pdf</v>
      </c>
      <c r="AA1783" t="s">
        <v>14637</v>
      </c>
      <c r="AB1783" t="s">
        <v>18867</v>
      </c>
    </row>
    <row r="1784" spans="1:28" x14ac:dyDescent="0.25">
      <c r="A1784" t="s">
        <v>1788</v>
      </c>
      <c r="B1784">
        <v>0.99876560204751996</v>
      </c>
      <c r="C1784">
        <v>0.89748636692572903</v>
      </c>
      <c r="D1784">
        <v>0.83913073214407197</v>
      </c>
      <c r="E1784">
        <v>0.68606303944418801</v>
      </c>
      <c r="F1784">
        <v>0.49612286134066402</v>
      </c>
      <c r="G1784">
        <v>0.39118077356851599</v>
      </c>
      <c r="H1784">
        <v>0.34850022452511198</v>
      </c>
      <c r="I1784">
        <v>0.30297103465171998</v>
      </c>
      <c r="J1784">
        <v>0.349750727038662</v>
      </c>
      <c r="K1784">
        <v>0.29747840124214697</v>
      </c>
      <c r="L1784">
        <v>694.56190470423803</v>
      </c>
      <c r="M1784">
        <v>13.8649666342177</v>
      </c>
      <c r="N1784">
        <v>53.4695636861304</v>
      </c>
      <c r="O1784">
        <v>49.087147730576099</v>
      </c>
      <c r="P1784">
        <v>-5.00304099012805E-2</v>
      </c>
      <c r="Q1784">
        <v>0.29159214285618201</v>
      </c>
      <c r="R1784">
        <v>0.99127831829431901</v>
      </c>
      <c r="S1784" t="s">
        <v>6080</v>
      </c>
      <c r="T1784" t="s">
        <v>8590</v>
      </c>
      <c r="U1784" t="s">
        <v>8590</v>
      </c>
      <c r="V1784" t="s">
        <v>8590</v>
      </c>
      <c r="W1784">
        <v>7</v>
      </c>
      <c r="X1784" t="s">
        <v>10374</v>
      </c>
      <c r="Y1784">
        <v>0.54925745947295335</v>
      </c>
      <c r="Z1784" t="str">
        <f>HYPERLINK("Melting_Curves/meltCurve_sp_Q14694_UBP10_HUMAN_.pdf", "Melting_Curves/meltCurve_sp_Q14694_UBP10_HUMAN_.pdf")</f>
        <v>Melting_Curves/meltCurve_sp_Q14694_UBP10_HUMAN_.pdf</v>
      </c>
      <c r="AA1784" t="s">
        <v>14638</v>
      </c>
      <c r="AB1784" t="s">
        <v>18868</v>
      </c>
    </row>
    <row r="1785" spans="1:28" x14ac:dyDescent="0.25">
      <c r="A1785" t="s">
        <v>1789</v>
      </c>
      <c r="B1785">
        <v>0.99876560204751996</v>
      </c>
      <c r="C1785">
        <v>0.949500205714229</v>
      </c>
      <c r="D1785">
        <v>1.03760029692393</v>
      </c>
      <c r="E1785">
        <v>0.89943735126272095</v>
      </c>
      <c r="F1785">
        <v>0.95186834376451301</v>
      </c>
      <c r="G1785">
        <v>0.69965999482857599</v>
      </c>
      <c r="H1785">
        <v>0.64220309454218505</v>
      </c>
      <c r="I1785">
        <v>0.593352283798666</v>
      </c>
      <c r="J1785">
        <v>0.70354756758979797</v>
      </c>
      <c r="K1785">
        <v>0.69225432342815696</v>
      </c>
      <c r="L1785">
        <v>2529.8628289368698</v>
      </c>
      <c r="M1785">
        <v>46.204514462172803</v>
      </c>
      <c r="O1785">
        <v>54.651323171686201</v>
      </c>
      <c r="P1785">
        <v>-7.2639327004211704E-2</v>
      </c>
      <c r="Q1785">
        <v>0.65632534758686301</v>
      </c>
      <c r="R1785">
        <v>0.91387592385848804</v>
      </c>
      <c r="S1785" t="s">
        <v>6081</v>
      </c>
      <c r="T1785" t="s">
        <v>8590</v>
      </c>
      <c r="U1785" t="s">
        <v>8590</v>
      </c>
      <c r="V1785" t="s">
        <v>8590</v>
      </c>
      <c r="W1785">
        <v>11</v>
      </c>
      <c r="X1785" t="s">
        <v>10375</v>
      </c>
      <c r="Y1785">
        <v>0.82631174393901519</v>
      </c>
      <c r="Z1785" t="str">
        <f>HYPERLINK("Melting_Curves/meltCurve_sp_Q14696_MESD_HUMAN_.pdf", "Melting_Curves/meltCurve_sp_Q14696_MESD_HUMAN_.pdf")</f>
        <v>Melting_Curves/meltCurve_sp_Q14696_MESD_HUMAN_.pdf</v>
      </c>
      <c r="AA1785" t="s">
        <v>14639</v>
      </c>
      <c r="AB1785" t="s">
        <v>18869</v>
      </c>
    </row>
    <row r="1786" spans="1:28" x14ac:dyDescent="0.25">
      <c r="A1786" t="s">
        <v>1790</v>
      </c>
      <c r="B1786">
        <v>0.99876560204751996</v>
      </c>
      <c r="C1786">
        <v>1.03926024315059</v>
      </c>
      <c r="D1786">
        <v>0.91526006967558104</v>
      </c>
      <c r="E1786">
        <v>0.64842285284615797</v>
      </c>
      <c r="F1786">
        <v>0.185868784632263</v>
      </c>
      <c r="G1786">
        <v>0.11127502037834699</v>
      </c>
      <c r="H1786">
        <v>6.6655969916512001E-2</v>
      </c>
      <c r="I1786">
        <v>5.53754387782091E-2</v>
      </c>
      <c r="J1786">
        <v>5.7596090799206599E-2</v>
      </c>
      <c r="K1786">
        <v>4.8192126591568997E-2</v>
      </c>
      <c r="L1786">
        <v>1850.1862336633901</v>
      </c>
      <c r="M1786">
        <v>36.570661855553098</v>
      </c>
      <c r="N1786">
        <v>50.7730237513899</v>
      </c>
      <c r="O1786">
        <v>50.441543000981397</v>
      </c>
      <c r="P1786">
        <v>-0.17018113468989399</v>
      </c>
      <c r="Q1786">
        <v>6.1086621580811601E-2</v>
      </c>
      <c r="R1786">
        <v>0.99540996105209001</v>
      </c>
      <c r="S1786" t="s">
        <v>6082</v>
      </c>
      <c r="T1786" t="s">
        <v>8590</v>
      </c>
      <c r="U1786" t="s">
        <v>8590</v>
      </c>
      <c r="V1786" t="s">
        <v>8590</v>
      </c>
      <c r="W1786">
        <v>36</v>
      </c>
      <c r="X1786" t="s">
        <v>10376</v>
      </c>
      <c r="Y1786">
        <v>0.39652268605540109</v>
      </c>
      <c r="Z1786" t="str">
        <f>HYPERLINK("Melting_Curves/meltCurve_sp_Q14697_GANAB_HUMAN_.pdf", "Melting_Curves/meltCurve_sp_Q14697_GANAB_HUMAN_.pdf")</f>
        <v>Melting_Curves/meltCurve_sp_Q14697_GANAB_HUMAN_.pdf</v>
      </c>
      <c r="AA1786" t="s">
        <v>14640</v>
      </c>
      <c r="AB1786" t="s">
        <v>18870</v>
      </c>
    </row>
    <row r="1787" spans="1:28" x14ac:dyDescent="0.25">
      <c r="A1787" t="s">
        <v>1791</v>
      </c>
      <c r="B1787">
        <v>0.99876560204751996</v>
      </c>
      <c r="C1787">
        <v>1.0604008205722799</v>
      </c>
      <c r="D1787">
        <v>0.95422028006443405</v>
      </c>
      <c r="E1787">
        <v>0.98492940142916696</v>
      </c>
      <c r="F1787">
        <v>0.71115089797487196</v>
      </c>
      <c r="G1787">
        <v>0.27026038308370798</v>
      </c>
      <c r="H1787">
        <v>9.2389653046600698E-2</v>
      </c>
      <c r="I1787">
        <v>7.1441019219344801E-2</v>
      </c>
      <c r="J1787">
        <v>6.8922452898806302E-2</v>
      </c>
      <c r="K1787">
        <v>5.6882018030943497E-2</v>
      </c>
      <c r="L1787">
        <v>1676.8539004284901</v>
      </c>
      <c r="M1787">
        <v>30.738284423607201</v>
      </c>
      <c r="N1787">
        <v>54.786724334587802</v>
      </c>
      <c r="O1787">
        <v>54.323286673233497</v>
      </c>
      <c r="P1787">
        <v>-0.13275492131934899</v>
      </c>
      <c r="Q1787">
        <v>6.1542828348051498E-2</v>
      </c>
      <c r="R1787">
        <v>0.99589188799821804</v>
      </c>
      <c r="S1787" t="s">
        <v>6083</v>
      </c>
      <c r="T1787" t="s">
        <v>8590</v>
      </c>
      <c r="U1787" t="s">
        <v>8590</v>
      </c>
      <c r="V1787" t="s">
        <v>8590</v>
      </c>
      <c r="W1787">
        <v>8</v>
      </c>
      <c r="X1787" t="s">
        <v>10377</v>
      </c>
      <c r="Y1787">
        <v>0.52269532716699063</v>
      </c>
      <c r="Z1787" t="str">
        <f>HYPERLINK("Melting_Curves/meltCurve_sp_Q14749_GNMT_HUMAN_.pdf", "Melting_Curves/meltCurve_sp_Q14749_GNMT_HUMAN_.pdf")</f>
        <v>Melting_Curves/meltCurve_sp_Q14749_GNMT_HUMAN_.pdf</v>
      </c>
      <c r="AA1787" t="s">
        <v>14641</v>
      </c>
      <c r="AB1787" t="s">
        <v>18871</v>
      </c>
    </row>
    <row r="1788" spans="1:28" x14ac:dyDescent="0.25">
      <c r="A1788" t="s">
        <v>1792</v>
      </c>
      <c r="B1788">
        <v>0.99876560204751996</v>
      </c>
      <c r="C1788">
        <v>0.98141417037308099</v>
      </c>
      <c r="D1788">
        <v>0.818906953934041</v>
      </c>
      <c r="E1788">
        <v>0.74563306288844</v>
      </c>
      <c r="F1788">
        <v>0.53436066931595405</v>
      </c>
      <c r="G1788">
        <v>0.388137311847843</v>
      </c>
      <c r="H1788">
        <v>0.25326441052561099</v>
      </c>
      <c r="I1788">
        <v>0.26863859612629298</v>
      </c>
      <c r="J1788">
        <v>0.26775067413321002</v>
      </c>
      <c r="K1788">
        <v>0.229116899363008</v>
      </c>
      <c r="L1788">
        <v>714.25538034457395</v>
      </c>
      <c r="M1788">
        <v>13.789398834876099</v>
      </c>
      <c r="N1788">
        <v>53.907562806635397</v>
      </c>
      <c r="O1788">
        <v>50.744524022523997</v>
      </c>
      <c r="P1788">
        <v>-5.3774488847668597E-2</v>
      </c>
      <c r="Q1788">
        <v>0.20855786757073</v>
      </c>
      <c r="R1788">
        <v>0.98925617794849996</v>
      </c>
      <c r="S1788" t="s">
        <v>6084</v>
      </c>
      <c r="T1788" t="s">
        <v>8590</v>
      </c>
      <c r="U1788" t="s">
        <v>8590</v>
      </c>
      <c r="V1788" t="s">
        <v>8590</v>
      </c>
      <c r="W1788">
        <v>60</v>
      </c>
      <c r="X1788" t="s">
        <v>10378</v>
      </c>
      <c r="Y1788">
        <v>0.54002341452870051</v>
      </c>
      <c r="Z1788" t="str">
        <f>HYPERLINK("Melting_Curves/meltCurve_sp_Q14789_GOGB1_HUMAN_.pdf", "Melting_Curves/meltCurve_sp_Q14789_GOGB1_HUMAN_.pdf")</f>
        <v>Melting_Curves/meltCurve_sp_Q14789_GOGB1_HUMAN_.pdf</v>
      </c>
      <c r="AA1788" t="s">
        <v>14642</v>
      </c>
      <c r="AB1788" t="s">
        <v>18872</v>
      </c>
    </row>
    <row r="1789" spans="1:28" x14ac:dyDescent="0.25">
      <c r="A1789" t="s">
        <v>1793</v>
      </c>
      <c r="B1789">
        <v>0.99876560204751996</v>
      </c>
      <c r="C1789">
        <v>0.90591131428044003</v>
      </c>
      <c r="D1789">
        <v>1.0151661115419299</v>
      </c>
      <c r="E1789">
        <v>1.1072292395771199</v>
      </c>
      <c r="F1789">
        <v>1.2188850054829601</v>
      </c>
      <c r="G1789">
        <v>0.81393418084991198</v>
      </c>
      <c r="H1789">
        <v>0.90681420257830503</v>
      </c>
      <c r="I1789">
        <v>1.1368185533072499</v>
      </c>
      <c r="J1789">
        <v>1.3654626679785</v>
      </c>
      <c r="K1789">
        <v>1.3177225269970001</v>
      </c>
      <c r="L1789">
        <v>15000</v>
      </c>
      <c r="M1789">
        <v>233.97173840826099</v>
      </c>
      <c r="O1789">
        <v>64.105612525999604</v>
      </c>
      <c r="P1789">
        <v>0.31169032196499502</v>
      </c>
      <c r="Q1789">
        <v>1.3415985612334</v>
      </c>
      <c r="R1789">
        <v>0.62743522433477295</v>
      </c>
      <c r="S1789" t="s">
        <v>6085</v>
      </c>
      <c r="T1789" t="s">
        <v>8590</v>
      </c>
      <c r="U1789" t="s">
        <v>8590</v>
      </c>
      <c r="V1789" t="s">
        <v>8590</v>
      </c>
      <c r="W1789">
        <v>3</v>
      </c>
      <c r="X1789" t="s">
        <v>10379</v>
      </c>
      <c r="Y1789">
        <v>1.067019805714625</v>
      </c>
      <c r="Z1789" t="str">
        <f>HYPERLINK("Melting_Curves/meltCurve_sp_Q147X3_NAA30_HUMAN_.pdf", "Melting_Curves/meltCurve_sp_Q147X3_NAA30_HUMAN_.pdf")</f>
        <v>Melting_Curves/meltCurve_sp_Q147X3_NAA30_HUMAN_.pdf</v>
      </c>
      <c r="AA1789" t="s">
        <v>14643</v>
      </c>
      <c r="AB1789" t="s">
        <v>18873</v>
      </c>
    </row>
    <row r="1790" spans="1:28" x14ac:dyDescent="0.25">
      <c r="A1790" t="s">
        <v>1794</v>
      </c>
      <c r="B1790">
        <v>0.99876560204751996</v>
      </c>
      <c r="C1790">
        <v>0.92714900396733002</v>
      </c>
      <c r="D1790">
        <v>1.0652704401656401</v>
      </c>
      <c r="E1790">
        <v>0.95276301189786905</v>
      </c>
      <c r="F1790">
        <v>1.05406214360272</v>
      </c>
      <c r="G1790">
        <v>0.85590889095644196</v>
      </c>
      <c r="H1790">
        <v>0.83974141087252996</v>
      </c>
      <c r="I1790">
        <v>0.899805248614714</v>
      </c>
      <c r="J1790">
        <v>1.14927459025624</v>
      </c>
      <c r="K1790">
        <v>1.1662829254003899</v>
      </c>
      <c r="L1790">
        <v>15000</v>
      </c>
      <c r="M1790">
        <v>226.02456668514699</v>
      </c>
      <c r="O1790">
        <v>66.359278211791903</v>
      </c>
      <c r="P1790">
        <v>0.141766096428527</v>
      </c>
      <c r="Q1790">
        <v>1.16648623760392</v>
      </c>
      <c r="R1790">
        <v>0.40808152044303703</v>
      </c>
      <c r="S1790" t="s">
        <v>6086</v>
      </c>
      <c r="T1790" t="s">
        <v>8590</v>
      </c>
      <c r="U1790" t="s">
        <v>8590</v>
      </c>
      <c r="V1790" t="s">
        <v>8590</v>
      </c>
      <c r="W1790">
        <v>22</v>
      </c>
      <c r="X1790" t="s">
        <v>10380</v>
      </c>
      <c r="Y1790">
        <v>1.020151829004885</v>
      </c>
      <c r="Z1790" t="str">
        <f>HYPERLINK("Melting_Curves/meltCurve_sp_Q14847_LASP1_HUMAN_.pdf", "Melting_Curves/meltCurve_sp_Q14847_LASP1_HUMAN_.pdf")</f>
        <v>Melting_Curves/meltCurve_sp_Q14847_LASP1_HUMAN_.pdf</v>
      </c>
      <c r="AA1790" t="s">
        <v>14644</v>
      </c>
      <c r="AB1790" t="s">
        <v>18874</v>
      </c>
    </row>
    <row r="1791" spans="1:28" x14ac:dyDescent="0.25">
      <c r="A1791" t="s">
        <v>1795</v>
      </c>
      <c r="B1791">
        <v>0.99876560204751996</v>
      </c>
      <c r="C1791">
        <v>0.95109902039055105</v>
      </c>
      <c r="D1791">
        <v>0.958182379512449</v>
      </c>
      <c r="E1791">
        <v>0.95645476521455597</v>
      </c>
      <c r="F1791">
        <v>0.937997382866263</v>
      </c>
      <c r="G1791">
        <v>0.81206286417766604</v>
      </c>
      <c r="H1791">
        <v>0.46433684226528299</v>
      </c>
      <c r="I1791">
        <v>0.189553080004666</v>
      </c>
      <c r="J1791">
        <v>7.5097871657169801E-2</v>
      </c>
      <c r="K1791">
        <v>6.1262063236388699E-2</v>
      </c>
      <c r="L1791">
        <v>1449.8589456242401</v>
      </c>
      <c r="M1791">
        <v>23.995759672713</v>
      </c>
      <c r="N1791">
        <v>60.441469330588703</v>
      </c>
      <c r="O1791">
        <v>60.006521460449797</v>
      </c>
      <c r="P1791">
        <v>-9.9577286411618698E-2</v>
      </c>
      <c r="Q1791">
        <v>3.9587245698092998E-3</v>
      </c>
      <c r="R1791">
        <v>0.99459622246235901</v>
      </c>
      <c r="S1791" t="s">
        <v>6087</v>
      </c>
      <c r="T1791" t="s">
        <v>8590</v>
      </c>
      <c r="U1791" t="s">
        <v>8590</v>
      </c>
      <c r="V1791" t="s">
        <v>8590</v>
      </c>
      <c r="W1791">
        <v>10</v>
      </c>
      <c r="X1791" t="s">
        <v>10381</v>
      </c>
      <c r="Y1791">
        <v>0.68912626916372877</v>
      </c>
      <c r="Z1791" t="str">
        <f>HYPERLINK("Melting_Curves/meltCurve_sp_Q14894_CRYM_HUMAN_.pdf", "Melting_Curves/meltCurve_sp_Q14894_CRYM_HUMAN_.pdf")</f>
        <v>Melting_Curves/meltCurve_sp_Q14894_CRYM_HUMAN_.pdf</v>
      </c>
      <c r="AA1791" t="s">
        <v>14645</v>
      </c>
      <c r="AB1791" t="s">
        <v>18875</v>
      </c>
    </row>
    <row r="1792" spans="1:28" x14ac:dyDescent="0.25">
      <c r="A1792" t="s">
        <v>1796</v>
      </c>
      <c r="B1792">
        <v>0.99876560204751996</v>
      </c>
      <c r="C1792">
        <v>0.94723779560872601</v>
      </c>
      <c r="D1792">
        <v>1.0184418483495099</v>
      </c>
      <c r="E1792">
        <v>0.95414208594778005</v>
      </c>
      <c r="F1792">
        <v>0.52225182606069198</v>
      </c>
      <c r="G1792">
        <v>0.227392322200071</v>
      </c>
      <c r="H1792">
        <v>0.139423452438102</v>
      </c>
      <c r="I1792">
        <v>0.10271624692176801</v>
      </c>
      <c r="J1792">
        <v>9.5308982262979097E-2</v>
      </c>
      <c r="K1792">
        <v>7.0603392579222907E-2</v>
      </c>
      <c r="L1792">
        <v>1897.2248633305801</v>
      </c>
      <c r="M1792">
        <v>35.792016969919601</v>
      </c>
      <c r="N1792">
        <v>53.371337024777397</v>
      </c>
      <c r="O1792">
        <v>52.8422515239576</v>
      </c>
      <c r="P1792">
        <v>-0.15097795870839401</v>
      </c>
      <c r="Q1792">
        <v>0.108405298750079</v>
      </c>
      <c r="R1792">
        <v>0.99299572430272398</v>
      </c>
      <c r="S1792" t="s">
        <v>6088</v>
      </c>
      <c r="T1792" t="s">
        <v>8590</v>
      </c>
      <c r="U1792" t="s">
        <v>8590</v>
      </c>
      <c r="V1792" t="s">
        <v>8590</v>
      </c>
      <c r="W1792">
        <v>18</v>
      </c>
      <c r="X1792" t="s">
        <v>10382</v>
      </c>
      <c r="Y1792">
        <v>0.49904547132538418</v>
      </c>
      <c r="Z1792" t="str">
        <f>HYPERLINK("Melting_Curves/meltCurve_sp_Q14914_2_PTGR1_HUMAN_.pdf", "Melting_Curves/meltCurve_sp_Q14914_2_PTGR1_HUMAN_.pdf")</f>
        <v>Melting_Curves/meltCurve_sp_Q14914_2_PTGR1_HUMAN_.pdf</v>
      </c>
      <c r="AA1792" t="s">
        <v>14646</v>
      </c>
      <c r="AB1792" t="s">
        <v>18876</v>
      </c>
    </row>
    <row r="1793" spans="1:28" x14ac:dyDescent="0.25">
      <c r="A1793" t="s">
        <v>1797</v>
      </c>
      <c r="B1793">
        <v>0.99876560204751996</v>
      </c>
      <c r="C1793">
        <v>0.84995656988792001</v>
      </c>
      <c r="D1793">
        <v>0.86665756326003296</v>
      </c>
      <c r="E1793">
        <v>0.76229159566211402</v>
      </c>
      <c r="F1793">
        <v>0.61120075267374196</v>
      </c>
      <c r="G1793">
        <v>0.50861481286538202</v>
      </c>
      <c r="H1793">
        <v>0.41003987589358298</v>
      </c>
      <c r="I1793">
        <v>0.322834124852657</v>
      </c>
      <c r="J1793">
        <v>8.6603530526807401E-2</v>
      </c>
      <c r="K1793">
        <v>0.35047651823190401</v>
      </c>
      <c r="L1793">
        <v>454.74412856778503</v>
      </c>
      <c r="M1793">
        <v>8.1975940564188097</v>
      </c>
      <c r="N1793">
        <v>56.7336864581209</v>
      </c>
      <c r="O1793">
        <v>52.4651597211069</v>
      </c>
      <c r="P1793">
        <v>-3.5846235053083902E-2</v>
      </c>
      <c r="Q1793">
        <v>8.3273318518102601E-2</v>
      </c>
      <c r="R1793">
        <v>0.92609492179730102</v>
      </c>
      <c r="S1793" t="s">
        <v>6089</v>
      </c>
      <c r="T1793" t="s">
        <v>8590</v>
      </c>
      <c r="U1793" t="s">
        <v>8590</v>
      </c>
      <c r="V1793" t="s">
        <v>8590</v>
      </c>
      <c r="W1793">
        <v>3</v>
      </c>
      <c r="X1793" t="s">
        <v>10383</v>
      </c>
      <c r="Y1793">
        <v>0.57794198422882226</v>
      </c>
      <c r="Z1793" t="str">
        <f>HYPERLINK("Melting_Curves/meltCurve_sp_Q14938_5_NFIX_HUMAN_.pdf", "Melting_Curves/meltCurve_sp_Q14938_5_NFIX_HUMAN_.pdf")</f>
        <v>Melting_Curves/meltCurve_sp_Q14938_5_NFIX_HUMAN_.pdf</v>
      </c>
      <c r="AA1793" t="s">
        <v>14647</v>
      </c>
      <c r="AB1793" t="s">
        <v>18877</v>
      </c>
    </row>
    <row r="1794" spans="1:28" x14ac:dyDescent="0.25">
      <c r="A1794" t="s">
        <v>1798</v>
      </c>
      <c r="B1794">
        <v>0.99876560204751996</v>
      </c>
      <c r="C1794">
        <v>0.963821340837967</v>
      </c>
      <c r="D1794">
        <v>1.03526048493356</v>
      </c>
      <c r="E1794">
        <v>0.93704645294957301</v>
      </c>
      <c r="F1794">
        <v>0.85592042458289896</v>
      </c>
      <c r="G1794">
        <v>0.70014444781552498</v>
      </c>
      <c r="H1794">
        <v>0.59642152536647697</v>
      </c>
      <c r="I1794">
        <v>0.56034448972406803</v>
      </c>
      <c r="J1794">
        <v>0.66878614155198002</v>
      </c>
      <c r="K1794">
        <v>0.64227954616459804</v>
      </c>
      <c r="L1794">
        <v>1474.42086007168</v>
      </c>
      <c r="M1794">
        <v>27.363775693418301</v>
      </c>
      <c r="O1794">
        <v>53.596910679337903</v>
      </c>
      <c r="P1794">
        <v>-4.9167317495202797E-2</v>
      </c>
      <c r="Q1794">
        <v>0.61479123183652196</v>
      </c>
      <c r="R1794">
        <v>0.96052411740524002</v>
      </c>
      <c r="S1794" t="s">
        <v>6090</v>
      </c>
      <c r="T1794" t="s">
        <v>8590</v>
      </c>
      <c r="U1794" t="s">
        <v>8590</v>
      </c>
      <c r="V1794" t="s">
        <v>8590</v>
      </c>
      <c r="W1794">
        <v>25</v>
      </c>
      <c r="X1794" t="s">
        <v>10384</v>
      </c>
      <c r="Y1794">
        <v>0.79605537898297773</v>
      </c>
      <c r="Z1794" t="str">
        <f>HYPERLINK("Melting_Curves/meltCurve_sp_Q14966_ZN638_HUMAN_.pdf", "Melting_Curves/meltCurve_sp_Q14966_ZN638_HUMAN_.pdf")</f>
        <v>Melting_Curves/meltCurve_sp_Q14966_ZN638_HUMAN_.pdf</v>
      </c>
      <c r="AA1794" t="s">
        <v>14648</v>
      </c>
      <c r="AB1794" t="s">
        <v>18878</v>
      </c>
    </row>
    <row r="1795" spans="1:28" x14ac:dyDescent="0.25">
      <c r="A1795" t="s">
        <v>1799</v>
      </c>
      <c r="B1795">
        <v>0.99876560204751996</v>
      </c>
      <c r="C1795">
        <v>1.1226125044423101</v>
      </c>
      <c r="D1795">
        <v>0.97423680906432297</v>
      </c>
      <c r="E1795">
        <v>0.876011532934177</v>
      </c>
      <c r="F1795">
        <v>0.51501302426014195</v>
      </c>
      <c r="G1795">
        <v>0.28647643342700202</v>
      </c>
      <c r="H1795">
        <v>8.92884290015383E-2</v>
      </c>
      <c r="I1795">
        <v>6.4068956262118795E-2</v>
      </c>
      <c r="J1795">
        <v>5.6421566176188299E-2</v>
      </c>
      <c r="K1795">
        <v>4.8074552115709199E-2</v>
      </c>
      <c r="L1795">
        <v>1213.4102828421401</v>
      </c>
      <c r="M1795">
        <v>22.7029151509747</v>
      </c>
      <c r="N1795">
        <v>53.687934982246702</v>
      </c>
      <c r="O1795">
        <v>53.037836225161598</v>
      </c>
      <c r="P1795">
        <v>-0.10183873331528601</v>
      </c>
      <c r="Q1795">
        <v>4.83689908610744E-2</v>
      </c>
      <c r="R1795">
        <v>0.98700005953840297</v>
      </c>
      <c r="S1795" t="s">
        <v>6091</v>
      </c>
      <c r="T1795" t="s">
        <v>8590</v>
      </c>
      <c r="U1795" t="s">
        <v>8590</v>
      </c>
      <c r="V1795" t="s">
        <v>8590</v>
      </c>
      <c r="W1795">
        <v>28</v>
      </c>
      <c r="X1795" t="s">
        <v>10385</v>
      </c>
      <c r="Y1795">
        <v>0.48540250620600772</v>
      </c>
      <c r="Z1795" t="str">
        <f>HYPERLINK("Melting_Curves/meltCurve_sp_Q14974_IMB1_HUMAN_.pdf", "Melting_Curves/meltCurve_sp_Q14974_IMB1_HUMAN_.pdf")</f>
        <v>Melting_Curves/meltCurve_sp_Q14974_IMB1_HUMAN_.pdf</v>
      </c>
      <c r="AA1795" t="s">
        <v>14649</v>
      </c>
      <c r="AB1795" t="s">
        <v>18879</v>
      </c>
    </row>
    <row r="1796" spans="1:28" x14ac:dyDescent="0.25">
      <c r="A1796" t="s">
        <v>1800</v>
      </c>
      <c r="B1796">
        <v>0.99876560204751996</v>
      </c>
      <c r="C1796">
        <v>0.98338548016929295</v>
      </c>
      <c r="D1796">
        <v>1.01362378760283</v>
      </c>
      <c r="E1796">
        <v>0.89049265823846102</v>
      </c>
      <c r="F1796">
        <v>0.93456950667452598</v>
      </c>
      <c r="G1796">
        <v>0.69125769239110302</v>
      </c>
      <c r="H1796">
        <v>0.60468149556744299</v>
      </c>
      <c r="I1796">
        <v>0.61924864090658804</v>
      </c>
      <c r="J1796">
        <v>0.75249725920556498</v>
      </c>
      <c r="K1796">
        <v>0.81972631911511695</v>
      </c>
      <c r="L1796">
        <v>3450.0291660073799</v>
      </c>
      <c r="M1796">
        <v>63.922527653123304</v>
      </c>
      <c r="O1796">
        <v>53.919290870772798</v>
      </c>
      <c r="P1796">
        <v>-9.0174742205971201E-2</v>
      </c>
      <c r="Q1796">
        <v>0.695746915415135</v>
      </c>
      <c r="R1796">
        <v>0.79594417831208197</v>
      </c>
      <c r="S1796" t="s">
        <v>6092</v>
      </c>
      <c r="T1796" t="s">
        <v>8590</v>
      </c>
      <c r="U1796" t="s">
        <v>8590</v>
      </c>
      <c r="V1796" t="s">
        <v>8590</v>
      </c>
      <c r="W1796">
        <v>9</v>
      </c>
      <c r="X1796" t="s">
        <v>10386</v>
      </c>
      <c r="Y1796">
        <v>0.83789032138253328</v>
      </c>
      <c r="Z1796" t="str">
        <f>HYPERLINK("Melting_Curves/meltCurve_sp_Q14978_NOLC1_HUMAN_.pdf", "Melting_Curves/meltCurve_sp_Q14978_NOLC1_HUMAN_.pdf")</f>
        <v>Melting_Curves/meltCurve_sp_Q14978_NOLC1_HUMAN_.pdf</v>
      </c>
      <c r="AA1796" t="s">
        <v>14650</v>
      </c>
      <c r="AB1796" t="s">
        <v>18880</v>
      </c>
    </row>
    <row r="1797" spans="1:28" x14ac:dyDescent="0.25">
      <c r="A1797" t="s">
        <v>1801</v>
      </c>
      <c r="B1797">
        <v>0.99876560204751996</v>
      </c>
      <c r="C1797">
        <v>0.93247583150289204</v>
      </c>
      <c r="D1797">
        <v>0.85513443123431698</v>
      </c>
      <c r="E1797">
        <v>0.82900330870116101</v>
      </c>
      <c r="F1797">
        <v>0.72588920944085999</v>
      </c>
      <c r="G1797">
        <v>0.45059939657984799</v>
      </c>
      <c r="H1797">
        <v>0.28251570881827398</v>
      </c>
      <c r="I1797">
        <v>0.23642702113341099</v>
      </c>
      <c r="J1797">
        <v>0.27801160645578299</v>
      </c>
      <c r="K1797">
        <v>0.23876824920898901</v>
      </c>
      <c r="L1797">
        <v>761.66729476588898</v>
      </c>
      <c r="M1797">
        <v>14.0027272767521</v>
      </c>
      <c r="N1797">
        <v>56.217944279145399</v>
      </c>
      <c r="O1797">
        <v>53.320868076712401</v>
      </c>
      <c r="P1797">
        <v>-5.3675953136336503E-2</v>
      </c>
      <c r="Q1797">
        <v>0.18253925670205801</v>
      </c>
      <c r="R1797">
        <v>0.97820305177431699</v>
      </c>
      <c r="S1797" t="s">
        <v>6093</v>
      </c>
      <c r="T1797" t="s">
        <v>8590</v>
      </c>
      <c r="U1797" t="s">
        <v>8590</v>
      </c>
      <c r="V1797" t="s">
        <v>8590</v>
      </c>
      <c r="W1797">
        <v>76</v>
      </c>
      <c r="X1797" t="s">
        <v>10387</v>
      </c>
      <c r="Y1797">
        <v>0.59247907011442669</v>
      </c>
      <c r="Z1797" t="str">
        <f>HYPERLINK("Melting_Curves/meltCurve_sp_Q14980_NUMA1_HUMAN_.pdf", "Melting_Curves/meltCurve_sp_Q14980_NUMA1_HUMAN_.pdf")</f>
        <v>Melting_Curves/meltCurve_sp_Q14980_NUMA1_HUMAN_.pdf</v>
      </c>
      <c r="AA1797" t="s">
        <v>14651</v>
      </c>
      <c r="AB1797" t="s">
        <v>18881</v>
      </c>
    </row>
    <row r="1798" spans="1:28" x14ac:dyDescent="0.25">
      <c r="A1798" t="s">
        <v>1802</v>
      </c>
      <c r="B1798">
        <v>0.99876560204751996</v>
      </c>
      <c r="C1798">
        <v>1.10838438325224</v>
      </c>
      <c r="D1798">
        <v>0.98321091375612601</v>
      </c>
      <c r="E1798">
        <v>0.83090391753765802</v>
      </c>
      <c r="F1798">
        <v>0.371494922139816</v>
      </c>
      <c r="G1798">
        <v>0.23331082911102999</v>
      </c>
      <c r="H1798">
        <v>0.20218953373341</v>
      </c>
      <c r="I1798">
        <v>0.133807164454644</v>
      </c>
      <c r="J1798">
        <v>0.107342693815054</v>
      </c>
      <c r="K1798">
        <v>9.39967189838848E-2</v>
      </c>
      <c r="L1798">
        <v>1934.3396997892701</v>
      </c>
      <c r="M1798">
        <v>37.3924239342237</v>
      </c>
      <c r="N1798">
        <v>52.210164555117899</v>
      </c>
      <c r="O1798">
        <v>51.583481872609298</v>
      </c>
      <c r="P1798">
        <v>-0.15489323863759299</v>
      </c>
      <c r="Q1798">
        <v>0.14529062846647001</v>
      </c>
      <c r="R1798">
        <v>0.98517910508946904</v>
      </c>
      <c r="S1798" t="s">
        <v>6094</v>
      </c>
      <c r="T1798" t="s">
        <v>8590</v>
      </c>
      <c r="U1798" t="s">
        <v>8590</v>
      </c>
      <c r="V1798" t="s">
        <v>8590</v>
      </c>
      <c r="W1798">
        <v>7</v>
      </c>
      <c r="X1798" t="s">
        <v>10388</v>
      </c>
      <c r="Y1798">
        <v>0.4830033317926502</v>
      </c>
      <c r="Z1798" t="str">
        <f>HYPERLINK("Melting_Curves/meltCurve_sp_Q14997_PSME4_HUMAN_.pdf", "Melting_Curves/meltCurve_sp_Q14997_PSME4_HUMAN_.pdf")</f>
        <v>Melting_Curves/meltCurve_sp_Q14997_PSME4_HUMAN_.pdf</v>
      </c>
      <c r="AA1798" t="s">
        <v>14652</v>
      </c>
      <c r="AB1798" t="s">
        <v>18882</v>
      </c>
    </row>
    <row r="1799" spans="1:28" x14ac:dyDescent="0.25">
      <c r="A1799" t="s">
        <v>1803</v>
      </c>
      <c r="B1799">
        <v>0.99876560204751996</v>
      </c>
      <c r="C1799">
        <v>1.04532549857108</v>
      </c>
      <c r="D1799">
        <v>0.94717647194213295</v>
      </c>
      <c r="E1799">
        <v>0.79053240884491405</v>
      </c>
      <c r="F1799">
        <v>0.37724813055830198</v>
      </c>
      <c r="G1799">
        <v>0.194748826093567</v>
      </c>
      <c r="H1799">
        <v>0.119141663010728</v>
      </c>
      <c r="I1799">
        <v>9.5543760496513405E-2</v>
      </c>
      <c r="J1799">
        <v>0.10719109763576801</v>
      </c>
      <c r="K1799">
        <v>7.5315401348658995E-2</v>
      </c>
      <c r="L1799">
        <v>1542.8226411790699</v>
      </c>
      <c r="M1799">
        <v>29.794464514258699</v>
      </c>
      <c r="N1799">
        <v>52.180006661901501</v>
      </c>
      <c r="O1799">
        <v>51.5505994144551</v>
      </c>
      <c r="P1799">
        <v>-0.12981196664043401</v>
      </c>
      <c r="Q1799">
        <v>0.101599590057594</v>
      </c>
      <c r="R1799">
        <v>0.99575794443061105</v>
      </c>
      <c r="S1799" t="s">
        <v>6095</v>
      </c>
      <c r="T1799" t="s">
        <v>8590</v>
      </c>
      <c r="U1799" t="s">
        <v>8590</v>
      </c>
      <c r="V1799" t="s">
        <v>8590</v>
      </c>
      <c r="W1799">
        <v>13</v>
      </c>
      <c r="X1799" t="s">
        <v>10389</v>
      </c>
      <c r="Y1799">
        <v>0.4602362932827454</v>
      </c>
      <c r="Z1799" t="str">
        <f>HYPERLINK("Melting_Curves/meltCurve_sp_Q14C86_4_GAPD1_HUMAN_.pdf", "Melting_Curves/meltCurve_sp_Q14C86_4_GAPD1_HUMAN_.pdf")</f>
        <v>Melting_Curves/meltCurve_sp_Q14C86_4_GAPD1_HUMAN_.pdf</v>
      </c>
      <c r="AA1799" t="s">
        <v>14653</v>
      </c>
      <c r="AB1799" t="s">
        <v>18883</v>
      </c>
    </row>
    <row r="1800" spans="1:28" x14ac:dyDescent="0.25">
      <c r="A1800" t="s">
        <v>1804</v>
      </c>
      <c r="B1800">
        <v>0.99876560204751996</v>
      </c>
      <c r="C1800">
        <v>0.91690249698929804</v>
      </c>
      <c r="D1800">
        <v>0.94189232531779898</v>
      </c>
      <c r="E1800">
        <v>0.75122882932379098</v>
      </c>
      <c r="F1800">
        <v>0.158259601698893</v>
      </c>
      <c r="G1800">
        <v>0.15859405591862799</v>
      </c>
      <c r="H1800">
        <v>7.6846782939285402E-2</v>
      </c>
      <c r="I1800">
        <v>2.0871287385039999E-2</v>
      </c>
      <c r="J1800">
        <v>0</v>
      </c>
      <c r="K1800">
        <v>0</v>
      </c>
      <c r="L1800">
        <v>2569.1964292519801</v>
      </c>
      <c r="M1800">
        <v>50.378420166674402</v>
      </c>
      <c r="N1800">
        <v>51.100588292219598</v>
      </c>
      <c r="O1800">
        <v>50.9177769784052</v>
      </c>
      <c r="P1800">
        <v>-0.23545055852169799</v>
      </c>
      <c r="Q1800">
        <v>4.8115262077066699E-2</v>
      </c>
      <c r="R1800">
        <v>0.98412954871796099</v>
      </c>
      <c r="S1800" t="s">
        <v>6096</v>
      </c>
      <c r="T1800" t="s">
        <v>8590</v>
      </c>
      <c r="U1800" t="s">
        <v>8590</v>
      </c>
      <c r="V1800" t="s">
        <v>8590</v>
      </c>
      <c r="W1800">
        <v>3</v>
      </c>
      <c r="X1800" t="s">
        <v>10390</v>
      </c>
      <c r="Y1800">
        <v>0.39918381854374579</v>
      </c>
      <c r="Z1800" t="str">
        <f>HYPERLINK("Melting_Curves/meltCurve_sp_Q14CX7_2_NAA25_HUMAN_.pdf", "Melting_Curves/meltCurve_sp_Q14CX7_2_NAA25_HUMAN_.pdf")</f>
        <v>Melting_Curves/meltCurve_sp_Q14CX7_2_NAA25_HUMAN_.pdf</v>
      </c>
      <c r="AA1800" t="s">
        <v>14654</v>
      </c>
      <c r="AB1800" t="s">
        <v>18884</v>
      </c>
    </row>
    <row r="1801" spans="1:28" x14ac:dyDescent="0.25">
      <c r="A1801" t="s">
        <v>1805</v>
      </c>
      <c r="B1801">
        <v>0.99876560204751996</v>
      </c>
      <c r="C1801">
        <v>1.0026100574097101</v>
      </c>
      <c r="D1801">
        <v>0.84581676285490603</v>
      </c>
      <c r="E1801">
        <v>0.61916903742472795</v>
      </c>
      <c r="F1801">
        <v>0.32776343227423899</v>
      </c>
      <c r="G1801">
        <v>0.133201463079893</v>
      </c>
      <c r="H1801">
        <v>6.5437837843454499E-2</v>
      </c>
      <c r="I1801">
        <v>4.8186005771454599E-2</v>
      </c>
      <c r="J1801">
        <v>4.4221830701102499E-2</v>
      </c>
      <c r="K1801">
        <v>4.2275364485851299E-2</v>
      </c>
      <c r="L1801">
        <v>969.06532901742003</v>
      </c>
      <c r="M1801">
        <v>19.0538247870699</v>
      </c>
      <c r="N1801">
        <v>51.026251803923302</v>
      </c>
      <c r="O1801">
        <v>50.309090813176802</v>
      </c>
      <c r="P1801">
        <v>-9.1827176553720899E-2</v>
      </c>
      <c r="Q1801">
        <v>3.0208687134056299E-2</v>
      </c>
      <c r="R1801">
        <v>0.99779485743472396</v>
      </c>
      <c r="S1801" t="s">
        <v>6097</v>
      </c>
      <c r="T1801" t="s">
        <v>8590</v>
      </c>
      <c r="U1801" t="s">
        <v>8590</v>
      </c>
      <c r="V1801" t="s">
        <v>8590</v>
      </c>
      <c r="W1801">
        <v>11</v>
      </c>
      <c r="X1801" t="s">
        <v>10391</v>
      </c>
      <c r="Y1801">
        <v>0.3959960197068868</v>
      </c>
      <c r="Z1801" t="str">
        <f>HYPERLINK("Melting_Curves/meltCurve_sp_Q15008_PSMD6_HUMAN_.pdf", "Melting_Curves/meltCurve_sp_Q15008_PSMD6_HUMAN_.pdf")</f>
        <v>Melting_Curves/meltCurve_sp_Q15008_PSMD6_HUMAN_.pdf</v>
      </c>
      <c r="AA1801" t="s">
        <v>14655</v>
      </c>
      <c r="AB1801" t="s">
        <v>18885</v>
      </c>
    </row>
    <row r="1802" spans="1:28" x14ac:dyDescent="0.25">
      <c r="A1802" t="s">
        <v>1806</v>
      </c>
      <c r="B1802">
        <v>0.99876560204751996</v>
      </c>
      <c r="C1802">
        <v>1.0262022692153301</v>
      </c>
      <c r="D1802">
        <v>1.0036819527287499</v>
      </c>
      <c r="E1802">
        <v>0.985894465124456</v>
      </c>
      <c r="F1802">
        <v>0.82762977561385198</v>
      </c>
      <c r="G1802">
        <v>0.65750113323188197</v>
      </c>
      <c r="H1802">
        <v>0.403134466451957</v>
      </c>
      <c r="I1802">
        <v>0.226494503094995</v>
      </c>
      <c r="J1802">
        <v>0.10339919812797201</v>
      </c>
      <c r="K1802">
        <v>7.5081939208842194E-2</v>
      </c>
      <c r="L1802">
        <v>966.93061229934494</v>
      </c>
      <c r="M1802">
        <v>16.334024426034699</v>
      </c>
      <c r="N1802">
        <v>59.197329082091301</v>
      </c>
      <c r="O1802">
        <v>58.331361554879003</v>
      </c>
      <c r="P1802">
        <v>-7.0010379296299594E-2</v>
      </c>
      <c r="Q1802">
        <v>0</v>
      </c>
      <c r="R1802">
        <v>0.99633237006174602</v>
      </c>
      <c r="S1802" t="s">
        <v>6098</v>
      </c>
      <c r="T1802" t="s">
        <v>8590</v>
      </c>
      <c r="U1802" t="s">
        <v>8590</v>
      </c>
      <c r="V1802" t="s">
        <v>8590</v>
      </c>
      <c r="W1802">
        <v>10</v>
      </c>
      <c r="X1802" t="s">
        <v>10392</v>
      </c>
      <c r="Y1802">
        <v>0.65009391915284387</v>
      </c>
      <c r="Z1802" t="str">
        <f>HYPERLINK("Melting_Curves/meltCurve_sp_Q15018_F175B_HUMAN_.pdf", "Melting_Curves/meltCurve_sp_Q15018_F175B_HUMAN_.pdf")</f>
        <v>Melting_Curves/meltCurve_sp_Q15018_F175B_HUMAN_.pdf</v>
      </c>
      <c r="AA1802" t="s">
        <v>14656</v>
      </c>
      <c r="AB1802" t="s">
        <v>18886</v>
      </c>
    </row>
    <row r="1803" spans="1:28" x14ac:dyDescent="0.25">
      <c r="A1803" t="s">
        <v>1807</v>
      </c>
      <c r="B1803">
        <v>0.99876560204751996</v>
      </c>
      <c r="C1803">
        <v>1.0851210925639401</v>
      </c>
      <c r="D1803">
        <v>1.0190568265239901</v>
      </c>
      <c r="E1803">
        <v>1.0885060033009</v>
      </c>
      <c r="F1803">
        <v>1.0032695148555</v>
      </c>
      <c r="G1803">
        <v>0.60775211319934697</v>
      </c>
      <c r="H1803">
        <v>0.38701513663284498</v>
      </c>
      <c r="I1803">
        <v>0.21618557555325099</v>
      </c>
      <c r="J1803">
        <v>8.4459449978584206E-2</v>
      </c>
      <c r="K1803">
        <v>6.0957675273624501E-2</v>
      </c>
      <c r="L1803">
        <v>1313.6719961896999</v>
      </c>
      <c r="M1803">
        <v>22.314852756097199</v>
      </c>
      <c r="N1803">
        <v>59.138531693418699</v>
      </c>
      <c r="O1803">
        <v>58.403222668132997</v>
      </c>
      <c r="P1803">
        <v>-9.0918278851015194E-2</v>
      </c>
      <c r="Q1803">
        <v>4.8202492218585802E-2</v>
      </c>
      <c r="R1803">
        <v>0.97915271958160899</v>
      </c>
      <c r="S1803" t="s">
        <v>6099</v>
      </c>
      <c r="T1803" t="s">
        <v>8590</v>
      </c>
      <c r="U1803" t="s">
        <v>8590</v>
      </c>
      <c r="V1803" t="s">
        <v>8590</v>
      </c>
      <c r="W1803">
        <v>20</v>
      </c>
      <c r="X1803" t="s">
        <v>10393</v>
      </c>
      <c r="Y1803">
        <v>0.6557927486574846</v>
      </c>
      <c r="Z1803" t="str">
        <f>HYPERLINK("Melting_Curves/meltCurve_sp_Q15019_SEPT2_HUMAN_.pdf", "Melting_Curves/meltCurve_sp_Q15019_SEPT2_HUMAN_.pdf")</f>
        <v>Melting_Curves/meltCurve_sp_Q15019_SEPT2_HUMAN_.pdf</v>
      </c>
      <c r="AA1803" t="s">
        <v>14657</v>
      </c>
      <c r="AB1803" t="s">
        <v>18887</v>
      </c>
    </row>
    <row r="1804" spans="1:28" x14ac:dyDescent="0.25">
      <c r="A1804" t="s">
        <v>1808</v>
      </c>
      <c r="B1804">
        <v>0.99876560204751996</v>
      </c>
      <c r="C1804">
        <v>1.04537902009857</v>
      </c>
      <c r="D1804">
        <v>0.98999807932205397</v>
      </c>
      <c r="E1804">
        <v>0.93919118559982295</v>
      </c>
      <c r="F1804">
        <v>0.40791336181629101</v>
      </c>
      <c r="G1804">
        <v>0.179581532714056</v>
      </c>
      <c r="H1804">
        <v>0.108370186339675</v>
      </c>
      <c r="I1804">
        <v>8.5111435223394302E-2</v>
      </c>
      <c r="J1804">
        <v>9.0125732988268106E-2</v>
      </c>
      <c r="K1804">
        <v>8.3571549661319605E-2</v>
      </c>
      <c r="L1804">
        <v>2667.51684092507</v>
      </c>
      <c r="M1804">
        <v>50.958319623610599</v>
      </c>
      <c r="N1804">
        <v>52.591241533254497</v>
      </c>
      <c r="O1804">
        <v>52.266607192336402</v>
      </c>
      <c r="P1804">
        <v>-0.218062601498341</v>
      </c>
      <c r="Q1804">
        <v>0.105356463171103</v>
      </c>
      <c r="R1804">
        <v>0.99589751670821502</v>
      </c>
      <c r="S1804" t="s">
        <v>6100</v>
      </c>
      <c r="T1804" t="s">
        <v>8590</v>
      </c>
      <c r="U1804" t="s">
        <v>8590</v>
      </c>
      <c r="V1804" t="s">
        <v>8590</v>
      </c>
      <c r="W1804">
        <v>19</v>
      </c>
      <c r="X1804" t="s">
        <v>10394</v>
      </c>
      <c r="Y1804">
        <v>0.47555115014231369</v>
      </c>
      <c r="Z1804" t="str">
        <f>HYPERLINK("Melting_Curves/meltCurve_sp_Q15020_SART3_HUMAN_.pdf", "Melting_Curves/meltCurve_sp_Q15020_SART3_HUMAN_.pdf")</f>
        <v>Melting_Curves/meltCurve_sp_Q15020_SART3_HUMAN_.pdf</v>
      </c>
      <c r="AA1804" t="s">
        <v>14658</v>
      </c>
      <c r="AB1804" t="s">
        <v>18888</v>
      </c>
    </row>
    <row r="1805" spans="1:28" x14ac:dyDescent="0.25">
      <c r="A1805" t="s">
        <v>1809</v>
      </c>
      <c r="B1805">
        <v>0.99876560204751996</v>
      </c>
      <c r="C1805">
        <v>1.0606594583656099</v>
      </c>
      <c r="D1805">
        <v>1.0612909691725401</v>
      </c>
      <c r="E1805">
        <v>1.0059163209964499</v>
      </c>
      <c r="F1805">
        <v>0.84255114343222204</v>
      </c>
      <c r="G1805">
        <v>0.64389674024475496</v>
      </c>
      <c r="H1805">
        <v>0.33078137209339198</v>
      </c>
      <c r="I1805">
        <v>0.167310717705134</v>
      </c>
      <c r="J1805">
        <v>7.5451643316341604E-2</v>
      </c>
      <c r="K1805">
        <v>6.3098071195046596E-2</v>
      </c>
      <c r="L1805">
        <v>1130.78359455637</v>
      </c>
      <c r="M1805">
        <v>19.304617510593701</v>
      </c>
      <c r="N1805">
        <v>58.637374490170103</v>
      </c>
      <c r="O1805">
        <v>57.958135025935697</v>
      </c>
      <c r="P1805">
        <v>-8.2437432803056904E-2</v>
      </c>
      <c r="Q1805">
        <v>1.00318588745493E-2</v>
      </c>
      <c r="R1805">
        <v>0.99250085295447399</v>
      </c>
      <c r="S1805" t="s">
        <v>6101</v>
      </c>
      <c r="T1805" t="s">
        <v>8590</v>
      </c>
      <c r="U1805" t="s">
        <v>8590</v>
      </c>
      <c r="V1805" t="s">
        <v>8590</v>
      </c>
      <c r="W1805">
        <v>5</v>
      </c>
      <c r="X1805" t="s">
        <v>10395</v>
      </c>
      <c r="Y1805">
        <v>0.6338397281486764</v>
      </c>
      <c r="Z1805" t="str">
        <f>HYPERLINK("Melting_Curves/meltCurve_sp_Q15024_EXOS7_HUMAN_.pdf", "Melting_Curves/meltCurve_sp_Q15024_EXOS7_HUMAN_.pdf")</f>
        <v>Melting_Curves/meltCurve_sp_Q15024_EXOS7_HUMAN_.pdf</v>
      </c>
      <c r="AA1805" t="s">
        <v>14659</v>
      </c>
      <c r="AB1805" t="s">
        <v>18889</v>
      </c>
    </row>
    <row r="1806" spans="1:28" x14ac:dyDescent="0.25">
      <c r="A1806" t="s">
        <v>1810</v>
      </c>
      <c r="B1806">
        <v>0.99876560204751996</v>
      </c>
      <c r="C1806">
        <v>1.08596444617023</v>
      </c>
      <c r="D1806">
        <v>0.96997021484405499</v>
      </c>
      <c r="E1806">
        <v>0.87281584390460598</v>
      </c>
      <c r="F1806">
        <v>0.724338189619946</v>
      </c>
      <c r="G1806">
        <v>0.41084087943978598</v>
      </c>
      <c r="H1806">
        <v>0.19426271295613201</v>
      </c>
      <c r="I1806">
        <v>9.5347614955174007E-2</v>
      </c>
      <c r="J1806">
        <v>7.9479675159220095E-2</v>
      </c>
      <c r="K1806">
        <v>6.1163998735789198E-2</v>
      </c>
      <c r="L1806">
        <v>1019.4972308512901</v>
      </c>
      <c r="M1806">
        <v>18.346213139801701</v>
      </c>
      <c r="N1806">
        <v>55.780442671884899</v>
      </c>
      <c r="O1806">
        <v>54.922283252136197</v>
      </c>
      <c r="P1806">
        <v>-8.0719977853768804E-2</v>
      </c>
      <c r="Q1806">
        <v>3.3452175185582203E-2</v>
      </c>
      <c r="R1806">
        <v>0.99447165869779897</v>
      </c>
      <c r="S1806" t="s">
        <v>6102</v>
      </c>
      <c r="T1806" t="s">
        <v>8590</v>
      </c>
      <c r="U1806" t="s">
        <v>8590</v>
      </c>
      <c r="V1806" t="s">
        <v>8590</v>
      </c>
      <c r="W1806">
        <v>15</v>
      </c>
      <c r="X1806" t="s">
        <v>10396</v>
      </c>
      <c r="Y1806">
        <v>0.54931147988477136</v>
      </c>
      <c r="Z1806" t="str">
        <f>HYPERLINK("Melting_Curves/meltCurve_sp_Q15029_2_U5S1_HUMAN_.pdf", "Melting_Curves/meltCurve_sp_Q15029_2_U5S1_HUMAN_.pdf")</f>
        <v>Melting_Curves/meltCurve_sp_Q15029_2_U5S1_HUMAN_.pdf</v>
      </c>
      <c r="AA1806" t="s">
        <v>14660</v>
      </c>
      <c r="AB1806" t="s">
        <v>18890</v>
      </c>
    </row>
    <row r="1807" spans="1:28" x14ac:dyDescent="0.25">
      <c r="A1807" t="s">
        <v>1811</v>
      </c>
      <c r="B1807">
        <v>0.99876560204751996</v>
      </c>
      <c r="C1807">
        <v>0.92204886307342704</v>
      </c>
      <c r="D1807">
        <v>0.79208318210413797</v>
      </c>
      <c r="E1807">
        <v>0.67456692737816604</v>
      </c>
      <c r="F1807">
        <v>0.24679828743437099</v>
      </c>
      <c r="G1807">
        <v>0.18523406240564999</v>
      </c>
      <c r="H1807">
        <v>7.41220122534718E-2</v>
      </c>
      <c r="I1807">
        <v>8.3067584335126093E-2</v>
      </c>
      <c r="J1807">
        <v>3.0214698782589401E-2</v>
      </c>
      <c r="K1807">
        <v>3.32064839142477E-2</v>
      </c>
      <c r="L1807">
        <v>828.78522315226496</v>
      </c>
      <c r="M1807">
        <v>16.352776737771201</v>
      </c>
      <c r="N1807">
        <v>50.835164044305301</v>
      </c>
      <c r="O1807">
        <v>49.941892294618498</v>
      </c>
      <c r="P1807">
        <v>-7.9892462671120601E-2</v>
      </c>
      <c r="Q1807">
        <v>2.4093936847672501E-2</v>
      </c>
      <c r="R1807">
        <v>0.981069769129158</v>
      </c>
      <c r="S1807" t="s">
        <v>6103</v>
      </c>
      <c r="T1807" t="s">
        <v>8590</v>
      </c>
      <c r="U1807" t="s">
        <v>8590</v>
      </c>
      <c r="V1807" t="s">
        <v>8590</v>
      </c>
      <c r="W1807">
        <v>2</v>
      </c>
      <c r="X1807" t="s">
        <v>10397</v>
      </c>
      <c r="Y1807">
        <v>0.39118616324591388</v>
      </c>
      <c r="Z1807" t="str">
        <f>HYPERLINK("Melting_Curves/meltCurve_sp_Q15036_2_SNX17_HUMAN_.pdf", "Melting_Curves/meltCurve_sp_Q15036_2_SNX17_HUMAN_.pdf")</f>
        <v>Melting_Curves/meltCurve_sp_Q15036_2_SNX17_HUMAN_.pdf</v>
      </c>
      <c r="AA1807" t="s">
        <v>14661</v>
      </c>
      <c r="AB1807" t="s">
        <v>18891</v>
      </c>
    </row>
    <row r="1808" spans="1:28" x14ac:dyDescent="0.25">
      <c r="A1808" t="s">
        <v>1812</v>
      </c>
      <c r="B1808">
        <v>0.99876560204751996</v>
      </c>
      <c r="C1808">
        <v>1.0345071078429899</v>
      </c>
      <c r="D1808">
        <v>0.68840052732996204</v>
      </c>
      <c r="E1808">
        <v>0.61217094927022697</v>
      </c>
      <c r="F1808">
        <v>0.53976878886552104</v>
      </c>
      <c r="G1808">
        <v>0.32476095034105001</v>
      </c>
      <c r="H1808">
        <v>0.28985821083700197</v>
      </c>
      <c r="I1808">
        <v>0.254721230924149</v>
      </c>
      <c r="J1808">
        <v>0.29695330602715497</v>
      </c>
      <c r="K1808">
        <v>0.25234973995224502</v>
      </c>
      <c r="L1808">
        <v>663.02759836137704</v>
      </c>
      <c r="M1808">
        <v>13.3355469778518</v>
      </c>
      <c r="N1808">
        <v>52.300830198783999</v>
      </c>
      <c r="O1808">
        <v>48.640704432637001</v>
      </c>
      <c r="P1808">
        <v>-5.20207184861224E-2</v>
      </c>
      <c r="Q1808">
        <v>0.24115007574411801</v>
      </c>
      <c r="R1808">
        <v>0.95606242640467098</v>
      </c>
      <c r="S1808" t="s">
        <v>6104</v>
      </c>
      <c r="T1808" t="s">
        <v>8590</v>
      </c>
      <c r="U1808" t="s">
        <v>8590</v>
      </c>
      <c r="V1808" t="s">
        <v>8590</v>
      </c>
      <c r="W1808">
        <v>2</v>
      </c>
      <c r="X1808" t="s">
        <v>10398</v>
      </c>
      <c r="Y1808">
        <v>0.50943154554167314</v>
      </c>
      <c r="Z1808" t="str">
        <f>HYPERLINK("Melting_Curves/meltCurve_sp_Q15043_2_S39AE_HUMAN_.pdf", "Melting_Curves/meltCurve_sp_Q15043_2_S39AE_HUMAN_.pdf")</f>
        <v>Melting_Curves/meltCurve_sp_Q15043_2_S39AE_HUMAN_.pdf</v>
      </c>
      <c r="AA1808" t="s">
        <v>14662</v>
      </c>
      <c r="AB1808" t="s">
        <v>18892</v>
      </c>
    </row>
    <row r="1809" spans="1:28" x14ac:dyDescent="0.25">
      <c r="A1809" t="s">
        <v>1813</v>
      </c>
      <c r="B1809">
        <v>0.99876560204751996</v>
      </c>
      <c r="C1809">
        <v>0.98186207407548898</v>
      </c>
      <c r="D1809">
        <v>0.80581912754316698</v>
      </c>
      <c r="E1809">
        <v>0.42807166351838499</v>
      </c>
      <c r="F1809">
        <v>0.19930567301385599</v>
      </c>
      <c r="G1809">
        <v>8.5460618655772702E-2</v>
      </c>
      <c r="H1809">
        <v>0.107742293903713</v>
      </c>
      <c r="I1809">
        <v>4.5702386749989402E-2</v>
      </c>
      <c r="J1809">
        <v>4.1592285371745301E-2</v>
      </c>
      <c r="K1809">
        <v>3.9671786358708397E-2</v>
      </c>
      <c r="L1809">
        <v>1074.3596146267</v>
      </c>
      <c r="M1809">
        <v>21.925040653649798</v>
      </c>
      <c r="N1809">
        <v>49.242733452624897</v>
      </c>
      <c r="O1809">
        <v>48.599313297733403</v>
      </c>
      <c r="P1809">
        <v>-0.10704385515041399</v>
      </c>
      <c r="Q1809">
        <v>5.09226833758155E-2</v>
      </c>
      <c r="R1809">
        <v>0.99787687999650498</v>
      </c>
      <c r="S1809" t="s">
        <v>6105</v>
      </c>
      <c r="T1809" t="s">
        <v>8590</v>
      </c>
      <c r="U1809" t="s">
        <v>8590</v>
      </c>
      <c r="V1809" t="s">
        <v>8590</v>
      </c>
      <c r="W1809">
        <v>14</v>
      </c>
      <c r="X1809" t="s">
        <v>10399</v>
      </c>
      <c r="Y1809">
        <v>0.34671107033368082</v>
      </c>
      <c r="Z1809" t="str">
        <f>HYPERLINK("Melting_Curves/meltCurve_sp_Q15046_SYK_HUMAN_.pdf", "Melting_Curves/meltCurve_sp_Q15046_SYK_HUMAN_.pdf")</f>
        <v>Melting_Curves/meltCurve_sp_Q15046_SYK_HUMAN_.pdf</v>
      </c>
      <c r="AA1809" t="s">
        <v>14663</v>
      </c>
      <c r="AB1809" t="s">
        <v>18893</v>
      </c>
    </row>
    <row r="1810" spans="1:28" x14ac:dyDescent="0.25">
      <c r="A1810" t="s">
        <v>1814</v>
      </c>
      <c r="B1810">
        <v>0.99876560204751996</v>
      </c>
      <c r="C1810">
        <v>0.89268741229228998</v>
      </c>
      <c r="D1810">
        <v>0.94813969624942696</v>
      </c>
      <c r="E1810">
        <v>0.91917593766832095</v>
      </c>
      <c r="F1810">
        <v>0.91853014931681598</v>
      </c>
      <c r="G1810">
        <v>0.77507618712243898</v>
      </c>
      <c r="H1810">
        <v>0.65059165506613403</v>
      </c>
      <c r="I1810">
        <v>0.70862901990348404</v>
      </c>
      <c r="J1810">
        <v>0.88171531967068595</v>
      </c>
      <c r="K1810">
        <v>0.88397669592276795</v>
      </c>
      <c r="L1810">
        <v>742.68807581606495</v>
      </c>
      <c r="M1810">
        <v>14.762888482553199</v>
      </c>
      <c r="O1810">
        <v>49.411728444846403</v>
      </c>
      <c r="P1810">
        <v>-1.6457476044397099E-2</v>
      </c>
      <c r="Q1810">
        <v>0.77968943454153405</v>
      </c>
      <c r="R1810">
        <v>0.43751745552351001</v>
      </c>
      <c r="S1810" t="s">
        <v>6106</v>
      </c>
      <c r="T1810" t="s">
        <v>8590</v>
      </c>
      <c r="U1810" t="s">
        <v>8590</v>
      </c>
      <c r="V1810" t="s">
        <v>8590</v>
      </c>
      <c r="W1810">
        <v>11</v>
      </c>
      <c r="X1810" t="s">
        <v>10400</v>
      </c>
      <c r="Y1810">
        <v>0.86073405460671748</v>
      </c>
      <c r="Z1810" t="str">
        <f>HYPERLINK("Melting_Curves/meltCurve_sp_Q15056_2_IF4H_HUMAN_.pdf", "Melting_Curves/meltCurve_sp_Q15056_2_IF4H_HUMAN_.pdf")</f>
        <v>Melting_Curves/meltCurve_sp_Q15056_2_IF4H_HUMAN_.pdf</v>
      </c>
      <c r="AA1810" t="s">
        <v>14664</v>
      </c>
      <c r="AB1810" t="s">
        <v>18894</v>
      </c>
    </row>
    <row r="1811" spans="1:28" x14ac:dyDescent="0.25">
      <c r="A1811" t="s">
        <v>1815</v>
      </c>
      <c r="B1811">
        <v>0.99876560204751996</v>
      </c>
      <c r="C1811">
        <v>0.86584115669893302</v>
      </c>
      <c r="D1811">
        <v>0.77439461801994602</v>
      </c>
      <c r="E1811">
        <v>0.64763799947195899</v>
      </c>
      <c r="F1811">
        <v>0.30378230604428202</v>
      </c>
      <c r="G1811">
        <v>0.18331023049311199</v>
      </c>
      <c r="H1811">
        <v>9.4809562398421393E-2</v>
      </c>
      <c r="I1811">
        <v>9.6660161611403006E-2</v>
      </c>
      <c r="J1811">
        <v>9.0860214767094494E-2</v>
      </c>
      <c r="K1811">
        <v>4.4414437982469801E-2</v>
      </c>
      <c r="L1811">
        <v>700.636454247502</v>
      </c>
      <c r="M1811">
        <v>13.867278555887999</v>
      </c>
      <c r="N1811">
        <v>50.765631463233497</v>
      </c>
      <c r="O1811">
        <v>49.508529058328598</v>
      </c>
      <c r="P1811">
        <v>-6.7801557908970703E-2</v>
      </c>
      <c r="Q1811">
        <v>3.1880778341968397E-2</v>
      </c>
      <c r="R1811">
        <v>0.98434845774318203</v>
      </c>
      <c r="S1811" t="s">
        <v>6107</v>
      </c>
      <c r="T1811" t="s">
        <v>8590</v>
      </c>
      <c r="U1811" t="s">
        <v>8590</v>
      </c>
      <c r="V1811" t="s">
        <v>8590</v>
      </c>
      <c r="W1811">
        <v>4</v>
      </c>
      <c r="X1811" t="s">
        <v>10401</v>
      </c>
      <c r="Y1811">
        <v>0.39740822470080323</v>
      </c>
      <c r="Z1811" t="str">
        <f>HYPERLINK("Melting_Curves/meltCurve_sp_Q15057_ACAP2_HUMAN_.pdf", "Melting_Curves/meltCurve_sp_Q15057_ACAP2_HUMAN_.pdf")</f>
        <v>Melting_Curves/meltCurve_sp_Q15057_ACAP2_HUMAN_.pdf</v>
      </c>
      <c r="AA1811" t="s">
        <v>14665</v>
      </c>
      <c r="AB1811" t="s">
        <v>18895</v>
      </c>
    </row>
    <row r="1812" spans="1:28" x14ac:dyDescent="0.25">
      <c r="A1812" t="s">
        <v>1816</v>
      </c>
      <c r="B1812">
        <v>0.99876560204751996</v>
      </c>
      <c r="C1812">
        <v>0.93834905556813797</v>
      </c>
      <c r="D1812">
        <v>0.98190093980857596</v>
      </c>
      <c r="E1812">
        <v>0.85644790576576602</v>
      </c>
      <c r="F1812">
        <v>0.66782371622553904</v>
      </c>
      <c r="G1812">
        <v>0.47083016743117401</v>
      </c>
      <c r="H1812">
        <v>0.39404672834775201</v>
      </c>
      <c r="I1812">
        <v>0.377486925573849</v>
      </c>
      <c r="J1812">
        <v>0.44755450229739202</v>
      </c>
      <c r="K1812">
        <v>0.45007452679089699</v>
      </c>
      <c r="L1812">
        <v>1367.9652233264301</v>
      </c>
      <c r="M1812">
        <v>26.156395709837</v>
      </c>
      <c r="N1812">
        <v>56.040189436669202</v>
      </c>
      <c r="O1812">
        <v>51.996628252946103</v>
      </c>
      <c r="P1812">
        <v>-7.3851963958736694E-2</v>
      </c>
      <c r="Q1812">
        <v>0.41276162562222002</v>
      </c>
      <c r="R1812">
        <v>0.98546371069915195</v>
      </c>
      <c r="S1812" t="s">
        <v>6108</v>
      </c>
      <c r="T1812" t="s">
        <v>8590</v>
      </c>
      <c r="U1812" t="s">
        <v>8590</v>
      </c>
      <c r="V1812" t="s">
        <v>8590</v>
      </c>
      <c r="W1812">
        <v>8</v>
      </c>
      <c r="X1812" t="s">
        <v>10402</v>
      </c>
      <c r="Y1812">
        <v>0.65844733770084973</v>
      </c>
      <c r="Z1812" t="str">
        <f>HYPERLINK("Melting_Curves/meltCurve_sp_Q15059_BRD3_HUMAN_.pdf", "Melting_Curves/meltCurve_sp_Q15059_BRD3_HUMAN_.pdf")</f>
        <v>Melting_Curves/meltCurve_sp_Q15059_BRD3_HUMAN_.pdf</v>
      </c>
      <c r="AA1812" t="s">
        <v>14666</v>
      </c>
      <c r="AB1812" t="s">
        <v>18896</v>
      </c>
    </row>
    <row r="1813" spans="1:28" x14ac:dyDescent="0.25">
      <c r="A1813" t="s">
        <v>1817</v>
      </c>
      <c r="B1813">
        <v>0.99876560204751996</v>
      </c>
      <c r="C1813">
        <v>0.96560825647747595</v>
      </c>
      <c r="D1813">
        <v>0.915664630843817</v>
      </c>
      <c r="E1813">
        <v>0.87352159842856103</v>
      </c>
      <c r="F1813">
        <v>0.56920133651146398</v>
      </c>
      <c r="G1813">
        <v>0.44564531985842298</v>
      </c>
      <c r="H1813">
        <v>0.16761222341924201</v>
      </c>
      <c r="I1813">
        <v>9.60005971966819E-2</v>
      </c>
      <c r="J1813">
        <v>6.0540038710630698E-2</v>
      </c>
      <c r="K1813">
        <v>1.9384848918875801E-2</v>
      </c>
      <c r="L1813">
        <v>819.98137711080301</v>
      </c>
      <c r="M1813">
        <v>14.8919557225798</v>
      </c>
      <c r="N1813">
        <v>55.062024805265096</v>
      </c>
      <c r="O1813">
        <v>54.097758268655902</v>
      </c>
      <c r="P1813">
        <v>-6.8826807967641401E-2</v>
      </c>
      <c r="Q1813">
        <v>0</v>
      </c>
      <c r="R1813">
        <v>0.98939261390032296</v>
      </c>
      <c r="S1813" t="s">
        <v>6109</v>
      </c>
      <c r="T1813" t="s">
        <v>8590</v>
      </c>
      <c r="U1813" t="s">
        <v>8590</v>
      </c>
      <c r="V1813" t="s">
        <v>8590</v>
      </c>
      <c r="W1813">
        <v>42</v>
      </c>
      <c r="X1813" t="s">
        <v>10403</v>
      </c>
      <c r="Y1813">
        <v>0.52141004745249098</v>
      </c>
      <c r="Z1813" t="str">
        <f>HYPERLINK("Melting_Curves/meltCurve_sp_Q15067_2_ACOX1_HUMAN_.pdf", "Melting_Curves/meltCurve_sp_Q15067_2_ACOX1_HUMAN_.pdf")</f>
        <v>Melting_Curves/meltCurve_sp_Q15067_2_ACOX1_HUMAN_.pdf</v>
      </c>
      <c r="AA1813" t="s">
        <v>14667</v>
      </c>
      <c r="AB1813" t="s">
        <v>18897</v>
      </c>
    </row>
    <row r="1814" spans="1:28" x14ac:dyDescent="0.25">
      <c r="A1814" t="s">
        <v>1818</v>
      </c>
      <c r="B1814">
        <v>0.99876560204751996</v>
      </c>
      <c r="C1814">
        <v>0.972415669991749</v>
      </c>
      <c r="D1814">
        <v>0.867107099442324</v>
      </c>
      <c r="E1814">
        <v>0.75945715528746804</v>
      </c>
      <c r="F1814">
        <v>0.48989992580973202</v>
      </c>
      <c r="G1814">
        <v>0.32175073294324602</v>
      </c>
      <c r="H1814">
        <v>0.220774790105839</v>
      </c>
      <c r="I1814">
        <v>0.18485692739093801</v>
      </c>
      <c r="J1814">
        <v>0.16806936830118499</v>
      </c>
      <c r="K1814">
        <v>0.13097942865323201</v>
      </c>
      <c r="L1814">
        <v>798.03344368770502</v>
      </c>
      <c r="M1814">
        <v>15.252933999518801</v>
      </c>
      <c r="N1814">
        <v>53.350636827332302</v>
      </c>
      <c r="O1814">
        <v>51.445409508448201</v>
      </c>
      <c r="P1814">
        <v>-6.4669582832402803E-2</v>
      </c>
      <c r="Q1814">
        <v>0.12760695029819399</v>
      </c>
      <c r="R1814">
        <v>0.99551158083081404</v>
      </c>
      <c r="S1814" t="s">
        <v>6110</v>
      </c>
      <c r="T1814" t="s">
        <v>8590</v>
      </c>
      <c r="U1814" t="s">
        <v>8590</v>
      </c>
      <c r="V1814" t="s">
        <v>8590</v>
      </c>
      <c r="W1814">
        <v>41</v>
      </c>
      <c r="X1814" t="s">
        <v>10404</v>
      </c>
      <c r="Y1814">
        <v>0.50467504787483608</v>
      </c>
      <c r="Z1814" t="str">
        <f>HYPERLINK("Melting_Curves/meltCurve_sp_Q15067_ACOX1_HUMAN_.pdf", "Melting_Curves/meltCurve_sp_Q15067_ACOX1_HUMAN_.pdf")</f>
        <v>Melting_Curves/meltCurve_sp_Q15067_ACOX1_HUMAN_.pdf</v>
      </c>
      <c r="AA1814" t="s">
        <v>14667</v>
      </c>
      <c r="AB1814" t="s">
        <v>18898</v>
      </c>
    </row>
    <row r="1815" spans="1:28" x14ac:dyDescent="0.25">
      <c r="A1815" t="s">
        <v>1819</v>
      </c>
      <c r="B1815">
        <v>0.99876560204751996</v>
      </c>
      <c r="C1815">
        <v>1.02563769985151</v>
      </c>
      <c r="D1815">
        <v>0.96004841497640003</v>
      </c>
      <c r="E1815">
        <v>0.97847822305583798</v>
      </c>
      <c r="F1815">
        <v>0.95975317485108202</v>
      </c>
      <c r="G1815">
        <v>0.77810819907296003</v>
      </c>
      <c r="H1815">
        <v>0.68856610958715303</v>
      </c>
      <c r="I1815">
        <v>0.66790869083564397</v>
      </c>
      <c r="J1815">
        <v>0.82599051016146197</v>
      </c>
      <c r="K1815">
        <v>0.77045679704784098</v>
      </c>
      <c r="L1815">
        <v>2728.7202901821402</v>
      </c>
      <c r="M1815">
        <v>49.771461025491199</v>
      </c>
      <c r="O1815">
        <v>54.736704821331003</v>
      </c>
      <c r="P1815">
        <v>-5.9349514567326699E-2</v>
      </c>
      <c r="Q1815">
        <v>0.73891911382097597</v>
      </c>
      <c r="R1815">
        <v>0.88308505941482396</v>
      </c>
      <c r="S1815" t="s">
        <v>6111</v>
      </c>
      <c r="T1815" t="s">
        <v>8590</v>
      </c>
      <c r="U1815" t="s">
        <v>8590</v>
      </c>
      <c r="V1815" t="s">
        <v>8590</v>
      </c>
      <c r="W1815">
        <v>95</v>
      </c>
      <c r="X1815" t="s">
        <v>10405</v>
      </c>
      <c r="Y1815">
        <v>0.86857346558600668</v>
      </c>
      <c r="Z1815" t="str">
        <f>HYPERLINK("Melting_Curves/meltCurve_sp_Q15075_EEA1_HUMAN_.pdf", "Melting_Curves/meltCurve_sp_Q15075_EEA1_HUMAN_.pdf")</f>
        <v>Melting_Curves/meltCurve_sp_Q15075_EEA1_HUMAN_.pdf</v>
      </c>
      <c r="AA1815" t="s">
        <v>14668</v>
      </c>
      <c r="AB1815" t="s">
        <v>18899</v>
      </c>
    </row>
    <row r="1816" spans="1:28" x14ac:dyDescent="0.25">
      <c r="A1816" t="s">
        <v>1820</v>
      </c>
      <c r="B1816">
        <v>0.99876560204751996</v>
      </c>
      <c r="C1816">
        <v>0.67358788174221695</v>
      </c>
      <c r="D1816">
        <v>0.41147273277741597</v>
      </c>
      <c r="E1816">
        <v>0.29120793473288997</v>
      </c>
      <c r="F1816">
        <v>9.1701660517231595E-2</v>
      </c>
      <c r="G1816">
        <v>5.42813346646394E-2</v>
      </c>
      <c r="H1816">
        <v>3.6215676336278299E-2</v>
      </c>
      <c r="I1816">
        <v>2.7506341089467E-2</v>
      </c>
      <c r="J1816">
        <v>2.27206843496487E-2</v>
      </c>
      <c r="K1816">
        <v>2.12653493353148E-2</v>
      </c>
      <c r="L1816">
        <v>724.32883734520601</v>
      </c>
      <c r="M1816">
        <v>15.9713595107859</v>
      </c>
      <c r="N1816">
        <v>45.488255172445001</v>
      </c>
      <c r="O1816">
        <v>44.6586130016887</v>
      </c>
      <c r="P1816">
        <v>-8.7322957227855297E-2</v>
      </c>
      <c r="Q1816">
        <v>2.33983154948234E-2</v>
      </c>
      <c r="R1816">
        <v>0.97782389913449697</v>
      </c>
      <c r="S1816" t="s">
        <v>6112</v>
      </c>
      <c r="T1816" t="s">
        <v>8590</v>
      </c>
      <c r="U1816" t="s">
        <v>8590</v>
      </c>
      <c r="V1816" t="s">
        <v>8590</v>
      </c>
      <c r="W1816">
        <v>3</v>
      </c>
      <c r="X1816" t="s">
        <v>10406</v>
      </c>
      <c r="Y1816">
        <v>0.22406799098041591</v>
      </c>
      <c r="Z1816" t="str">
        <f>HYPERLINK("Melting_Curves/meltCurve_sp_Q15102_PA1B3_HUMAN_.pdf", "Melting_Curves/meltCurve_sp_Q15102_PA1B3_HUMAN_.pdf")</f>
        <v>Melting_Curves/meltCurve_sp_Q15102_PA1B3_HUMAN_.pdf</v>
      </c>
      <c r="AA1816" t="s">
        <v>14669</v>
      </c>
      <c r="AB1816" t="s">
        <v>18900</v>
      </c>
    </row>
    <row r="1817" spans="1:28" x14ac:dyDescent="0.25">
      <c r="A1817" t="s">
        <v>1821</v>
      </c>
      <c r="B1817">
        <v>0.99876560204751996</v>
      </c>
      <c r="C1817">
        <v>0.57883741911337205</v>
      </c>
      <c r="D1817">
        <v>0.38459957357035801</v>
      </c>
      <c r="E1817">
        <v>0.21084006016890899</v>
      </c>
      <c r="F1817">
        <v>9.3064276916717495E-2</v>
      </c>
      <c r="G1817">
        <v>4.7104307464821103E-2</v>
      </c>
      <c r="H1817">
        <v>2.93679869431797E-2</v>
      </c>
      <c r="I1817">
        <v>1.7465009564383599E-2</v>
      </c>
      <c r="J1817">
        <v>0</v>
      </c>
      <c r="K1817">
        <v>0</v>
      </c>
      <c r="L1817">
        <v>746.41453560543096</v>
      </c>
      <c r="M1817">
        <v>16.725856285553</v>
      </c>
      <c r="N1817">
        <v>44.718986738107702</v>
      </c>
      <c r="O1817">
        <v>44.0030996420153</v>
      </c>
      <c r="P1817">
        <v>-9.3415519798775895E-2</v>
      </c>
      <c r="Q1817">
        <v>1.7018373176354198E-2</v>
      </c>
      <c r="R1817">
        <v>0.97250157341521803</v>
      </c>
      <c r="S1817" t="s">
        <v>6113</v>
      </c>
      <c r="T1817" t="s">
        <v>8590</v>
      </c>
      <c r="U1817" t="s">
        <v>8590</v>
      </c>
      <c r="V1817" t="s">
        <v>8590</v>
      </c>
      <c r="W1817">
        <v>2</v>
      </c>
      <c r="X1817" t="s">
        <v>10407</v>
      </c>
      <c r="Y1817">
        <v>0.19470636978797659</v>
      </c>
      <c r="Z1817" t="str">
        <f>HYPERLINK("Melting_Curves/meltCurve_sp_Q15118_PDK1_HUMAN_.pdf", "Melting_Curves/meltCurve_sp_Q15118_PDK1_HUMAN_.pdf")</f>
        <v>Melting_Curves/meltCurve_sp_Q15118_PDK1_HUMAN_.pdf</v>
      </c>
      <c r="AA1817" t="s">
        <v>14670</v>
      </c>
      <c r="AB1817" t="s">
        <v>18901</v>
      </c>
    </row>
    <row r="1818" spans="1:28" x14ac:dyDescent="0.25">
      <c r="A1818" t="s">
        <v>1822</v>
      </c>
      <c r="B1818">
        <v>0.99876560204751996</v>
      </c>
      <c r="C1818">
        <v>0.87447767618093897</v>
      </c>
      <c r="D1818">
        <v>0.71022934726312403</v>
      </c>
      <c r="E1818">
        <v>0.40712049767487302</v>
      </c>
      <c r="F1818">
        <v>0.22931874793392401</v>
      </c>
      <c r="G1818">
        <v>0.133148208704332</v>
      </c>
      <c r="H1818">
        <v>6.5115116423276803E-2</v>
      </c>
      <c r="I1818">
        <v>5.9514932686468902E-2</v>
      </c>
      <c r="J1818">
        <v>5.8629182283633001E-2</v>
      </c>
      <c r="K1818">
        <v>4.83124860105201E-2</v>
      </c>
      <c r="L1818">
        <v>770.16212880968601</v>
      </c>
      <c r="M1818">
        <v>15.906475106914099</v>
      </c>
      <c r="N1818">
        <v>48.684840724884197</v>
      </c>
      <c r="O1818">
        <v>47.672271716901299</v>
      </c>
      <c r="P1818">
        <v>-7.9941904733273603E-2</v>
      </c>
      <c r="Q1818">
        <v>4.1721982321025003E-2</v>
      </c>
      <c r="R1818">
        <v>0.99872173274536602</v>
      </c>
      <c r="S1818" t="s">
        <v>6114</v>
      </c>
      <c r="T1818" t="s">
        <v>8590</v>
      </c>
      <c r="U1818" t="s">
        <v>8590</v>
      </c>
      <c r="V1818" t="s">
        <v>8590</v>
      </c>
      <c r="W1818">
        <v>7</v>
      </c>
      <c r="X1818" t="s">
        <v>10408</v>
      </c>
      <c r="Y1818">
        <v>0.33219167095485558</v>
      </c>
      <c r="Z1818" t="str">
        <f>HYPERLINK("Melting_Curves/meltCurve_sp_Q15119_PDK2_HUMAN_.pdf", "Melting_Curves/meltCurve_sp_Q15119_PDK2_HUMAN_.pdf")</f>
        <v>Melting_Curves/meltCurve_sp_Q15119_PDK2_HUMAN_.pdf</v>
      </c>
      <c r="AA1818" t="s">
        <v>14671</v>
      </c>
      <c r="AB1818" t="s">
        <v>18902</v>
      </c>
    </row>
    <row r="1819" spans="1:28" x14ac:dyDescent="0.25">
      <c r="A1819" t="s">
        <v>1823</v>
      </c>
      <c r="B1819">
        <v>0.99876560204751996</v>
      </c>
      <c r="C1819">
        <v>0.90025007077443298</v>
      </c>
      <c r="D1819">
        <v>0.81220665769366995</v>
      </c>
      <c r="E1819">
        <v>0.46049367735513702</v>
      </c>
      <c r="F1819">
        <v>0.24197958472666101</v>
      </c>
      <c r="G1819">
        <v>0.15787089322567399</v>
      </c>
      <c r="H1819">
        <v>0.105394377609474</v>
      </c>
      <c r="I1819">
        <v>8.3785915842693306E-2</v>
      </c>
      <c r="J1819">
        <v>0.103747186099323</v>
      </c>
      <c r="K1819">
        <v>6.7549281880552398E-2</v>
      </c>
      <c r="L1819">
        <v>916.86663013160899</v>
      </c>
      <c r="M1819">
        <v>18.701370848235801</v>
      </c>
      <c r="N1819">
        <v>49.487193277222303</v>
      </c>
      <c r="O1819">
        <v>48.476447427020403</v>
      </c>
      <c r="P1819">
        <v>-8.8747314292117893E-2</v>
      </c>
      <c r="Q1819">
        <v>7.9859568772550696E-2</v>
      </c>
      <c r="R1819">
        <v>0.99725653114924795</v>
      </c>
      <c r="S1819" t="s">
        <v>6115</v>
      </c>
      <c r="T1819" t="s">
        <v>8590</v>
      </c>
      <c r="U1819" t="s">
        <v>8590</v>
      </c>
      <c r="V1819" t="s">
        <v>8590</v>
      </c>
      <c r="W1819">
        <v>4</v>
      </c>
      <c r="X1819" t="s">
        <v>10409</v>
      </c>
      <c r="Y1819">
        <v>0.37147810678263049</v>
      </c>
      <c r="Z1819" t="str">
        <f>HYPERLINK("Melting_Curves/meltCurve_sp_Q15120_PDK3_HUMAN_.pdf", "Melting_Curves/meltCurve_sp_Q15120_PDK3_HUMAN_.pdf")</f>
        <v>Melting_Curves/meltCurve_sp_Q15120_PDK3_HUMAN_.pdf</v>
      </c>
      <c r="AA1819" t="s">
        <v>14672</v>
      </c>
      <c r="AB1819" t="s">
        <v>18903</v>
      </c>
    </row>
    <row r="1820" spans="1:28" x14ac:dyDescent="0.25">
      <c r="A1820" t="s">
        <v>1824</v>
      </c>
      <c r="B1820">
        <v>0.99876560204751996</v>
      </c>
      <c r="C1820">
        <v>0.84376888779066705</v>
      </c>
      <c r="D1820">
        <v>0.91896568091962805</v>
      </c>
      <c r="E1820">
        <v>0.87644318776059804</v>
      </c>
      <c r="F1820">
        <v>0.70578129250836197</v>
      </c>
      <c r="G1820">
        <v>0.53745331796851004</v>
      </c>
      <c r="H1820">
        <v>0.41443843740111702</v>
      </c>
      <c r="I1820">
        <v>0.34485940611087201</v>
      </c>
      <c r="J1820">
        <v>0.28671183044544002</v>
      </c>
      <c r="K1820">
        <v>0.30173030899436099</v>
      </c>
      <c r="L1820">
        <v>588.28106410336704</v>
      </c>
      <c r="M1820">
        <v>10.5300449795853</v>
      </c>
      <c r="N1820">
        <v>58.422065329951401</v>
      </c>
      <c r="O1820">
        <v>53.964898181727698</v>
      </c>
      <c r="P1820">
        <v>-3.9796075451980398E-2</v>
      </c>
      <c r="Q1820">
        <v>0.18452979918277301</v>
      </c>
      <c r="R1820">
        <v>0.97023721599222001</v>
      </c>
      <c r="S1820" t="s">
        <v>6116</v>
      </c>
      <c r="T1820" t="s">
        <v>8590</v>
      </c>
      <c r="U1820" t="s">
        <v>8590</v>
      </c>
      <c r="V1820" t="s">
        <v>8590</v>
      </c>
      <c r="W1820">
        <v>1</v>
      </c>
      <c r="X1820" t="s">
        <v>10410</v>
      </c>
      <c r="Y1820">
        <v>0.633480645656046</v>
      </c>
      <c r="Z1820" t="str">
        <f>HYPERLINK("Melting_Curves/meltCurve_sp_Q15124_2_PGM5_HUMAN_.pdf", "Melting_Curves/meltCurve_sp_Q15124_2_PGM5_HUMAN_.pdf")</f>
        <v>Melting_Curves/meltCurve_sp_Q15124_2_PGM5_HUMAN_.pdf</v>
      </c>
      <c r="AA1820" t="s">
        <v>14673</v>
      </c>
      <c r="AB1820" t="s">
        <v>18904</v>
      </c>
    </row>
    <row r="1821" spans="1:28" x14ac:dyDescent="0.25">
      <c r="A1821" t="s">
        <v>1825</v>
      </c>
      <c r="B1821">
        <v>0.99876560204751996</v>
      </c>
      <c r="C1821">
        <v>0.86040159254632598</v>
      </c>
      <c r="D1821">
        <v>0.77053227218819897</v>
      </c>
      <c r="E1821">
        <v>0.33875709528443798</v>
      </c>
      <c r="F1821">
        <v>0.15761056533498599</v>
      </c>
      <c r="G1821">
        <v>0.101993812201767</v>
      </c>
      <c r="H1821">
        <v>6.0046822164779398E-2</v>
      </c>
      <c r="I1821">
        <v>4.9792872763094097E-2</v>
      </c>
      <c r="J1821">
        <v>4.51367199016642E-2</v>
      </c>
      <c r="K1821">
        <v>3.0786801947918899E-2</v>
      </c>
      <c r="L1821">
        <v>962.76834953685898</v>
      </c>
      <c r="M1821">
        <v>19.9918929538727</v>
      </c>
      <c r="N1821">
        <v>48.363452846084101</v>
      </c>
      <c r="O1821">
        <v>47.683863939856401</v>
      </c>
      <c r="P1821">
        <v>-0.10055012002081901</v>
      </c>
      <c r="Q1821">
        <v>4.07189204914324E-2</v>
      </c>
      <c r="R1821">
        <v>0.99482221983115604</v>
      </c>
      <c r="S1821" t="s">
        <v>6117</v>
      </c>
      <c r="T1821" t="s">
        <v>8590</v>
      </c>
      <c r="U1821" t="s">
        <v>8590</v>
      </c>
      <c r="V1821" t="s">
        <v>8590</v>
      </c>
      <c r="W1821">
        <v>13</v>
      </c>
      <c r="X1821" t="s">
        <v>10411</v>
      </c>
      <c r="Y1821">
        <v>0.31517976346123172</v>
      </c>
      <c r="Z1821" t="str">
        <f>HYPERLINK("Melting_Curves/meltCurve_sp_Q15126_PMVK_HUMAN_.pdf", "Melting_Curves/meltCurve_sp_Q15126_PMVK_HUMAN_.pdf")</f>
        <v>Melting_Curves/meltCurve_sp_Q15126_PMVK_HUMAN_.pdf</v>
      </c>
      <c r="AA1821" t="s">
        <v>14674</v>
      </c>
      <c r="AB1821" t="s">
        <v>18905</v>
      </c>
    </row>
    <row r="1822" spans="1:28" x14ac:dyDescent="0.25">
      <c r="A1822" t="s">
        <v>1826</v>
      </c>
      <c r="B1822">
        <v>0.99876560204751996</v>
      </c>
      <c r="C1822">
        <v>1.0157149325671599</v>
      </c>
      <c r="D1822">
        <v>0.91164423444619103</v>
      </c>
      <c r="E1822">
        <v>0.85537279256329601</v>
      </c>
      <c r="F1822">
        <v>0.49061669511078099</v>
      </c>
      <c r="G1822">
        <v>0.219364930484203</v>
      </c>
      <c r="H1822">
        <v>0.12819404762485401</v>
      </c>
      <c r="I1822">
        <v>0.102323567766473</v>
      </c>
      <c r="J1822">
        <v>0.105168894070254</v>
      </c>
      <c r="K1822">
        <v>9.6038944056619294E-2</v>
      </c>
      <c r="L1822">
        <v>1391.8562149569</v>
      </c>
      <c r="M1822">
        <v>26.432826529673498</v>
      </c>
      <c r="N1822">
        <v>53.105627642826803</v>
      </c>
      <c r="O1822">
        <v>52.357753266230098</v>
      </c>
      <c r="P1822">
        <v>-0.113568474942596</v>
      </c>
      <c r="Q1822">
        <v>0.10019085696036099</v>
      </c>
      <c r="R1822">
        <v>0.99542422558628196</v>
      </c>
      <c r="S1822" t="s">
        <v>6118</v>
      </c>
      <c r="T1822" t="s">
        <v>8590</v>
      </c>
      <c r="U1822" t="s">
        <v>8590</v>
      </c>
      <c r="V1822" t="s">
        <v>8590</v>
      </c>
      <c r="W1822">
        <v>208</v>
      </c>
      <c r="X1822" t="s">
        <v>10412</v>
      </c>
      <c r="Y1822">
        <v>0.48723015915091022</v>
      </c>
      <c r="Z1822" t="str">
        <f>HYPERLINK("Melting_Curves/meltCurve_sp_Q15149_8_PLEC_HUMAN_.pdf", "Melting_Curves/meltCurve_sp_Q15149_8_PLEC_HUMAN_.pdf")</f>
        <v>Melting_Curves/meltCurve_sp_Q15149_8_PLEC_HUMAN_.pdf</v>
      </c>
      <c r="AA1822" t="s">
        <v>14675</v>
      </c>
      <c r="AB1822" t="s">
        <v>18906</v>
      </c>
    </row>
    <row r="1823" spans="1:28" x14ac:dyDescent="0.25">
      <c r="A1823" t="s">
        <v>1827</v>
      </c>
      <c r="B1823">
        <v>0.99876560204751996</v>
      </c>
      <c r="C1823">
        <v>1.05304582664613</v>
      </c>
      <c r="D1823">
        <v>0.86229326738676804</v>
      </c>
      <c r="E1823">
        <v>0.52131799596095296</v>
      </c>
      <c r="F1823">
        <v>0.44136131940932799</v>
      </c>
      <c r="G1823">
        <v>0.398202458128462</v>
      </c>
      <c r="H1823">
        <v>0.18015140702273399</v>
      </c>
      <c r="I1823">
        <v>0.10215613038374199</v>
      </c>
      <c r="J1823">
        <v>0.16516041734637901</v>
      </c>
      <c r="K1823">
        <v>5.4436112287524402E-2</v>
      </c>
      <c r="L1823">
        <v>673.71862114994804</v>
      </c>
      <c r="M1823">
        <v>13.0931972945538</v>
      </c>
      <c r="N1823">
        <v>52.147321447292398</v>
      </c>
      <c r="O1823">
        <v>50.299707350900903</v>
      </c>
      <c r="P1823">
        <v>-5.9898756818962999E-2</v>
      </c>
      <c r="Q1823">
        <v>7.97137501648887E-2</v>
      </c>
      <c r="R1823">
        <v>0.96373326934028603</v>
      </c>
      <c r="S1823" t="s">
        <v>6119</v>
      </c>
      <c r="T1823" t="s">
        <v>8590</v>
      </c>
      <c r="U1823" t="s">
        <v>8590</v>
      </c>
      <c r="V1823" t="s">
        <v>8590</v>
      </c>
      <c r="W1823">
        <v>1</v>
      </c>
      <c r="X1823" t="s">
        <v>10413</v>
      </c>
      <c r="Y1823">
        <v>0.45692647179561641</v>
      </c>
      <c r="Z1823" t="str">
        <f>HYPERLINK("Melting_Curves/meltCurve_sp_Q15166_PON3_HUMAN_.pdf", "Melting_Curves/meltCurve_sp_Q15166_PON3_HUMAN_.pdf")</f>
        <v>Melting_Curves/meltCurve_sp_Q15166_PON3_HUMAN_.pdf</v>
      </c>
      <c r="AA1823" t="s">
        <v>14676</v>
      </c>
      <c r="AB1823" t="s">
        <v>18907</v>
      </c>
    </row>
    <row r="1824" spans="1:28" x14ac:dyDescent="0.25">
      <c r="A1824" t="s">
        <v>1828</v>
      </c>
      <c r="B1824">
        <v>0.99876560204751996</v>
      </c>
      <c r="C1824">
        <v>1.02007730765036</v>
      </c>
      <c r="D1824">
        <v>0.79618231592906796</v>
      </c>
      <c r="E1824">
        <v>0.32600879067138999</v>
      </c>
      <c r="F1824">
        <v>0.156898834601158</v>
      </c>
      <c r="G1824">
        <v>9.3339402306550107E-2</v>
      </c>
      <c r="H1824">
        <v>5.9913563579500999E-2</v>
      </c>
      <c r="I1824">
        <v>5.0113696117221697E-2</v>
      </c>
      <c r="J1824">
        <v>4.4653538100605503E-2</v>
      </c>
      <c r="K1824">
        <v>3.5067299709733601E-2</v>
      </c>
      <c r="L1824">
        <v>1278.27843785696</v>
      </c>
      <c r="M1824">
        <v>26.4284771074764</v>
      </c>
      <c r="N1824">
        <v>48.576716498912702</v>
      </c>
      <c r="O1824">
        <v>48.093102106338698</v>
      </c>
      <c r="P1824">
        <v>-0.129991913857329</v>
      </c>
      <c r="Q1824">
        <v>5.3801707272762497E-2</v>
      </c>
      <c r="R1824">
        <v>0.99729502139694004</v>
      </c>
      <c r="S1824" t="s">
        <v>6120</v>
      </c>
      <c r="T1824" t="s">
        <v>8590</v>
      </c>
      <c r="U1824" t="s">
        <v>8590</v>
      </c>
      <c r="V1824" t="s">
        <v>8590</v>
      </c>
      <c r="W1824">
        <v>12</v>
      </c>
      <c r="X1824" t="s">
        <v>10414</v>
      </c>
      <c r="Y1824">
        <v>0.32515417176421108</v>
      </c>
      <c r="Z1824" t="str">
        <f>HYPERLINK("Melting_Curves/meltCurve_sp_Q15172_2A5A_HUMAN_.pdf", "Melting_Curves/meltCurve_sp_Q15172_2A5A_HUMAN_.pdf")</f>
        <v>Melting_Curves/meltCurve_sp_Q15172_2A5A_HUMAN_.pdf</v>
      </c>
      <c r="AA1824" t="s">
        <v>14677</v>
      </c>
      <c r="AB1824" t="s">
        <v>18908</v>
      </c>
    </row>
    <row r="1825" spans="1:28" x14ac:dyDescent="0.25">
      <c r="A1825" t="s">
        <v>1829</v>
      </c>
      <c r="B1825">
        <v>0.99876560204751996</v>
      </c>
      <c r="C1825">
        <v>0.94301605409873601</v>
      </c>
      <c r="D1825">
        <v>0.98347368590758399</v>
      </c>
      <c r="E1825">
        <v>0.89671873673572999</v>
      </c>
      <c r="F1825">
        <v>0.60479036364238903</v>
      </c>
      <c r="G1825">
        <v>0.24044447584091599</v>
      </c>
      <c r="H1825">
        <v>9.8555763108550895E-2</v>
      </c>
      <c r="I1825">
        <v>6.7754052886617094E-2</v>
      </c>
      <c r="J1825">
        <v>6.1615060703724599E-2</v>
      </c>
      <c r="K1825">
        <v>4.9045182946822703E-2</v>
      </c>
      <c r="L1825">
        <v>1375.94651461992</v>
      </c>
      <c r="M1825">
        <v>25.5794412235139</v>
      </c>
      <c r="N1825">
        <v>54.026657632366899</v>
      </c>
      <c r="O1825">
        <v>53.465580911160998</v>
      </c>
      <c r="P1825">
        <v>-0.113297440308195</v>
      </c>
      <c r="Q1825">
        <v>5.2764489925769202E-2</v>
      </c>
      <c r="R1825">
        <v>0.99785020223936405</v>
      </c>
      <c r="S1825" t="s">
        <v>6121</v>
      </c>
      <c r="T1825" t="s">
        <v>8590</v>
      </c>
      <c r="U1825" t="s">
        <v>8590</v>
      </c>
      <c r="V1825" t="s">
        <v>8590</v>
      </c>
      <c r="W1825">
        <v>17</v>
      </c>
      <c r="X1825" t="s">
        <v>10415</v>
      </c>
      <c r="Y1825">
        <v>0.49660957813369128</v>
      </c>
      <c r="Z1825" t="str">
        <f>HYPERLINK("Melting_Curves/meltCurve_sp_Q15181_IPYR_HUMAN_.pdf", "Melting_Curves/meltCurve_sp_Q15181_IPYR_HUMAN_.pdf")</f>
        <v>Melting_Curves/meltCurve_sp_Q15181_IPYR_HUMAN_.pdf</v>
      </c>
      <c r="AA1825" t="s">
        <v>14678</v>
      </c>
      <c r="AB1825" t="s">
        <v>18909</v>
      </c>
    </row>
    <row r="1826" spans="1:28" x14ac:dyDescent="0.25">
      <c r="A1826" t="s">
        <v>1830</v>
      </c>
      <c r="B1826">
        <v>0.99876560204751996</v>
      </c>
      <c r="C1826">
        <v>1.0580916094076001</v>
      </c>
      <c r="D1826">
        <v>0.964416749285259</v>
      </c>
      <c r="E1826">
        <v>0.55067092341451496</v>
      </c>
      <c r="F1826">
        <v>0.32694584757319201</v>
      </c>
      <c r="G1826">
        <v>0.174423406138353</v>
      </c>
      <c r="H1826">
        <v>0.11638236719276</v>
      </c>
      <c r="I1826">
        <v>0.10157216139000699</v>
      </c>
      <c r="J1826">
        <v>6.60125179998476E-2</v>
      </c>
      <c r="K1826">
        <v>0.105131629193757</v>
      </c>
      <c r="L1826">
        <v>1267.7225570589001</v>
      </c>
      <c r="M1826">
        <v>25.176529445321702</v>
      </c>
      <c r="N1826">
        <v>50.809885026382702</v>
      </c>
      <c r="O1826">
        <v>50.038895411142299</v>
      </c>
      <c r="P1826">
        <v>-0.113053653001736</v>
      </c>
      <c r="Q1826">
        <v>0.1012255109376</v>
      </c>
      <c r="R1826">
        <v>0.99289580352630002</v>
      </c>
      <c r="S1826" t="s">
        <v>6122</v>
      </c>
      <c r="T1826" t="s">
        <v>8590</v>
      </c>
      <c r="U1826" t="s">
        <v>8590</v>
      </c>
      <c r="V1826" t="s">
        <v>8590</v>
      </c>
      <c r="W1826">
        <v>3</v>
      </c>
      <c r="X1826" t="s">
        <v>10416</v>
      </c>
      <c r="Y1826">
        <v>0.41935325348679953</v>
      </c>
      <c r="Z1826" t="str">
        <f>HYPERLINK("Melting_Curves/meltCurve_sp_Q15208_STK38_HUMAN_.pdf", "Melting_Curves/meltCurve_sp_Q15208_STK38_HUMAN_.pdf")</f>
        <v>Melting_Curves/meltCurve_sp_Q15208_STK38_HUMAN_.pdf</v>
      </c>
      <c r="AA1826" t="s">
        <v>14679</v>
      </c>
      <c r="AB1826" t="s">
        <v>18910</v>
      </c>
    </row>
    <row r="1827" spans="1:28" x14ac:dyDescent="0.25">
      <c r="A1827" t="s">
        <v>1831</v>
      </c>
      <c r="B1827">
        <v>0.99876560204751996</v>
      </c>
      <c r="C1827">
        <v>0.95379467806965701</v>
      </c>
      <c r="D1827">
        <v>0.86132513914169395</v>
      </c>
      <c r="E1827">
        <v>0.51060479403738901</v>
      </c>
      <c r="F1827">
        <v>0.28830227364814298</v>
      </c>
      <c r="G1827">
        <v>0.16331164304260101</v>
      </c>
      <c r="H1827">
        <v>0.12853250882957601</v>
      </c>
      <c r="I1827">
        <v>0.116997157043495</v>
      </c>
      <c r="J1827">
        <v>0.14154366955776401</v>
      </c>
      <c r="K1827">
        <v>0.13918268169169001</v>
      </c>
      <c r="L1827">
        <v>1089.4476863954401</v>
      </c>
      <c r="M1827">
        <v>22.035710343428899</v>
      </c>
      <c r="N1827">
        <v>50.093126887614602</v>
      </c>
      <c r="O1827">
        <v>49.038355113312697</v>
      </c>
      <c r="P1827">
        <v>-9.8316768976190294E-2</v>
      </c>
      <c r="Q1827">
        <v>0.124841779367281</v>
      </c>
      <c r="R1827">
        <v>0.99920305959859002</v>
      </c>
      <c r="S1827" t="s">
        <v>6123</v>
      </c>
      <c r="T1827" t="s">
        <v>8590</v>
      </c>
      <c r="U1827" t="s">
        <v>8590</v>
      </c>
      <c r="V1827" t="s">
        <v>8590</v>
      </c>
      <c r="W1827">
        <v>23</v>
      </c>
      <c r="X1827" t="s">
        <v>10417</v>
      </c>
      <c r="Y1827">
        <v>0.41028218606247341</v>
      </c>
      <c r="Z1827" t="str">
        <f>HYPERLINK("Melting_Curves/meltCurve_sp_Q15233_NONO_HUMAN_.pdf", "Melting_Curves/meltCurve_sp_Q15233_NONO_HUMAN_.pdf")</f>
        <v>Melting_Curves/meltCurve_sp_Q15233_NONO_HUMAN_.pdf</v>
      </c>
      <c r="AA1827" t="s">
        <v>14680</v>
      </c>
      <c r="AB1827" t="s">
        <v>18911</v>
      </c>
    </row>
    <row r="1828" spans="1:28" x14ac:dyDescent="0.25">
      <c r="A1828" t="s">
        <v>1832</v>
      </c>
      <c r="B1828">
        <v>0.99876560204751996</v>
      </c>
      <c r="C1828">
        <v>0.87770780985971797</v>
      </c>
      <c r="D1828">
        <v>0.93275817944852801</v>
      </c>
      <c r="E1828">
        <v>0.82776546847624</v>
      </c>
      <c r="F1828">
        <v>0.72236131795095304</v>
      </c>
      <c r="G1828">
        <v>0.32848203124752601</v>
      </c>
      <c r="H1828">
        <v>7.2173467665215901E-2</v>
      </c>
      <c r="I1828">
        <v>4.9751300516701402E-2</v>
      </c>
      <c r="J1828">
        <v>4.2346493561448303E-2</v>
      </c>
      <c r="K1828">
        <v>4.3028089883596701E-2</v>
      </c>
      <c r="L1828">
        <v>1092.41170303385</v>
      </c>
      <c r="M1828">
        <v>19.896727412313201</v>
      </c>
      <c r="N1828">
        <v>54.914523150762697</v>
      </c>
      <c r="O1828">
        <v>54.358502060496498</v>
      </c>
      <c r="P1828">
        <v>-9.1337289363509794E-2</v>
      </c>
      <c r="Q1828">
        <v>1.8875182433144601E-3</v>
      </c>
      <c r="R1828">
        <v>0.98434076780348501</v>
      </c>
      <c r="S1828" t="s">
        <v>6124</v>
      </c>
      <c r="T1828" t="s">
        <v>8590</v>
      </c>
      <c r="U1828" t="s">
        <v>8590</v>
      </c>
      <c r="V1828" t="s">
        <v>8590</v>
      </c>
      <c r="W1828">
        <v>11</v>
      </c>
      <c r="X1828" t="s">
        <v>10418</v>
      </c>
      <c r="Y1828">
        <v>0.51117903793062491</v>
      </c>
      <c r="Z1828" t="str">
        <f>HYPERLINK("Melting_Curves/meltCurve_sp_Q15257_2_PTPA_HUMAN_.pdf", "Melting_Curves/meltCurve_sp_Q15257_2_PTPA_HUMAN_.pdf")</f>
        <v>Melting_Curves/meltCurve_sp_Q15257_2_PTPA_HUMAN_.pdf</v>
      </c>
      <c r="AA1828" t="s">
        <v>14681</v>
      </c>
      <c r="AB1828" t="s">
        <v>18912</v>
      </c>
    </row>
    <row r="1829" spans="1:28" x14ac:dyDescent="0.25">
      <c r="A1829" t="s">
        <v>1833</v>
      </c>
      <c r="B1829">
        <v>0.99876560204751996</v>
      </c>
      <c r="C1829">
        <v>1.01121464551855</v>
      </c>
      <c r="D1829">
        <v>0.88326051898227498</v>
      </c>
      <c r="E1829">
        <v>0.87771944883007402</v>
      </c>
      <c r="F1829">
        <v>0.58117147096176103</v>
      </c>
      <c r="G1829">
        <v>0.36634298483295502</v>
      </c>
      <c r="H1829">
        <v>0.30305577330771799</v>
      </c>
      <c r="I1829">
        <v>0.24742258938376299</v>
      </c>
      <c r="J1829">
        <v>0.24982053002829999</v>
      </c>
      <c r="K1829">
        <v>0.14426801062656</v>
      </c>
      <c r="L1829">
        <v>952.85233295847502</v>
      </c>
      <c r="M1829">
        <v>17.881463659924801</v>
      </c>
      <c r="N1829">
        <v>54.790607074021501</v>
      </c>
      <c r="O1829">
        <v>52.634110067447402</v>
      </c>
      <c r="P1829">
        <v>-6.8468622909747701E-2</v>
      </c>
      <c r="Q1829">
        <v>0.193890897995602</v>
      </c>
      <c r="R1829">
        <v>0.98306934307473903</v>
      </c>
      <c r="S1829" t="s">
        <v>6125</v>
      </c>
      <c r="T1829" t="s">
        <v>8590</v>
      </c>
      <c r="U1829" t="s">
        <v>8590</v>
      </c>
      <c r="V1829" t="s">
        <v>8590</v>
      </c>
      <c r="W1829">
        <v>11</v>
      </c>
      <c r="X1829" t="s">
        <v>10419</v>
      </c>
      <c r="Y1829">
        <v>0.56418033453399541</v>
      </c>
      <c r="Z1829" t="str">
        <f>HYPERLINK("Melting_Curves/meltCurve_sp_Q15257_PTPA_HUMAN_.pdf", "Melting_Curves/meltCurve_sp_Q15257_PTPA_HUMAN_.pdf")</f>
        <v>Melting_Curves/meltCurve_sp_Q15257_PTPA_HUMAN_.pdf</v>
      </c>
      <c r="AA1829" t="s">
        <v>14681</v>
      </c>
      <c r="AB1829" t="s">
        <v>18913</v>
      </c>
    </row>
    <row r="1830" spans="1:28" x14ac:dyDescent="0.25">
      <c r="A1830" t="s">
        <v>1834</v>
      </c>
      <c r="B1830">
        <v>0.99876560204751996</v>
      </c>
      <c r="C1830">
        <v>1.0215443641239601</v>
      </c>
      <c r="D1830">
        <v>0.91501063515689895</v>
      </c>
      <c r="E1830">
        <v>1.03671522044625</v>
      </c>
      <c r="F1830">
        <v>1.0108523078561999</v>
      </c>
      <c r="G1830">
        <v>0.89540096430245897</v>
      </c>
      <c r="H1830">
        <v>0.78212896004270605</v>
      </c>
      <c r="I1830">
        <v>0.81077844625281603</v>
      </c>
      <c r="J1830">
        <v>0.88845552724644505</v>
      </c>
      <c r="K1830">
        <v>0.829246461736594</v>
      </c>
      <c r="L1830">
        <v>14225.2431608651</v>
      </c>
      <c r="M1830">
        <v>250</v>
      </c>
      <c r="O1830">
        <v>56.897330997801397</v>
      </c>
      <c r="P1830">
        <v>-0.18931868990317599</v>
      </c>
      <c r="Q1830">
        <v>0.82765234849306502</v>
      </c>
      <c r="R1830">
        <v>0.80788576117369004</v>
      </c>
      <c r="S1830" t="s">
        <v>6126</v>
      </c>
      <c r="T1830" t="s">
        <v>8590</v>
      </c>
      <c r="U1830" t="s">
        <v>8590</v>
      </c>
      <c r="V1830" t="s">
        <v>8590</v>
      </c>
      <c r="W1830">
        <v>13</v>
      </c>
      <c r="X1830" t="s">
        <v>10420</v>
      </c>
      <c r="Y1830">
        <v>0.92476432396105135</v>
      </c>
      <c r="Z1830" t="str">
        <f>HYPERLINK("Melting_Curves/meltCurve_sp_Q15274_NADC_HUMAN_.pdf", "Melting_Curves/meltCurve_sp_Q15274_NADC_HUMAN_.pdf")</f>
        <v>Melting_Curves/meltCurve_sp_Q15274_NADC_HUMAN_.pdf</v>
      </c>
      <c r="AA1830" t="s">
        <v>14682</v>
      </c>
      <c r="AB1830" t="s">
        <v>18914</v>
      </c>
    </row>
    <row r="1831" spans="1:28" x14ac:dyDescent="0.25">
      <c r="A1831" t="s">
        <v>1835</v>
      </c>
      <c r="B1831">
        <v>0.99876560204751996</v>
      </c>
      <c r="C1831">
        <v>1.03473463043561</v>
      </c>
      <c r="D1831">
        <v>0.97360114484649096</v>
      </c>
      <c r="E1831">
        <v>0.97913457729756304</v>
      </c>
      <c r="F1831">
        <v>0.90975706426238301</v>
      </c>
      <c r="G1831">
        <v>0.633132586190292</v>
      </c>
      <c r="H1831">
        <v>0.53508605564093803</v>
      </c>
      <c r="I1831">
        <v>0.50085260401315101</v>
      </c>
      <c r="J1831">
        <v>0.61609343208506395</v>
      </c>
      <c r="K1831">
        <v>0.58238873366690003</v>
      </c>
      <c r="L1831">
        <v>2293.2875448017899</v>
      </c>
      <c r="M1831">
        <v>41.909065580151101</v>
      </c>
      <c r="O1831">
        <v>54.596411608619</v>
      </c>
      <c r="P1831">
        <v>-8.4815246691108001E-2</v>
      </c>
      <c r="Q1831">
        <v>0.55803357703538903</v>
      </c>
      <c r="R1831">
        <v>0.97630081651270295</v>
      </c>
      <c r="S1831" t="s">
        <v>6127</v>
      </c>
      <c r="T1831" t="s">
        <v>8590</v>
      </c>
      <c r="U1831" t="s">
        <v>8590</v>
      </c>
      <c r="V1831" t="s">
        <v>8590</v>
      </c>
      <c r="W1831">
        <v>33</v>
      </c>
      <c r="X1831" t="s">
        <v>10421</v>
      </c>
      <c r="Y1831">
        <v>0.77641855851546249</v>
      </c>
      <c r="Z1831" t="str">
        <f>HYPERLINK("Melting_Curves/meltCurve_sp_Q15276_RABE1_HUMAN_.pdf", "Melting_Curves/meltCurve_sp_Q15276_RABE1_HUMAN_.pdf")</f>
        <v>Melting_Curves/meltCurve_sp_Q15276_RABE1_HUMAN_.pdf</v>
      </c>
      <c r="AA1831" t="s">
        <v>14683</v>
      </c>
      <c r="AB1831" t="s">
        <v>18915</v>
      </c>
    </row>
    <row r="1832" spans="1:28" x14ac:dyDescent="0.25">
      <c r="A1832" t="s">
        <v>1836</v>
      </c>
      <c r="B1832">
        <v>0.99876560204751996</v>
      </c>
      <c r="C1832">
        <v>0.97064511379881402</v>
      </c>
      <c r="D1832">
        <v>0.93037125339536297</v>
      </c>
      <c r="E1832">
        <v>0.90058809276836205</v>
      </c>
      <c r="F1832">
        <v>0.82095001932942602</v>
      </c>
      <c r="G1832">
        <v>0.66023687509862194</v>
      </c>
      <c r="H1832">
        <v>0.53915149862720002</v>
      </c>
      <c r="I1832">
        <v>0.50219457776574605</v>
      </c>
      <c r="J1832">
        <v>0.47661515708755198</v>
      </c>
      <c r="K1832">
        <v>0.419712679684692</v>
      </c>
      <c r="L1832">
        <v>668.73801022072803</v>
      </c>
      <c r="M1832">
        <v>11.840864620596999</v>
      </c>
      <c r="N1832">
        <v>63.840551522985798</v>
      </c>
      <c r="O1832">
        <v>54.938535973446001</v>
      </c>
      <c r="P1832">
        <v>-3.3824953874481499E-2</v>
      </c>
      <c r="Q1832">
        <v>0.37240356238231198</v>
      </c>
      <c r="R1832">
        <v>0.99450564934428298</v>
      </c>
      <c r="S1832" t="s">
        <v>6128</v>
      </c>
      <c r="T1832" t="s">
        <v>8590</v>
      </c>
      <c r="U1832" t="s">
        <v>8590</v>
      </c>
      <c r="V1832" t="s">
        <v>8590</v>
      </c>
      <c r="W1832">
        <v>6</v>
      </c>
      <c r="X1832" t="s">
        <v>10422</v>
      </c>
      <c r="Y1832">
        <v>0.72890358145194412</v>
      </c>
      <c r="Z1832" t="str">
        <f>HYPERLINK("Melting_Curves/meltCurve_sp_Q15291_RBBP5_HUMAN_.pdf", "Melting_Curves/meltCurve_sp_Q15291_RBBP5_HUMAN_.pdf")</f>
        <v>Melting_Curves/meltCurve_sp_Q15291_RBBP5_HUMAN_.pdf</v>
      </c>
      <c r="AA1832" t="s">
        <v>14684</v>
      </c>
      <c r="AB1832" t="s">
        <v>18916</v>
      </c>
    </row>
    <row r="1833" spans="1:28" x14ac:dyDescent="0.25">
      <c r="A1833" t="s">
        <v>1837</v>
      </c>
      <c r="B1833">
        <v>0.99876560204751996</v>
      </c>
      <c r="C1833">
        <v>0.915067635358361</v>
      </c>
      <c r="D1833">
        <v>0.99525865933865199</v>
      </c>
      <c r="E1833">
        <v>0.89977411921569606</v>
      </c>
      <c r="F1833">
        <v>0.89504836719659198</v>
      </c>
      <c r="G1833">
        <v>0.76212581841212701</v>
      </c>
      <c r="H1833">
        <v>0.70577958614929104</v>
      </c>
      <c r="I1833">
        <v>0.69628871765833</v>
      </c>
      <c r="J1833">
        <v>0.87901406528731196</v>
      </c>
      <c r="K1833">
        <v>0.88442866550468602</v>
      </c>
      <c r="L1833">
        <v>1266.1295285534</v>
      </c>
      <c r="M1833">
        <v>24.794193091639698</v>
      </c>
      <c r="O1833">
        <v>50.7368589233729</v>
      </c>
      <c r="P1833">
        <v>-2.5991992831964E-2</v>
      </c>
      <c r="Q1833">
        <v>0.78725119657539899</v>
      </c>
      <c r="R1833">
        <v>0.57206265779183796</v>
      </c>
      <c r="S1833" t="s">
        <v>6129</v>
      </c>
      <c r="T1833" t="s">
        <v>8590</v>
      </c>
      <c r="U1833" t="s">
        <v>8590</v>
      </c>
      <c r="V1833" t="s">
        <v>8590</v>
      </c>
      <c r="W1833">
        <v>15</v>
      </c>
      <c r="X1833" t="s">
        <v>10423</v>
      </c>
      <c r="Y1833">
        <v>0.86767887752721906</v>
      </c>
      <c r="Z1833" t="str">
        <f>HYPERLINK("Melting_Curves/meltCurve_sp_Q15293_RCN1_HUMAN_.pdf", "Melting_Curves/meltCurve_sp_Q15293_RCN1_HUMAN_.pdf")</f>
        <v>Melting_Curves/meltCurve_sp_Q15293_RCN1_HUMAN_.pdf</v>
      </c>
      <c r="AA1833" t="s">
        <v>14685</v>
      </c>
      <c r="AB1833" t="s">
        <v>18917</v>
      </c>
    </row>
    <row r="1834" spans="1:28" x14ac:dyDescent="0.25">
      <c r="A1834" t="s">
        <v>1838</v>
      </c>
      <c r="B1834">
        <v>0.99876560204751996</v>
      </c>
      <c r="C1834">
        <v>0.90959151723891196</v>
      </c>
      <c r="D1834">
        <v>0.90170245405463401</v>
      </c>
      <c r="E1834">
        <v>0.59804760933327195</v>
      </c>
      <c r="F1834">
        <v>0.35841147852602301</v>
      </c>
      <c r="G1834">
        <v>0.23495525628078601</v>
      </c>
      <c r="H1834">
        <v>0.16500356675684799</v>
      </c>
      <c r="I1834">
        <v>0.13467758657813</v>
      </c>
      <c r="J1834">
        <v>0.12429264077751601</v>
      </c>
      <c r="K1834">
        <v>6.8736645416980893E-2</v>
      </c>
      <c r="L1834">
        <v>867.44233286776398</v>
      </c>
      <c r="M1834">
        <v>17.134113678923701</v>
      </c>
      <c r="N1834">
        <v>51.297253856993002</v>
      </c>
      <c r="O1834">
        <v>49.952101378932298</v>
      </c>
      <c r="P1834">
        <v>-7.7152676675132301E-2</v>
      </c>
      <c r="Q1834">
        <v>0.100342744296783</v>
      </c>
      <c r="R1834">
        <v>0.99402386484237704</v>
      </c>
      <c r="S1834" t="s">
        <v>6130</v>
      </c>
      <c r="T1834" t="s">
        <v>8590</v>
      </c>
      <c r="U1834" t="s">
        <v>8590</v>
      </c>
      <c r="V1834" t="s">
        <v>8590</v>
      </c>
      <c r="W1834">
        <v>7</v>
      </c>
      <c r="X1834" t="s">
        <v>10424</v>
      </c>
      <c r="Y1834">
        <v>0.43567616737035431</v>
      </c>
      <c r="Z1834" t="str">
        <f>HYPERLINK("Melting_Curves/meltCurve_sp_Q15311_RBP1_HUMAN_.pdf", "Melting_Curves/meltCurve_sp_Q15311_RBP1_HUMAN_.pdf")</f>
        <v>Melting_Curves/meltCurve_sp_Q15311_RBP1_HUMAN_.pdf</v>
      </c>
      <c r="AA1834" t="s">
        <v>14686</v>
      </c>
      <c r="AB1834" t="s">
        <v>18918</v>
      </c>
    </row>
    <row r="1835" spans="1:28" x14ac:dyDescent="0.25">
      <c r="A1835" t="s">
        <v>1839</v>
      </c>
      <c r="B1835">
        <v>0.99876560204751996</v>
      </c>
      <c r="C1835">
        <v>0.90680485895558605</v>
      </c>
      <c r="D1835">
        <v>0.92472862617520502</v>
      </c>
      <c r="E1835">
        <v>0.74001663803634998</v>
      </c>
      <c r="F1835">
        <v>0.64283977713454898</v>
      </c>
      <c r="G1835">
        <v>0.44395372659592802</v>
      </c>
      <c r="H1835">
        <v>0.326644418968846</v>
      </c>
      <c r="I1835">
        <v>0.30276183301894</v>
      </c>
      <c r="J1835">
        <v>0.42171809957130102</v>
      </c>
      <c r="K1835">
        <v>0.407494914865423</v>
      </c>
      <c r="L1835">
        <v>858.73526639576403</v>
      </c>
      <c r="M1835">
        <v>16.682854171349899</v>
      </c>
      <c r="N1835">
        <v>55.3988180500006</v>
      </c>
      <c r="O1835">
        <v>50.751592689529303</v>
      </c>
      <c r="P1835">
        <v>-5.3695172858719498E-2</v>
      </c>
      <c r="Q1835">
        <v>0.34665055358614999</v>
      </c>
      <c r="R1835">
        <v>0.96392722362428396</v>
      </c>
      <c r="S1835" t="s">
        <v>6131</v>
      </c>
      <c r="T1835" t="s">
        <v>8590</v>
      </c>
      <c r="U1835" t="s">
        <v>8590</v>
      </c>
      <c r="V1835" t="s">
        <v>8590</v>
      </c>
      <c r="W1835">
        <v>7</v>
      </c>
      <c r="X1835" t="s">
        <v>10425</v>
      </c>
      <c r="Y1835">
        <v>0.60901881261678192</v>
      </c>
      <c r="Z1835" t="str">
        <f>HYPERLINK("Melting_Curves/meltCurve_sp_Q15345_LRC41_HUMAN_.pdf", "Melting_Curves/meltCurve_sp_Q15345_LRC41_HUMAN_.pdf")</f>
        <v>Melting_Curves/meltCurve_sp_Q15345_LRC41_HUMAN_.pdf</v>
      </c>
      <c r="AA1835" t="s">
        <v>14687</v>
      </c>
      <c r="AB1835" t="s">
        <v>18919</v>
      </c>
    </row>
    <row r="1836" spans="1:28" x14ac:dyDescent="0.25">
      <c r="A1836" t="s">
        <v>1840</v>
      </c>
      <c r="B1836">
        <v>0.99876560204751996</v>
      </c>
      <c r="C1836">
        <v>0.96663634722525205</v>
      </c>
      <c r="D1836">
        <v>1.0247623865771001</v>
      </c>
      <c r="E1836">
        <v>0.87719436126764805</v>
      </c>
      <c r="F1836">
        <v>0.79459574752764695</v>
      </c>
      <c r="G1836">
        <v>0.63993359521010795</v>
      </c>
      <c r="H1836">
        <v>0.45039422469463503</v>
      </c>
      <c r="I1836">
        <v>0.42260518553053</v>
      </c>
      <c r="J1836">
        <v>0.41905929847341</v>
      </c>
      <c r="K1836">
        <v>0.366683180657702</v>
      </c>
      <c r="L1836">
        <v>875.309416196857</v>
      </c>
      <c r="M1836">
        <v>15.742540063686</v>
      </c>
      <c r="N1836">
        <v>60.264758810740297</v>
      </c>
      <c r="O1836">
        <v>54.727530485848398</v>
      </c>
      <c r="P1836">
        <v>-4.6595762152958402E-2</v>
      </c>
      <c r="Q1836">
        <v>0.352110183386321</v>
      </c>
      <c r="R1836">
        <v>0.99032206889033603</v>
      </c>
      <c r="S1836" t="s">
        <v>6132</v>
      </c>
      <c r="T1836" t="s">
        <v>8590</v>
      </c>
      <c r="U1836" t="s">
        <v>8590</v>
      </c>
      <c r="V1836" t="s">
        <v>8590</v>
      </c>
      <c r="W1836">
        <v>13</v>
      </c>
      <c r="X1836" t="s">
        <v>10426</v>
      </c>
      <c r="Y1836">
        <v>0.70041261688837986</v>
      </c>
      <c r="Z1836" t="str">
        <f>HYPERLINK("Melting_Curves/meltCurve_sp_Q15365_PCBP1_HUMAN_.pdf", "Melting_Curves/meltCurve_sp_Q15365_PCBP1_HUMAN_.pdf")</f>
        <v>Melting_Curves/meltCurve_sp_Q15365_PCBP1_HUMAN_.pdf</v>
      </c>
      <c r="AA1836" t="s">
        <v>14688</v>
      </c>
      <c r="AB1836" t="s">
        <v>18920</v>
      </c>
    </row>
    <row r="1837" spans="1:28" x14ac:dyDescent="0.25">
      <c r="A1837" t="s">
        <v>1841</v>
      </c>
      <c r="B1837">
        <v>0.99876560204751996</v>
      </c>
      <c r="C1837">
        <v>0.79650382605677905</v>
      </c>
      <c r="D1837">
        <v>0.67580272784177897</v>
      </c>
      <c r="E1837">
        <v>0.40841294973481501</v>
      </c>
      <c r="F1837">
        <v>0.26910822285633201</v>
      </c>
      <c r="G1837">
        <v>0.199549399606925</v>
      </c>
      <c r="H1837">
        <v>8.4262335729255206E-2</v>
      </c>
      <c r="I1837">
        <v>0.12924528964007001</v>
      </c>
      <c r="J1837">
        <v>6.7855193974082406E-2</v>
      </c>
      <c r="K1837">
        <v>3.3114216450797901E-2</v>
      </c>
      <c r="L1837">
        <v>612.45144369141201</v>
      </c>
      <c r="M1837">
        <v>12.698196576862101</v>
      </c>
      <c r="N1837">
        <v>48.607465986690201</v>
      </c>
      <c r="O1837">
        <v>47.0821182507242</v>
      </c>
      <c r="P1837">
        <v>-6.4283477709793799E-2</v>
      </c>
      <c r="Q1837">
        <v>4.6788558276290797E-2</v>
      </c>
      <c r="R1837">
        <v>0.98993902604013295</v>
      </c>
      <c r="S1837" t="s">
        <v>6133</v>
      </c>
      <c r="T1837" t="s">
        <v>8590</v>
      </c>
      <c r="U1837" t="s">
        <v>8590</v>
      </c>
      <c r="V1837" t="s">
        <v>8590</v>
      </c>
      <c r="W1837">
        <v>3</v>
      </c>
      <c r="X1837" t="s">
        <v>10427</v>
      </c>
      <c r="Y1837">
        <v>0.34155888188905131</v>
      </c>
      <c r="Z1837" t="str">
        <f>HYPERLINK("Melting_Curves/meltCurve_sp_Q15382_RHEB_HUMAN_.pdf", "Melting_Curves/meltCurve_sp_Q15382_RHEB_HUMAN_.pdf")</f>
        <v>Melting_Curves/meltCurve_sp_Q15382_RHEB_HUMAN_.pdf</v>
      </c>
      <c r="AA1837" t="s">
        <v>14689</v>
      </c>
      <c r="AB1837" t="s">
        <v>18921</v>
      </c>
    </row>
    <row r="1838" spans="1:28" x14ac:dyDescent="0.25">
      <c r="A1838" t="s">
        <v>1842</v>
      </c>
      <c r="B1838">
        <v>0.99876560204751996</v>
      </c>
      <c r="C1838">
        <v>0.95039507785461397</v>
      </c>
      <c r="D1838">
        <v>0.82880641447649095</v>
      </c>
      <c r="E1838">
        <v>0.61499876666206899</v>
      </c>
      <c r="F1838">
        <v>0.196258772089106</v>
      </c>
      <c r="G1838">
        <v>0.13771187241878899</v>
      </c>
      <c r="H1838">
        <v>0.10937210125930499</v>
      </c>
      <c r="I1838">
        <v>5.2759264839552601E-2</v>
      </c>
      <c r="J1838">
        <v>9.2271139877382904E-2</v>
      </c>
      <c r="K1838">
        <v>2.3293872480511901E-2</v>
      </c>
      <c r="L1838">
        <v>1079.9473475137499</v>
      </c>
      <c r="M1838">
        <v>21.558102476567999</v>
      </c>
      <c r="N1838">
        <v>50.375293630288702</v>
      </c>
      <c r="O1838">
        <v>49.6696627501736</v>
      </c>
      <c r="P1838">
        <v>-0.102371679170465</v>
      </c>
      <c r="Q1838">
        <v>5.6569326797034303E-2</v>
      </c>
      <c r="R1838">
        <v>0.98643244511534101</v>
      </c>
      <c r="S1838" t="s">
        <v>6134</v>
      </c>
      <c r="T1838" t="s">
        <v>8590</v>
      </c>
      <c r="U1838" t="s">
        <v>8590</v>
      </c>
      <c r="V1838" t="s">
        <v>8590</v>
      </c>
      <c r="W1838">
        <v>4</v>
      </c>
      <c r="X1838" t="s">
        <v>10428</v>
      </c>
      <c r="Y1838">
        <v>0.38536095912012952</v>
      </c>
      <c r="Z1838" t="str">
        <f>HYPERLINK("Melting_Curves/meltCurve_sp_Q15386_UBE3C_HUMAN_.pdf", "Melting_Curves/meltCurve_sp_Q15386_UBE3C_HUMAN_.pdf")</f>
        <v>Melting_Curves/meltCurve_sp_Q15386_UBE3C_HUMAN_.pdf</v>
      </c>
      <c r="AA1838" t="s">
        <v>14690</v>
      </c>
      <c r="AB1838" t="s">
        <v>18922</v>
      </c>
    </row>
    <row r="1839" spans="1:28" x14ac:dyDescent="0.25">
      <c r="A1839" t="s">
        <v>1843</v>
      </c>
      <c r="B1839">
        <v>0.99876560204751996</v>
      </c>
      <c r="C1839">
        <v>1.0554281821971501</v>
      </c>
      <c r="D1839">
        <v>0.95150542872146304</v>
      </c>
      <c r="E1839">
        <v>0.87810080231524801</v>
      </c>
      <c r="F1839">
        <v>0.65706157607258897</v>
      </c>
      <c r="G1839">
        <v>0.30263424621578899</v>
      </c>
      <c r="H1839">
        <v>0.146818653314994</v>
      </c>
      <c r="I1839">
        <v>8.2343724904103799E-2</v>
      </c>
      <c r="J1839">
        <v>6.5567379669158807E-2</v>
      </c>
      <c r="K1839">
        <v>4.27026767013843E-2</v>
      </c>
      <c r="L1839">
        <v>1143.0161193481199</v>
      </c>
      <c r="M1839">
        <v>20.993271335750698</v>
      </c>
      <c r="N1839">
        <v>54.682064310944803</v>
      </c>
      <c r="O1839">
        <v>53.959963248432402</v>
      </c>
      <c r="P1839">
        <v>-9.3065476751379203E-2</v>
      </c>
      <c r="Q1839">
        <v>4.3183884375630199E-2</v>
      </c>
      <c r="R1839">
        <v>0.99718619199831804</v>
      </c>
      <c r="S1839" t="s">
        <v>6135</v>
      </c>
      <c r="T1839" t="s">
        <v>8590</v>
      </c>
      <c r="U1839" t="s">
        <v>8590</v>
      </c>
      <c r="V1839" t="s">
        <v>8590</v>
      </c>
      <c r="W1839">
        <v>12</v>
      </c>
      <c r="X1839" t="s">
        <v>10429</v>
      </c>
      <c r="Y1839">
        <v>0.51589212220156355</v>
      </c>
      <c r="Z1839" t="str">
        <f>HYPERLINK("Melting_Curves/meltCurve_sp_Q15393_SF3B3_HUMAN_.pdf", "Melting_Curves/meltCurve_sp_Q15393_SF3B3_HUMAN_.pdf")</f>
        <v>Melting_Curves/meltCurve_sp_Q15393_SF3B3_HUMAN_.pdf</v>
      </c>
      <c r="AA1839" t="s">
        <v>14691</v>
      </c>
      <c r="AB1839" t="s">
        <v>18923</v>
      </c>
    </row>
    <row r="1840" spans="1:28" x14ac:dyDescent="0.25">
      <c r="A1840" t="s">
        <v>1844</v>
      </c>
      <c r="B1840">
        <v>0.99876560204751996</v>
      </c>
      <c r="C1840">
        <v>1.00705379696163</v>
      </c>
      <c r="D1840">
        <v>0.94264061644109898</v>
      </c>
      <c r="E1840">
        <v>0.85768969394424899</v>
      </c>
      <c r="F1840">
        <v>0.81516600373583303</v>
      </c>
      <c r="G1840">
        <v>0.521118949843835</v>
      </c>
      <c r="H1840">
        <v>0.23839670307493999</v>
      </c>
      <c r="I1840">
        <v>0.147750294914678</v>
      </c>
      <c r="J1840">
        <v>9.2917754982668105E-2</v>
      </c>
      <c r="K1840">
        <v>5.7639743905415299E-2</v>
      </c>
      <c r="L1840">
        <v>916.79699686305401</v>
      </c>
      <c r="M1840">
        <v>16.0494718371739</v>
      </c>
      <c r="N1840">
        <v>57.125009967466397</v>
      </c>
      <c r="O1840">
        <v>56.258428422386899</v>
      </c>
      <c r="P1840">
        <v>-7.1307577885268703E-2</v>
      </c>
      <c r="Q1840">
        <v>2.55864099024627E-4</v>
      </c>
      <c r="R1840">
        <v>0.99549756302661596</v>
      </c>
      <c r="S1840" t="s">
        <v>6136</v>
      </c>
      <c r="T1840" t="s">
        <v>8590</v>
      </c>
      <c r="U1840" t="s">
        <v>8590</v>
      </c>
      <c r="V1840" t="s">
        <v>8590</v>
      </c>
      <c r="W1840">
        <v>13</v>
      </c>
      <c r="X1840" t="s">
        <v>10430</v>
      </c>
      <c r="Y1840">
        <v>0.58580045744233755</v>
      </c>
      <c r="Z1840" t="str">
        <f>HYPERLINK("Melting_Curves/meltCurve_sp_Q15404_RSU1_HUMAN_.pdf", "Melting_Curves/meltCurve_sp_Q15404_RSU1_HUMAN_.pdf")</f>
        <v>Melting_Curves/meltCurve_sp_Q15404_RSU1_HUMAN_.pdf</v>
      </c>
      <c r="AA1840" t="s">
        <v>14692</v>
      </c>
      <c r="AB1840" t="s">
        <v>18924</v>
      </c>
    </row>
    <row r="1841" spans="1:28" x14ac:dyDescent="0.25">
      <c r="A1841" t="s">
        <v>1845</v>
      </c>
      <c r="B1841">
        <v>0.99876560204751996</v>
      </c>
      <c r="C1841">
        <v>0.99053965638596198</v>
      </c>
      <c r="D1841">
        <v>1.09937125751455</v>
      </c>
      <c r="E1841">
        <v>0.974140381534916</v>
      </c>
      <c r="F1841">
        <v>0.92267682312215804</v>
      </c>
      <c r="G1841">
        <v>0.59445518366833505</v>
      </c>
      <c r="H1841">
        <v>0.41916119179214201</v>
      </c>
      <c r="I1841">
        <v>0.36932817308034899</v>
      </c>
      <c r="J1841">
        <v>0.39308298929471502</v>
      </c>
      <c r="K1841">
        <v>0.39368095838725298</v>
      </c>
      <c r="L1841">
        <v>1948.03142812787</v>
      </c>
      <c r="M1841">
        <v>34.831942358999001</v>
      </c>
      <c r="N1841">
        <v>58.364864091596402</v>
      </c>
      <c r="O1841">
        <v>55.7432040392315</v>
      </c>
      <c r="P1841">
        <v>-9.6335986820189595E-2</v>
      </c>
      <c r="Q1841">
        <v>0.38331808750149099</v>
      </c>
      <c r="R1841">
        <v>0.98703763927289401</v>
      </c>
      <c r="S1841" t="s">
        <v>6137</v>
      </c>
      <c r="T1841" t="s">
        <v>8590</v>
      </c>
      <c r="U1841" t="s">
        <v>8590</v>
      </c>
      <c r="V1841" t="s">
        <v>8590</v>
      </c>
      <c r="W1841">
        <v>8</v>
      </c>
      <c r="X1841" t="s">
        <v>10431</v>
      </c>
      <c r="Y1841">
        <v>0.71380889094942235</v>
      </c>
      <c r="Z1841" t="str">
        <f>HYPERLINK("Melting_Curves/meltCurve_sp_Q15417_CNN3_HUMAN_.pdf", "Melting_Curves/meltCurve_sp_Q15417_CNN3_HUMAN_.pdf")</f>
        <v>Melting_Curves/meltCurve_sp_Q15417_CNN3_HUMAN_.pdf</v>
      </c>
      <c r="AA1841" t="s">
        <v>14693</v>
      </c>
      <c r="AB1841" t="s">
        <v>18925</v>
      </c>
    </row>
    <row r="1842" spans="1:28" x14ac:dyDescent="0.25">
      <c r="A1842" t="s">
        <v>1846</v>
      </c>
      <c r="B1842">
        <v>0.99876560204751996</v>
      </c>
      <c r="C1842">
        <v>0.94108396011741702</v>
      </c>
      <c r="D1842">
        <v>1.0091560645997999</v>
      </c>
      <c r="E1842">
        <v>0.91116370667270496</v>
      </c>
      <c r="F1842">
        <v>0.878955716636588</v>
      </c>
      <c r="G1842">
        <v>0.71779364271661095</v>
      </c>
      <c r="H1842">
        <v>0.64013613645233802</v>
      </c>
      <c r="I1842">
        <v>0.64869123493405301</v>
      </c>
      <c r="J1842">
        <v>0.79957208651420697</v>
      </c>
      <c r="K1842">
        <v>0.74115150364549098</v>
      </c>
      <c r="L1842">
        <v>1518.8292324331801</v>
      </c>
      <c r="M1842">
        <v>28.766753626094999</v>
      </c>
      <c r="O1842">
        <v>52.544904901863902</v>
      </c>
      <c r="P1842">
        <v>-4.0452260843936202E-2</v>
      </c>
      <c r="Q1842">
        <v>0.70444440069903902</v>
      </c>
      <c r="R1842">
        <v>0.85339420438123303</v>
      </c>
      <c r="S1842" t="s">
        <v>6138</v>
      </c>
      <c r="T1842" t="s">
        <v>8590</v>
      </c>
      <c r="U1842" t="s">
        <v>8590</v>
      </c>
      <c r="V1842" t="s">
        <v>8590</v>
      </c>
      <c r="W1842">
        <v>9</v>
      </c>
      <c r="X1842" t="s">
        <v>10432</v>
      </c>
      <c r="Y1842">
        <v>0.83260404976821567</v>
      </c>
      <c r="Z1842" t="str">
        <f>HYPERLINK("Melting_Curves/meltCurve_sp_Q15424_SAFB1_HUMAN_.pdf", "Melting_Curves/meltCurve_sp_Q15424_SAFB1_HUMAN_.pdf")</f>
        <v>Melting_Curves/meltCurve_sp_Q15424_SAFB1_HUMAN_.pdf</v>
      </c>
      <c r="AA1842" t="s">
        <v>14694</v>
      </c>
      <c r="AB1842" t="s">
        <v>18926</v>
      </c>
    </row>
    <row r="1843" spans="1:28" x14ac:dyDescent="0.25">
      <c r="A1843" t="s">
        <v>1847</v>
      </c>
      <c r="B1843">
        <v>0.99876560204751996</v>
      </c>
      <c r="C1843">
        <v>0.98237771701843801</v>
      </c>
      <c r="D1843">
        <v>1.0478714282831301</v>
      </c>
      <c r="E1843">
        <v>0.93304331678790398</v>
      </c>
      <c r="F1843">
        <v>0.90561018671918203</v>
      </c>
      <c r="G1843">
        <v>0.61942839253512205</v>
      </c>
      <c r="H1843">
        <v>0.45854856858213999</v>
      </c>
      <c r="I1843">
        <v>0.352161903691106</v>
      </c>
      <c r="J1843">
        <v>0.400498037819847</v>
      </c>
      <c r="K1843">
        <v>0.33003146213588902</v>
      </c>
      <c r="L1843">
        <v>1341.0573482921</v>
      </c>
      <c r="M1843">
        <v>23.773841605703598</v>
      </c>
      <c r="N1843">
        <v>59.3433686238033</v>
      </c>
      <c r="O1843">
        <v>56.014374625134103</v>
      </c>
      <c r="P1843">
        <v>-6.9428593838886804E-2</v>
      </c>
      <c r="Q1843">
        <v>0.34567824759454302</v>
      </c>
      <c r="R1843">
        <v>0.98959415479386803</v>
      </c>
      <c r="S1843" t="s">
        <v>6139</v>
      </c>
      <c r="T1843" t="s">
        <v>8590</v>
      </c>
      <c r="U1843" t="s">
        <v>8590</v>
      </c>
      <c r="V1843" t="s">
        <v>8590</v>
      </c>
      <c r="W1843">
        <v>1</v>
      </c>
      <c r="X1843" t="s">
        <v>10433</v>
      </c>
      <c r="Y1843">
        <v>0.71003470818493286</v>
      </c>
      <c r="Z1843" t="str">
        <f>HYPERLINK("Melting_Curves/meltCurve_sp_Q15427_SF3B4_HUMAN_.pdf", "Melting_Curves/meltCurve_sp_Q15427_SF3B4_HUMAN_.pdf")</f>
        <v>Melting_Curves/meltCurve_sp_Q15427_SF3B4_HUMAN_.pdf</v>
      </c>
      <c r="AA1843" t="s">
        <v>14695</v>
      </c>
      <c r="AB1843" t="s">
        <v>18927</v>
      </c>
    </row>
    <row r="1844" spans="1:28" x14ac:dyDescent="0.25">
      <c r="A1844" t="s">
        <v>1848</v>
      </c>
      <c r="B1844">
        <v>0.99876560204751996</v>
      </c>
      <c r="C1844">
        <v>0.98694926468312305</v>
      </c>
      <c r="D1844">
        <v>1.01002257239529</v>
      </c>
      <c r="E1844">
        <v>0.73995061776910198</v>
      </c>
      <c r="F1844">
        <v>0.42467624835738599</v>
      </c>
      <c r="G1844">
        <v>0.25360839354368497</v>
      </c>
      <c r="H1844">
        <v>0.11070946030478999</v>
      </c>
      <c r="I1844">
        <v>8.70403906416784E-2</v>
      </c>
      <c r="J1844">
        <v>4.8399863869598103E-2</v>
      </c>
      <c r="K1844">
        <v>3.6622547741867198E-2</v>
      </c>
      <c r="L1844">
        <v>1080.68599315913</v>
      </c>
      <c r="M1844">
        <v>20.649341475355001</v>
      </c>
      <c r="N1844">
        <v>52.633601424071799</v>
      </c>
      <c r="O1844">
        <v>51.851717373282398</v>
      </c>
      <c r="P1844">
        <v>-9.4061579524656505E-2</v>
      </c>
      <c r="Q1844">
        <v>5.5250351290948102E-2</v>
      </c>
      <c r="R1844">
        <v>0.99421415638194299</v>
      </c>
      <c r="S1844" t="s">
        <v>6140</v>
      </c>
      <c r="T1844" t="s">
        <v>8590</v>
      </c>
      <c r="U1844" t="s">
        <v>8590</v>
      </c>
      <c r="V1844" t="s">
        <v>8590</v>
      </c>
      <c r="W1844">
        <v>19</v>
      </c>
      <c r="X1844" t="s">
        <v>10434</v>
      </c>
      <c r="Y1844">
        <v>0.45603689949838733</v>
      </c>
      <c r="Z1844" t="str">
        <f>HYPERLINK("Melting_Curves/meltCurve_sp_Q15435_PP1R7_HUMAN_.pdf", "Melting_Curves/meltCurve_sp_Q15435_PP1R7_HUMAN_.pdf")</f>
        <v>Melting_Curves/meltCurve_sp_Q15435_PP1R7_HUMAN_.pdf</v>
      </c>
      <c r="AA1844" t="s">
        <v>14696</v>
      </c>
      <c r="AB1844" t="s">
        <v>18928</v>
      </c>
    </row>
    <row r="1845" spans="1:28" x14ac:dyDescent="0.25">
      <c r="A1845" t="s">
        <v>1849</v>
      </c>
      <c r="B1845">
        <v>0.99876560204751996</v>
      </c>
      <c r="C1845">
        <v>1.0170036060679</v>
      </c>
      <c r="D1845">
        <v>0.95598877589425002</v>
      </c>
      <c r="E1845">
        <v>0.80846954634659995</v>
      </c>
      <c r="F1845">
        <v>0.52870346420485903</v>
      </c>
      <c r="G1845">
        <v>0.31091501317790798</v>
      </c>
      <c r="H1845">
        <v>0.113738054734943</v>
      </c>
      <c r="I1845">
        <v>7.37555204538453E-2</v>
      </c>
      <c r="J1845">
        <v>7.2804776531096599E-2</v>
      </c>
      <c r="K1845">
        <v>7.4047925377678694E-2</v>
      </c>
      <c r="L1845">
        <v>1005.39597017925</v>
      </c>
      <c r="M1845">
        <v>18.825361731682101</v>
      </c>
      <c r="N1845">
        <v>53.7081607335654</v>
      </c>
      <c r="O1845">
        <v>52.814778835731602</v>
      </c>
      <c r="P1845">
        <v>-8.46428363609735E-2</v>
      </c>
      <c r="Q1845">
        <v>5.0173446054395603E-2</v>
      </c>
      <c r="R1845">
        <v>0.99730250994487502</v>
      </c>
      <c r="S1845" t="s">
        <v>6141</v>
      </c>
      <c r="T1845" t="s">
        <v>8590</v>
      </c>
      <c r="U1845" t="s">
        <v>8590</v>
      </c>
      <c r="V1845" t="s">
        <v>8590</v>
      </c>
      <c r="W1845">
        <v>17</v>
      </c>
      <c r="X1845" t="s">
        <v>10435</v>
      </c>
      <c r="Y1845">
        <v>0.48900162966071498</v>
      </c>
      <c r="Z1845" t="str">
        <f>HYPERLINK("Melting_Curves/meltCurve_sp_Q15437_SC23B_HUMAN_.pdf", "Melting_Curves/meltCurve_sp_Q15437_SC23B_HUMAN_.pdf")</f>
        <v>Melting_Curves/meltCurve_sp_Q15437_SC23B_HUMAN_.pdf</v>
      </c>
      <c r="AA1845" t="s">
        <v>14697</v>
      </c>
      <c r="AB1845" t="s">
        <v>18929</v>
      </c>
    </row>
    <row r="1846" spans="1:28" x14ac:dyDescent="0.25">
      <c r="A1846" t="s">
        <v>1850</v>
      </c>
      <c r="B1846">
        <v>0.99876560204751996</v>
      </c>
      <c r="C1846">
        <v>1.0329538930925799</v>
      </c>
      <c r="D1846">
        <v>0.99860366626487895</v>
      </c>
      <c r="E1846">
        <v>0.77146932744811003</v>
      </c>
      <c r="F1846">
        <v>0.53057191852116004</v>
      </c>
      <c r="G1846">
        <v>0.26539388075168602</v>
      </c>
      <c r="H1846">
        <v>0.17666584391321</v>
      </c>
      <c r="I1846">
        <v>0.15760291795134801</v>
      </c>
      <c r="J1846">
        <v>0.16853502977840501</v>
      </c>
      <c r="K1846">
        <v>0.16276312589477099</v>
      </c>
      <c r="L1846">
        <v>1237.9879680972001</v>
      </c>
      <c r="M1846">
        <v>23.6383464883092</v>
      </c>
      <c r="N1846">
        <v>53.211917673668999</v>
      </c>
      <c r="O1846">
        <v>52.001524666040197</v>
      </c>
      <c r="P1846">
        <v>-9.5949518068574394E-2</v>
      </c>
      <c r="Q1846">
        <v>0.15570449226583699</v>
      </c>
      <c r="R1846">
        <v>0.99771333534919504</v>
      </c>
      <c r="S1846" t="s">
        <v>6142</v>
      </c>
      <c r="T1846" t="s">
        <v>8590</v>
      </c>
      <c r="U1846" t="s">
        <v>8590</v>
      </c>
      <c r="V1846" t="s">
        <v>8590</v>
      </c>
      <c r="W1846">
        <v>14</v>
      </c>
      <c r="X1846" t="s">
        <v>10436</v>
      </c>
      <c r="Y1846">
        <v>0.51249222608513267</v>
      </c>
      <c r="Z1846" t="str">
        <f>HYPERLINK("Melting_Curves/meltCurve_sp_Q15459_SF3A1_HUMAN_.pdf", "Melting_Curves/meltCurve_sp_Q15459_SF3A1_HUMAN_.pdf")</f>
        <v>Melting_Curves/meltCurve_sp_Q15459_SF3A1_HUMAN_.pdf</v>
      </c>
      <c r="AA1846" t="s">
        <v>14698</v>
      </c>
      <c r="AB1846" t="s">
        <v>18930</v>
      </c>
    </row>
    <row r="1847" spans="1:28" x14ac:dyDescent="0.25">
      <c r="A1847" t="s">
        <v>1851</v>
      </c>
      <c r="B1847">
        <v>0.99876560204751996</v>
      </c>
      <c r="C1847">
        <v>0.93880749624612303</v>
      </c>
      <c r="D1847">
        <v>0.90196983127875896</v>
      </c>
      <c r="E1847">
        <v>0.84379654436264395</v>
      </c>
      <c r="F1847">
        <v>0.71840268262650497</v>
      </c>
      <c r="G1847">
        <v>0.56844360763482904</v>
      </c>
      <c r="H1847">
        <v>0.436708049455245</v>
      </c>
      <c r="I1847">
        <v>0.54301546852943305</v>
      </c>
      <c r="J1847">
        <v>0.63424320345092799</v>
      </c>
      <c r="K1847">
        <v>0.65249918873002399</v>
      </c>
      <c r="L1847">
        <v>1060.0267672249799</v>
      </c>
      <c r="M1847">
        <v>20.861673231978301</v>
      </c>
      <c r="O1847">
        <v>50.352188617922899</v>
      </c>
      <c r="P1847">
        <v>-4.5555019222644197E-2</v>
      </c>
      <c r="Q1847">
        <v>0.56020184096414405</v>
      </c>
      <c r="R1847">
        <v>0.87310338227448403</v>
      </c>
      <c r="S1847" t="s">
        <v>6143</v>
      </c>
      <c r="T1847" t="s">
        <v>8590</v>
      </c>
      <c r="U1847" t="s">
        <v>8590</v>
      </c>
      <c r="V1847" t="s">
        <v>8590</v>
      </c>
      <c r="W1847">
        <v>1</v>
      </c>
      <c r="X1847" t="s">
        <v>10437</v>
      </c>
      <c r="Y1847">
        <v>0.72434554269979823</v>
      </c>
      <c r="Z1847" t="str">
        <f>HYPERLINK("Melting_Curves/meltCurve_sp_Q15464_SHB_HUMAN_.pdf", "Melting_Curves/meltCurve_sp_Q15464_SHB_HUMAN_.pdf")</f>
        <v>Melting_Curves/meltCurve_sp_Q15464_SHB_HUMAN_.pdf</v>
      </c>
      <c r="AA1847" t="s">
        <v>14699</v>
      </c>
      <c r="AB1847" t="s">
        <v>18931</v>
      </c>
    </row>
    <row r="1848" spans="1:28" x14ac:dyDescent="0.25">
      <c r="A1848" t="s">
        <v>1852</v>
      </c>
      <c r="B1848">
        <v>0.99876560204751996</v>
      </c>
      <c r="C1848">
        <v>0.839259103238299</v>
      </c>
      <c r="D1848">
        <v>0.49091924133255699</v>
      </c>
      <c r="E1848">
        <v>0.27173707647020001</v>
      </c>
      <c r="F1848">
        <v>0.14966942382871001</v>
      </c>
      <c r="G1848">
        <v>7.4361838256416402E-2</v>
      </c>
      <c r="H1848">
        <v>4.8527289774776002E-2</v>
      </c>
      <c r="I1848">
        <v>4.2485919302222501E-2</v>
      </c>
      <c r="J1848">
        <v>4.79916681003493E-2</v>
      </c>
      <c r="K1848">
        <v>3.4133331786366503E-2</v>
      </c>
      <c r="L1848">
        <v>852.72320493166899</v>
      </c>
      <c r="M1848">
        <v>18.4451902213716</v>
      </c>
      <c r="N1848">
        <v>46.470739215722801</v>
      </c>
      <c r="O1848">
        <v>45.697003422983002</v>
      </c>
      <c r="P1848">
        <v>-9.63185937547342E-2</v>
      </c>
      <c r="Q1848">
        <v>4.5545460141441098E-2</v>
      </c>
      <c r="R1848">
        <v>0.99306837533002601</v>
      </c>
      <c r="S1848" t="s">
        <v>6144</v>
      </c>
      <c r="T1848" t="s">
        <v>8590</v>
      </c>
      <c r="U1848" t="s">
        <v>8590</v>
      </c>
      <c r="V1848" t="s">
        <v>8590</v>
      </c>
      <c r="W1848">
        <v>12</v>
      </c>
      <c r="X1848" t="s">
        <v>10438</v>
      </c>
      <c r="Y1848">
        <v>0.26120344405073309</v>
      </c>
      <c r="Z1848" t="str">
        <f>HYPERLINK("Melting_Curves/meltCurve_sp_Q15477_SKIV2_HUMAN_.pdf", "Melting_Curves/meltCurve_sp_Q15477_SKIV2_HUMAN_.pdf")</f>
        <v>Melting_Curves/meltCurve_sp_Q15477_SKIV2_HUMAN_.pdf</v>
      </c>
      <c r="AA1848" t="s">
        <v>14700</v>
      </c>
      <c r="AB1848" t="s">
        <v>18932</v>
      </c>
    </row>
    <row r="1849" spans="1:28" x14ac:dyDescent="0.25">
      <c r="A1849" t="s">
        <v>1853</v>
      </c>
      <c r="B1849">
        <v>0.99876560204751996</v>
      </c>
      <c r="C1849">
        <v>0.93642643591777996</v>
      </c>
      <c r="D1849">
        <v>1.06395443230953</v>
      </c>
      <c r="E1849">
        <v>0.947085912617328</v>
      </c>
      <c r="F1849">
        <v>1.0014976385655701</v>
      </c>
      <c r="G1849">
        <v>0.84470416941142901</v>
      </c>
      <c r="H1849">
        <v>0.68353832093435696</v>
      </c>
      <c r="I1849">
        <v>0.52066837654417397</v>
      </c>
      <c r="J1849">
        <v>0.37298203415189302</v>
      </c>
      <c r="K1849">
        <v>0.146133400773551</v>
      </c>
      <c r="L1849">
        <v>1028.4310856331799</v>
      </c>
      <c r="M1849">
        <v>16.055809171598899</v>
      </c>
      <c r="N1849">
        <v>64.053520168014302</v>
      </c>
      <c r="O1849">
        <v>63.084589677635698</v>
      </c>
      <c r="P1849">
        <v>-6.3633018171307301E-2</v>
      </c>
      <c r="Q1849">
        <v>0</v>
      </c>
      <c r="R1849">
        <v>0.97929235461188002</v>
      </c>
      <c r="S1849" t="s">
        <v>6145</v>
      </c>
      <c r="T1849" t="s">
        <v>8590</v>
      </c>
      <c r="U1849" t="s">
        <v>8590</v>
      </c>
      <c r="V1849" t="s">
        <v>8590</v>
      </c>
      <c r="W1849">
        <v>31</v>
      </c>
      <c r="X1849" t="s">
        <v>10439</v>
      </c>
      <c r="Y1849">
        <v>0.78777617617529283</v>
      </c>
      <c r="Z1849" t="str">
        <f>HYPERLINK("Melting_Curves/meltCurve_sp_Q15493_RGN_HUMAN_.pdf", "Melting_Curves/meltCurve_sp_Q15493_RGN_HUMAN_.pdf")</f>
        <v>Melting_Curves/meltCurve_sp_Q15493_RGN_HUMAN_.pdf</v>
      </c>
      <c r="AA1849" t="s">
        <v>14701</v>
      </c>
      <c r="AB1849" t="s">
        <v>18933</v>
      </c>
    </row>
    <row r="1850" spans="1:28" x14ac:dyDescent="0.25">
      <c r="A1850" t="s">
        <v>1854</v>
      </c>
      <c r="B1850">
        <v>0.99876560204751996</v>
      </c>
      <c r="C1850">
        <v>1.0735095613305401</v>
      </c>
      <c r="D1850">
        <v>1.2700271163516901</v>
      </c>
      <c r="E1850">
        <v>1.10502579792616</v>
      </c>
      <c r="F1850">
        <v>1.12203808463198</v>
      </c>
      <c r="G1850">
        <v>0.78181989965180998</v>
      </c>
      <c r="H1850">
        <v>0.80358399754852405</v>
      </c>
      <c r="I1850">
        <v>0.73169321323980296</v>
      </c>
      <c r="J1850">
        <v>0.87785653144460696</v>
      </c>
      <c r="K1850">
        <v>0.92376815729989203</v>
      </c>
      <c r="L1850">
        <v>4729.6380814927297</v>
      </c>
      <c r="M1850">
        <v>85.596842459608695</v>
      </c>
      <c r="O1850">
        <v>55.224684022250301</v>
      </c>
      <c r="P1850">
        <v>-6.8701598634210201E-2</v>
      </c>
      <c r="Q1850">
        <v>0.82270264212279898</v>
      </c>
      <c r="R1850">
        <v>0.52424087564120103</v>
      </c>
      <c r="S1850" t="s">
        <v>6146</v>
      </c>
      <c r="T1850" t="s">
        <v>8590</v>
      </c>
      <c r="U1850" t="s">
        <v>8590</v>
      </c>
      <c r="V1850" t="s">
        <v>8590</v>
      </c>
      <c r="W1850">
        <v>1</v>
      </c>
      <c r="X1850" t="s">
        <v>10440</v>
      </c>
      <c r="Y1850">
        <v>0.91300418666653338</v>
      </c>
      <c r="Z1850" t="str">
        <f>HYPERLINK("Melting_Curves/meltCurve_sp_Q15526_2_SURF1_HUMAN_.pdf", "Melting_Curves/meltCurve_sp_Q15526_2_SURF1_HUMAN_.pdf")</f>
        <v>Melting_Curves/meltCurve_sp_Q15526_2_SURF1_HUMAN_.pdf</v>
      </c>
      <c r="AA1850" t="s">
        <v>14702</v>
      </c>
      <c r="AB1850" t="s">
        <v>18934</v>
      </c>
    </row>
    <row r="1851" spans="1:28" x14ac:dyDescent="0.25">
      <c r="A1851" t="s">
        <v>1855</v>
      </c>
      <c r="B1851">
        <v>0.99876560204751996</v>
      </c>
      <c r="C1851">
        <v>1.0224826828098299</v>
      </c>
      <c r="D1851">
        <v>1.0546594076931699</v>
      </c>
      <c r="E1851">
        <v>1.0047812355080401</v>
      </c>
      <c r="F1851">
        <v>0.84055594162732705</v>
      </c>
      <c r="G1851">
        <v>0.64248342015229698</v>
      </c>
      <c r="H1851">
        <v>0.623859014976066</v>
      </c>
      <c r="I1851">
        <v>0.61539580008884198</v>
      </c>
      <c r="J1851">
        <v>0.73759243398275798</v>
      </c>
      <c r="K1851">
        <v>0.69517804183107001</v>
      </c>
      <c r="L1851">
        <v>13255.7317318147</v>
      </c>
      <c r="M1851">
        <v>250</v>
      </c>
      <c r="O1851">
        <v>53.019533872689401</v>
      </c>
      <c r="P1851">
        <v>-0.39737507543142803</v>
      </c>
      <c r="Q1851">
        <v>0.66290174043135797</v>
      </c>
      <c r="R1851">
        <v>0.951678183386512</v>
      </c>
      <c r="S1851" t="s">
        <v>6147</v>
      </c>
      <c r="T1851" t="s">
        <v>8590</v>
      </c>
      <c r="U1851" t="s">
        <v>8590</v>
      </c>
      <c r="V1851" t="s">
        <v>8590</v>
      </c>
      <c r="W1851">
        <v>1</v>
      </c>
      <c r="X1851" t="s">
        <v>10441</v>
      </c>
      <c r="Y1851">
        <v>0.80926664230048406</v>
      </c>
      <c r="Z1851" t="str">
        <f>HYPERLINK("Melting_Curves/meltCurve_sp_Q15554_TERF2_HUMAN_.pdf", "Melting_Curves/meltCurve_sp_Q15554_TERF2_HUMAN_.pdf")</f>
        <v>Melting_Curves/meltCurve_sp_Q15554_TERF2_HUMAN_.pdf</v>
      </c>
      <c r="AA1851" t="s">
        <v>14703</v>
      </c>
      <c r="AB1851" t="s">
        <v>18935</v>
      </c>
    </row>
    <row r="1852" spans="1:28" x14ac:dyDescent="0.25">
      <c r="A1852" t="s">
        <v>1856</v>
      </c>
      <c r="B1852">
        <v>0.99876560204751996</v>
      </c>
      <c r="C1852">
        <v>0.82098084246532099</v>
      </c>
      <c r="D1852">
        <v>0.79850421553665096</v>
      </c>
      <c r="E1852">
        <v>0.564549021737345</v>
      </c>
      <c r="F1852">
        <v>0.47997849558104499</v>
      </c>
      <c r="G1852">
        <v>0.38021109587883001</v>
      </c>
      <c r="H1852">
        <v>0.32602522049051402</v>
      </c>
      <c r="I1852">
        <v>0.28602012021912498</v>
      </c>
      <c r="J1852">
        <v>0.33587725928553702</v>
      </c>
      <c r="K1852">
        <v>0.33176156533609802</v>
      </c>
      <c r="L1852">
        <v>625.57366670005194</v>
      </c>
      <c r="M1852">
        <v>12.928722248961099</v>
      </c>
      <c r="N1852">
        <v>51.972806923753403</v>
      </c>
      <c r="O1852">
        <v>47.272617553408899</v>
      </c>
      <c r="P1852">
        <v>-4.8203919481917198E-2</v>
      </c>
      <c r="Q1852">
        <v>0.295115584944872</v>
      </c>
      <c r="R1852">
        <v>0.98194331546786395</v>
      </c>
      <c r="S1852" t="s">
        <v>6148</v>
      </c>
      <c r="T1852" t="s">
        <v>8590</v>
      </c>
      <c r="U1852" t="s">
        <v>8590</v>
      </c>
      <c r="V1852" t="s">
        <v>8590</v>
      </c>
      <c r="W1852">
        <v>4</v>
      </c>
      <c r="X1852" t="s">
        <v>10442</v>
      </c>
      <c r="Y1852">
        <v>0.51573425600629086</v>
      </c>
      <c r="Z1852" t="str">
        <f>HYPERLINK("Melting_Curves/meltCurve_sp_Q15555_4_MARE2_HUMAN_.pdf", "Melting_Curves/meltCurve_sp_Q15555_4_MARE2_HUMAN_.pdf")</f>
        <v>Melting_Curves/meltCurve_sp_Q15555_4_MARE2_HUMAN_.pdf</v>
      </c>
      <c r="AA1852" t="s">
        <v>14704</v>
      </c>
      <c r="AB1852" t="s">
        <v>18936</v>
      </c>
    </row>
    <row r="1853" spans="1:28" x14ac:dyDescent="0.25">
      <c r="A1853" t="s">
        <v>1857</v>
      </c>
      <c r="B1853">
        <v>0.99876560204751996</v>
      </c>
      <c r="C1853">
        <v>1.0078994963047501</v>
      </c>
      <c r="D1853">
        <v>0.90982397112134294</v>
      </c>
      <c r="E1853">
        <v>0.75023839843253204</v>
      </c>
      <c r="F1853">
        <v>0.50773161970454395</v>
      </c>
      <c r="G1853">
        <v>0.38028521545261501</v>
      </c>
      <c r="H1853">
        <v>0.25327447789649199</v>
      </c>
      <c r="I1853">
        <v>0.19662928239364399</v>
      </c>
      <c r="J1853">
        <v>0.20408637370721899</v>
      </c>
      <c r="K1853">
        <v>0.192253700004101</v>
      </c>
      <c r="L1853">
        <v>855.25702081164002</v>
      </c>
      <c r="M1853">
        <v>16.369069259667299</v>
      </c>
      <c r="N1853">
        <v>53.700779036464901</v>
      </c>
      <c r="O1853">
        <v>51.487236014592099</v>
      </c>
      <c r="P1853">
        <v>-6.52699790711119E-2</v>
      </c>
      <c r="Q1853">
        <v>0.17885853212950001</v>
      </c>
      <c r="R1853">
        <v>0.99615456657316304</v>
      </c>
      <c r="S1853" t="s">
        <v>6149</v>
      </c>
      <c r="T1853" t="s">
        <v>8590</v>
      </c>
      <c r="U1853" t="s">
        <v>8590</v>
      </c>
      <c r="V1853" t="s">
        <v>8590</v>
      </c>
      <c r="W1853">
        <v>3</v>
      </c>
      <c r="X1853" t="s">
        <v>10443</v>
      </c>
      <c r="Y1853">
        <v>0.53001650055032479</v>
      </c>
      <c r="Z1853" t="str">
        <f>HYPERLINK("Melting_Curves/meltCurve_sp_Q15596_NCOA2_HUMAN_.pdf", "Melting_Curves/meltCurve_sp_Q15596_NCOA2_HUMAN_.pdf")</f>
        <v>Melting_Curves/meltCurve_sp_Q15596_NCOA2_HUMAN_.pdf</v>
      </c>
      <c r="AA1853" t="s">
        <v>14705</v>
      </c>
      <c r="AB1853" t="s">
        <v>18937</v>
      </c>
    </row>
    <row r="1854" spans="1:28" x14ac:dyDescent="0.25">
      <c r="A1854" t="s">
        <v>1858</v>
      </c>
      <c r="B1854">
        <v>0.99876560204751996</v>
      </c>
      <c r="C1854">
        <v>0.98605059435717402</v>
      </c>
      <c r="D1854">
        <v>0.98484903925161305</v>
      </c>
      <c r="E1854">
        <v>0.930041240204043</v>
      </c>
      <c r="F1854">
        <v>0.88897991815542998</v>
      </c>
      <c r="G1854">
        <v>0.693313541822283</v>
      </c>
      <c r="H1854">
        <v>0.60219907235540704</v>
      </c>
      <c r="I1854">
        <v>0.59054981011697705</v>
      </c>
      <c r="J1854">
        <v>0.72583910108514105</v>
      </c>
      <c r="K1854">
        <v>0.655167256026292</v>
      </c>
      <c r="L1854">
        <v>1721.9596906668401</v>
      </c>
      <c r="M1854">
        <v>31.936391571037898</v>
      </c>
      <c r="O1854">
        <v>53.7083308627208</v>
      </c>
      <c r="P1854">
        <v>-5.3318358883598302E-2</v>
      </c>
      <c r="Q1854">
        <v>0.64133386893385402</v>
      </c>
      <c r="R1854">
        <v>0.94117127442783799</v>
      </c>
      <c r="S1854" t="s">
        <v>6150</v>
      </c>
      <c r="T1854" t="s">
        <v>8590</v>
      </c>
      <c r="U1854" t="s">
        <v>8590</v>
      </c>
      <c r="V1854" t="s">
        <v>8590</v>
      </c>
      <c r="W1854">
        <v>14</v>
      </c>
      <c r="X1854" t="s">
        <v>10444</v>
      </c>
      <c r="Y1854">
        <v>0.8098203491285163</v>
      </c>
      <c r="Z1854" t="str">
        <f>HYPERLINK("Melting_Curves/meltCurve_sp_Q15599_NHRF2_HUMAN_.pdf", "Melting_Curves/meltCurve_sp_Q15599_NHRF2_HUMAN_.pdf")</f>
        <v>Melting_Curves/meltCurve_sp_Q15599_NHRF2_HUMAN_.pdf</v>
      </c>
      <c r="AA1854" t="s">
        <v>14706</v>
      </c>
      <c r="AB1854" t="s">
        <v>18938</v>
      </c>
    </row>
    <row r="1855" spans="1:28" x14ac:dyDescent="0.25">
      <c r="A1855" t="s">
        <v>1859</v>
      </c>
      <c r="B1855">
        <v>0.99876560204751996</v>
      </c>
      <c r="C1855">
        <v>0.96859731194375198</v>
      </c>
      <c r="D1855">
        <v>1.00479088445472</v>
      </c>
      <c r="E1855">
        <v>0.88755103422315795</v>
      </c>
      <c r="F1855">
        <v>0.56779527978613498</v>
      </c>
      <c r="G1855">
        <v>0.35593467717133598</v>
      </c>
      <c r="H1855">
        <v>0.21747152989934601</v>
      </c>
      <c r="I1855">
        <v>0.13962576057994999</v>
      </c>
      <c r="J1855">
        <v>0.10219808597013</v>
      </c>
      <c r="K1855">
        <v>5.3129315125964499E-2</v>
      </c>
      <c r="L1855">
        <v>988.85720119537098</v>
      </c>
      <c r="M1855">
        <v>18.247048612172499</v>
      </c>
      <c r="N1855">
        <v>54.681052595230099</v>
      </c>
      <c r="O1855">
        <v>53.554409875363703</v>
      </c>
      <c r="P1855">
        <v>-7.8779510313692805E-2</v>
      </c>
      <c r="Q1855">
        <v>7.5183484226049604E-2</v>
      </c>
      <c r="R1855">
        <v>0.99192049756617795</v>
      </c>
      <c r="S1855" t="s">
        <v>6151</v>
      </c>
      <c r="T1855" t="s">
        <v>8590</v>
      </c>
      <c r="U1855" t="s">
        <v>8590</v>
      </c>
      <c r="V1855" t="s">
        <v>8590</v>
      </c>
      <c r="W1855">
        <v>4</v>
      </c>
      <c r="X1855" t="s">
        <v>10445</v>
      </c>
      <c r="Y1855">
        <v>0.52712907270367071</v>
      </c>
      <c r="Z1855" t="str">
        <f>HYPERLINK("Melting_Curves/meltCurve_sp_Q15628_TRADD_HUMAN_.pdf", "Melting_Curves/meltCurve_sp_Q15628_TRADD_HUMAN_.pdf")</f>
        <v>Melting_Curves/meltCurve_sp_Q15628_TRADD_HUMAN_.pdf</v>
      </c>
      <c r="AA1855" t="s">
        <v>14707</v>
      </c>
      <c r="AB1855" t="s">
        <v>18939</v>
      </c>
    </row>
    <row r="1856" spans="1:28" x14ac:dyDescent="0.25">
      <c r="A1856" t="s">
        <v>1860</v>
      </c>
      <c r="B1856">
        <v>0.99876560204751996</v>
      </c>
      <c r="C1856">
        <v>1.0647818336083801</v>
      </c>
      <c r="D1856">
        <v>1.20280855730916</v>
      </c>
      <c r="E1856">
        <v>0.93054330242931205</v>
      </c>
      <c r="F1856">
        <v>0.62342982258281798</v>
      </c>
      <c r="G1856">
        <v>0.65034178124346897</v>
      </c>
      <c r="H1856">
        <v>0.34924965152000798</v>
      </c>
      <c r="I1856">
        <v>0.44645800899072402</v>
      </c>
      <c r="J1856">
        <v>0.52363212695616201</v>
      </c>
      <c r="K1856">
        <v>0.39629759793118602</v>
      </c>
      <c r="L1856">
        <v>1652.0889196072701</v>
      </c>
      <c r="M1856">
        <v>31.472456330434198</v>
      </c>
      <c r="N1856">
        <v>56.8395048641664</v>
      </c>
      <c r="O1856">
        <v>52.282599970344599</v>
      </c>
      <c r="P1856">
        <v>-8.2027723408920103E-2</v>
      </c>
      <c r="Q1856">
        <v>0.454939326340006</v>
      </c>
      <c r="R1856">
        <v>0.88499113750376002</v>
      </c>
      <c r="S1856" t="s">
        <v>6152</v>
      </c>
      <c r="T1856" t="s">
        <v>8590</v>
      </c>
      <c r="U1856" t="s">
        <v>8590</v>
      </c>
      <c r="V1856" t="s">
        <v>8590</v>
      </c>
      <c r="W1856">
        <v>2</v>
      </c>
      <c r="X1856" t="s">
        <v>10446</v>
      </c>
      <c r="Y1856">
        <v>0.68511550114312947</v>
      </c>
      <c r="Z1856" t="str">
        <f>HYPERLINK("Melting_Curves/meltCurve_sp_Q15633_2_TRBP2_HUMAN_.pdf", "Melting_Curves/meltCurve_sp_Q15633_2_TRBP2_HUMAN_.pdf")</f>
        <v>Melting_Curves/meltCurve_sp_Q15633_2_TRBP2_HUMAN_.pdf</v>
      </c>
      <c r="AA1856" t="s">
        <v>14708</v>
      </c>
      <c r="AB1856" t="s">
        <v>18940</v>
      </c>
    </row>
    <row r="1857" spans="1:28" x14ac:dyDescent="0.25">
      <c r="A1857" t="s">
        <v>1861</v>
      </c>
      <c r="B1857">
        <v>0.99876560204751996</v>
      </c>
      <c r="C1857">
        <v>0.99394121212380604</v>
      </c>
      <c r="D1857">
        <v>1.0250545611420001</v>
      </c>
      <c r="E1857">
        <v>0.88507773819693702</v>
      </c>
      <c r="F1857">
        <v>0.83980327328661197</v>
      </c>
      <c r="G1857">
        <v>0.65312612610558196</v>
      </c>
      <c r="H1857">
        <v>0.57515333436690896</v>
      </c>
      <c r="I1857">
        <v>0.55210780239712798</v>
      </c>
      <c r="J1857">
        <v>0.627990850087501</v>
      </c>
      <c r="K1857">
        <v>0.58068955126262201</v>
      </c>
      <c r="L1857">
        <v>1225.1736025724199</v>
      </c>
      <c r="M1857">
        <v>22.912344932318799</v>
      </c>
      <c r="O1857">
        <v>53.069871899031803</v>
      </c>
      <c r="P1857">
        <v>-4.5834756138041402E-2</v>
      </c>
      <c r="Q1857">
        <v>0.57535578321809</v>
      </c>
      <c r="R1857">
        <v>0.97628175138624396</v>
      </c>
      <c r="S1857" t="s">
        <v>6153</v>
      </c>
      <c r="T1857" t="s">
        <v>8590</v>
      </c>
      <c r="U1857" t="s">
        <v>8590</v>
      </c>
      <c r="V1857" t="s">
        <v>8590</v>
      </c>
      <c r="W1857">
        <v>9</v>
      </c>
      <c r="X1857" t="s">
        <v>10447</v>
      </c>
      <c r="Y1857">
        <v>0.77064831646722709</v>
      </c>
      <c r="Z1857" t="str">
        <f>HYPERLINK("Melting_Curves/meltCurve_sp_Q15637_5_SF01_HUMAN_.pdf", "Melting_Curves/meltCurve_sp_Q15637_5_SF01_HUMAN_.pdf")</f>
        <v>Melting_Curves/meltCurve_sp_Q15637_5_SF01_HUMAN_.pdf</v>
      </c>
      <c r="AA1857" t="s">
        <v>14709</v>
      </c>
      <c r="AB1857" t="s">
        <v>18941</v>
      </c>
    </row>
    <row r="1858" spans="1:28" x14ac:dyDescent="0.25">
      <c r="A1858" t="s">
        <v>1862</v>
      </c>
      <c r="B1858">
        <v>0.99876560204751996</v>
      </c>
      <c r="C1858">
        <v>1.00163867527413</v>
      </c>
      <c r="D1858">
        <v>0.98229617954071102</v>
      </c>
      <c r="E1858">
        <v>0.878105957477606</v>
      </c>
      <c r="F1858">
        <v>0.59264411872997902</v>
      </c>
      <c r="G1858">
        <v>0.46260183790220699</v>
      </c>
      <c r="H1858">
        <v>0.38205719938961602</v>
      </c>
      <c r="I1858">
        <v>0.33182789062597801</v>
      </c>
      <c r="J1858">
        <v>0.40082459324629799</v>
      </c>
      <c r="K1858">
        <v>0.37736057492980102</v>
      </c>
      <c r="L1858">
        <v>1528.06370309265</v>
      </c>
      <c r="M1858">
        <v>29.3087363289468</v>
      </c>
      <c r="N1858">
        <v>54.746380201061001</v>
      </c>
      <c r="O1858">
        <v>51.895895284800197</v>
      </c>
      <c r="P1858">
        <v>-8.8055589701168002E-2</v>
      </c>
      <c r="Q1858">
        <v>0.37633743968750799</v>
      </c>
      <c r="R1858">
        <v>0.99319333192305403</v>
      </c>
      <c r="S1858" t="s">
        <v>6154</v>
      </c>
      <c r="T1858" t="s">
        <v>8590</v>
      </c>
      <c r="U1858" t="s">
        <v>8590</v>
      </c>
      <c r="V1858" t="s">
        <v>8590</v>
      </c>
      <c r="W1858">
        <v>5</v>
      </c>
      <c r="X1858" t="s">
        <v>10448</v>
      </c>
      <c r="Y1858">
        <v>0.63282794480782689</v>
      </c>
      <c r="Z1858" t="str">
        <f>HYPERLINK("Melting_Curves/meltCurve_sp_Q15642_CIP4_HUMAN_.pdf", "Melting_Curves/meltCurve_sp_Q15642_CIP4_HUMAN_.pdf")</f>
        <v>Melting_Curves/meltCurve_sp_Q15642_CIP4_HUMAN_.pdf</v>
      </c>
      <c r="AA1858" t="s">
        <v>14710</v>
      </c>
      <c r="AB1858" t="s">
        <v>18942</v>
      </c>
    </row>
    <row r="1859" spans="1:28" x14ac:dyDescent="0.25">
      <c r="A1859" t="s">
        <v>1863</v>
      </c>
      <c r="B1859">
        <v>0.99876560204751996</v>
      </c>
      <c r="C1859">
        <v>1.0365050723735301</v>
      </c>
      <c r="D1859">
        <v>0.99499808067165396</v>
      </c>
      <c r="E1859">
        <v>0.89706314724780001</v>
      </c>
      <c r="F1859">
        <v>0.70429941066468904</v>
      </c>
      <c r="G1859">
        <v>0.38044145897808501</v>
      </c>
      <c r="H1859">
        <v>0.304115633367397</v>
      </c>
      <c r="I1859">
        <v>0.26508136167775098</v>
      </c>
      <c r="J1859">
        <v>0.33092106219418099</v>
      </c>
      <c r="K1859">
        <v>0.28811121110192101</v>
      </c>
      <c r="L1859">
        <v>1555.9111915057299</v>
      </c>
      <c r="M1859">
        <v>29.096953585306402</v>
      </c>
      <c r="N1859">
        <v>55.108214481465701</v>
      </c>
      <c r="O1859">
        <v>53.2226685526444</v>
      </c>
      <c r="P1859">
        <v>-9.7163814914096203E-2</v>
      </c>
      <c r="Q1859">
        <v>0.28909679161388901</v>
      </c>
      <c r="R1859">
        <v>0.99553406675881595</v>
      </c>
      <c r="S1859" t="s">
        <v>6155</v>
      </c>
      <c r="T1859" t="s">
        <v>8590</v>
      </c>
      <c r="U1859" t="s">
        <v>8590</v>
      </c>
      <c r="V1859" t="s">
        <v>8590</v>
      </c>
      <c r="W1859">
        <v>15</v>
      </c>
      <c r="X1859" t="s">
        <v>10449</v>
      </c>
      <c r="Y1859">
        <v>0.61329451420387904</v>
      </c>
      <c r="Z1859" t="str">
        <f>HYPERLINK("Melting_Curves/meltCurve_sp_Q15643_TRIPB_HUMAN_.pdf", "Melting_Curves/meltCurve_sp_Q15643_TRIPB_HUMAN_.pdf")</f>
        <v>Melting_Curves/meltCurve_sp_Q15643_TRIPB_HUMAN_.pdf</v>
      </c>
      <c r="AA1859" t="s">
        <v>14711</v>
      </c>
      <c r="AB1859" t="s">
        <v>18943</v>
      </c>
    </row>
    <row r="1860" spans="1:28" x14ac:dyDescent="0.25">
      <c r="A1860" t="s">
        <v>1864</v>
      </c>
      <c r="B1860">
        <v>0.99876560204751996</v>
      </c>
      <c r="C1860">
        <v>0.985549213348756</v>
      </c>
      <c r="D1860">
        <v>0.93647077763313902</v>
      </c>
      <c r="E1860">
        <v>0.91400000966348505</v>
      </c>
      <c r="F1860">
        <v>0.81854168331917898</v>
      </c>
      <c r="G1860">
        <v>0.57011879430162105</v>
      </c>
      <c r="H1860">
        <v>0.48762211075160999</v>
      </c>
      <c r="I1860">
        <v>0.43319838531857502</v>
      </c>
      <c r="J1860">
        <v>0.51615373534317099</v>
      </c>
      <c r="K1860">
        <v>0.46133251211228599</v>
      </c>
      <c r="L1860">
        <v>1298.37745472659</v>
      </c>
      <c r="M1860">
        <v>24.0158272139019</v>
      </c>
      <c r="N1860">
        <v>60.470272692877003</v>
      </c>
      <c r="O1860">
        <v>53.692738965919403</v>
      </c>
      <c r="P1860">
        <v>-6.0300952143536903E-2</v>
      </c>
      <c r="Q1860">
        <v>0.46074358456999598</v>
      </c>
      <c r="R1860">
        <v>0.98319469716056196</v>
      </c>
      <c r="S1860" t="s">
        <v>6156</v>
      </c>
      <c r="T1860" t="s">
        <v>8590</v>
      </c>
      <c r="U1860" t="s">
        <v>8590</v>
      </c>
      <c r="V1860" t="s">
        <v>8590</v>
      </c>
      <c r="W1860">
        <v>7</v>
      </c>
      <c r="X1860" t="s">
        <v>10450</v>
      </c>
      <c r="Y1860">
        <v>0.71890175147826707</v>
      </c>
      <c r="Z1860" t="str">
        <f>HYPERLINK("Melting_Curves/meltCurve_sp_Q15650_TRIP4_HUMAN_.pdf", "Melting_Curves/meltCurve_sp_Q15650_TRIP4_HUMAN_.pdf")</f>
        <v>Melting_Curves/meltCurve_sp_Q15650_TRIP4_HUMAN_.pdf</v>
      </c>
      <c r="AA1860" t="s">
        <v>14712</v>
      </c>
      <c r="AB1860" t="s">
        <v>18944</v>
      </c>
    </row>
    <row r="1861" spans="1:28" x14ac:dyDescent="0.25">
      <c r="A1861" t="s">
        <v>1865</v>
      </c>
      <c r="B1861">
        <v>0.99876560204751996</v>
      </c>
      <c r="C1861">
        <v>0.99788672571051096</v>
      </c>
      <c r="D1861">
        <v>1.08713737530253</v>
      </c>
      <c r="E1861">
        <v>0.87454581713815804</v>
      </c>
      <c r="F1861">
        <v>0.85453432119827499</v>
      </c>
      <c r="G1861">
        <v>0.55743731754935599</v>
      </c>
      <c r="H1861">
        <v>0.484133775707832</v>
      </c>
      <c r="I1861">
        <v>0.47060133795612402</v>
      </c>
      <c r="J1861">
        <v>0.64882579862419798</v>
      </c>
      <c r="K1861">
        <v>0.63021710670058795</v>
      </c>
      <c r="L1861">
        <v>1961.34110727242</v>
      </c>
      <c r="M1861">
        <v>36.668284905226997</v>
      </c>
      <c r="O1861">
        <v>53.330418811039998</v>
      </c>
      <c r="P1861">
        <v>-7.7092330227323397E-2</v>
      </c>
      <c r="Q1861">
        <v>0.55150842407169298</v>
      </c>
      <c r="R1861">
        <v>0.90045456298750504</v>
      </c>
      <c r="S1861" t="s">
        <v>6157</v>
      </c>
      <c r="T1861" t="s">
        <v>8590</v>
      </c>
      <c r="U1861" t="s">
        <v>8590</v>
      </c>
      <c r="V1861" t="s">
        <v>8590</v>
      </c>
      <c r="W1861">
        <v>3</v>
      </c>
      <c r="X1861" t="s">
        <v>10451</v>
      </c>
      <c r="Y1861">
        <v>0.75513173633207353</v>
      </c>
      <c r="Z1861" t="str">
        <f>HYPERLINK("Melting_Curves/meltCurve_sp_Q15652_JHD2C_HUMAN_.pdf", "Melting_Curves/meltCurve_sp_Q15652_JHD2C_HUMAN_.pdf")</f>
        <v>Melting_Curves/meltCurve_sp_Q15652_JHD2C_HUMAN_.pdf</v>
      </c>
      <c r="AA1861" t="s">
        <v>14713</v>
      </c>
      <c r="AB1861" t="s">
        <v>18945</v>
      </c>
    </row>
    <row r="1862" spans="1:28" x14ac:dyDescent="0.25">
      <c r="A1862" t="s">
        <v>1866</v>
      </c>
      <c r="B1862">
        <v>0.99876560204751996</v>
      </c>
      <c r="C1862">
        <v>1.03663374819376</v>
      </c>
      <c r="D1862">
        <v>1.0396326228042501</v>
      </c>
      <c r="E1862">
        <v>0.93680249861161502</v>
      </c>
      <c r="F1862">
        <v>0.84011851197425902</v>
      </c>
      <c r="G1862">
        <v>0.561711257515218</v>
      </c>
      <c r="H1862">
        <v>0.48818589398753298</v>
      </c>
      <c r="I1862">
        <v>0.48291631035560301</v>
      </c>
      <c r="J1862">
        <v>0.56002732134530997</v>
      </c>
      <c r="K1862">
        <v>0.57004150954605204</v>
      </c>
      <c r="L1862">
        <v>2113.34732951352</v>
      </c>
      <c r="M1862">
        <v>39.305100732726302</v>
      </c>
      <c r="O1862">
        <v>53.629157620248201</v>
      </c>
      <c r="P1862">
        <v>-8.7410750059692996E-2</v>
      </c>
      <c r="Q1862">
        <v>0.52293688220052104</v>
      </c>
      <c r="R1862">
        <v>0.97756920453400298</v>
      </c>
      <c r="S1862" t="s">
        <v>6158</v>
      </c>
      <c r="T1862" t="s">
        <v>8590</v>
      </c>
      <c r="U1862" t="s">
        <v>8590</v>
      </c>
      <c r="V1862" t="s">
        <v>8590</v>
      </c>
      <c r="W1862">
        <v>8</v>
      </c>
      <c r="X1862" t="s">
        <v>10452</v>
      </c>
      <c r="Y1862">
        <v>0.74370633913299999</v>
      </c>
      <c r="Z1862" t="str">
        <f>HYPERLINK("Melting_Curves/meltCurve_sp_Q15654_TRIP6_HUMAN_.pdf", "Melting_Curves/meltCurve_sp_Q15654_TRIP6_HUMAN_.pdf")</f>
        <v>Melting_Curves/meltCurve_sp_Q15654_TRIP6_HUMAN_.pdf</v>
      </c>
      <c r="AA1862" t="s">
        <v>14714</v>
      </c>
      <c r="AB1862" t="s">
        <v>18946</v>
      </c>
    </row>
    <row r="1863" spans="1:28" x14ac:dyDescent="0.25">
      <c r="A1863" t="s">
        <v>1867</v>
      </c>
      <c r="B1863">
        <v>0.99876560204751996</v>
      </c>
      <c r="C1863">
        <v>0.92747655481165203</v>
      </c>
      <c r="D1863">
        <v>0.97456849169205095</v>
      </c>
      <c r="E1863">
        <v>0.86120927091467703</v>
      </c>
      <c r="F1863">
        <v>0.72897654786232702</v>
      </c>
      <c r="G1863">
        <v>0.43304150657335</v>
      </c>
      <c r="H1863">
        <v>0.18362675687768701</v>
      </c>
      <c r="I1863">
        <v>0.138410079811006</v>
      </c>
      <c r="J1863">
        <v>0.14171858126248499</v>
      </c>
      <c r="K1863">
        <v>0.12124155496545699</v>
      </c>
      <c r="L1863">
        <v>1037.3468381832499</v>
      </c>
      <c r="M1863">
        <v>18.796101291702801</v>
      </c>
      <c r="N1863">
        <v>55.7821256702467</v>
      </c>
      <c r="O1863">
        <v>54.576160353845303</v>
      </c>
      <c r="P1863">
        <v>-7.83105445507567E-2</v>
      </c>
      <c r="Q1863">
        <v>9.0511305840144302E-2</v>
      </c>
      <c r="R1863">
        <v>0.99382316462997899</v>
      </c>
      <c r="S1863" t="s">
        <v>6159</v>
      </c>
      <c r="T1863" t="s">
        <v>8590</v>
      </c>
      <c r="U1863" t="s">
        <v>8590</v>
      </c>
      <c r="V1863" t="s">
        <v>8590</v>
      </c>
      <c r="W1863">
        <v>7</v>
      </c>
      <c r="X1863" t="s">
        <v>10453</v>
      </c>
      <c r="Y1863">
        <v>0.56416462486439423</v>
      </c>
      <c r="Z1863" t="str">
        <f>HYPERLINK("Melting_Curves/meltCurve_sp_Q15691_MARE1_HUMAN_.pdf", "Melting_Curves/meltCurve_sp_Q15691_MARE1_HUMAN_.pdf")</f>
        <v>Melting_Curves/meltCurve_sp_Q15691_MARE1_HUMAN_.pdf</v>
      </c>
      <c r="AA1863" t="s">
        <v>14715</v>
      </c>
      <c r="AB1863" t="s">
        <v>18947</v>
      </c>
    </row>
    <row r="1864" spans="1:28" x14ac:dyDescent="0.25">
      <c r="A1864" t="s">
        <v>1868</v>
      </c>
      <c r="B1864">
        <v>0.99876560204751996</v>
      </c>
      <c r="C1864">
        <v>0.95019373084591696</v>
      </c>
      <c r="D1864">
        <v>0.97994574404434498</v>
      </c>
      <c r="E1864">
        <v>0.849395304793784</v>
      </c>
      <c r="F1864">
        <v>0.79144563475933205</v>
      </c>
      <c r="G1864">
        <v>0.59616179129913904</v>
      </c>
      <c r="H1864">
        <v>0.34255818290189699</v>
      </c>
      <c r="I1864">
        <v>0.27413682116848298</v>
      </c>
      <c r="J1864">
        <v>0.24182513412073101</v>
      </c>
      <c r="K1864">
        <v>0.214513021271731</v>
      </c>
      <c r="L1864">
        <v>803.03966722185396</v>
      </c>
      <c r="M1864">
        <v>14.136844085926301</v>
      </c>
      <c r="N1864">
        <v>58.203923054330701</v>
      </c>
      <c r="O1864">
        <v>55.704315178339499</v>
      </c>
      <c r="P1864">
        <v>-5.4312907555413299E-2</v>
      </c>
      <c r="Q1864">
        <v>0.144058485746274</v>
      </c>
      <c r="R1864">
        <v>0.99286405682419798</v>
      </c>
      <c r="S1864" t="s">
        <v>6160</v>
      </c>
      <c r="T1864" t="s">
        <v>8590</v>
      </c>
      <c r="U1864" t="s">
        <v>8590</v>
      </c>
      <c r="V1864" t="s">
        <v>8590</v>
      </c>
      <c r="W1864">
        <v>10</v>
      </c>
      <c r="X1864" t="s">
        <v>10454</v>
      </c>
      <c r="Y1864">
        <v>0.63788161521582254</v>
      </c>
      <c r="Z1864" t="str">
        <f>HYPERLINK("Melting_Curves/meltCurve_sp_Q15717_ELAV1_HUMAN_.pdf", "Melting_Curves/meltCurve_sp_Q15717_ELAV1_HUMAN_.pdf")</f>
        <v>Melting_Curves/meltCurve_sp_Q15717_ELAV1_HUMAN_.pdf</v>
      </c>
      <c r="AA1864" t="s">
        <v>14716</v>
      </c>
      <c r="AB1864" t="s">
        <v>18948</v>
      </c>
    </row>
    <row r="1865" spans="1:28" x14ac:dyDescent="0.25">
      <c r="A1865" t="s">
        <v>1869</v>
      </c>
      <c r="B1865">
        <v>0.99876560204751996</v>
      </c>
      <c r="C1865">
        <v>0.91996152923282903</v>
      </c>
      <c r="D1865">
        <v>0.92664236670879996</v>
      </c>
      <c r="E1865">
        <v>0.80021341204827701</v>
      </c>
      <c r="F1865">
        <v>0.66828745685868096</v>
      </c>
      <c r="G1865">
        <v>0.43786560006825598</v>
      </c>
      <c r="H1865">
        <v>0.313156717943465</v>
      </c>
      <c r="I1865">
        <v>0.27606283101222001</v>
      </c>
      <c r="J1865">
        <v>0.2873179348862</v>
      </c>
      <c r="K1865">
        <v>0.26191369307419599</v>
      </c>
      <c r="L1865">
        <v>794.23576680705798</v>
      </c>
      <c r="M1865">
        <v>14.8473794213888</v>
      </c>
      <c r="N1865">
        <v>55.793776046201799</v>
      </c>
      <c r="O1865">
        <v>52.551030630293397</v>
      </c>
      <c r="P1865">
        <v>-5.4469864857604001E-2</v>
      </c>
      <c r="Q1865">
        <v>0.228915015021946</v>
      </c>
      <c r="R1865">
        <v>0.992820824314256</v>
      </c>
      <c r="S1865" t="s">
        <v>6161</v>
      </c>
      <c r="T1865" t="s">
        <v>8590</v>
      </c>
      <c r="U1865" t="s">
        <v>8590</v>
      </c>
      <c r="V1865" t="s">
        <v>8590</v>
      </c>
      <c r="W1865">
        <v>48</v>
      </c>
      <c r="X1865" t="s">
        <v>10455</v>
      </c>
      <c r="Y1865">
        <v>0.59218220451918169</v>
      </c>
      <c r="Z1865" t="str">
        <f>HYPERLINK("Melting_Curves/meltCurve_sp_Q15746_2_MYLK_HUMAN_.pdf", "Melting_Curves/meltCurve_sp_Q15746_2_MYLK_HUMAN_.pdf")</f>
        <v>Melting_Curves/meltCurve_sp_Q15746_2_MYLK_HUMAN_.pdf</v>
      </c>
      <c r="AA1865" t="s">
        <v>14717</v>
      </c>
      <c r="AB1865" t="s">
        <v>18949</v>
      </c>
    </row>
    <row r="1866" spans="1:28" x14ac:dyDescent="0.25">
      <c r="A1866" t="s">
        <v>1870</v>
      </c>
      <c r="B1866">
        <v>0.99876560204751996</v>
      </c>
      <c r="C1866">
        <v>0.98380640176890999</v>
      </c>
      <c r="D1866">
        <v>0.97559727679288599</v>
      </c>
      <c r="E1866">
        <v>0.82441453608681803</v>
      </c>
      <c r="F1866">
        <v>0.49103179948003001</v>
      </c>
      <c r="G1866">
        <v>0.37268012837000802</v>
      </c>
      <c r="H1866">
        <v>0.21386107015437</v>
      </c>
      <c r="I1866">
        <v>8.23506023967671E-2</v>
      </c>
      <c r="J1866">
        <v>0</v>
      </c>
      <c r="K1866">
        <v>0</v>
      </c>
      <c r="L1866">
        <v>818.59728228832796</v>
      </c>
      <c r="M1866">
        <v>15.0948319468449</v>
      </c>
      <c r="N1866">
        <v>54.230301322969403</v>
      </c>
      <c r="O1866">
        <v>53.305230906956801</v>
      </c>
      <c r="P1866">
        <v>-7.0801305515878293E-2</v>
      </c>
      <c r="Q1866">
        <v>0</v>
      </c>
      <c r="R1866">
        <v>0.98620263533656605</v>
      </c>
      <c r="S1866" t="s">
        <v>6162</v>
      </c>
      <c r="T1866" t="s">
        <v>8590</v>
      </c>
      <c r="U1866" t="s">
        <v>8590</v>
      </c>
      <c r="V1866" t="s">
        <v>8590</v>
      </c>
      <c r="W1866">
        <v>49</v>
      </c>
      <c r="X1866" t="s">
        <v>10456</v>
      </c>
      <c r="Y1866">
        <v>0.49444640608261942</v>
      </c>
      <c r="Z1866" t="str">
        <f>HYPERLINK("Melting_Curves/meltCurve_sp_Q15746_6_MYLK_HUMAN_.pdf", "Melting_Curves/meltCurve_sp_Q15746_6_MYLK_HUMAN_.pdf")</f>
        <v>Melting_Curves/meltCurve_sp_Q15746_6_MYLK_HUMAN_.pdf</v>
      </c>
      <c r="AA1866" t="s">
        <v>14717</v>
      </c>
      <c r="AB1866" t="s">
        <v>18950</v>
      </c>
    </row>
    <row r="1867" spans="1:28" x14ac:dyDescent="0.25">
      <c r="A1867" t="s">
        <v>1871</v>
      </c>
      <c r="B1867">
        <v>0.99876560204751996</v>
      </c>
      <c r="C1867">
        <v>0.86459689670379403</v>
      </c>
      <c r="D1867">
        <v>0.80180698749776103</v>
      </c>
      <c r="E1867">
        <v>0.72682950884436404</v>
      </c>
      <c r="F1867">
        <v>0.44091359151478898</v>
      </c>
      <c r="G1867">
        <v>0.248986830494456</v>
      </c>
      <c r="H1867">
        <v>0.107548729742381</v>
      </c>
      <c r="I1867">
        <v>8.0165691123702698E-2</v>
      </c>
      <c r="J1867">
        <v>7.8631355486770194E-2</v>
      </c>
      <c r="K1867">
        <v>5.6720529417378998E-2</v>
      </c>
      <c r="L1867">
        <v>654.45364994951797</v>
      </c>
      <c r="M1867">
        <v>12.5166309578452</v>
      </c>
      <c r="N1867">
        <v>52.286750043628203</v>
      </c>
      <c r="O1867">
        <v>51.0059019541496</v>
      </c>
      <c r="P1867">
        <v>-6.1361493047730198E-2</v>
      </c>
      <c r="Q1867">
        <v>0</v>
      </c>
      <c r="R1867">
        <v>0.985594993853673</v>
      </c>
      <c r="S1867" t="s">
        <v>6163</v>
      </c>
      <c r="T1867" t="s">
        <v>8590</v>
      </c>
      <c r="U1867" t="s">
        <v>8590</v>
      </c>
      <c r="V1867" t="s">
        <v>8590</v>
      </c>
      <c r="W1867">
        <v>9</v>
      </c>
      <c r="X1867" t="s">
        <v>10457</v>
      </c>
      <c r="Y1867">
        <v>0.43801171210767792</v>
      </c>
      <c r="Z1867" t="str">
        <f>HYPERLINK("Melting_Curves/meltCurve_sp_Q15750_2_TAB1_HUMAN_.pdf", "Melting_Curves/meltCurve_sp_Q15750_2_TAB1_HUMAN_.pdf")</f>
        <v>Melting_Curves/meltCurve_sp_Q15750_2_TAB1_HUMAN_.pdf</v>
      </c>
      <c r="AA1867" t="s">
        <v>14718</v>
      </c>
      <c r="AB1867" t="s">
        <v>18951</v>
      </c>
    </row>
    <row r="1868" spans="1:28" x14ac:dyDescent="0.25">
      <c r="A1868" t="s">
        <v>1872</v>
      </c>
      <c r="B1868">
        <v>0.99876560204751996</v>
      </c>
      <c r="C1868">
        <v>0.91830842341220498</v>
      </c>
      <c r="D1868">
        <v>0.59912335277377904</v>
      </c>
      <c r="E1868">
        <v>0.324770141199417</v>
      </c>
      <c r="F1868">
        <v>0.19021081703466</v>
      </c>
      <c r="G1868">
        <v>0.10603590269351</v>
      </c>
      <c r="H1868">
        <v>7.9419278698755799E-2</v>
      </c>
      <c r="I1868">
        <v>7.3157050688539907E-2</v>
      </c>
      <c r="J1868">
        <v>9.8385774363760906E-2</v>
      </c>
      <c r="K1868">
        <v>6.4930896806513594E-2</v>
      </c>
      <c r="L1868">
        <v>909.86098315692595</v>
      </c>
      <c r="M1868">
        <v>19.319602207828499</v>
      </c>
      <c r="N1868">
        <v>47.511142875239301</v>
      </c>
      <c r="O1868">
        <v>46.599348326263097</v>
      </c>
      <c r="P1868">
        <v>-9.5587288645007595E-2</v>
      </c>
      <c r="Q1868">
        <v>7.7798998817466297E-2</v>
      </c>
      <c r="R1868">
        <v>0.99521398483533796</v>
      </c>
      <c r="S1868" t="s">
        <v>6164</v>
      </c>
      <c r="T1868" t="s">
        <v>8590</v>
      </c>
      <c r="U1868" t="s">
        <v>8590</v>
      </c>
      <c r="V1868" t="s">
        <v>8590</v>
      </c>
      <c r="W1868">
        <v>3</v>
      </c>
      <c r="X1868" t="s">
        <v>10458</v>
      </c>
      <c r="Y1868">
        <v>0.3104199908334353</v>
      </c>
      <c r="Z1868" t="str">
        <f>HYPERLINK("Melting_Curves/meltCurve_sp_Q15785_TOM34_HUMAN_.pdf", "Melting_Curves/meltCurve_sp_Q15785_TOM34_HUMAN_.pdf")</f>
        <v>Melting_Curves/meltCurve_sp_Q15785_TOM34_HUMAN_.pdf</v>
      </c>
      <c r="AA1868" t="s">
        <v>14719</v>
      </c>
      <c r="AB1868" t="s">
        <v>18952</v>
      </c>
    </row>
    <row r="1869" spans="1:28" x14ac:dyDescent="0.25">
      <c r="A1869" t="s">
        <v>1873</v>
      </c>
      <c r="B1869">
        <v>0.99876560204751996</v>
      </c>
      <c r="C1869">
        <v>0.96768799850037202</v>
      </c>
      <c r="D1869">
        <v>0.90178423625851201</v>
      </c>
      <c r="E1869">
        <v>0.468127988626101</v>
      </c>
      <c r="F1869">
        <v>0.25321998434391702</v>
      </c>
      <c r="G1869">
        <v>0.20152822173481399</v>
      </c>
      <c r="H1869">
        <v>0.13937280361490501</v>
      </c>
      <c r="I1869">
        <v>0.15530433291271101</v>
      </c>
      <c r="J1869">
        <v>0.141820579699557</v>
      </c>
      <c r="K1869">
        <v>0.105850342241256</v>
      </c>
      <c r="L1869">
        <v>1321.7561614892199</v>
      </c>
      <c r="M1869">
        <v>26.867950432924101</v>
      </c>
      <c r="N1869">
        <v>49.8152217273758</v>
      </c>
      <c r="O1869">
        <v>48.924436928684102</v>
      </c>
      <c r="P1869">
        <v>-0.117764178625264</v>
      </c>
      <c r="Q1869">
        <v>0.14225132071007099</v>
      </c>
      <c r="R1869">
        <v>0.99710946972548298</v>
      </c>
      <c r="S1869" t="s">
        <v>6165</v>
      </c>
      <c r="T1869" t="s">
        <v>8590</v>
      </c>
      <c r="U1869" t="s">
        <v>8590</v>
      </c>
      <c r="V1869" t="s">
        <v>8590</v>
      </c>
      <c r="W1869">
        <v>5</v>
      </c>
      <c r="X1869" t="s">
        <v>10459</v>
      </c>
      <c r="Y1869">
        <v>0.41170360857687788</v>
      </c>
      <c r="Z1869" t="str">
        <f>HYPERLINK("Melting_Curves/meltCurve_sp_Q15813_TBCE_HUMAN_.pdf", "Melting_Curves/meltCurve_sp_Q15813_TBCE_HUMAN_.pdf")</f>
        <v>Melting_Curves/meltCurve_sp_Q15813_TBCE_HUMAN_.pdf</v>
      </c>
      <c r="AA1869" t="s">
        <v>14720</v>
      </c>
      <c r="AB1869" t="s">
        <v>18953</v>
      </c>
    </row>
    <row r="1870" spans="1:28" x14ac:dyDescent="0.25">
      <c r="A1870" t="s">
        <v>1874</v>
      </c>
      <c r="B1870">
        <v>0.99876560204751996</v>
      </c>
      <c r="C1870">
        <v>0.92941724915913004</v>
      </c>
      <c r="D1870">
        <v>0.93155615832249306</v>
      </c>
      <c r="E1870">
        <v>0.80538800056686</v>
      </c>
      <c r="F1870">
        <v>0.85740956052538297</v>
      </c>
      <c r="G1870">
        <v>0.56658452971143503</v>
      </c>
      <c r="H1870">
        <v>0.44882715244687599</v>
      </c>
      <c r="I1870">
        <v>0.35137327093909998</v>
      </c>
      <c r="J1870">
        <v>0.53111138528288004</v>
      </c>
      <c r="K1870">
        <v>0.59422263787454199</v>
      </c>
      <c r="L1870">
        <v>1022.09017030251</v>
      </c>
      <c r="M1870">
        <v>19.168308629502199</v>
      </c>
      <c r="N1870">
        <v>62.148822859323303</v>
      </c>
      <c r="O1870">
        <v>52.751698954141602</v>
      </c>
      <c r="P1870">
        <v>-4.8407685284891103E-2</v>
      </c>
      <c r="Q1870">
        <v>0.46714352668336501</v>
      </c>
      <c r="R1870">
        <v>0.86332718826819299</v>
      </c>
      <c r="S1870" t="s">
        <v>6166</v>
      </c>
      <c r="T1870" t="s">
        <v>8590</v>
      </c>
      <c r="U1870" t="s">
        <v>8590</v>
      </c>
      <c r="V1870" t="s">
        <v>8590</v>
      </c>
      <c r="W1870">
        <v>1</v>
      </c>
      <c r="X1870" t="s">
        <v>10460</v>
      </c>
      <c r="Y1870">
        <v>0.71160375615049509</v>
      </c>
      <c r="Z1870" t="str">
        <f>HYPERLINK("Melting_Curves/meltCurve_sp_Q15814_TBCC_HUMAN_.pdf", "Melting_Curves/meltCurve_sp_Q15814_TBCC_HUMAN_.pdf")</f>
        <v>Melting_Curves/meltCurve_sp_Q15814_TBCC_HUMAN_.pdf</v>
      </c>
      <c r="AA1870" t="s">
        <v>14721</v>
      </c>
      <c r="AB1870" t="s">
        <v>18954</v>
      </c>
    </row>
    <row r="1871" spans="1:28" x14ac:dyDescent="0.25">
      <c r="A1871" t="s">
        <v>1875</v>
      </c>
      <c r="B1871">
        <v>0.99876560204751996</v>
      </c>
      <c r="C1871">
        <v>0.84520201015363805</v>
      </c>
      <c r="D1871">
        <v>0.88246058675459405</v>
      </c>
      <c r="E1871">
        <v>0.76003612050556402</v>
      </c>
      <c r="F1871">
        <v>0.65499635709017501</v>
      </c>
      <c r="G1871">
        <v>0.46644330623969499</v>
      </c>
      <c r="H1871">
        <v>0.19224806542714101</v>
      </c>
      <c r="I1871">
        <v>9.35524386996998E-2</v>
      </c>
      <c r="J1871">
        <v>5.4323973436872099E-2</v>
      </c>
      <c r="K1871">
        <v>5.14105668107546E-2</v>
      </c>
      <c r="L1871">
        <v>698.90128319532801</v>
      </c>
      <c r="M1871">
        <v>12.697952376204899</v>
      </c>
      <c r="N1871">
        <v>55.040471284819702</v>
      </c>
      <c r="O1871">
        <v>53.7289270067809</v>
      </c>
      <c r="P1871">
        <v>-5.9094850185061901E-2</v>
      </c>
      <c r="Q1871">
        <v>0</v>
      </c>
      <c r="R1871">
        <v>0.97578806550195196</v>
      </c>
      <c r="S1871" t="s">
        <v>6167</v>
      </c>
      <c r="T1871" t="s">
        <v>8590</v>
      </c>
      <c r="U1871" t="s">
        <v>8590</v>
      </c>
      <c r="V1871" t="s">
        <v>8590</v>
      </c>
      <c r="W1871">
        <v>10</v>
      </c>
      <c r="X1871" t="s">
        <v>10461</v>
      </c>
      <c r="Y1871">
        <v>0.52374475642128471</v>
      </c>
      <c r="Z1871" t="str">
        <f>HYPERLINK("Melting_Curves/meltCurve_sp_Q15819_UB2V2_HUMAN_.pdf", "Melting_Curves/meltCurve_sp_Q15819_UB2V2_HUMAN_.pdf")</f>
        <v>Melting_Curves/meltCurve_sp_Q15819_UB2V2_HUMAN_.pdf</v>
      </c>
      <c r="AA1871" t="s">
        <v>14722</v>
      </c>
      <c r="AB1871" t="s">
        <v>18955</v>
      </c>
    </row>
    <row r="1872" spans="1:28" x14ac:dyDescent="0.25">
      <c r="A1872" t="s">
        <v>1876</v>
      </c>
      <c r="B1872">
        <v>0.99876560204751996</v>
      </c>
      <c r="C1872">
        <v>0.89793214886844597</v>
      </c>
      <c r="D1872">
        <v>0.76267452023580995</v>
      </c>
      <c r="E1872">
        <v>0.43491366705228601</v>
      </c>
      <c r="F1872">
        <v>0.21242453073821799</v>
      </c>
      <c r="G1872">
        <v>0.12728417025415301</v>
      </c>
      <c r="H1872">
        <v>6.7728063034257102E-2</v>
      </c>
      <c r="I1872">
        <v>5.6648308221927401E-2</v>
      </c>
      <c r="J1872">
        <v>4.9924112455921599E-2</v>
      </c>
      <c r="K1872">
        <v>5.3492463980966701E-2</v>
      </c>
      <c r="L1872">
        <v>859.42352872551396</v>
      </c>
      <c r="M1872">
        <v>17.609811027169801</v>
      </c>
      <c r="N1872">
        <v>49.059809226759697</v>
      </c>
      <c r="O1872">
        <v>48.187370691748697</v>
      </c>
      <c r="P1872">
        <v>-8.7353341605471799E-2</v>
      </c>
      <c r="Q1872">
        <v>4.3918954167663699E-2</v>
      </c>
      <c r="R1872">
        <v>0.99863867416873897</v>
      </c>
      <c r="S1872" t="s">
        <v>6168</v>
      </c>
      <c r="T1872" t="s">
        <v>8590</v>
      </c>
      <c r="U1872" t="s">
        <v>8590</v>
      </c>
      <c r="V1872" t="s">
        <v>8590</v>
      </c>
      <c r="W1872">
        <v>6</v>
      </c>
      <c r="X1872" t="s">
        <v>10462</v>
      </c>
      <c r="Y1872">
        <v>0.34185864377496339</v>
      </c>
      <c r="Z1872" t="str">
        <f>HYPERLINK("Melting_Curves/meltCurve_sp_Q15833_STXB2_HUMAN_.pdf", "Melting_Curves/meltCurve_sp_Q15833_STXB2_HUMAN_.pdf")</f>
        <v>Melting_Curves/meltCurve_sp_Q15833_STXB2_HUMAN_.pdf</v>
      </c>
      <c r="AA1872" t="s">
        <v>14723</v>
      </c>
      <c r="AB1872" t="s">
        <v>18956</v>
      </c>
    </row>
    <row r="1873" spans="1:28" x14ac:dyDescent="0.25">
      <c r="A1873" t="s">
        <v>1877</v>
      </c>
      <c r="B1873">
        <v>0.99876560204751996</v>
      </c>
      <c r="C1873">
        <v>0.93100014909039597</v>
      </c>
      <c r="D1873">
        <v>1.0545792511135099</v>
      </c>
      <c r="E1873">
        <v>0.917907602500179</v>
      </c>
      <c r="F1873">
        <v>0.92767699253004698</v>
      </c>
      <c r="G1873">
        <v>0.69364049645733805</v>
      </c>
      <c r="H1873">
        <v>0.59387460368450695</v>
      </c>
      <c r="I1873">
        <v>0.563833606457804</v>
      </c>
      <c r="J1873">
        <v>0.554407423035715</v>
      </c>
      <c r="K1873">
        <v>0.48584889789027103</v>
      </c>
      <c r="L1873">
        <v>1172.29904969322</v>
      </c>
      <c r="M1873">
        <v>20.891319234055299</v>
      </c>
      <c r="O1873">
        <v>55.607610675097497</v>
      </c>
      <c r="P1873">
        <v>-4.5716764695536503E-2</v>
      </c>
      <c r="Q1873">
        <v>0.51326571464332704</v>
      </c>
      <c r="R1873">
        <v>0.96472985891775898</v>
      </c>
      <c r="S1873" t="s">
        <v>6169</v>
      </c>
      <c r="T1873" t="s">
        <v>8590</v>
      </c>
      <c r="U1873" t="s">
        <v>8590</v>
      </c>
      <c r="V1873" t="s">
        <v>8590</v>
      </c>
      <c r="W1873">
        <v>5</v>
      </c>
      <c r="X1873" t="s">
        <v>10463</v>
      </c>
      <c r="Y1873">
        <v>0.78058638579983008</v>
      </c>
      <c r="Z1873" t="str">
        <f>HYPERLINK("Melting_Curves/meltCurve_sp_Q15847_ADIRF_HUMAN_.pdf", "Melting_Curves/meltCurve_sp_Q15847_ADIRF_HUMAN_.pdf")</f>
        <v>Melting_Curves/meltCurve_sp_Q15847_ADIRF_HUMAN_.pdf</v>
      </c>
      <c r="AA1873" t="s">
        <v>14724</v>
      </c>
      <c r="AB1873" t="s">
        <v>18957</v>
      </c>
    </row>
    <row r="1874" spans="1:28" x14ac:dyDescent="0.25">
      <c r="A1874" t="s">
        <v>1878</v>
      </c>
      <c r="B1874">
        <v>0.99876560204751996</v>
      </c>
      <c r="C1874">
        <v>1.01868783903337</v>
      </c>
      <c r="D1874">
        <v>0.98383652657692799</v>
      </c>
      <c r="E1874">
        <v>0.84585710688040405</v>
      </c>
      <c r="F1874">
        <v>0.52002556466004601</v>
      </c>
      <c r="G1874">
        <v>0.20712769064289099</v>
      </c>
      <c r="H1874">
        <v>0.103446604923804</v>
      </c>
      <c r="I1874">
        <v>6.7227276942917094E-2</v>
      </c>
      <c r="J1874">
        <v>5.73926303543471E-2</v>
      </c>
      <c r="K1874">
        <v>4.5785900815483102E-2</v>
      </c>
      <c r="L1874">
        <v>1332.0549818572099</v>
      </c>
      <c r="M1874">
        <v>25.1037326678968</v>
      </c>
      <c r="N1874">
        <v>53.312249903797003</v>
      </c>
      <c r="O1874">
        <v>52.728753262176497</v>
      </c>
      <c r="P1874">
        <v>-0.112409885014676</v>
      </c>
      <c r="Q1874">
        <v>5.55739782144637E-2</v>
      </c>
      <c r="R1874">
        <v>0.99925419022958994</v>
      </c>
      <c r="S1874" t="s">
        <v>6170</v>
      </c>
      <c r="T1874" t="s">
        <v>8590</v>
      </c>
      <c r="U1874" t="s">
        <v>8590</v>
      </c>
      <c r="V1874" t="s">
        <v>8590</v>
      </c>
      <c r="W1874">
        <v>13</v>
      </c>
      <c r="X1874" t="s">
        <v>10464</v>
      </c>
      <c r="Y1874">
        <v>0.47540993166446288</v>
      </c>
      <c r="Z1874" t="str">
        <f>HYPERLINK("Melting_Curves/meltCurve_sp_Q15907_RB11B_HUMAN_.pdf", "Melting_Curves/meltCurve_sp_Q15907_RB11B_HUMAN_.pdf")</f>
        <v>Melting_Curves/meltCurve_sp_Q15907_RB11B_HUMAN_.pdf</v>
      </c>
      <c r="AA1874" t="s">
        <v>14725</v>
      </c>
      <c r="AB1874" t="s">
        <v>18958</v>
      </c>
    </row>
    <row r="1875" spans="1:28" x14ac:dyDescent="0.25">
      <c r="A1875" t="s">
        <v>1879</v>
      </c>
      <c r="B1875">
        <v>0.99876560204751996</v>
      </c>
      <c r="C1875">
        <v>0.96648448569156598</v>
      </c>
      <c r="D1875">
        <v>1.0893897756273501</v>
      </c>
      <c r="E1875">
        <v>0.89621444977670905</v>
      </c>
      <c r="F1875">
        <v>0.934872458168442</v>
      </c>
      <c r="G1875">
        <v>0.75530942324333605</v>
      </c>
      <c r="H1875">
        <v>0.66312380879704802</v>
      </c>
      <c r="I1875">
        <v>0.655204718907473</v>
      </c>
      <c r="J1875">
        <v>0.83867005299992303</v>
      </c>
      <c r="K1875">
        <v>0.73997196405524301</v>
      </c>
      <c r="L1875">
        <v>1766.50461436926</v>
      </c>
      <c r="M1875">
        <v>32.743943546645902</v>
      </c>
      <c r="O1875">
        <v>53.749021395331702</v>
      </c>
      <c r="P1875">
        <v>-4.2268908421128799E-2</v>
      </c>
      <c r="Q1875">
        <v>0.72246446534978004</v>
      </c>
      <c r="R1875">
        <v>0.79437802674652203</v>
      </c>
      <c r="S1875" t="s">
        <v>6171</v>
      </c>
      <c r="T1875" t="s">
        <v>8590</v>
      </c>
      <c r="U1875" t="s">
        <v>8590</v>
      </c>
      <c r="V1875" t="s">
        <v>8590</v>
      </c>
      <c r="W1875">
        <v>14</v>
      </c>
      <c r="X1875" t="s">
        <v>10465</v>
      </c>
      <c r="Y1875">
        <v>0.85304620673182607</v>
      </c>
      <c r="Z1875" t="str">
        <f>HYPERLINK("Melting_Curves/meltCurve_sp_Q15942_ZYX_HUMAN_.pdf", "Melting_Curves/meltCurve_sp_Q15942_ZYX_HUMAN_.pdf")</f>
        <v>Melting_Curves/meltCurve_sp_Q15942_ZYX_HUMAN_.pdf</v>
      </c>
      <c r="AA1875" t="s">
        <v>14726</v>
      </c>
      <c r="AB1875" t="s">
        <v>18959</v>
      </c>
    </row>
    <row r="1876" spans="1:28" x14ac:dyDescent="0.25">
      <c r="A1876" t="s">
        <v>1880</v>
      </c>
      <c r="B1876">
        <v>0.99876560204751996</v>
      </c>
      <c r="C1876">
        <v>1.057450386565</v>
      </c>
      <c r="D1876">
        <v>0.71100139585148103</v>
      </c>
      <c r="E1876">
        <v>0.616178850319969</v>
      </c>
      <c r="F1876">
        <v>0.30203492147974897</v>
      </c>
      <c r="G1876">
        <v>0.122296321720492</v>
      </c>
      <c r="H1876">
        <v>6.0919116095007102E-2</v>
      </c>
      <c r="I1876">
        <v>5.5606726900426999E-2</v>
      </c>
      <c r="J1876">
        <v>3.6260084023906097E-2</v>
      </c>
      <c r="K1876">
        <v>3.70863562246962E-2</v>
      </c>
      <c r="L1876">
        <v>828.93401388341499</v>
      </c>
      <c r="M1876">
        <v>16.439644442992901</v>
      </c>
      <c r="N1876">
        <v>50.527514483177498</v>
      </c>
      <c r="O1876">
        <v>49.694501697493301</v>
      </c>
      <c r="P1876">
        <v>-8.13251202115466E-2</v>
      </c>
      <c r="Q1876">
        <v>1.6736591551160099E-2</v>
      </c>
      <c r="R1876">
        <v>0.97795912789583095</v>
      </c>
      <c r="S1876" t="s">
        <v>6172</v>
      </c>
      <c r="T1876" t="s">
        <v>8590</v>
      </c>
      <c r="U1876" t="s">
        <v>8590</v>
      </c>
      <c r="V1876" t="s">
        <v>8590</v>
      </c>
      <c r="W1876">
        <v>8</v>
      </c>
      <c r="X1876" t="s">
        <v>10466</v>
      </c>
      <c r="Y1876">
        <v>0.37803838100245629</v>
      </c>
      <c r="Z1876" t="str">
        <f>HYPERLINK("Melting_Curves/meltCurve_sp_Q16134_ETFD_HUMAN_.pdf", "Melting_Curves/meltCurve_sp_Q16134_ETFD_HUMAN_.pdf")</f>
        <v>Melting_Curves/meltCurve_sp_Q16134_ETFD_HUMAN_.pdf</v>
      </c>
      <c r="AA1876" t="s">
        <v>14727</v>
      </c>
      <c r="AB1876" t="s">
        <v>18960</v>
      </c>
    </row>
    <row r="1877" spans="1:28" x14ac:dyDescent="0.25">
      <c r="A1877" t="s">
        <v>1881</v>
      </c>
      <c r="B1877">
        <v>0.99876560204751996</v>
      </c>
      <c r="C1877">
        <v>1.1278385562262201</v>
      </c>
      <c r="D1877">
        <v>1.06288397593349</v>
      </c>
      <c r="E1877">
        <v>1.1131553862369801</v>
      </c>
      <c r="F1877">
        <v>0.78428195337547602</v>
      </c>
      <c r="G1877">
        <v>0.19456663128648899</v>
      </c>
      <c r="H1877">
        <v>0.109170949250235</v>
      </c>
      <c r="I1877">
        <v>8.5613309592417405E-2</v>
      </c>
      <c r="J1877">
        <v>8.9781951635534304E-2</v>
      </c>
      <c r="K1877">
        <v>7.6425845776530693E-2</v>
      </c>
      <c r="L1877">
        <v>2659.6542338754398</v>
      </c>
      <c r="M1877">
        <v>48.902495325939903</v>
      </c>
      <c r="N1877">
        <v>54.613603477295399</v>
      </c>
      <c r="O1877">
        <v>54.2961658747478</v>
      </c>
      <c r="P1877">
        <v>-0.20447951492350699</v>
      </c>
      <c r="Q1877">
        <v>9.1871016075755402E-2</v>
      </c>
      <c r="R1877">
        <v>0.98268467778723101</v>
      </c>
      <c r="S1877" t="s">
        <v>6173</v>
      </c>
      <c r="T1877" t="s">
        <v>8590</v>
      </c>
      <c r="U1877" t="s">
        <v>8590</v>
      </c>
      <c r="V1877" t="s">
        <v>8590</v>
      </c>
      <c r="W1877">
        <v>23</v>
      </c>
      <c r="X1877" t="s">
        <v>10467</v>
      </c>
      <c r="Y1877">
        <v>0.52965284599047946</v>
      </c>
      <c r="Z1877" t="str">
        <f>HYPERLINK("Melting_Curves/meltCurve_sp_Q16181_SEPT7_HUMAN_.pdf", "Melting_Curves/meltCurve_sp_Q16181_SEPT7_HUMAN_.pdf")</f>
        <v>Melting_Curves/meltCurve_sp_Q16181_SEPT7_HUMAN_.pdf</v>
      </c>
      <c r="AA1877" t="s">
        <v>14728</v>
      </c>
      <c r="AB1877" t="s">
        <v>18961</v>
      </c>
    </row>
    <row r="1878" spans="1:28" x14ac:dyDescent="0.25">
      <c r="A1878" t="s">
        <v>1882</v>
      </c>
      <c r="B1878">
        <v>0.99876560204751996</v>
      </c>
      <c r="C1878">
        <v>1.0105416704343799</v>
      </c>
      <c r="D1878">
        <v>1.0880587113993301</v>
      </c>
      <c r="E1878">
        <v>0.93593804960863303</v>
      </c>
      <c r="F1878">
        <v>0.92913987633230799</v>
      </c>
      <c r="G1878">
        <v>0.71072529267657403</v>
      </c>
      <c r="H1878">
        <v>0.66163170697537599</v>
      </c>
      <c r="I1878">
        <v>0.58424252224674</v>
      </c>
      <c r="J1878">
        <v>0.81094218088707304</v>
      </c>
      <c r="K1878">
        <v>1.1116768000662001</v>
      </c>
      <c r="L1878">
        <v>8784.2339983073198</v>
      </c>
      <c r="M1878">
        <v>164.96881242427901</v>
      </c>
      <c r="O1878">
        <v>53.240022219356099</v>
      </c>
      <c r="P1878">
        <v>-0.17364210176092301</v>
      </c>
      <c r="Q1878">
        <v>0.77584346697216799</v>
      </c>
      <c r="R1878">
        <v>0.40414870491472799</v>
      </c>
      <c r="S1878" t="s">
        <v>6174</v>
      </c>
      <c r="T1878" t="s">
        <v>8590</v>
      </c>
      <c r="U1878" t="s">
        <v>8590</v>
      </c>
      <c r="V1878" t="s">
        <v>8590</v>
      </c>
      <c r="W1878">
        <v>2</v>
      </c>
      <c r="X1878" t="s">
        <v>10468</v>
      </c>
      <c r="Y1878">
        <v>0.8748779651185653</v>
      </c>
      <c r="Z1878" t="str">
        <f>HYPERLINK("Melting_Curves/meltCurve_sp_Q16186_ADRM1_HUMAN_.pdf", "Melting_Curves/meltCurve_sp_Q16186_ADRM1_HUMAN_.pdf")</f>
        <v>Melting_Curves/meltCurve_sp_Q16186_ADRM1_HUMAN_.pdf</v>
      </c>
      <c r="AA1878" t="s">
        <v>14729</v>
      </c>
      <c r="AB1878" t="s">
        <v>18962</v>
      </c>
    </row>
    <row r="1879" spans="1:28" x14ac:dyDescent="0.25">
      <c r="A1879" t="s">
        <v>1883</v>
      </c>
      <c r="B1879">
        <v>0.99876560204751996</v>
      </c>
      <c r="C1879">
        <v>1.0151968329193699</v>
      </c>
      <c r="D1879">
        <v>0.93412221534496198</v>
      </c>
      <c r="E1879">
        <v>0.91258526652047101</v>
      </c>
      <c r="F1879">
        <v>0.83395163764090696</v>
      </c>
      <c r="G1879">
        <v>0.626623555374758</v>
      </c>
      <c r="H1879">
        <v>0.485243044087319</v>
      </c>
      <c r="I1879">
        <v>0.49162627895920702</v>
      </c>
      <c r="J1879">
        <v>0.60315648426781998</v>
      </c>
      <c r="K1879">
        <v>0.54505888645801004</v>
      </c>
      <c r="L1879">
        <v>1377.0984627771099</v>
      </c>
      <c r="M1879">
        <v>25.578191463875601</v>
      </c>
      <c r="O1879">
        <v>53.5129339525649</v>
      </c>
      <c r="P1879">
        <v>-5.6610656949284299E-2</v>
      </c>
      <c r="Q1879">
        <v>0.52625821731552003</v>
      </c>
      <c r="R1879">
        <v>0.959265481812415</v>
      </c>
      <c r="S1879" t="s">
        <v>6175</v>
      </c>
      <c r="T1879" t="s">
        <v>8590</v>
      </c>
      <c r="U1879" t="s">
        <v>8590</v>
      </c>
      <c r="V1879" t="s">
        <v>8590</v>
      </c>
      <c r="W1879">
        <v>6</v>
      </c>
      <c r="X1879" t="s">
        <v>10469</v>
      </c>
      <c r="Y1879">
        <v>0.74899294842741848</v>
      </c>
      <c r="Z1879" t="str">
        <f>HYPERLINK("Melting_Curves/meltCurve_sp_Q16204_CCDC6_HUMAN_.pdf", "Melting_Curves/meltCurve_sp_Q16204_CCDC6_HUMAN_.pdf")</f>
        <v>Melting_Curves/meltCurve_sp_Q16204_CCDC6_HUMAN_.pdf</v>
      </c>
      <c r="AA1879" t="s">
        <v>14730</v>
      </c>
      <c r="AB1879" t="s">
        <v>18963</v>
      </c>
    </row>
    <row r="1880" spans="1:28" x14ac:dyDescent="0.25">
      <c r="A1880" t="s">
        <v>1884</v>
      </c>
      <c r="B1880">
        <v>0.99876560204751996</v>
      </c>
      <c r="C1880">
        <v>0.93004066360723503</v>
      </c>
      <c r="D1880">
        <v>0.91336403081073203</v>
      </c>
      <c r="E1880">
        <v>0.483125299885731</v>
      </c>
      <c r="F1880">
        <v>0.197644342205199</v>
      </c>
      <c r="G1880">
        <v>0.104433736720666</v>
      </c>
      <c r="H1880">
        <v>6.8175665758130694E-2</v>
      </c>
      <c r="I1880">
        <v>5.18270138964581E-2</v>
      </c>
      <c r="J1880">
        <v>4.5763985737093303E-2</v>
      </c>
      <c r="K1880">
        <v>4.0289293036037802E-2</v>
      </c>
      <c r="L1880">
        <v>1291.52719526078</v>
      </c>
      <c r="M1880">
        <v>26.001860134898902</v>
      </c>
      <c r="N1880">
        <v>49.879578189414303</v>
      </c>
      <c r="O1880">
        <v>49.379572386071999</v>
      </c>
      <c r="P1880">
        <v>-0.124849582573467</v>
      </c>
      <c r="Q1880">
        <v>5.1614388720755501E-2</v>
      </c>
      <c r="R1880">
        <v>0.99728975153562704</v>
      </c>
      <c r="S1880" t="s">
        <v>6176</v>
      </c>
      <c r="T1880" t="s">
        <v>8590</v>
      </c>
      <c r="U1880" t="s">
        <v>8590</v>
      </c>
      <c r="V1880" t="s">
        <v>8590</v>
      </c>
      <c r="W1880">
        <v>18</v>
      </c>
      <c r="X1880" t="s">
        <v>10470</v>
      </c>
      <c r="Y1880">
        <v>0.3651308659320508</v>
      </c>
      <c r="Z1880" t="str">
        <f>HYPERLINK("Melting_Curves/meltCurve_sp_Q16222_2_UAP1_HUMAN_.pdf", "Melting_Curves/meltCurve_sp_Q16222_2_UAP1_HUMAN_.pdf")</f>
        <v>Melting_Curves/meltCurve_sp_Q16222_2_UAP1_HUMAN_.pdf</v>
      </c>
      <c r="AA1880" t="s">
        <v>14731</v>
      </c>
      <c r="AB1880" t="s">
        <v>18964</v>
      </c>
    </row>
    <row r="1881" spans="1:28" x14ac:dyDescent="0.25">
      <c r="A1881" t="s">
        <v>1885</v>
      </c>
      <c r="B1881">
        <v>0.99876560204751996</v>
      </c>
      <c r="C1881">
        <v>1.0574709080089899</v>
      </c>
      <c r="D1881">
        <v>1.1915744564757</v>
      </c>
      <c r="E1881">
        <v>0.762045097116825</v>
      </c>
      <c r="F1881">
        <v>0.81951956597797704</v>
      </c>
      <c r="G1881">
        <v>0.42927905090034202</v>
      </c>
      <c r="H1881">
        <v>0.14920001522349499</v>
      </c>
      <c r="I1881">
        <v>0.115013213317827</v>
      </c>
      <c r="J1881">
        <v>0.11586846142724801</v>
      </c>
      <c r="K1881">
        <v>0.13185199048188601</v>
      </c>
      <c r="L1881">
        <v>1226.0410760746199</v>
      </c>
      <c r="M1881">
        <v>22.1010698450328</v>
      </c>
      <c r="N1881">
        <v>55.960903359675498</v>
      </c>
      <c r="O1881">
        <v>55.026105290290502</v>
      </c>
      <c r="P1881">
        <v>-9.1635534092137497E-2</v>
      </c>
      <c r="Q1881">
        <v>8.7422212142038699E-2</v>
      </c>
      <c r="R1881">
        <v>0.95420854051786796</v>
      </c>
      <c r="S1881" t="s">
        <v>6177</v>
      </c>
      <c r="T1881" t="s">
        <v>8590</v>
      </c>
      <c r="U1881" t="s">
        <v>8590</v>
      </c>
      <c r="V1881" t="s">
        <v>8590</v>
      </c>
      <c r="W1881">
        <v>1</v>
      </c>
      <c r="X1881" t="s">
        <v>10471</v>
      </c>
      <c r="Y1881">
        <v>0.56845027207852394</v>
      </c>
      <c r="Z1881" t="str">
        <f>HYPERLINK("Melting_Curves/meltCurve_sp_Q16254_E2F4_HUMAN_.pdf", "Melting_Curves/meltCurve_sp_Q16254_E2F4_HUMAN_.pdf")</f>
        <v>Melting_Curves/meltCurve_sp_Q16254_E2F4_HUMAN_.pdf</v>
      </c>
      <c r="AA1881" t="s">
        <v>14732</v>
      </c>
      <c r="AB1881" t="s">
        <v>18965</v>
      </c>
    </row>
    <row r="1882" spans="1:28" x14ac:dyDescent="0.25">
      <c r="A1882" t="s">
        <v>1886</v>
      </c>
      <c r="B1882">
        <v>0.99876560204751996</v>
      </c>
      <c r="C1882">
        <v>0.97921461154202005</v>
      </c>
      <c r="D1882">
        <v>0</v>
      </c>
      <c r="E1882">
        <v>0.80801601055388605</v>
      </c>
      <c r="F1882">
        <v>0.70365932187748104</v>
      </c>
      <c r="G1882">
        <v>0.684524401451162</v>
      </c>
      <c r="H1882">
        <v>0.48430568126043499</v>
      </c>
      <c r="I1882">
        <v>0.53531244228036901</v>
      </c>
      <c r="J1882">
        <v>0.40407464509760699</v>
      </c>
      <c r="K1882">
        <v>0.50604290181304501</v>
      </c>
      <c r="L1882">
        <v>10858.160934290399</v>
      </c>
      <c r="M1882">
        <v>250</v>
      </c>
      <c r="O1882">
        <v>43.429864155994601</v>
      </c>
      <c r="P1882">
        <v>-0.69689662942015496</v>
      </c>
      <c r="Q1882">
        <v>0.51574198341604705</v>
      </c>
      <c r="R1882">
        <v>0.45517236130836802</v>
      </c>
      <c r="S1882" t="s">
        <v>6178</v>
      </c>
      <c r="T1882" t="s">
        <v>8590</v>
      </c>
      <c r="U1882" t="s">
        <v>8590</v>
      </c>
      <c r="V1882" t="s">
        <v>8590</v>
      </c>
      <c r="W1882">
        <v>2</v>
      </c>
      <c r="X1882" t="s">
        <v>10472</v>
      </c>
      <c r="Y1882">
        <v>0.57118840357312517</v>
      </c>
      <c r="Z1882" t="str">
        <f>HYPERLINK("Melting_Curves/meltCurve_sp_Q16270_2_IBP7_HUMAN_.pdf", "Melting_Curves/meltCurve_sp_Q16270_2_IBP7_HUMAN_.pdf")</f>
        <v>Melting_Curves/meltCurve_sp_Q16270_2_IBP7_HUMAN_.pdf</v>
      </c>
      <c r="AA1882" t="s">
        <v>14733</v>
      </c>
      <c r="AB1882" t="s">
        <v>18966</v>
      </c>
    </row>
    <row r="1883" spans="1:28" x14ac:dyDescent="0.25">
      <c r="A1883" t="s">
        <v>1887</v>
      </c>
      <c r="B1883">
        <v>0.99876560204751996</v>
      </c>
      <c r="C1883">
        <v>0.98504604501447202</v>
      </c>
      <c r="D1883">
        <v>0.85143335562616995</v>
      </c>
      <c r="E1883">
        <v>0.71336775913586303</v>
      </c>
      <c r="F1883">
        <v>0.52313767139978495</v>
      </c>
      <c r="G1883">
        <v>0.32994196689499</v>
      </c>
      <c r="H1883">
        <v>6.3486133445357695E-2</v>
      </c>
      <c r="I1883">
        <v>4.8121606130159297E-2</v>
      </c>
      <c r="J1883">
        <v>4.5231842437972597E-2</v>
      </c>
      <c r="K1883">
        <v>3.6499039584779701E-2</v>
      </c>
      <c r="L1883">
        <v>773.55936118081604</v>
      </c>
      <c r="M1883">
        <v>14.5531632577382</v>
      </c>
      <c r="N1883">
        <v>53.154040933836001</v>
      </c>
      <c r="O1883">
        <v>52.180652718218298</v>
      </c>
      <c r="P1883">
        <v>-6.9732830133104995E-2</v>
      </c>
      <c r="Q1883">
        <v>0</v>
      </c>
      <c r="R1883">
        <v>0.99154861396184502</v>
      </c>
      <c r="S1883" t="s">
        <v>6179</v>
      </c>
      <c r="T1883" t="s">
        <v>8590</v>
      </c>
      <c r="U1883" t="s">
        <v>8590</v>
      </c>
      <c r="V1883" t="s">
        <v>8590</v>
      </c>
      <c r="W1883">
        <v>14</v>
      </c>
      <c r="X1883" t="s">
        <v>10473</v>
      </c>
      <c r="Y1883">
        <v>0.46073614980187649</v>
      </c>
      <c r="Z1883" t="str">
        <f>HYPERLINK("Melting_Curves/meltCurve_sp_Q16401_2_PSMD5_HUMAN_.pdf", "Melting_Curves/meltCurve_sp_Q16401_2_PSMD5_HUMAN_.pdf")</f>
        <v>Melting_Curves/meltCurve_sp_Q16401_2_PSMD5_HUMAN_.pdf</v>
      </c>
      <c r="AA1883" t="s">
        <v>14734</v>
      </c>
      <c r="AB1883" t="s">
        <v>18967</v>
      </c>
    </row>
    <row r="1884" spans="1:28" x14ac:dyDescent="0.25">
      <c r="A1884" t="s">
        <v>1888</v>
      </c>
      <c r="B1884">
        <v>0.99876560204751996</v>
      </c>
      <c r="C1884">
        <v>1.03824687601601</v>
      </c>
      <c r="D1884">
        <v>0.95267123094455597</v>
      </c>
      <c r="E1884">
        <v>1.01588044501568</v>
      </c>
      <c r="F1884">
        <v>0.90583001697943</v>
      </c>
      <c r="G1884">
        <v>0.84058566496666998</v>
      </c>
      <c r="H1884">
        <v>0.45939268555037499</v>
      </c>
      <c r="I1884">
        <v>0.115469291400944</v>
      </c>
      <c r="J1884">
        <v>5.8909216695027897E-2</v>
      </c>
      <c r="K1884">
        <v>4.96749099609856E-2</v>
      </c>
      <c r="L1884">
        <v>1760.6920297494</v>
      </c>
      <c r="M1884">
        <v>29.182963047914999</v>
      </c>
      <c r="N1884">
        <v>60.364784908414897</v>
      </c>
      <c r="O1884">
        <v>60.051716549948701</v>
      </c>
      <c r="P1884">
        <v>-0.120561928308955</v>
      </c>
      <c r="Q1884">
        <v>7.65439518545976E-3</v>
      </c>
      <c r="R1884">
        <v>0.991303868558159</v>
      </c>
      <c r="S1884" t="s">
        <v>6180</v>
      </c>
      <c r="T1884" t="s">
        <v>8590</v>
      </c>
      <c r="U1884" t="s">
        <v>8590</v>
      </c>
      <c r="V1884" t="s">
        <v>8590</v>
      </c>
      <c r="W1884">
        <v>48</v>
      </c>
      <c r="X1884" t="s">
        <v>10474</v>
      </c>
      <c r="Y1884">
        <v>0.68629870265688697</v>
      </c>
      <c r="Z1884" t="str">
        <f>HYPERLINK("Melting_Curves/meltCurve_sp_Q16531_DDB1_HUMAN_.pdf", "Melting_Curves/meltCurve_sp_Q16531_DDB1_HUMAN_.pdf")</f>
        <v>Melting_Curves/meltCurve_sp_Q16531_DDB1_HUMAN_.pdf</v>
      </c>
      <c r="AA1884" t="s">
        <v>14735</v>
      </c>
      <c r="AB1884" t="s">
        <v>18968</v>
      </c>
    </row>
    <row r="1885" spans="1:28" x14ac:dyDescent="0.25">
      <c r="A1885" t="s">
        <v>1889</v>
      </c>
      <c r="B1885">
        <v>0.99876560204751996</v>
      </c>
      <c r="C1885">
        <v>0.88999365719025103</v>
      </c>
      <c r="D1885">
        <v>0.79424070733546304</v>
      </c>
      <c r="E1885">
        <v>0.34354888704705699</v>
      </c>
      <c r="F1885">
        <v>0.15347415428459599</v>
      </c>
      <c r="G1885">
        <v>8.3341250519969198E-2</v>
      </c>
      <c r="H1885">
        <v>5.4185497067924901E-2</v>
      </c>
      <c r="I1885">
        <v>5.2751130936951503E-2</v>
      </c>
      <c r="J1885">
        <v>4.0228455614261603E-2</v>
      </c>
      <c r="K1885">
        <v>4.8314211196512802E-2</v>
      </c>
      <c r="L1885">
        <v>1077.0721714577201</v>
      </c>
      <c r="M1885">
        <v>22.289725751706499</v>
      </c>
      <c r="N1885">
        <v>48.524567205845798</v>
      </c>
      <c r="O1885">
        <v>47.937561244596402</v>
      </c>
      <c r="P1885">
        <v>-0.111068634033179</v>
      </c>
      <c r="Q1885">
        <v>4.4537852327694402E-2</v>
      </c>
      <c r="R1885">
        <v>0.99690892337287096</v>
      </c>
      <c r="S1885" t="s">
        <v>6181</v>
      </c>
      <c r="T1885" t="s">
        <v>8590</v>
      </c>
      <c r="U1885" t="s">
        <v>8590</v>
      </c>
      <c r="V1885" t="s">
        <v>8590</v>
      </c>
      <c r="W1885">
        <v>9</v>
      </c>
      <c r="X1885" t="s">
        <v>10475</v>
      </c>
      <c r="Y1885">
        <v>0.3203161575265534</v>
      </c>
      <c r="Z1885" t="str">
        <f>HYPERLINK("Melting_Curves/meltCurve_sp_Q16539_MK14_HUMAN_.pdf", "Melting_Curves/meltCurve_sp_Q16539_MK14_HUMAN_.pdf")</f>
        <v>Melting_Curves/meltCurve_sp_Q16539_MK14_HUMAN_.pdf</v>
      </c>
      <c r="AA1885" t="s">
        <v>14736</v>
      </c>
      <c r="AB1885" t="s">
        <v>18969</v>
      </c>
    </row>
    <row r="1886" spans="1:28" x14ac:dyDescent="0.25">
      <c r="A1886" t="s">
        <v>1890</v>
      </c>
      <c r="B1886">
        <v>0.99876560204751996</v>
      </c>
      <c r="C1886">
        <v>1.00910466997764</v>
      </c>
      <c r="D1886">
        <v>0.97451537358620699</v>
      </c>
      <c r="E1886">
        <v>0.99270650648615399</v>
      </c>
      <c r="F1886">
        <v>0.92363551523869503</v>
      </c>
      <c r="G1886">
        <v>0.769083615510048</v>
      </c>
      <c r="H1886">
        <v>0.52397736022915398</v>
      </c>
      <c r="I1886">
        <v>0.30233370924485597</v>
      </c>
      <c r="J1886">
        <v>0.18624090283854799</v>
      </c>
      <c r="K1886">
        <v>0.139530126200581</v>
      </c>
      <c r="L1886">
        <v>1093.6739543081001</v>
      </c>
      <c r="M1886">
        <v>18.016139255689598</v>
      </c>
      <c r="N1886">
        <v>61.0482696329343</v>
      </c>
      <c r="O1886">
        <v>59.972140088994003</v>
      </c>
      <c r="P1886">
        <v>-7.1490278141893807E-2</v>
      </c>
      <c r="Q1886">
        <v>4.8139199769618897E-2</v>
      </c>
      <c r="R1886">
        <v>0.998433606431537</v>
      </c>
      <c r="S1886" t="s">
        <v>6182</v>
      </c>
      <c r="T1886" t="s">
        <v>8590</v>
      </c>
      <c r="U1886" t="s">
        <v>8590</v>
      </c>
      <c r="V1886" t="s">
        <v>8590</v>
      </c>
      <c r="W1886">
        <v>19</v>
      </c>
      <c r="X1886" t="s">
        <v>10476</v>
      </c>
      <c r="Y1886">
        <v>0.71103976028750371</v>
      </c>
      <c r="Z1886" t="str">
        <f>HYPERLINK("Melting_Curves/meltCurve_sp_Q16543_CDC37_HUMAN_.pdf", "Melting_Curves/meltCurve_sp_Q16543_CDC37_HUMAN_.pdf")</f>
        <v>Melting_Curves/meltCurve_sp_Q16543_CDC37_HUMAN_.pdf</v>
      </c>
      <c r="AA1886" t="s">
        <v>14737</v>
      </c>
      <c r="AB1886" t="s">
        <v>18970</v>
      </c>
    </row>
    <row r="1887" spans="1:28" x14ac:dyDescent="0.25">
      <c r="A1887" t="s">
        <v>1891</v>
      </c>
      <c r="B1887">
        <v>0.99876560204751996</v>
      </c>
      <c r="C1887">
        <v>1.0855275760605301</v>
      </c>
      <c r="D1887">
        <v>0.99150000182912401</v>
      </c>
      <c r="E1887">
        <v>0.90693518390620598</v>
      </c>
      <c r="F1887">
        <v>0.69411587985712997</v>
      </c>
      <c r="G1887">
        <v>0.45415947261350298</v>
      </c>
      <c r="H1887">
        <v>0.17991065835813499</v>
      </c>
      <c r="I1887">
        <v>0.103286492497339</v>
      </c>
      <c r="J1887">
        <v>7.4698688891937301E-2</v>
      </c>
      <c r="K1887">
        <v>5.6856354962954103E-2</v>
      </c>
      <c r="L1887">
        <v>1013.85345116798</v>
      </c>
      <c r="M1887">
        <v>18.173127622945898</v>
      </c>
      <c r="N1887">
        <v>55.956245046229498</v>
      </c>
      <c r="O1887">
        <v>55.126269417055802</v>
      </c>
      <c r="P1887">
        <v>-8.0236222678209401E-2</v>
      </c>
      <c r="Q1887">
        <v>2.6494100287871501E-2</v>
      </c>
      <c r="R1887">
        <v>0.99321749005009297</v>
      </c>
      <c r="S1887" t="s">
        <v>6183</v>
      </c>
      <c r="T1887" t="s">
        <v>8590</v>
      </c>
      <c r="U1887" t="s">
        <v>8590</v>
      </c>
      <c r="V1887" t="s">
        <v>8590</v>
      </c>
      <c r="W1887">
        <v>11</v>
      </c>
      <c r="X1887" t="s">
        <v>10477</v>
      </c>
      <c r="Y1887">
        <v>0.55318029854310646</v>
      </c>
      <c r="Z1887" t="str">
        <f>HYPERLINK("Melting_Curves/meltCurve_sp_Q16555_2_DPYL2_HUMAN_.pdf", "Melting_Curves/meltCurve_sp_Q16555_2_DPYL2_HUMAN_.pdf")</f>
        <v>Melting_Curves/meltCurve_sp_Q16555_2_DPYL2_HUMAN_.pdf</v>
      </c>
      <c r="AA1887" t="s">
        <v>14738</v>
      </c>
      <c r="AB1887" t="s">
        <v>18971</v>
      </c>
    </row>
    <row r="1888" spans="1:28" x14ac:dyDescent="0.25">
      <c r="A1888" t="s">
        <v>1892</v>
      </c>
      <c r="B1888">
        <v>0.99876560204751996</v>
      </c>
      <c r="C1888">
        <v>0.96008924766954895</v>
      </c>
      <c r="D1888">
        <v>0.94530051983565599</v>
      </c>
      <c r="E1888">
        <v>0.89659256751776795</v>
      </c>
      <c r="F1888">
        <v>0.86709402718143502</v>
      </c>
      <c r="G1888">
        <v>0.59005807226250895</v>
      </c>
      <c r="H1888">
        <v>0.29602597409505199</v>
      </c>
      <c r="I1888">
        <v>0.12736293060270101</v>
      </c>
      <c r="J1888">
        <v>9.6116683998645494E-2</v>
      </c>
      <c r="K1888">
        <v>8.8634395353276205E-2</v>
      </c>
      <c r="L1888">
        <v>1077.61168627755</v>
      </c>
      <c r="M1888">
        <v>18.647514195290899</v>
      </c>
      <c r="N1888">
        <v>57.964018861110198</v>
      </c>
      <c r="O1888">
        <v>57.136208039006803</v>
      </c>
      <c r="P1888">
        <v>-7.93559167455756E-2</v>
      </c>
      <c r="Q1888">
        <v>2.7451807842813598E-2</v>
      </c>
      <c r="R1888">
        <v>0.99354857824546505</v>
      </c>
      <c r="S1888" t="s">
        <v>6184</v>
      </c>
      <c r="T1888" t="s">
        <v>8590</v>
      </c>
      <c r="U1888" t="s">
        <v>8590</v>
      </c>
      <c r="V1888" t="s">
        <v>8590</v>
      </c>
      <c r="W1888">
        <v>9</v>
      </c>
      <c r="X1888" t="s">
        <v>10478</v>
      </c>
      <c r="Y1888">
        <v>0.6161147173653021</v>
      </c>
      <c r="Z1888" t="str">
        <f>HYPERLINK("Melting_Curves/meltCurve_sp_Q16576_RBBP7_HUMAN_.pdf", "Melting_Curves/meltCurve_sp_Q16576_RBBP7_HUMAN_.pdf")</f>
        <v>Melting_Curves/meltCurve_sp_Q16576_RBBP7_HUMAN_.pdf</v>
      </c>
      <c r="AA1888" t="s">
        <v>14739</v>
      </c>
      <c r="AB1888" t="s">
        <v>18972</v>
      </c>
    </row>
    <row r="1889" spans="1:28" x14ac:dyDescent="0.25">
      <c r="A1889" t="s">
        <v>1893</v>
      </c>
      <c r="B1889">
        <v>0.99876560204751996</v>
      </c>
      <c r="C1889">
        <v>0.89044105036162102</v>
      </c>
      <c r="D1889">
        <v>0.87682132996091</v>
      </c>
      <c r="E1889">
        <v>0.84045149368587901</v>
      </c>
      <c r="F1889">
        <v>0.81320751983397299</v>
      </c>
      <c r="G1889">
        <v>0.66701981128395804</v>
      </c>
      <c r="H1889">
        <v>0.60440885460538996</v>
      </c>
      <c r="I1889">
        <v>0.616794815002494</v>
      </c>
      <c r="J1889">
        <v>0.70150795272511202</v>
      </c>
      <c r="K1889">
        <v>0.73997189449047596</v>
      </c>
      <c r="L1889">
        <v>552.76932818340902</v>
      </c>
      <c r="M1889">
        <v>11.260967944109</v>
      </c>
      <c r="O1889">
        <v>47.615588495202203</v>
      </c>
      <c r="P1889">
        <v>-2.0755227095593E-2</v>
      </c>
      <c r="Q1889">
        <v>0.64906468319232802</v>
      </c>
      <c r="R1889">
        <v>0.82401872887221295</v>
      </c>
      <c r="S1889" t="s">
        <v>6185</v>
      </c>
      <c r="T1889" t="s">
        <v>8590</v>
      </c>
      <c r="U1889" t="s">
        <v>8590</v>
      </c>
      <c r="V1889" t="s">
        <v>8590</v>
      </c>
      <c r="W1889">
        <v>5</v>
      </c>
      <c r="X1889" t="s">
        <v>10479</v>
      </c>
      <c r="Y1889">
        <v>0.76959087015446093</v>
      </c>
      <c r="Z1889" t="str">
        <f>HYPERLINK("Melting_Curves/meltCurve_sp_Q16625_5_OCLN_HUMAN_.pdf", "Melting_Curves/meltCurve_sp_Q16625_5_OCLN_HUMAN_.pdf")</f>
        <v>Melting_Curves/meltCurve_sp_Q16625_5_OCLN_HUMAN_.pdf</v>
      </c>
      <c r="AA1889" t="s">
        <v>14740</v>
      </c>
      <c r="AB1889" t="s">
        <v>18973</v>
      </c>
    </row>
    <row r="1890" spans="1:28" x14ac:dyDescent="0.25">
      <c r="A1890" t="s">
        <v>1894</v>
      </c>
      <c r="B1890">
        <v>0.99876560204751996</v>
      </c>
      <c r="C1890">
        <v>1.06037839356964</v>
      </c>
      <c r="D1890">
        <v>0.88537663256809995</v>
      </c>
      <c r="E1890">
        <v>1.07731975769076</v>
      </c>
      <c r="F1890">
        <v>0.86457470296330596</v>
      </c>
      <c r="G1890">
        <v>0.72053806220359795</v>
      </c>
      <c r="H1890">
        <v>0.69939820957311305</v>
      </c>
      <c r="I1890">
        <v>0.62935270568580703</v>
      </c>
      <c r="J1890">
        <v>0.79547775622993899</v>
      </c>
      <c r="K1890">
        <v>0.51682426641748802</v>
      </c>
      <c r="L1890">
        <v>2230.3263283401302</v>
      </c>
      <c r="M1890">
        <v>41.363807503483002</v>
      </c>
      <c r="O1890">
        <v>53.7941861258983</v>
      </c>
      <c r="P1890">
        <v>-6.4660684496584006E-2</v>
      </c>
      <c r="Q1890">
        <v>0.66363226189345403</v>
      </c>
      <c r="R1890">
        <v>0.78666508396492196</v>
      </c>
      <c r="S1890" t="s">
        <v>6186</v>
      </c>
      <c r="T1890" t="s">
        <v>8590</v>
      </c>
      <c r="U1890" t="s">
        <v>8590</v>
      </c>
      <c r="V1890" t="s">
        <v>8590</v>
      </c>
      <c r="W1890">
        <v>1</v>
      </c>
      <c r="X1890" t="s">
        <v>10480</v>
      </c>
      <c r="Y1890">
        <v>0.82087419759790026</v>
      </c>
      <c r="Z1890" t="str">
        <f>HYPERLINK("Melting_Curves/meltCurve_sp_Q16626_MEA1_HUMAN_.pdf", "Melting_Curves/meltCurve_sp_Q16626_MEA1_HUMAN_.pdf")</f>
        <v>Melting_Curves/meltCurve_sp_Q16626_MEA1_HUMAN_.pdf</v>
      </c>
      <c r="AA1890" t="s">
        <v>14741</v>
      </c>
      <c r="AB1890" t="s">
        <v>18974</v>
      </c>
    </row>
    <row r="1891" spans="1:28" x14ac:dyDescent="0.25">
      <c r="A1891" t="s">
        <v>1895</v>
      </c>
      <c r="B1891">
        <v>0.99876560204751996</v>
      </c>
      <c r="C1891">
        <v>0.98136631173983502</v>
      </c>
      <c r="D1891">
        <v>0.98540737159588199</v>
      </c>
      <c r="E1891">
        <v>0.58846116519667402</v>
      </c>
      <c r="F1891">
        <v>0.229849871920242</v>
      </c>
      <c r="G1891">
        <v>0.103229912794133</v>
      </c>
      <c r="H1891">
        <v>6.5503341250793407E-2</v>
      </c>
      <c r="I1891">
        <v>5.31723254178764E-2</v>
      </c>
      <c r="J1891">
        <v>5.0314474302374401E-2</v>
      </c>
      <c r="K1891">
        <v>4.4615236259753797E-2</v>
      </c>
      <c r="L1891">
        <v>1596.75163952823</v>
      </c>
      <c r="M1891">
        <v>31.643137190013501</v>
      </c>
      <c r="N1891">
        <v>50.655814359195503</v>
      </c>
      <c r="O1891">
        <v>50.260978522793103</v>
      </c>
      <c r="P1891">
        <v>-0.14838796094096099</v>
      </c>
      <c r="Q1891">
        <v>5.72256371397903E-2</v>
      </c>
      <c r="R1891">
        <v>0.998933647503778</v>
      </c>
      <c r="S1891" t="s">
        <v>6187</v>
      </c>
      <c r="T1891" t="s">
        <v>8590</v>
      </c>
      <c r="U1891" t="s">
        <v>8590</v>
      </c>
      <c r="V1891" t="s">
        <v>8590</v>
      </c>
      <c r="W1891">
        <v>3</v>
      </c>
      <c r="X1891" t="s">
        <v>10481</v>
      </c>
      <c r="Y1891">
        <v>0.39125503436363968</v>
      </c>
      <c r="Z1891" t="str">
        <f>HYPERLINK("Melting_Curves/meltCurve_sp_Q16644_MAPK3_HUMAN_.pdf", "Melting_Curves/meltCurve_sp_Q16644_MAPK3_HUMAN_.pdf")</f>
        <v>Melting_Curves/meltCurve_sp_Q16644_MAPK3_HUMAN_.pdf</v>
      </c>
      <c r="AA1891" t="s">
        <v>14742</v>
      </c>
      <c r="AB1891" t="s">
        <v>18975</v>
      </c>
    </row>
    <row r="1892" spans="1:28" x14ac:dyDescent="0.25">
      <c r="A1892" t="s">
        <v>1896</v>
      </c>
      <c r="B1892">
        <v>0.99876560204751996</v>
      </c>
      <c r="C1892">
        <v>0.696666142966341</v>
      </c>
      <c r="D1892">
        <v>0.49307262174616001</v>
      </c>
      <c r="E1892">
        <v>0.31646242959118498</v>
      </c>
      <c r="F1892">
        <v>0.14055800886581901</v>
      </c>
      <c r="G1892">
        <v>3.5576677642778498E-2</v>
      </c>
      <c r="H1892">
        <v>2.0788612001681601E-2</v>
      </c>
      <c r="I1892">
        <v>2.76784547284568E-2</v>
      </c>
      <c r="J1892">
        <v>3.2344278412765499E-2</v>
      </c>
      <c r="K1892">
        <v>0</v>
      </c>
      <c r="L1892">
        <v>657.64307691680199</v>
      </c>
      <c r="M1892">
        <v>14.215515514203201</v>
      </c>
      <c r="N1892">
        <v>46.272527829679198</v>
      </c>
      <c r="O1892">
        <v>45.375731710670301</v>
      </c>
      <c r="P1892">
        <v>-7.8208304938332501E-2</v>
      </c>
      <c r="Q1892">
        <v>1.5651000448055701E-3</v>
      </c>
      <c r="R1892">
        <v>0.98326089882886003</v>
      </c>
      <c r="S1892" t="s">
        <v>6188</v>
      </c>
      <c r="T1892" t="s">
        <v>8590</v>
      </c>
      <c r="U1892" t="s">
        <v>8590</v>
      </c>
      <c r="V1892" t="s">
        <v>8590</v>
      </c>
      <c r="W1892">
        <v>1</v>
      </c>
      <c r="X1892" t="s">
        <v>10482</v>
      </c>
      <c r="Y1892">
        <v>0.2418959008364277</v>
      </c>
      <c r="Z1892" t="str">
        <f>HYPERLINK("Melting_Curves/meltCurve_sp_Q16654_PDK4_HUMAN_.pdf", "Melting_Curves/meltCurve_sp_Q16654_PDK4_HUMAN_.pdf")</f>
        <v>Melting_Curves/meltCurve_sp_Q16654_PDK4_HUMAN_.pdf</v>
      </c>
      <c r="AA1892" t="s">
        <v>14743</v>
      </c>
      <c r="AB1892" t="s">
        <v>18976</v>
      </c>
    </row>
    <row r="1893" spans="1:28" x14ac:dyDescent="0.25">
      <c r="A1893" t="s">
        <v>1897</v>
      </c>
      <c r="B1893">
        <v>0.99876560204751996</v>
      </c>
      <c r="C1893">
        <v>0.94138566064119999</v>
      </c>
      <c r="D1893">
        <v>0.91986762644399001</v>
      </c>
      <c r="E1893">
        <v>0.89095008179969803</v>
      </c>
      <c r="F1893">
        <v>0.81681783708387401</v>
      </c>
      <c r="G1893">
        <v>0.55869756344608801</v>
      </c>
      <c r="H1893">
        <v>0.245657460469869</v>
      </c>
      <c r="I1893">
        <v>0.13864217756661101</v>
      </c>
      <c r="J1893">
        <v>0.10421109296585</v>
      </c>
      <c r="K1893">
        <v>8.5698242466449498E-2</v>
      </c>
      <c r="L1893">
        <v>979.86017288344794</v>
      </c>
      <c r="M1893">
        <v>17.1270494901941</v>
      </c>
      <c r="N1893">
        <v>57.376538790295001</v>
      </c>
      <c r="O1893">
        <v>56.448391560435802</v>
      </c>
      <c r="P1893">
        <v>-7.4031454048644196E-2</v>
      </c>
      <c r="Q1893">
        <v>2.4068647863893799E-2</v>
      </c>
      <c r="R1893">
        <v>0.99153817365497998</v>
      </c>
      <c r="S1893" t="s">
        <v>6189</v>
      </c>
      <c r="T1893" t="s">
        <v>8590</v>
      </c>
      <c r="U1893" t="s">
        <v>8590</v>
      </c>
      <c r="V1893" t="s">
        <v>8590</v>
      </c>
      <c r="W1893">
        <v>12</v>
      </c>
      <c r="X1893" t="s">
        <v>10483</v>
      </c>
      <c r="Y1893">
        <v>0.5976961747052647</v>
      </c>
      <c r="Z1893" t="str">
        <f>HYPERLINK("Melting_Curves/meltCurve_sp_Q16658_FSCN1_HUMAN_.pdf", "Melting_Curves/meltCurve_sp_Q16658_FSCN1_HUMAN_.pdf")</f>
        <v>Melting_Curves/meltCurve_sp_Q16658_FSCN1_HUMAN_.pdf</v>
      </c>
      <c r="AA1893" t="s">
        <v>14744</v>
      </c>
      <c r="AB1893" t="s">
        <v>18977</v>
      </c>
    </row>
    <row r="1894" spans="1:28" x14ac:dyDescent="0.25">
      <c r="A1894" t="s">
        <v>1898</v>
      </c>
      <c r="B1894">
        <v>0.99876560204751996</v>
      </c>
      <c r="C1894">
        <v>0.99200893737256202</v>
      </c>
      <c r="D1894">
        <v>0.95092812856382802</v>
      </c>
      <c r="E1894">
        <v>1.01451604803359</v>
      </c>
      <c r="F1894">
        <v>0.94815093359456304</v>
      </c>
      <c r="G1894">
        <v>0.82467920412562201</v>
      </c>
      <c r="H1894">
        <v>0.55713439357062999</v>
      </c>
      <c r="I1894">
        <v>0.36553696267186098</v>
      </c>
      <c r="J1894">
        <v>0.21438707940948401</v>
      </c>
      <c r="K1894">
        <v>7.8376128219708394E-2</v>
      </c>
      <c r="L1894">
        <v>1128.0960243343</v>
      </c>
      <c r="M1894">
        <v>18.229784817365601</v>
      </c>
      <c r="N1894">
        <v>61.882028218749802</v>
      </c>
      <c r="O1894">
        <v>61.151793985028398</v>
      </c>
      <c r="P1894">
        <v>-7.4530276316384494E-2</v>
      </c>
      <c r="Q1894">
        <v>0</v>
      </c>
      <c r="R1894">
        <v>0.99622518988936604</v>
      </c>
      <c r="S1894" t="s">
        <v>6190</v>
      </c>
      <c r="T1894" t="s">
        <v>8590</v>
      </c>
      <c r="U1894" t="s">
        <v>8590</v>
      </c>
      <c r="V1894" t="s">
        <v>8590</v>
      </c>
      <c r="W1894">
        <v>14</v>
      </c>
      <c r="X1894" t="s">
        <v>10484</v>
      </c>
      <c r="Y1894">
        <v>0.73160915765654444</v>
      </c>
      <c r="Z1894" t="str">
        <f>HYPERLINK("Melting_Curves/meltCurve_sp_Q16719_KYNU_HUMAN_.pdf", "Melting_Curves/meltCurve_sp_Q16719_KYNU_HUMAN_.pdf")</f>
        <v>Melting_Curves/meltCurve_sp_Q16719_KYNU_HUMAN_.pdf</v>
      </c>
      <c r="AA1894" t="s">
        <v>14745</v>
      </c>
      <c r="AB1894" t="s">
        <v>18978</v>
      </c>
    </row>
    <row r="1895" spans="1:28" x14ac:dyDescent="0.25">
      <c r="A1895" t="s">
        <v>1899</v>
      </c>
      <c r="B1895">
        <v>0.99876560204751996</v>
      </c>
      <c r="C1895">
        <v>0.91130794037600804</v>
      </c>
      <c r="D1895">
        <v>0.68686270812372396</v>
      </c>
      <c r="E1895">
        <v>0.756496598802327</v>
      </c>
      <c r="F1895">
        <v>0.46464066034108698</v>
      </c>
      <c r="G1895">
        <v>0.27282911860945702</v>
      </c>
      <c r="H1895">
        <v>9.6194420664504302E-2</v>
      </c>
      <c r="I1895">
        <v>4.9877161071277099E-2</v>
      </c>
      <c r="J1895">
        <v>3.7239342905987398E-2</v>
      </c>
      <c r="K1895">
        <v>3.0799721851379001E-2</v>
      </c>
      <c r="L1895">
        <v>646.28190999143396</v>
      </c>
      <c r="M1895">
        <v>12.375789634798499</v>
      </c>
      <c r="N1895">
        <v>52.2214450656613</v>
      </c>
      <c r="O1895">
        <v>50.914168021063801</v>
      </c>
      <c r="P1895">
        <v>-6.0780904923207098E-2</v>
      </c>
      <c r="Q1895">
        <v>0</v>
      </c>
      <c r="R1895">
        <v>0.96582471964982397</v>
      </c>
      <c r="S1895" t="s">
        <v>6191</v>
      </c>
      <c r="T1895" t="s">
        <v>8590</v>
      </c>
      <c r="U1895" t="s">
        <v>8590</v>
      </c>
      <c r="V1895" t="s">
        <v>8590</v>
      </c>
      <c r="W1895">
        <v>8</v>
      </c>
      <c r="X1895" t="s">
        <v>10485</v>
      </c>
      <c r="Y1895">
        <v>0.43637335465678528</v>
      </c>
      <c r="Z1895" t="str">
        <f>HYPERLINK("Melting_Curves/meltCurve_sp_Q16740_CLPP_HUMAN_.pdf", "Melting_Curves/meltCurve_sp_Q16740_CLPP_HUMAN_.pdf")</f>
        <v>Melting_Curves/meltCurve_sp_Q16740_CLPP_HUMAN_.pdf</v>
      </c>
      <c r="AA1895" t="s">
        <v>14746</v>
      </c>
      <c r="AB1895" t="s">
        <v>18979</v>
      </c>
    </row>
    <row r="1896" spans="1:28" x14ac:dyDescent="0.25">
      <c r="A1896" t="s">
        <v>1900</v>
      </c>
      <c r="B1896">
        <v>0.99876560204751996</v>
      </c>
      <c r="C1896">
        <v>1.0918806055779899</v>
      </c>
      <c r="D1896">
        <v>0.82949253930723199</v>
      </c>
      <c r="E1896">
        <v>0.83810553885389805</v>
      </c>
      <c r="F1896">
        <v>0.39052446429523302</v>
      </c>
      <c r="G1896">
        <v>0.105831375602619</v>
      </c>
      <c r="H1896">
        <v>5.4451070434248197E-2</v>
      </c>
      <c r="I1896">
        <v>4.0458863579393198E-2</v>
      </c>
      <c r="J1896">
        <v>3.6729212204379302E-2</v>
      </c>
      <c r="K1896">
        <v>2.76673534417817E-2</v>
      </c>
      <c r="L1896">
        <v>1599.0711192307699</v>
      </c>
      <c r="M1896">
        <v>30.6344213364873</v>
      </c>
      <c r="N1896">
        <v>52.322693885935699</v>
      </c>
      <c r="O1896">
        <v>51.977590565758</v>
      </c>
      <c r="P1896">
        <v>-0.14217868753558899</v>
      </c>
      <c r="Q1896">
        <v>3.5064310670112703E-2</v>
      </c>
      <c r="R1896">
        <v>0.98081277456961002</v>
      </c>
      <c r="S1896" t="s">
        <v>6192</v>
      </c>
      <c r="T1896" t="s">
        <v>8590</v>
      </c>
      <c r="U1896" t="s">
        <v>8590</v>
      </c>
      <c r="V1896" t="s">
        <v>8590</v>
      </c>
      <c r="W1896">
        <v>23</v>
      </c>
      <c r="X1896" t="s">
        <v>10486</v>
      </c>
      <c r="Y1896">
        <v>0.43335670224688921</v>
      </c>
      <c r="Z1896" t="str">
        <f>HYPERLINK("Melting_Curves/meltCurve_sp_Q16762_THTR_HUMAN_.pdf", "Melting_Curves/meltCurve_sp_Q16762_THTR_HUMAN_.pdf")</f>
        <v>Melting_Curves/meltCurve_sp_Q16762_THTR_HUMAN_.pdf</v>
      </c>
      <c r="AA1896" t="s">
        <v>14747</v>
      </c>
      <c r="AB1896" t="s">
        <v>18980</v>
      </c>
    </row>
    <row r="1897" spans="1:28" x14ac:dyDescent="0.25">
      <c r="A1897" t="s">
        <v>1901</v>
      </c>
      <c r="B1897">
        <v>0.99876560204751996</v>
      </c>
      <c r="C1897">
        <v>0.95085438594493699</v>
      </c>
      <c r="D1897">
        <v>0.87597678410396695</v>
      </c>
      <c r="E1897">
        <v>0.90455903477153499</v>
      </c>
      <c r="F1897">
        <v>0.74547519548929797</v>
      </c>
      <c r="G1897">
        <v>0.66451317591520898</v>
      </c>
      <c r="H1897">
        <v>0.36908512932250598</v>
      </c>
      <c r="I1897">
        <v>0.17434244069816701</v>
      </c>
      <c r="J1897">
        <v>7.0718733610835402E-2</v>
      </c>
      <c r="K1897">
        <v>5.3790650488837001E-2</v>
      </c>
      <c r="L1897">
        <v>858.64453184446302</v>
      </c>
      <c r="M1897">
        <v>14.741716365833</v>
      </c>
      <c r="N1897">
        <v>58.245899840564903</v>
      </c>
      <c r="O1897">
        <v>57.205582879450503</v>
      </c>
      <c r="P1897">
        <v>-6.4431257373414499E-2</v>
      </c>
      <c r="Q1897">
        <v>0</v>
      </c>
      <c r="R1897">
        <v>0.97626615602969402</v>
      </c>
      <c r="S1897" t="s">
        <v>6193</v>
      </c>
      <c r="T1897" t="s">
        <v>8590</v>
      </c>
      <c r="U1897" t="s">
        <v>8590</v>
      </c>
      <c r="V1897" t="s">
        <v>8590</v>
      </c>
      <c r="W1897">
        <v>7</v>
      </c>
      <c r="X1897" t="s">
        <v>10487</v>
      </c>
      <c r="Y1897">
        <v>0.62096284985233008</v>
      </c>
      <c r="Z1897" t="str">
        <f>HYPERLINK("Melting_Curves/meltCurve_sp_Q16773_KAT1_HUMAN_.pdf", "Melting_Curves/meltCurve_sp_Q16773_KAT1_HUMAN_.pdf")</f>
        <v>Melting_Curves/meltCurve_sp_Q16773_KAT1_HUMAN_.pdf</v>
      </c>
      <c r="AA1897" t="s">
        <v>14748</v>
      </c>
      <c r="AB1897" t="s">
        <v>18981</v>
      </c>
    </row>
    <row r="1898" spans="1:28" x14ac:dyDescent="0.25">
      <c r="A1898" t="s">
        <v>1902</v>
      </c>
      <c r="B1898">
        <v>0.99876560204751996</v>
      </c>
      <c r="C1898">
        <v>0.91312344807019596</v>
      </c>
      <c r="D1898">
        <v>1.0096922637469199</v>
      </c>
      <c r="E1898">
        <v>0.91074689304148104</v>
      </c>
      <c r="F1898">
        <v>0.87429862042292406</v>
      </c>
      <c r="G1898">
        <v>0.71426811296404003</v>
      </c>
      <c r="H1898">
        <v>0.529086738491645</v>
      </c>
      <c r="I1898">
        <v>0.36468331727256997</v>
      </c>
      <c r="J1898">
        <v>0.27713044869576697</v>
      </c>
      <c r="K1898">
        <v>0.143429930848224</v>
      </c>
      <c r="L1898">
        <v>753.76587582341699</v>
      </c>
      <c r="M1898">
        <v>12.3061115507321</v>
      </c>
      <c r="N1898">
        <v>61.251344374530802</v>
      </c>
      <c r="O1898">
        <v>59.701314121866197</v>
      </c>
      <c r="P1898">
        <v>-5.1543271850687702E-2</v>
      </c>
      <c r="Q1898">
        <v>0</v>
      </c>
      <c r="R1898">
        <v>0.98914885569195499</v>
      </c>
      <c r="S1898" t="s">
        <v>6194</v>
      </c>
      <c r="T1898" t="s">
        <v>8590</v>
      </c>
      <c r="U1898" t="s">
        <v>8590</v>
      </c>
      <c r="V1898" t="s">
        <v>8590</v>
      </c>
      <c r="W1898">
        <v>21</v>
      </c>
      <c r="X1898" t="s">
        <v>10488</v>
      </c>
      <c r="Y1898">
        <v>0.70358943989944356</v>
      </c>
      <c r="Z1898" t="str">
        <f>HYPERLINK("Melting_Curves/meltCurve_sp_Q16775_GLO2_HUMAN_.pdf", "Melting_Curves/meltCurve_sp_Q16775_GLO2_HUMAN_.pdf")</f>
        <v>Melting_Curves/meltCurve_sp_Q16775_GLO2_HUMAN_.pdf</v>
      </c>
      <c r="AA1898" t="s">
        <v>14749</v>
      </c>
      <c r="AB1898" t="s">
        <v>18982</v>
      </c>
    </row>
    <row r="1899" spans="1:28" x14ac:dyDescent="0.25">
      <c r="A1899" t="s">
        <v>1903</v>
      </c>
      <c r="B1899">
        <v>0.99876560204751996</v>
      </c>
      <c r="C1899">
        <v>0.99806367275391605</v>
      </c>
      <c r="D1899">
        <v>0.72621902873617195</v>
      </c>
      <c r="E1899">
        <v>0.62546231447434497</v>
      </c>
      <c r="F1899">
        <v>0.37998759539550703</v>
      </c>
      <c r="G1899">
        <v>0.191315072286601</v>
      </c>
      <c r="H1899">
        <v>5.9901539809670001E-2</v>
      </c>
      <c r="I1899">
        <v>3.5093443093382297E-2</v>
      </c>
      <c r="J1899">
        <v>2.8147460103786801E-2</v>
      </c>
      <c r="K1899">
        <v>2.20991517210808E-2</v>
      </c>
      <c r="L1899">
        <v>722.66106683089004</v>
      </c>
      <c r="M1899">
        <v>14.1483248293003</v>
      </c>
      <c r="N1899">
        <v>51.077500444724699</v>
      </c>
      <c r="O1899">
        <v>50.0895832145276</v>
      </c>
      <c r="P1899">
        <v>-7.0624073221698003E-2</v>
      </c>
      <c r="Q1899">
        <v>0</v>
      </c>
      <c r="R1899">
        <v>0.98752093205981195</v>
      </c>
      <c r="S1899" t="s">
        <v>6195</v>
      </c>
      <c r="T1899" t="s">
        <v>8590</v>
      </c>
      <c r="U1899" t="s">
        <v>8590</v>
      </c>
      <c r="V1899" t="s">
        <v>8590</v>
      </c>
      <c r="W1899">
        <v>55</v>
      </c>
      <c r="X1899" t="s">
        <v>10489</v>
      </c>
      <c r="Y1899">
        <v>0.39458249599167339</v>
      </c>
      <c r="Z1899" t="str">
        <f>HYPERLINK("Melting_Curves/meltCurve_sp_Q16822_PCKGM_HUMAN_.pdf", "Melting_Curves/meltCurve_sp_Q16822_PCKGM_HUMAN_.pdf")</f>
        <v>Melting_Curves/meltCurve_sp_Q16822_PCKGM_HUMAN_.pdf</v>
      </c>
      <c r="AA1899" t="s">
        <v>14750</v>
      </c>
      <c r="AB1899" t="s">
        <v>18983</v>
      </c>
    </row>
    <row r="1900" spans="1:28" x14ac:dyDescent="0.25">
      <c r="A1900" t="s">
        <v>1904</v>
      </c>
      <c r="B1900">
        <v>0.99876560204751996</v>
      </c>
      <c r="C1900">
        <v>0.91885747938167195</v>
      </c>
      <c r="D1900">
        <v>0.75219790019032495</v>
      </c>
      <c r="E1900">
        <v>0.883729802372898</v>
      </c>
      <c r="F1900">
        <v>0.80146850889847798</v>
      </c>
      <c r="G1900">
        <v>0.76997467133094999</v>
      </c>
      <c r="H1900">
        <v>0.58853936224784698</v>
      </c>
      <c r="I1900">
        <v>0.59494871236269098</v>
      </c>
      <c r="J1900">
        <v>0.700530349986628</v>
      </c>
      <c r="K1900">
        <v>0.48885685971945098</v>
      </c>
      <c r="L1900">
        <v>240.515958369239</v>
      </c>
      <c r="M1900">
        <v>3.2495677830276999</v>
      </c>
      <c r="O1900">
        <v>56.372632430095699</v>
      </c>
      <c r="P1900">
        <v>-1.47634157332581E-2</v>
      </c>
      <c r="Q1900">
        <v>0</v>
      </c>
      <c r="R1900">
        <v>0.78974065312586605</v>
      </c>
      <c r="S1900" t="s">
        <v>6196</v>
      </c>
      <c r="T1900" t="s">
        <v>8590</v>
      </c>
      <c r="U1900" t="s">
        <v>8590</v>
      </c>
      <c r="V1900" t="s">
        <v>8590</v>
      </c>
      <c r="W1900">
        <v>1</v>
      </c>
      <c r="X1900" t="s">
        <v>10490</v>
      </c>
      <c r="Y1900">
        <v>0.75143403099769857</v>
      </c>
      <c r="Z1900" t="str">
        <f>HYPERLINK("Melting_Curves/meltCurve_sp_Q16825_PTN21_HUMAN_.pdf", "Melting_Curves/meltCurve_sp_Q16825_PTN21_HUMAN_.pdf")</f>
        <v>Melting_Curves/meltCurve_sp_Q16825_PTN21_HUMAN_.pdf</v>
      </c>
      <c r="AA1900" t="s">
        <v>14751</v>
      </c>
      <c r="AB1900" t="s">
        <v>18984</v>
      </c>
    </row>
    <row r="1901" spans="1:28" x14ac:dyDescent="0.25">
      <c r="A1901" t="s">
        <v>1905</v>
      </c>
      <c r="B1901">
        <v>0.99876560204751996</v>
      </c>
      <c r="C1901">
        <v>0.99886683902580597</v>
      </c>
      <c r="D1901">
        <v>1.05972473273437</v>
      </c>
      <c r="E1901">
        <v>0.862568675176967</v>
      </c>
      <c r="F1901">
        <v>0.69054798749719304</v>
      </c>
      <c r="G1901">
        <v>0.50688008265503903</v>
      </c>
      <c r="H1901">
        <v>0.244697372843932</v>
      </c>
      <c r="I1901">
        <v>0.105288873963938</v>
      </c>
      <c r="J1901">
        <v>9.5861693203965606E-2</v>
      </c>
      <c r="K1901">
        <v>5.4640809259047803E-2</v>
      </c>
      <c r="L1901">
        <v>867.30041243318897</v>
      </c>
      <c r="M1901">
        <v>15.3546570201707</v>
      </c>
      <c r="N1901">
        <v>56.484538777491501</v>
      </c>
      <c r="O1901">
        <v>55.552446724629803</v>
      </c>
      <c r="P1901">
        <v>-6.9106193344527306E-2</v>
      </c>
      <c r="Q1901">
        <v>0</v>
      </c>
      <c r="R1901">
        <v>0.99125687534921902</v>
      </c>
      <c r="S1901" t="s">
        <v>6197</v>
      </c>
      <c r="T1901" t="s">
        <v>8590</v>
      </c>
      <c r="U1901" t="s">
        <v>8590</v>
      </c>
      <c r="V1901" t="s">
        <v>8590</v>
      </c>
      <c r="W1901">
        <v>3</v>
      </c>
      <c r="X1901" t="s">
        <v>10491</v>
      </c>
      <c r="Y1901">
        <v>0.56605494265233613</v>
      </c>
      <c r="Z1901" t="str">
        <f>HYPERLINK("Melting_Curves/meltCurve_sp_Q16831_UPP1_HUMAN_.pdf", "Melting_Curves/meltCurve_sp_Q16831_UPP1_HUMAN_.pdf")</f>
        <v>Melting_Curves/meltCurve_sp_Q16831_UPP1_HUMAN_.pdf</v>
      </c>
      <c r="AA1901" t="s">
        <v>14752</v>
      </c>
      <c r="AB1901" t="s">
        <v>18985</v>
      </c>
    </row>
    <row r="1902" spans="1:28" x14ac:dyDescent="0.25">
      <c r="A1902" t="s">
        <v>1906</v>
      </c>
      <c r="B1902">
        <v>0.99876560204751996</v>
      </c>
      <c r="C1902">
        <v>0.94646773738529699</v>
      </c>
      <c r="D1902">
        <v>1.02844993490395</v>
      </c>
      <c r="E1902">
        <v>0.97814954199881898</v>
      </c>
      <c r="F1902">
        <v>0.994210084967735</v>
      </c>
      <c r="G1902">
        <v>0.86618441328712803</v>
      </c>
      <c r="H1902">
        <v>0.78303590497615405</v>
      </c>
      <c r="I1902">
        <v>0.77573241682072702</v>
      </c>
      <c r="J1902">
        <v>0.86037162549521795</v>
      </c>
      <c r="K1902">
        <v>0.59712694909734398</v>
      </c>
      <c r="L1902">
        <v>478.12954605818101</v>
      </c>
      <c r="M1902">
        <v>6.1450884579337597</v>
      </c>
      <c r="Q1902">
        <v>0</v>
      </c>
      <c r="R1902">
        <v>0.79532186474010902</v>
      </c>
      <c r="S1902" t="s">
        <v>6198</v>
      </c>
      <c r="T1902" t="s">
        <v>8590</v>
      </c>
      <c r="U1902" t="s">
        <v>8590</v>
      </c>
      <c r="V1902" t="s">
        <v>8590</v>
      </c>
      <c r="W1902">
        <v>25</v>
      </c>
      <c r="X1902" t="s">
        <v>10492</v>
      </c>
      <c r="Y1902">
        <v>0.89260274902181846</v>
      </c>
      <c r="Z1902" t="str">
        <f>HYPERLINK("Melting_Curves/meltCurve_sp_Q16836_HCDH_HUMAN_.pdf", "Melting_Curves/meltCurve_sp_Q16836_HCDH_HUMAN_.pdf")</f>
        <v>Melting_Curves/meltCurve_sp_Q16836_HCDH_HUMAN_.pdf</v>
      </c>
      <c r="AA1902" t="s">
        <v>14753</v>
      </c>
      <c r="AB1902" t="s">
        <v>18986</v>
      </c>
    </row>
    <row r="1903" spans="1:28" x14ac:dyDescent="0.25">
      <c r="A1903" t="s">
        <v>1907</v>
      </c>
      <c r="B1903">
        <v>0.99876560204751996</v>
      </c>
      <c r="C1903">
        <v>1.22559003969714</v>
      </c>
      <c r="D1903">
        <v>0.82064501429286396</v>
      </c>
      <c r="E1903">
        <v>1.07015064611147</v>
      </c>
      <c r="F1903">
        <v>0.712986527215138</v>
      </c>
      <c r="G1903">
        <v>0.281545720201276</v>
      </c>
      <c r="H1903">
        <v>0.124669793307985</v>
      </c>
      <c r="I1903">
        <v>0.125978916317497</v>
      </c>
      <c r="J1903">
        <v>0.137276590084697</v>
      </c>
      <c r="K1903">
        <v>4.5982530808561503E-2</v>
      </c>
      <c r="L1903">
        <v>1892.32123801649</v>
      </c>
      <c r="M1903">
        <v>34.756583175129101</v>
      </c>
      <c r="N1903">
        <v>54.814729199631202</v>
      </c>
      <c r="O1903">
        <v>54.265696628283301</v>
      </c>
      <c r="P1903">
        <v>-0.14339002708485099</v>
      </c>
      <c r="Q1903">
        <v>0.10450005282190999</v>
      </c>
      <c r="R1903">
        <v>0.94641908167802802</v>
      </c>
      <c r="S1903" t="s">
        <v>6199</v>
      </c>
      <c r="T1903" t="s">
        <v>8590</v>
      </c>
      <c r="U1903" t="s">
        <v>8590</v>
      </c>
      <c r="V1903" t="s">
        <v>8590</v>
      </c>
      <c r="W1903">
        <v>49</v>
      </c>
      <c r="X1903" t="s">
        <v>10493</v>
      </c>
      <c r="Y1903">
        <v>0.54012346603048</v>
      </c>
      <c r="Z1903" t="str">
        <f>HYPERLINK("Melting_Curves/meltCurve_sp_Q16851_2_UGPA_HUMAN_.pdf", "Melting_Curves/meltCurve_sp_Q16851_2_UGPA_HUMAN_.pdf")</f>
        <v>Melting_Curves/meltCurve_sp_Q16851_2_UGPA_HUMAN_.pdf</v>
      </c>
      <c r="AA1903" t="s">
        <v>14754</v>
      </c>
      <c r="AB1903" t="s">
        <v>18987</v>
      </c>
    </row>
    <row r="1904" spans="1:28" x14ac:dyDescent="0.25">
      <c r="A1904" t="s">
        <v>1908</v>
      </c>
      <c r="B1904">
        <v>0.99876560204751996</v>
      </c>
      <c r="C1904">
        <v>1.1483041088830599</v>
      </c>
      <c r="D1904">
        <v>1.0786373913054501</v>
      </c>
      <c r="E1904">
        <v>1.15584585999706</v>
      </c>
      <c r="F1904">
        <v>1.1673339727491401</v>
      </c>
      <c r="G1904">
        <v>0.30090299231758399</v>
      </c>
      <c r="H1904">
        <v>7.98831881289844E-2</v>
      </c>
      <c r="I1904">
        <v>5.4758058235248097E-2</v>
      </c>
      <c r="J1904">
        <v>4.6022006790907302E-2</v>
      </c>
      <c r="K1904">
        <v>3.8681727274107597E-2</v>
      </c>
      <c r="L1904">
        <v>14190.4813683991</v>
      </c>
      <c r="M1904">
        <v>250</v>
      </c>
      <c r="N1904">
        <v>56.788313059946802</v>
      </c>
      <c r="O1904">
        <v>56.7582931066177</v>
      </c>
      <c r="P1904">
        <v>-1.04077716621784</v>
      </c>
      <c r="Q1904">
        <v>5.4836234095009401E-2</v>
      </c>
      <c r="R1904">
        <v>0.96865917443026295</v>
      </c>
      <c r="S1904" t="s">
        <v>6200</v>
      </c>
      <c r="T1904" t="s">
        <v>8590</v>
      </c>
      <c r="U1904" t="s">
        <v>8590</v>
      </c>
      <c r="V1904" t="s">
        <v>8590</v>
      </c>
      <c r="W1904">
        <v>51</v>
      </c>
      <c r="X1904" t="s">
        <v>10494</v>
      </c>
      <c r="Y1904">
        <v>0.58302254128972786</v>
      </c>
      <c r="Z1904" t="str">
        <f>HYPERLINK("Melting_Curves/meltCurve_sp_Q16851_UGPA_HUMAN_.pdf", "Melting_Curves/meltCurve_sp_Q16851_UGPA_HUMAN_.pdf")</f>
        <v>Melting_Curves/meltCurve_sp_Q16851_UGPA_HUMAN_.pdf</v>
      </c>
      <c r="AA1904" t="s">
        <v>14754</v>
      </c>
      <c r="AB1904" t="s">
        <v>18988</v>
      </c>
    </row>
    <row r="1905" spans="1:28" x14ac:dyDescent="0.25">
      <c r="A1905" t="s">
        <v>1909</v>
      </c>
      <c r="B1905">
        <v>0.99876560204751996</v>
      </c>
      <c r="C1905">
        <v>0.93615510571051497</v>
      </c>
      <c r="D1905">
        <v>0.90726542855834702</v>
      </c>
      <c r="E1905">
        <v>0.83247996240341104</v>
      </c>
      <c r="F1905">
        <v>0.75482977874343904</v>
      </c>
      <c r="G1905">
        <v>0.80452284251964001</v>
      </c>
      <c r="H1905">
        <v>0.61461360959433498</v>
      </c>
      <c r="I1905">
        <v>0.49781297897750298</v>
      </c>
      <c r="J1905">
        <v>0.115426488870254</v>
      </c>
      <c r="K1905">
        <v>5.7262809667505299E-2</v>
      </c>
      <c r="L1905">
        <v>854.41031773237296</v>
      </c>
      <c r="M1905">
        <v>13.8605155918936</v>
      </c>
      <c r="N1905">
        <v>61.6434729626963</v>
      </c>
      <c r="O1905">
        <v>60.402825229318402</v>
      </c>
      <c r="P1905">
        <v>-5.7374893443408098E-2</v>
      </c>
      <c r="Q1905">
        <v>0</v>
      </c>
      <c r="R1905">
        <v>0.89783205280681899</v>
      </c>
      <c r="S1905" t="s">
        <v>6201</v>
      </c>
      <c r="T1905" t="s">
        <v>8590</v>
      </c>
      <c r="U1905" t="s">
        <v>8590</v>
      </c>
      <c r="V1905" t="s">
        <v>8590</v>
      </c>
      <c r="W1905">
        <v>6</v>
      </c>
      <c r="X1905" t="s">
        <v>10495</v>
      </c>
      <c r="Y1905">
        <v>0.71829770815231009</v>
      </c>
      <c r="Z1905" t="str">
        <f>HYPERLINK("Melting_Curves/meltCurve_sp_Q16854_DGUOK_HUMAN_.pdf", "Melting_Curves/meltCurve_sp_Q16854_DGUOK_HUMAN_.pdf")</f>
        <v>Melting_Curves/meltCurve_sp_Q16854_DGUOK_HUMAN_.pdf</v>
      </c>
      <c r="AA1905" t="s">
        <v>14755</v>
      </c>
      <c r="AB1905" t="s">
        <v>18989</v>
      </c>
    </row>
    <row r="1906" spans="1:28" x14ac:dyDescent="0.25">
      <c r="A1906" t="s">
        <v>1910</v>
      </c>
      <c r="B1906">
        <v>0.99876560204751996</v>
      </c>
      <c r="C1906">
        <v>1.07686720587324</v>
      </c>
      <c r="D1906">
        <v>1.0757011764551301</v>
      </c>
      <c r="E1906">
        <v>1.03735091412161</v>
      </c>
      <c r="F1906">
        <v>0.90751212833455996</v>
      </c>
      <c r="G1906">
        <v>0.60846841165838506</v>
      </c>
      <c r="H1906">
        <v>0.35844898171160799</v>
      </c>
      <c r="I1906">
        <v>0.20569459745507601</v>
      </c>
      <c r="J1906">
        <v>0.23626253308877601</v>
      </c>
      <c r="K1906">
        <v>0.18731466442889599</v>
      </c>
      <c r="L1906">
        <v>1516.25292128259</v>
      </c>
      <c r="M1906">
        <v>26.474935306390702</v>
      </c>
      <c r="N1906">
        <v>58.350693241204603</v>
      </c>
      <c r="O1906">
        <v>56.947501980668399</v>
      </c>
      <c r="P1906">
        <v>-9.3723408277759407E-2</v>
      </c>
      <c r="Q1906">
        <v>0.19361362012969499</v>
      </c>
      <c r="R1906">
        <v>0.98679950159994601</v>
      </c>
      <c r="S1906" t="s">
        <v>6202</v>
      </c>
      <c r="T1906" t="s">
        <v>8590</v>
      </c>
      <c r="U1906" t="s">
        <v>8590</v>
      </c>
      <c r="V1906" t="s">
        <v>8590</v>
      </c>
      <c r="W1906">
        <v>3</v>
      </c>
      <c r="X1906" t="s">
        <v>10496</v>
      </c>
      <c r="Y1906">
        <v>0.66445429483944196</v>
      </c>
      <c r="Z1906" t="str">
        <f>HYPERLINK("Melting_Curves/meltCurve_sp_Q16864_VATF_HUMAN_.pdf", "Melting_Curves/meltCurve_sp_Q16864_VATF_HUMAN_.pdf")</f>
        <v>Melting_Curves/meltCurve_sp_Q16864_VATF_HUMAN_.pdf</v>
      </c>
      <c r="AA1906" t="s">
        <v>14756</v>
      </c>
      <c r="AB1906" t="s">
        <v>18990</v>
      </c>
    </row>
    <row r="1907" spans="1:28" x14ac:dyDescent="0.25">
      <c r="A1907" t="s">
        <v>1911</v>
      </c>
      <c r="B1907">
        <v>0.99876560204751996</v>
      </c>
      <c r="C1907">
        <v>0.81944811101911197</v>
      </c>
      <c r="D1907">
        <v>0.87080084701060301</v>
      </c>
      <c r="E1907">
        <v>0.65776396826804495</v>
      </c>
      <c r="F1907">
        <v>0.66195970609918597</v>
      </c>
      <c r="G1907">
        <v>0.517855725891189</v>
      </c>
      <c r="H1907">
        <v>0.28929065180476998</v>
      </c>
      <c r="I1907">
        <v>0.16220492393528299</v>
      </c>
      <c r="J1907">
        <v>0.12794394884247901</v>
      </c>
      <c r="K1907">
        <v>0.135228224130059</v>
      </c>
      <c r="L1907">
        <v>497.336225817171</v>
      </c>
      <c r="M1907">
        <v>8.9976795859944598</v>
      </c>
      <c r="N1907">
        <v>55.273831543154898</v>
      </c>
      <c r="O1907">
        <v>52.748363523770898</v>
      </c>
      <c r="P1907">
        <v>-4.2675353799240402E-2</v>
      </c>
      <c r="Q1907">
        <v>0</v>
      </c>
      <c r="R1907">
        <v>0.963354388739881</v>
      </c>
      <c r="S1907" t="s">
        <v>6203</v>
      </c>
      <c r="T1907" t="s">
        <v>8590</v>
      </c>
      <c r="U1907" t="s">
        <v>8590</v>
      </c>
      <c r="V1907" t="s">
        <v>8590</v>
      </c>
      <c r="W1907">
        <v>2</v>
      </c>
      <c r="X1907" t="s">
        <v>10497</v>
      </c>
      <c r="Y1907">
        <v>0.53427342057583826</v>
      </c>
      <c r="Z1907" t="str">
        <f>HYPERLINK("Melting_Curves/meltCurve_sp_Q16878_CDO1_HUMAN_.pdf", "Melting_Curves/meltCurve_sp_Q16878_CDO1_HUMAN_.pdf")</f>
        <v>Melting_Curves/meltCurve_sp_Q16878_CDO1_HUMAN_.pdf</v>
      </c>
      <c r="AA1907" t="s">
        <v>14757</v>
      </c>
      <c r="AB1907" t="s">
        <v>18991</v>
      </c>
    </row>
    <row r="1908" spans="1:28" x14ac:dyDescent="0.25">
      <c r="A1908" t="s">
        <v>1912</v>
      </c>
      <c r="B1908">
        <v>0.99876560204751996</v>
      </c>
      <c r="C1908">
        <v>0.89989533645298403</v>
      </c>
      <c r="D1908">
        <v>0.93010259299175302</v>
      </c>
      <c r="E1908">
        <v>0.97116947890496597</v>
      </c>
      <c r="F1908">
        <v>1.0624205169533001</v>
      </c>
      <c r="G1908">
        <v>0.84205679436398395</v>
      </c>
      <c r="H1908">
        <v>0.53555851174083702</v>
      </c>
      <c r="I1908">
        <v>0.730258443139709</v>
      </c>
      <c r="J1908">
        <v>0.30207004487352601</v>
      </c>
      <c r="K1908">
        <v>0.26342172448138401</v>
      </c>
      <c r="L1908">
        <v>859.96878484761396</v>
      </c>
      <c r="M1908">
        <v>13.3066181229393</v>
      </c>
      <c r="N1908">
        <v>64.6271374869917</v>
      </c>
      <c r="O1908">
        <v>63.219882213652198</v>
      </c>
      <c r="P1908">
        <v>-5.2628873922901803E-2</v>
      </c>
      <c r="Q1908">
        <v>0</v>
      </c>
      <c r="R1908">
        <v>0.87244774087763</v>
      </c>
      <c r="S1908" t="s">
        <v>6204</v>
      </c>
      <c r="T1908" t="s">
        <v>8590</v>
      </c>
      <c r="U1908" t="s">
        <v>8590</v>
      </c>
      <c r="V1908" t="s">
        <v>8590</v>
      </c>
      <c r="W1908">
        <v>1</v>
      </c>
      <c r="X1908" t="s">
        <v>10498</v>
      </c>
      <c r="Y1908">
        <v>0.79196323758480502</v>
      </c>
      <c r="Z1908" t="str">
        <f>HYPERLINK("Melting_Curves/meltCurve_sp_Q17R31_5_TATD3_HUMAN_.pdf", "Melting_Curves/meltCurve_sp_Q17R31_5_TATD3_HUMAN_.pdf")</f>
        <v>Melting_Curves/meltCurve_sp_Q17R31_5_TATD3_HUMAN_.pdf</v>
      </c>
      <c r="AA1908" t="s">
        <v>14758</v>
      </c>
      <c r="AB1908" t="s">
        <v>18992</v>
      </c>
    </row>
    <row r="1909" spans="1:28" x14ac:dyDescent="0.25">
      <c r="A1909" t="s">
        <v>1913</v>
      </c>
      <c r="B1909">
        <v>0.99876560204751996</v>
      </c>
      <c r="C1909">
        <v>0.80286699525751803</v>
      </c>
      <c r="D1909">
        <v>1.05167544157732</v>
      </c>
      <c r="E1909">
        <v>0.802931569749051</v>
      </c>
      <c r="F1909">
        <v>0.90510199710783801</v>
      </c>
      <c r="G1909">
        <v>0.75534146662470403</v>
      </c>
      <c r="H1909">
        <v>0.508141080876789</v>
      </c>
      <c r="I1909">
        <v>0.69592495346613004</v>
      </c>
      <c r="J1909">
        <v>0.990342444767498</v>
      </c>
      <c r="K1909">
        <v>1.0674080562325401</v>
      </c>
      <c r="L1909">
        <v>634.70461769250801</v>
      </c>
      <c r="M1909">
        <v>14.0260479219184</v>
      </c>
      <c r="O1909">
        <v>44.361796079363501</v>
      </c>
      <c r="P1909">
        <v>-1.4647019400430001E-2</v>
      </c>
      <c r="Q1909">
        <v>0.81472114977469701</v>
      </c>
      <c r="R1909">
        <v>8.7933896534531694E-2</v>
      </c>
      <c r="S1909" t="s">
        <v>6205</v>
      </c>
      <c r="T1909" t="s">
        <v>8590</v>
      </c>
      <c r="U1909" t="s">
        <v>8590</v>
      </c>
      <c r="V1909" t="s">
        <v>8590</v>
      </c>
      <c r="W1909">
        <v>5</v>
      </c>
      <c r="X1909" t="s">
        <v>10499</v>
      </c>
      <c r="Y1909">
        <v>0.85381810074589071</v>
      </c>
      <c r="Z1909" t="str">
        <f>HYPERLINK("Melting_Curves/meltCurve_sp_Q17RC7_EX3L4_HUMAN_.pdf", "Melting_Curves/meltCurve_sp_Q17RC7_EX3L4_HUMAN_.pdf")</f>
        <v>Melting_Curves/meltCurve_sp_Q17RC7_EX3L4_HUMAN_.pdf</v>
      </c>
      <c r="AA1909" t="s">
        <v>14759</v>
      </c>
      <c r="AB1909" t="s">
        <v>18993</v>
      </c>
    </row>
    <row r="1910" spans="1:28" x14ac:dyDescent="0.25">
      <c r="A1910" t="s">
        <v>1914</v>
      </c>
      <c r="B1910">
        <v>0.99876560204751996</v>
      </c>
      <c r="C1910">
        <v>0.99839198464512202</v>
      </c>
      <c r="D1910">
        <v>0.80873601695983</v>
      </c>
      <c r="E1910">
        <v>0.69434401178366001</v>
      </c>
      <c r="F1910">
        <v>0.36062181734089099</v>
      </c>
      <c r="G1910">
        <v>0.192915062746399</v>
      </c>
      <c r="H1910">
        <v>9.1768810291544003E-2</v>
      </c>
      <c r="I1910">
        <v>5.50433671220018E-2</v>
      </c>
      <c r="J1910">
        <v>2.93908339471891E-2</v>
      </c>
      <c r="K1910">
        <v>1.95438094295791E-2</v>
      </c>
      <c r="L1910">
        <v>821.38099527921599</v>
      </c>
      <c r="M1910">
        <v>15.905922773751101</v>
      </c>
      <c r="N1910">
        <v>51.682923527979703</v>
      </c>
      <c r="O1910">
        <v>50.844385340946097</v>
      </c>
      <c r="P1910">
        <v>-7.7701273008196597E-2</v>
      </c>
      <c r="Q1910">
        <v>6.5698061741745299E-3</v>
      </c>
      <c r="R1910">
        <v>0.99205097800501796</v>
      </c>
      <c r="S1910" t="s">
        <v>6206</v>
      </c>
      <c r="T1910" t="s">
        <v>8590</v>
      </c>
      <c r="U1910" t="s">
        <v>8590</v>
      </c>
      <c r="V1910" t="s">
        <v>8590</v>
      </c>
      <c r="W1910">
        <v>4</v>
      </c>
      <c r="X1910" t="s">
        <v>10500</v>
      </c>
      <c r="Y1910">
        <v>0.41248508411810969</v>
      </c>
      <c r="Z1910" t="str">
        <f>HYPERLINK("Melting_Curves/meltCurve_sp_Q17RN3_FA98C_HUMAN_.pdf", "Melting_Curves/meltCurve_sp_Q17RN3_FA98C_HUMAN_.pdf")</f>
        <v>Melting_Curves/meltCurve_sp_Q17RN3_FA98C_HUMAN_.pdf</v>
      </c>
      <c r="AA1910" t="s">
        <v>14760</v>
      </c>
      <c r="AB1910" t="s">
        <v>18994</v>
      </c>
    </row>
    <row r="1911" spans="1:28" x14ac:dyDescent="0.25">
      <c r="A1911" t="s">
        <v>1915</v>
      </c>
      <c r="B1911">
        <v>0.99876560204751996</v>
      </c>
      <c r="C1911">
        <v>0.87420171515588396</v>
      </c>
      <c r="D1911">
        <v>0.97649378308684698</v>
      </c>
      <c r="E1911">
        <v>0.69951178855594298</v>
      </c>
      <c r="F1911">
        <v>0.89032076841754904</v>
      </c>
      <c r="G1911">
        <v>0.68455752057474695</v>
      </c>
      <c r="H1911">
        <v>0.464179565736208</v>
      </c>
      <c r="I1911">
        <v>0.58145696481446296</v>
      </c>
      <c r="J1911">
        <v>0.65044787854962605</v>
      </c>
      <c r="K1911">
        <v>0.51664286187791097</v>
      </c>
      <c r="L1911">
        <v>497.87417775882</v>
      </c>
      <c r="M1911">
        <v>9.3541693065407507</v>
      </c>
      <c r="O1911">
        <v>50.962219360161903</v>
      </c>
      <c r="P1911">
        <v>-2.3427779860240899E-2</v>
      </c>
      <c r="Q1911">
        <v>0.489774837868105</v>
      </c>
      <c r="R1911">
        <v>0.76611462006638198</v>
      </c>
      <c r="S1911" t="s">
        <v>6207</v>
      </c>
      <c r="T1911" t="s">
        <v>8590</v>
      </c>
      <c r="U1911" t="s">
        <v>8590</v>
      </c>
      <c r="V1911" t="s">
        <v>8590</v>
      </c>
      <c r="W1911">
        <v>1</v>
      </c>
      <c r="X1911" t="s">
        <v>10501</v>
      </c>
      <c r="Y1911">
        <v>0.73265763853364851</v>
      </c>
      <c r="Z1911" t="str">
        <f>HYPERLINK("Melting_Curves/meltCurve_sp_Q1W6H9_F110C_HUMAN_.pdf", "Melting_Curves/meltCurve_sp_Q1W6H9_F110C_HUMAN_.pdf")</f>
        <v>Melting_Curves/meltCurve_sp_Q1W6H9_F110C_HUMAN_.pdf</v>
      </c>
      <c r="AA1911" t="s">
        <v>14761</v>
      </c>
      <c r="AB1911" t="s">
        <v>18995</v>
      </c>
    </row>
    <row r="1912" spans="1:28" x14ac:dyDescent="0.25">
      <c r="A1912" t="s">
        <v>1916</v>
      </c>
      <c r="B1912">
        <v>0.99876560204751996</v>
      </c>
      <c r="C1912">
        <v>1.0026965726694199</v>
      </c>
      <c r="D1912">
        <v>0.99895398988413497</v>
      </c>
      <c r="E1912">
        <v>0.74903129107039101</v>
      </c>
      <c r="F1912">
        <v>0.43279219888016002</v>
      </c>
      <c r="G1912">
        <v>0.14104866389635401</v>
      </c>
      <c r="H1912">
        <v>8.4722015606968307E-2</v>
      </c>
      <c r="I1912">
        <v>6.3685451682207406E-2</v>
      </c>
      <c r="J1912">
        <v>6.5102619680037097E-2</v>
      </c>
      <c r="K1912">
        <v>4.6218196252582097E-2</v>
      </c>
      <c r="L1912">
        <v>1354.4194811744901</v>
      </c>
      <c r="M1912">
        <v>26.000608951277801</v>
      </c>
      <c r="N1912">
        <v>52.331453008466703</v>
      </c>
      <c r="O1912">
        <v>51.7866071672724</v>
      </c>
      <c r="P1912">
        <v>-0.118475394321196</v>
      </c>
      <c r="Q1912">
        <v>5.6119068087306503E-2</v>
      </c>
      <c r="R1912">
        <v>0.99921077009262504</v>
      </c>
      <c r="S1912" t="s">
        <v>6208</v>
      </c>
      <c r="T1912" t="s">
        <v>8590</v>
      </c>
      <c r="U1912" t="s">
        <v>8590</v>
      </c>
      <c r="V1912" t="s">
        <v>8590</v>
      </c>
      <c r="W1912">
        <v>19</v>
      </c>
      <c r="X1912" t="s">
        <v>10502</v>
      </c>
      <c r="Y1912">
        <v>0.44455641027332221</v>
      </c>
      <c r="Z1912" t="str">
        <f>HYPERLINK("Melting_Curves/meltCurve_sp_Q27J81_INF2_HUMAN_.pdf", "Melting_Curves/meltCurve_sp_Q27J81_INF2_HUMAN_.pdf")</f>
        <v>Melting_Curves/meltCurve_sp_Q27J81_INF2_HUMAN_.pdf</v>
      </c>
      <c r="AA1912" t="s">
        <v>14762</v>
      </c>
      <c r="AB1912" t="s">
        <v>18996</v>
      </c>
    </row>
    <row r="1913" spans="1:28" x14ac:dyDescent="0.25">
      <c r="A1913" t="s">
        <v>1917</v>
      </c>
      <c r="B1913">
        <v>0.99876560204751996</v>
      </c>
      <c r="C1913">
        <v>0.92670961738771396</v>
      </c>
      <c r="D1913">
        <v>0.78175298589075304</v>
      </c>
      <c r="E1913">
        <v>0.47558078206625498</v>
      </c>
      <c r="F1913">
        <v>0.37122446385457297</v>
      </c>
      <c r="G1913">
        <v>0.25121428410844399</v>
      </c>
      <c r="H1913">
        <v>0.212382529063181</v>
      </c>
      <c r="I1913">
        <v>0.21504988870376299</v>
      </c>
      <c r="J1913">
        <v>0.24640281548239101</v>
      </c>
      <c r="K1913">
        <v>0.26430407828712599</v>
      </c>
      <c r="L1913">
        <v>923.09675498311196</v>
      </c>
      <c r="M1913">
        <v>19.152270624832902</v>
      </c>
      <c r="N1913">
        <v>49.785908761746001</v>
      </c>
      <c r="O1913">
        <v>47.681538785700702</v>
      </c>
      <c r="P1913">
        <v>-7.7467295436594294E-2</v>
      </c>
      <c r="Q1913">
        <v>0.22857874160494099</v>
      </c>
      <c r="R1913">
        <v>0.995422381925264</v>
      </c>
      <c r="S1913" t="s">
        <v>6209</v>
      </c>
      <c r="T1913" t="s">
        <v>8590</v>
      </c>
      <c r="U1913" t="s">
        <v>8590</v>
      </c>
      <c r="V1913" t="s">
        <v>8590</v>
      </c>
      <c r="W1913">
        <v>22</v>
      </c>
      <c r="X1913" t="s">
        <v>10503</v>
      </c>
      <c r="Y1913">
        <v>0.45133652799596358</v>
      </c>
      <c r="Z1913" t="str">
        <f>HYPERLINK("Melting_Curves/meltCurve_sp_Q29RF7_PDS5A_HUMAN_.pdf", "Melting_Curves/meltCurve_sp_Q29RF7_PDS5A_HUMAN_.pdf")</f>
        <v>Melting_Curves/meltCurve_sp_Q29RF7_PDS5A_HUMAN_.pdf</v>
      </c>
      <c r="AA1913" t="s">
        <v>14763</v>
      </c>
      <c r="AB1913" t="s">
        <v>18997</v>
      </c>
    </row>
    <row r="1914" spans="1:28" x14ac:dyDescent="0.25">
      <c r="A1914" t="s">
        <v>1918</v>
      </c>
      <c r="B1914">
        <v>0.99876560204751996</v>
      </c>
      <c r="C1914">
        <v>1.2159724152343301</v>
      </c>
      <c r="D1914">
        <v>1.01284239548651</v>
      </c>
      <c r="E1914">
        <v>0.96676885153249004</v>
      </c>
      <c r="F1914">
        <v>0.91502862688831799</v>
      </c>
      <c r="G1914">
        <v>0.68190606890224104</v>
      </c>
      <c r="H1914">
        <v>0.49921462625428797</v>
      </c>
      <c r="I1914">
        <v>0.211009455611953</v>
      </c>
      <c r="J1914">
        <v>0.15701586337267201</v>
      </c>
      <c r="K1914">
        <v>0.13363204710396301</v>
      </c>
      <c r="L1914">
        <v>1076.74538969383</v>
      </c>
      <c r="M1914">
        <v>18.0418413914628</v>
      </c>
      <c r="N1914">
        <v>60.027171160166802</v>
      </c>
      <c r="O1914">
        <v>58.961748698666199</v>
      </c>
      <c r="P1914">
        <v>-7.2716459508269493E-2</v>
      </c>
      <c r="Q1914">
        <v>4.9480559558304403E-2</v>
      </c>
      <c r="R1914">
        <v>0.96138831350611698</v>
      </c>
      <c r="S1914" t="s">
        <v>6210</v>
      </c>
      <c r="T1914" t="s">
        <v>8590</v>
      </c>
      <c r="U1914" t="s">
        <v>8590</v>
      </c>
      <c r="V1914" t="s">
        <v>8590</v>
      </c>
      <c r="W1914">
        <v>4</v>
      </c>
      <c r="X1914" t="s">
        <v>10504</v>
      </c>
      <c r="Y1914">
        <v>0.68166330562564237</v>
      </c>
      <c r="Z1914" t="str">
        <f>HYPERLINK("Melting_Curves/meltCurve_sp_Q2KHT3_CL16A_HUMAN_.pdf", "Melting_Curves/meltCurve_sp_Q2KHT3_CL16A_HUMAN_.pdf")</f>
        <v>Melting_Curves/meltCurve_sp_Q2KHT3_CL16A_HUMAN_.pdf</v>
      </c>
      <c r="AA1914" t="s">
        <v>14764</v>
      </c>
      <c r="AB1914" t="s">
        <v>18998</v>
      </c>
    </row>
    <row r="1915" spans="1:28" x14ac:dyDescent="0.25">
      <c r="A1915" t="s">
        <v>1919</v>
      </c>
      <c r="B1915">
        <v>0.99876560204751996</v>
      </c>
      <c r="C1915">
        <v>1.00093802397508</v>
      </c>
      <c r="D1915">
        <v>0.92831242539011705</v>
      </c>
      <c r="E1915">
        <v>0.74828377089348097</v>
      </c>
      <c r="F1915">
        <v>0.31960669201187802</v>
      </c>
      <c r="G1915">
        <v>0.184238509068263</v>
      </c>
      <c r="H1915">
        <v>0.131545695528514</v>
      </c>
      <c r="I1915">
        <v>0.17015000719805701</v>
      </c>
      <c r="J1915">
        <v>0.14720923442855799</v>
      </c>
      <c r="K1915">
        <v>0.11828279148429401</v>
      </c>
      <c r="L1915">
        <v>1807.4306609279599</v>
      </c>
      <c r="M1915">
        <v>35.352674226637603</v>
      </c>
      <c r="N1915">
        <v>51.619631409238103</v>
      </c>
      <c r="O1915">
        <v>50.962955331842998</v>
      </c>
      <c r="P1915">
        <v>-0.14853748252943599</v>
      </c>
      <c r="Q1915">
        <v>0.143500934833448</v>
      </c>
      <c r="R1915">
        <v>0.99610779626680102</v>
      </c>
      <c r="S1915" t="s">
        <v>6211</v>
      </c>
      <c r="T1915" t="s">
        <v>8590</v>
      </c>
      <c r="U1915" t="s">
        <v>8590</v>
      </c>
      <c r="V1915" t="s">
        <v>8590</v>
      </c>
      <c r="W1915">
        <v>13</v>
      </c>
      <c r="X1915" t="s">
        <v>10505</v>
      </c>
      <c r="Y1915">
        <v>0.46502065894332678</v>
      </c>
      <c r="Z1915" t="str">
        <f>HYPERLINK("Melting_Curves/meltCurve_sp_Q2M389_WASH7_HUMAN_.pdf", "Melting_Curves/meltCurve_sp_Q2M389_WASH7_HUMAN_.pdf")</f>
        <v>Melting_Curves/meltCurve_sp_Q2M389_WASH7_HUMAN_.pdf</v>
      </c>
      <c r="AA1915" t="s">
        <v>14765</v>
      </c>
      <c r="AB1915" t="s">
        <v>18999</v>
      </c>
    </row>
    <row r="1916" spans="1:28" x14ac:dyDescent="0.25">
      <c r="A1916" t="s">
        <v>1920</v>
      </c>
      <c r="B1916">
        <v>0.99876560204751996</v>
      </c>
      <c r="C1916">
        <v>1.0617370100672201</v>
      </c>
      <c r="D1916">
        <v>0.93020976894361995</v>
      </c>
      <c r="E1916">
        <v>0.58665127407612305</v>
      </c>
      <c r="F1916">
        <v>0.28727376388362302</v>
      </c>
      <c r="G1916">
        <v>0.20936254985146699</v>
      </c>
      <c r="H1916">
        <v>0.15256570298979399</v>
      </c>
      <c r="I1916">
        <v>5.0556008048158997E-2</v>
      </c>
      <c r="J1916">
        <v>0</v>
      </c>
      <c r="K1916">
        <v>0</v>
      </c>
      <c r="L1916">
        <v>1053.82146650663</v>
      </c>
      <c r="M1916">
        <v>20.7467314543177</v>
      </c>
      <c r="N1916">
        <v>51.033732290728402</v>
      </c>
      <c r="O1916">
        <v>50.329734821523601</v>
      </c>
      <c r="P1916">
        <v>-9.82830323839083E-2</v>
      </c>
      <c r="Q1916">
        <v>4.6323336497926297E-2</v>
      </c>
      <c r="R1916">
        <v>0.98421431022577299</v>
      </c>
      <c r="S1916" t="s">
        <v>6212</v>
      </c>
      <c r="T1916" t="s">
        <v>8590</v>
      </c>
      <c r="U1916" t="s">
        <v>8590</v>
      </c>
      <c r="V1916" t="s">
        <v>8590</v>
      </c>
      <c r="W1916">
        <v>4</v>
      </c>
      <c r="X1916" t="s">
        <v>10506</v>
      </c>
      <c r="Y1916">
        <v>0.40182975277912841</v>
      </c>
      <c r="Z1916" t="str">
        <f>HYPERLINK("Melting_Curves/meltCurve_sp_Q2PPJ7_3_RGPA2_HUMAN_.pdf", "Melting_Curves/meltCurve_sp_Q2PPJ7_3_RGPA2_HUMAN_.pdf")</f>
        <v>Melting_Curves/meltCurve_sp_Q2PPJ7_3_RGPA2_HUMAN_.pdf</v>
      </c>
      <c r="AA1916" t="s">
        <v>14766</v>
      </c>
      <c r="AB1916" t="s">
        <v>19000</v>
      </c>
    </row>
    <row r="1917" spans="1:28" x14ac:dyDescent="0.25">
      <c r="A1917" t="s">
        <v>1921</v>
      </c>
      <c r="B1917">
        <v>0.99876560204751996</v>
      </c>
      <c r="C1917">
        <v>0.97859910292447305</v>
      </c>
      <c r="D1917">
        <v>1.0075057167311501</v>
      </c>
      <c r="E1917">
        <v>0.82205723010027498</v>
      </c>
      <c r="F1917">
        <v>0.71520867245431297</v>
      </c>
      <c r="G1917">
        <v>0.27111829547826499</v>
      </c>
      <c r="H1917">
        <v>0.144355290607458</v>
      </c>
      <c r="I1917">
        <v>0.111359925847304</v>
      </c>
      <c r="J1917">
        <v>8.4419986811578696E-2</v>
      </c>
      <c r="K1917">
        <v>2.8976567066720301E-2</v>
      </c>
      <c r="L1917">
        <v>1179.93578295002</v>
      </c>
      <c r="M1917">
        <v>21.675580834590601</v>
      </c>
      <c r="N1917">
        <v>54.712279300390399</v>
      </c>
      <c r="O1917">
        <v>53.9791901199428</v>
      </c>
      <c r="P1917">
        <v>-9.5190040308920906E-2</v>
      </c>
      <c r="Q1917">
        <v>5.18067005705031E-2</v>
      </c>
      <c r="R1917">
        <v>0.99339994942742205</v>
      </c>
      <c r="S1917" t="s">
        <v>6213</v>
      </c>
      <c r="T1917" t="s">
        <v>8590</v>
      </c>
      <c r="U1917" t="s">
        <v>8590</v>
      </c>
      <c r="V1917" t="s">
        <v>8590</v>
      </c>
      <c r="W1917">
        <v>4</v>
      </c>
      <c r="X1917" t="s">
        <v>10507</v>
      </c>
      <c r="Y1917">
        <v>0.5193171712392517</v>
      </c>
      <c r="Z1917" t="str">
        <f>HYPERLINK("Melting_Curves/meltCurve_sp_Q2T9J0_TYSD1_HUMAN_.pdf", "Melting_Curves/meltCurve_sp_Q2T9J0_TYSD1_HUMAN_.pdf")</f>
        <v>Melting_Curves/meltCurve_sp_Q2T9J0_TYSD1_HUMAN_.pdf</v>
      </c>
      <c r="AA1917" t="s">
        <v>14767</v>
      </c>
      <c r="AB1917" t="s">
        <v>19001</v>
      </c>
    </row>
    <row r="1918" spans="1:28" x14ac:dyDescent="0.25">
      <c r="A1918" t="s">
        <v>1922</v>
      </c>
      <c r="B1918">
        <v>0.99876560204751996</v>
      </c>
      <c r="C1918">
        <v>0.97946192489172801</v>
      </c>
      <c r="D1918">
        <v>0.88922044840374903</v>
      </c>
      <c r="E1918">
        <v>0.37144756068199802</v>
      </c>
      <c r="F1918">
        <v>0.16936183399464</v>
      </c>
      <c r="G1918">
        <v>0.14093570963101401</v>
      </c>
      <c r="H1918">
        <v>0.12713394009402501</v>
      </c>
      <c r="I1918">
        <v>2.8979264238318099E-2</v>
      </c>
      <c r="J1918">
        <v>8.2900454124264195E-2</v>
      </c>
      <c r="K1918">
        <v>4.8527974041211397E-2</v>
      </c>
      <c r="L1918">
        <v>1476.78548797958</v>
      </c>
      <c r="M1918">
        <v>30.250185265240798</v>
      </c>
      <c r="N1918">
        <v>49.113299989409199</v>
      </c>
      <c r="O1918">
        <v>48.607177092801201</v>
      </c>
      <c r="P1918">
        <v>-0.14269096024699901</v>
      </c>
      <c r="Q1918">
        <v>8.28797875432431E-2</v>
      </c>
      <c r="R1918">
        <v>0.99425297373663801</v>
      </c>
      <c r="S1918" t="s">
        <v>6214</v>
      </c>
      <c r="T1918" t="s">
        <v>8590</v>
      </c>
      <c r="U1918" t="s">
        <v>8590</v>
      </c>
      <c r="V1918" t="s">
        <v>8590</v>
      </c>
      <c r="W1918">
        <v>3</v>
      </c>
      <c r="X1918" t="s">
        <v>10508</v>
      </c>
      <c r="Y1918">
        <v>0.3579617867200941</v>
      </c>
      <c r="Z1918" t="str">
        <f>HYPERLINK("Melting_Curves/meltCurve_sp_Q2TAL8_QRIC1_HUMAN_.pdf", "Melting_Curves/meltCurve_sp_Q2TAL8_QRIC1_HUMAN_.pdf")</f>
        <v>Melting_Curves/meltCurve_sp_Q2TAL8_QRIC1_HUMAN_.pdf</v>
      </c>
      <c r="AA1918" t="s">
        <v>14768</v>
      </c>
      <c r="AB1918" t="s">
        <v>19002</v>
      </c>
    </row>
    <row r="1919" spans="1:28" x14ac:dyDescent="0.25">
      <c r="A1919" t="s">
        <v>1923</v>
      </c>
      <c r="B1919">
        <v>0.99876560204751996</v>
      </c>
      <c r="C1919">
        <v>0.77017902892449597</v>
      </c>
      <c r="D1919">
        <v>0.91175328963954005</v>
      </c>
      <c r="E1919">
        <v>0.71153683539276602</v>
      </c>
      <c r="F1919">
        <v>0.60631858763984703</v>
      </c>
      <c r="G1919">
        <v>0.212164756431342</v>
      </c>
      <c r="H1919">
        <v>0.107654665216959</v>
      </c>
      <c r="I1919">
        <v>8.8841403824287901E-2</v>
      </c>
      <c r="J1919">
        <v>9.0528365121411006E-2</v>
      </c>
      <c r="K1919">
        <v>0.106557758492046</v>
      </c>
      <c r="L1919">
        <v>775.47677877088199</v>
      </c>
      <c r="M1919">
        <v>14.6433255411047</v>
      </c>
      <c r="N1919">
        <v>53.1866867791448</v>
      </c>
      <c r="O1919">
        <v>51.9994580807018</v>
      </c>
      <c r="P1919">
        <v>-6.8257977900306105E-2</v>
      </c>
      <c r="Q1919">
        <v>3.0552489328680599E-2</v>
      </c>
      <c r="R1919">
        <v>0.95327808773756395</v>
      </c>
      <c r="S1919" t="s">
        <v>6215</v>
      </c>
      <c r="T1919" t="s">
        <v>8590</v>
      </c>
      <c r="U1919" t="s">
        <v>8590</v>
      </c>
      <c r="V1919" t="s">
        <v>8590</v>
      </c>
      <c r="W1919">
        <v>3</v>
      </c>
      <c r="X1919" t="s">
        <v>10509</v>
      </c>
      <c r="Y1919">
        <v>0.4708851619370879</v>
      </c>
      <c r="Z1919" t="str">
        <f>HYPERLINK("Melting_Curves/meltCurve_sp_Q2TAY7_SMU1_HUMAN_.pdf", "Melting_Curves/meltCurve_sp_Q2TAY7_SMU1_HUMAN_.pdf")</f>
        <v>Melting_Curves/meltCurve_sp_Q2TAY7_SMU1_HUMAN_.pdf</v>
      </c>
      <c r="AA1919" t="s">
        <v>14769</v>
      </c>
      <c r="AB1919" t="s">
        <v>19003</v>
      </c>
    </row>
    <row r="1920" spans="1:28" x14ac:dyDescent="0.25">
      <c r="A1920" t="s">
        <v>1924</v>
      </c>
      <c r="B1920">
        <v>0.99876560204751996</v>
      </c>
      <c r="C1920">
        <v>1.13285946997229</v>
      </c>
      <c r="D1920">
        <v>0.85040634132169202</v>
      </c>
      <c r="E1920">
        <v>0.90714397251969903</v>
      </c>
      <c r="F1920">
        <v>0.80296836349325196</v>
      </c>
      <c r="G1920">
        <v>0.60672957338272904</v>
      </c>
      <c r="H1920">
        <v>0.12793796916726399</v>
      </c>
      <c r="I1920">
        <v>8.0889025208898999E-2</v>
      </c>
      <c r="J1920">
        <v>0</v>
      </c>
      <c r="K1920">
        <v>0</v>
      </c>
      <c r="L1920">
        <v>1307.68680248143</v>
      </c>
      <c r="M1920">
        <v>22.855681519963301</v>
      </c>
      <c r="N1920">
        <v>57.214957722911699</v>
      </c>
      <c r="O1920">
        <v>56.782342365528699</v>
      </c>
      <c r="P1920">
        <v>-0.10063037644850301</v>
      </c>
      <c r="Q1920">
        <v>0</v>
      </c>
      <c r="R1920">
        <v>0.96788144336391102</v>
      </c>
      <c r="S1920" t="s">
        <v>6216</v>
      </c>
      <c r="T1920" t="s">
        <v>8590</v>
      </c>
      <c r="U1920" t="s">
        <v>8590</v>
      </c>
      <c r="V1920" t="s">
        <v>8590</v>
      </c>
      <c r="W1920">
        <v>2</v>
      </c>
      <c r="X1920" t="s">
        <v>10510</v>
      </c>
      <c r="Y1920">
        <v>0.5840293921851194</v>
      </c>
      <c r="Z1920" t="str">
        <f>HYPERLINK("Melting_Curves/meltCurve_sp_Q32M88_ATHL1_HUMAN_.pdf", "Melting_Curves/meltCurve_sp_Q32M88_ATHL1_HUMAN_.pdf")</f>
        <v>Melting_Curves/meltCurve_sp_Q32M88_ATHL1_HUMAN_.pdf</v>
      </c>
      <c r="AA1920" t="s">
        <v>14770</v>
      </c>
      <c r="AB1920" t="s">
        <v>19004</v>
      </c>
    </row>
    <row r="1921" spans="1:28" x14ac:dyDescent="0.25">
      <c r="A1921" t="s">
        <v>1925</v>
      </c>
      <c r="B1921">
        <v>0.99876560204751996</v>
      </c>
      <c r="C1921">
        <v>1.02022500702812</v>
      </c>
      <c r="D1921">
        <v>1.00437769654799</v>
      </c>
      <c r="E1921">
        <v>0.99722385462075402</v>
      </c>
      <c r="F1921">
        <v>1.0076961153695301</v>
      </c>
      <c r="G1921">
        <v>0.80844096809412402</v>
      </c>
      <c r="H1921">
        <v>0.72003177948396901</v>
      </c>
      <c r="I1921">
        <v>0.73395759159801299</v>
      </c>
      <c r="J1921">
        <v>0.90052715632292202</v>
      </c>
      <c r="K1921">
        <v>0.91405842209840704</v>
      </c>
      <c r="L1921">
        <v>7589.6186328692202</v>
      </c>
      <c r="M1921">
        <v>138.12474124380699</v>
      </c>
      <c r="O1921">
        <v>54.936063169460702</v>
      </c>
      <c r="P1921">
        <v>-0.11617776431087801</v>
      </c>
      <c r="Q1921">
        <v>0.815171488265647</v>
      </c>
      <c r="R1921">
        <v>0.73062131072425696</v>
      </c>
      <c r="S1921" t="s">
        <v>6217</v>
      </c>
      <c r="T1921" t="s">
        <v>8590</v>
      </c>
      <c r="U1921" t="s">
        <v>8590</v>
      </c>
      <c r="V1921" t="s">
        <v>8590</v>
      </c>
      <c r="W1921">
        <v>29</v>
      </c>
      <c r="X1921" t="s">
        <v>10511</v>
      </c>
      <c r="Y1921">
        <v>0.9073211321106841</v>
      </c>
      <c r="Z1921" t="str">
        <f>HYPERLINK("Melting_Curves/meltCurve_sp_Q32MZ4_2_LRRF1_HUMAN_.pdf", "Melting_Curves/meltCurve_sp_Q32MZ4_2_LRRF1_HUMAN_.pdf")</f>
        <v>Melting_Curves/meltCurve_sp_Q32MZ4_2_LRRF1_HUMAN_.pdf</v>
      </c>
      <c r="AA1921" t="s">
        <v>14771</v>
      </c>
      <c r="AB1921" t="s">
        <v>19005</v>
      </c>
    </row>
    <row r="1922" spans="1:28" x14ac:dyDescent="0.25">
      <c r="A1922" t="s">
        <v>1926</v>
      </c>
      <c r="B1922">
        <v>0.99876560204751996</v>
      </c>
      <c r="C1922">
        <v>1.00084757898494</v>
      </c>
      <c r="D1922">
        <v>1.2470919562743299</v>
      </c>
      <c r="E1922">
        <v>1.05143684612704</v>
      </c>
      <c r="F1922">
        <v>1.1339075311948901</v>
      </c>
      <c r="G1922">
        <v>0.86712115317395</v>
      </c>
      <c r="H1922">
        <v>0.87511823256279297</v>
      </c>
      <c r="I1922">
        <v>0.91745901744561698</v>
      </c>
      <c r="J1922">
        <v>1.3002404374748699</v>
      </c>
      <c r="K1922">
        <v>1.1975141229631501</v>
      </c>
      <c r="L1922">
        <v>15000</v>
      </c>
      <c r="M1922">
        <v>228.89308164884901</v>
      </c>
      <c r="O1922">
        <v>65.527777618030598</v>
      </c>
      <c r="P1922">
        <v>0.217753328400038</v>
      </c>
      <c r="Q1922">
        <v>1.24935470360988</v>
      </c>
      <c r="R1922">
        <v>0.410848566266035</v>
      </c>
      <c r="S1922" t="s">
        <v>6218</v>
      </c>
      <c r="T1922" t="s">
        <v>8590</v>
      </c>
      <c r="U1922" t="s">
        <v>8590</v>
      </c>
      <c r="V1922" t="s">
        <v>8590</v>
      </c>
      <c r="W1922">
        <v>29</v>
      </c>
      <c r="X1922" t="s">
        <v>10512</v>
      </c>
      <c r="Y1922">
        <v>1.0370965315446301</v>
      </c>
      <c r="Z1922" t="str">
        <f>HYPERLINK("Melting_Curves/meltCurve_sp_Q32MZ4_3_LRRF1_HUMAN_.pdf", "Melting_Curves/meltCurve_sp_Q32MZ4_3_LRRF1_HUMAN_.pdf")</f>
        <v>Melting_Curves/meltCurve_sp_Q32MZ4_3_LRRF1_HUMAN_.pdf</v>
      </c>
      <c r="AA1922" t="s">
        <v>14771</v>
      </c>
      <c r="AB1922" t="s">
        <v>19006</v>
      </c>
    </row>
    <row r="1923" spans="1:28" x14ac:dyDescent="0.25">
      <c r="A1923" t="s">
        <v>1927</v>
      </c>
      <c r="B1923">
        <v>0.99876560204751996</v>
      </c>
      <c r="C1923">
        <v>0.96609415771933205</v>
      </c>
      <c r="D1923">
        <v>1.06503987686253</v>
      </c>
      <c r="E1923">
        <v>0.89062602700263205</v>
      </c>
      <c r="F1923">
        <v>0.89507707614327803</v>
      </c>
      <c r="G1923">
        <v>0.68118308196858401</v>
      </c>
      <c r="H1923">
        <v>0.615134558239959</v>
      </c>
      <c r="I1923">
        <v>0.60897794979624298</v>
      </c>
      <c r="J1923">
        <v>0.74331147025913002</v>
      </c>
      <c r="K1923">
        <v>0.74091595531721699</v>
      </c>
      <c r="L1923">
        <v>1693.83467280542</v>
      </c>
      <c r="M1923">
        <v>31.7730785474877</v>
      </c>
      <c r="O1923">
        <v>53.100528695936497</v>
      </c>
      <c r="P1923">
        <v>-4.9036785673127199E-2</v>
      </c>
      <c r="Q1923">
        <v>0.67219219962403498</v>
      </c>
      <c r="R1923">
        <v>0.869174443532017</v>
      </c>
      <c r="S1923" t="s">
        <v>6219</v>
      </c>
      <c r="T1923" t="s">
        <v>8590</v>
      </c>
      <c r="U1923" t="s">
        <v>8590</v>
      </c>
      <c r="V1923" t="s">
        <v>8590</v>
      </c>
      <c r="W1923">
        <v>6</v>
      </c>
      <c r="X1923" t="s">
        <v>10513</v>
      </c>
      <c r="Y1923">
        <v>0.81954133055759404</v>
      </c>
      <c r="Z1923" t="str">
        <f>HYPERLINK("Melting_Curves/meltCurve_sp_Q32MZ4_4_LRRF1_HUMAN_.pdf", "Melting_Curves/meltCurve_sp_Q32MZ4_4_LRRF1_HUMAN_.pdf")</f>
        <v>Melting_Curves/meltCurve_sp_Q32MZ4_4_LRRF1_HUMAN_.pdf</v>
      </c>
      <c r="AA1923" t="s">
        <v>14771</v>
      </c>
      <c r="AB1923" t="s">
        <v>19007</v>
      </c>
    </row>
    <row r="1924" spans="1:28" x14ac:dyDescent="0.25">
      <c r="A1924" t="s">
        <v>1928</v>
      </c>
      <c r="B1924">
        <v>0.99876560204751996</v>
      </c>
      <c r="C1924">
        <v>0.97715763367574904</v>
      </c>
      <c r="D1924">
        <v>0.80204228812692202</v>
      </c>
      <c r="E1924">
        <v>0.470669404247962</v>
      </c>
      <c r="F1924">
        <v>0.32206731228920199</v>
      </c>
      <c r="G1924">
        <v>0.18815670024863501</v>
      </c>
      <c r="H1924">
        <v>0.132417156497074</v>
      </c>
      <c r="I1924">
        <v>0.11473047482889701</v>
      </c>
      <c r="J1924">
        <v>8.3045507298116605E-2</v>
      </c>
      <c r="K1924">
        <v>7.4736814105616195E-2</v>
      </c>
      <c r="L1924">
        <v>862.91067341409098</v>
      </c>
      <c r="M1924">
        <v>17.460062865667901</v>
      </c>
      <c r="N1924">
        <v>49.986168846497399</v>
      </c>
      <c r="O1924">
        <v>48.787333601926399</v>
      </c>
      <c r="P1924">
        <v>-8.1473026605184198E-2</v>
      </c>
      <c r="Q1924">
        <v>8.9434983696602494E-2</v>
      </c>
      <c r="R1924">
        <v>0.996970691839423</v>
      </c>
      <c r="S1924" t="s">
        <v>6220</v>
      </c>
      <c r="T1924" t="s">
        <v>8590</v>
      </c>
      <c r="U1924" t="s">
        <v>8590</v>
      </c>
      <c r="V1924" t="s">
        <v>8590</v>
      </c>
      <c r="W1924">
        <v>2</v>
      </c>
      <c r="X1924" t="s">
        <v>10514</v>
      </c>
      <c r="Y1924">
        <v>0.39202540887548698</v>
      </c>
      <c r="Z1924" t="str">
        <f>HYPERLINK("Melting_Curves/meltCurve_sp_Q32P28_P3H1_HUMAN_.pdf", "Melting_Curves/meltCurve_sp_Q32P28_P3H1_HUMAN_.pdf")</f>
        <v>Melting_Curves/meltCurve_sp_Q32P28_P3H1_HUMAN_.pdf</v>
      </c>
      <c r="AA1924" t="s">
        <v>14772</v>
      </c>
      <c r="AB1924" t="s">
        <v>19008</v>
      </c>
    </row>
    <row r="1925" spans="1:28" x14ac:dyDescent="0.25">
      <c r="A1925" t="s">
        <v>1929</v>
      </c>
      <c r="B1925">
        <v>0.99876560204751996</v>
      </c>
      <c r="C1925">
        <v>0.996206763218623</v>
      </c>
      <c r="D1925">
        <v>0.98169683770275196</v>
      </c>
      <c r="E1925">
        <v>0.870278261952939</v>
      </c>
      <c r="F1925">
        <v>0.68975387014894096</v>
      </c>
      <c r="G1925">
        <v>0.38885157447902002</v>
      </c>
      <c r="H1925">
        <v>0.29826736193630798</v>
      </c>
      <c r="I1925">
        <v>0.25291106722943602</v>
      </c>
      <c r="J1925">
        <v>0.27598891513777601</v>
      </c>
      <c r="K1925">
        <v>0.25189399689195202</v>
      </c>
      <c r="L1925">
        <v>1256.11727750406</v>
      </c>
      <c r="M1925">
        <v>23.432710422861799</v>
      </c>
      <c r="N1925">
        <v>55.2548980502144</v>
      </c>
      <c r="O1925">
        <v>53.219458041161602</v>
      </c>
      <c r="P1925">
        <v>-8.2382095395735502E-2</v>
      </c>
      <c r="Q1925">
        <v>0.25160088840127498</v>
      </c>
      <c r="R1925">
        <v>0.99894392773664897</v>
      </c>
      <c r="S1925" t="s">
        <v>6221</v>
      </c>
      <c r="T1925" t="s">
        <v>8590</v>
      </c>
      <c r="U1925" t="s">
        <v>8590</v>
      </c>
      <c r="V1925" t="s">
        <v>8590</v>
      </c>
      <c r="W1925">
        <v>14</v>
      </c>
      <c r="X1925" t="s">
        <v>10515</v>
      </c>
      <c r="Y1925">
        <v>0.59878794480738207</v>
      </c>
      <c r="Z1925" t="str">
        <f>HYPERLINK("Melting_Curves/meltCurve_sp_Q32P44_EMAL3_HUMAN_.pdf", "Melting_Curves/meltCurve_sp_Q32P44_EMAL3_HUMAN_.pdf")</f>
        <v>Melting_Curves/meltCurve_sp_Q32P44_EMAL3_HUMAN_.pdf</v>
      </c>
      <c r="AA1925" t="s">
        <v>14773</v>
      </c>
      <c r="AB1925" t="s">
        <v>19009</v>
      </c>
    </row>
    <row r="1926" spans="1:28" x14ac:dyDescent="0.25">
      <c r="A1926" t="s">
        <v>1930</v>
      </c>
      <c r="B1926">
        <v>0.99876560204751996</v>
      </c>
      <c r="C1926">
        <v>0.92514149889505004</v>
      </c>
      <c r="D1926">
        <v>0.82924719435516203</v>
      </c>
      <c r="E1926">
        <v>0.77626608795962504</v>
      </c>
      <c r="F1926">
        <v>0.347515743212574</v>
      </c>
      <c r="G1926">
        <v>0.117463851120808</v>
      </c>
      <c r="H1926">
        <v>8.1785639703981297E-2</v>
      </c>
      <c r="I1926">
        <v>5.8091637304487603E-2</v>
      </c>
      <c r="J1926">
        <v>5.30664515342988E-2</v>
      </c>
      <c r="K1926">
        <v>3.7926175587418197E-2</v>
      </c>
      <c r="L1926">
        <v>1210.1813628447301</v>
      </c>
      <c r="M1926">
        <v>23.4156099673989</v>
      </c>
      <c r="N1926">
        <v>51.870106370767097</v>
      </c>
      <c r="O1926">
        <v>51.310150631795302</v>
      </c>
      <c r="P1926">
        <v>-0.1094624560927</v>
      </c>
      <c r="Q1926">
        <v>4.0565299239620302E-2</v>
      </c>
      <c r="R1926">
        <v>0.98214235740151401</v>
      </c>
      <c r="S1926" t="s">
        <v>6222</v>
      </c>
      <c r="T1926" t="s">
        <v>8590</v>
      </c>
      <c r="U1926" t="s">
        <v>8590</v>
      </c>
      <c r="V1926" t="s">
        <v>8590</v>
      </c>
      <c r="W1926">
        <v>2</v>
      </c>
      <c r="X1926" t="s">
        <v>10516</v>
      </c>
      <c r="Y1926">
        <v>0.42409429236588658</v>
      </c>
      <c r="Z1926" t="str">
        <f>HYPERLINK("Melting_Curves/meltCurve_sp_Q3B7J2_GFOD2_HUMAN_.pdf", "Melting_Curves/meltCurve_sp_Q3B7J2_GFOD2_HUMAN_.pdf")</f>
        <v>Melting_Curves/meltCurve_sp_Q3B7J2_GFOD2_HUMAN_.pdf</v>
      </c>
      <c r="AA1926" t="s">
        <v>14774</v>
      </c>
      <c r="AB1926" t="s">
        <v>19010</v>
      </c>
    </row>
    <row r="1927" spans="1:28" x14ac:dyDescent="0.25">
      <c r="A1927" t="s">
        <v>1931</v>
      </c>
      <c r="B1927">
        <v>0.99876560204751996</v>
      </c>
      <c r="C1927">
        <v>1.02519351557646</v>
      </c>
      <c r="D1927">
        <v>1.0247038009459699</v>
      </c>
      <c r="E1927">
        <v>1.0197138657884499</v>
      </c>
      <c r="F1927">
        <v>0.87074533750965799</v>
      </c>
      <c r="G1927">
        <v>0.43692520717658401</v>
      </c>
      <c r="H1927">
        <v>6.5072268512274406E-2</v>
      </c>
      <c r="I1927">
        <v>4.8518576152816698E-2</v>
      </c>
      <c r="J1927">
        <v>3.3451075458328997E-2</v>
      </c>
      <c r="K1927">
        <v>3.0436475568944601E-2</v>
      </c>
      <c r="L1927">
        <v>1881.26425137716</v>
      </c>
      <c r="M1927">
        <v>33.375383119562599</v>
      </c>
      <c r="N1927">
        <v>56.444924379337301</v>
      </c>
      <c r="O1927">
        <v>56.165615113180102</v>
      </c>
      <c r="P1927">
        <v>-0.14520627143617801</v>
      </c>
      <c r="Q1927">
        <v>2.2565258903238301E-2</v>
      </c>
      <c r="R1927">
        <v>0.99789973568859502</v>
      </c>
      <c r="S1927" t="s">
        <v>6223</v>
      </c>
      <c r="T1927" t="s">
        <v>8590</v>
      </c>
      <c r="U1927" t="s">
        <v>8590</v>
      </c>
      <c r="V1927" t="s">
        <v>8590</v>
      </c>
      <c r="W1927">
        <v>41</v>
      </c>
      <c r="X1927" t="s">
        <v>10517</v>
      </c>
      <c r="Y1927">
        <v>0.56117029152331532</v>
      </c>
      <c r="Z1927" t="str">
        <f>HYPERLINK("Melting_Curves/meltCurve_sp_Q3LXA3_DHAK_HUMAN_.pdf", "Melting_Curves/meltCurve_sp_Q3LXA3_DHAK_HUMAN_.pdf")</f>
        <v>Melting_Curves/meltCurve_sp_Q3LXA3_DHAK_HUMAN_.pdf</v>
      </c>
      <c r="AA1927" t="s">
        <v>14775</v>
      </c>
      <c r="AB1927" t="s">
        <v>19011</v>
      </c>
    </row>
    <row r="1928" spans="1:28" x14ac:dyDescent="0.25">
      <c r="A1928" t="s">
        <v>1932</v>
      </c>
      <c r="B1928">
        <v>0.99876560204751996</v>
      </c>
      <c r="C1928">
        <v>1.0820190162876899</v>
      </c>
      <c r="D1928">
        <v>1.11539551250983</v>
      </c>
      <c r="E1928">
        <v>1.17095519053023</v>
      </c>
      <c r="F1928">
        <v>0.99458871677059102</v>
      </c>
      <c r="G1928">
        <v>0.692439699722049</v>
      </c>
      <c r="H1928">
        <v>0.41736462174868499</v>
      </c>
      <c r="I1928">
        <v>0.25472443566625202</v>
      </c>
      <c r="J1928">
        <v>0.23439984315088</v>
      </c>
      <c r="K1928">
        <v>0.22182953768177599</v>
      </c>
      <c r="L1928">
        <v>1749.97818282711</v>
      </c>
      <c r="M1928">
        <v>30.075793436001199</v>
      </c>
      <c r="N1928">
        <v>59.346294802855702</v>
      </c>
      <c r="O1928">
        <v>57.930206669666802</v>
      </c>
      <c r="P1928">
        <v>-0.100935328778634</v>
      </c>
      <c r="Q1928">
        <v>0.22234280097087999</v>
      </c>
      <c r="R1928">
        <v>0.96131090934438801</v>
      </c>
      <c r="S1928" t="s">
        <v>6224</v>
      </c>
      <c r="T1928" t="s">
        <v>8590</v>
      </c>
      <c r="U1928" t="s">
        <v>8590</v>
      </c>
      <c r="V1928" t="s">
        <v>8590</v>
      </c>
      <c r="W1928">
        <v>3</v>
      </c>
      <c r="X1928" t="s">
        <v>10518</v>
      </c>
      <c r="Y1928">
        <v>0.6988276195476506</v>
      </c>
      <c r="Z1928" t="str">
        <f>HYPERLINK("Melting_Curves/meltCurve_sp_Q3MHD2_LSM12_HUMAN_.pdf", "Melting_Curves/meltCurve_sp_Q3MHD2_LSM12_HUMAN_.pdf")</f>
        <v>Melting_Curves/meltCurve_sp_Q3MHD2_LSM12_HUMAN_.pdf</v>
      </c>
      <c r="AA1928" t="s">
        <v>14776</v>
      </c>
      <c r="AB1928" t="s">
        <v>19012</v>
      </c>
    </row>
    <row r="1929" spans="1:28" x14ac:dyDescent="0.25">
      <c r="A1929" t="s">
        <v>1933</v>
      </c>
      <c r="B1929">
        <v>0.99876560204751996</v>
      </c>
      <c r="C1929">
        <v>0.977964787591874</v>
      </c>
      <c r="D1929">
        <v>0.92992091377406905</v>
      </c>
      <c r="E1929">
        <v>0.86859410886211796</v>
      </c>
      <c r="F1929">
        <v>0.60907666385692105</v>
      </c>
      <c r="G1929">
        <v>0.190773357879129</v>
      </c>
      <c r="H1929">
        <v>0.123192389182638</v>
      </c>
      <c r="I1929">
        <v>0.10196674713361301</v>
      </c>
      <c r="J1929">
        <v>0.100002400106114</v>
      </c>
      <c r="K1929">
        <v>7.6218863298422299E-2</v>
      </c>
      <c r="L1929">
        <v>1493.9795317707999</v>
      </c>
      <c r="M1929">
        <v>27.987688690819098</v>
      </c>
      <c r="N1929">
        <v>53.742929551642099</v>
      </c>
      <c r="O1929">
        <v>53.109592864644398</v>
      </c>
      <c r="P1929">
        <v>-0.120398389090612</v>
      </c>
      <c r="Q1929">
        <v>8.6133233589063399E-2</v>
      </c>
      <c r="R1929">
        <v>0.99628708290823498</v>
      </c>
      <c r="S1929" t="s">
        <v>6225</v>
      </c>
      <c r="T1929" t="s">
        <v>8590</v>
      </c>
      <c r="U1929" t="s">
        <v>8590</v>
      </c>
      <c r="V1929" t="s">
        <v>8590</v>
      </c>
      <c r="W1929">
        <v>10</v>
      </c>
      <c r="X1929" t="s">
        <v>10519</v>
      </c>
      <c r="Y1929">
        <v>0.50052783417526048</v>
      </c>
      <c r="Z1929" t="str">
        <f>HYPERLINK("Melting_Curves/meltCurve_sp_Q3MIT2_PUS10_HUMAN_.pdf", "Melting_Curves/meltCurve_sp_Q3MIT2_PUS10_HUMAN_.pdf")</f>
        <v>Melting_Curves/meltCurve_sp_Q3MIT2_PUS10_HUMAN_.pdf</v>
      </c>
      <c r="AA1929" t="s">
        <v>14777</v>
      </c>
      <c r="AB1929" t="s">
        <v>19013</v>
      </c>
    </row>
    <row r="1930" spans="1:28" x14ac:dyDescent="0.25">
      <c r="A1930" t="s">
        <v>1934</v>
      </c>
      <c r="B1930">
        <v>0.99876560204751996</v>
      </c>
      <c r="C1930">
        <v>0.92227926706531804</v>
      </c>
      <c r="D1930">
        <v>0.82874125085251205</v>
      </c>
      <c r="E1930">
        <v>0.73109988194603504</v>
      </c>
      <c r="F1930">
        <v>0.64926883623265097</v>
      </c>
      <c r="G1930">
        <v>0.47096943322289397</v>
      </c>
      <c r="H1930">
        <v>0.36193467922388201</v>
      </c>
      <c r="I1930">
        <v>0.31915394416649401</v>
      </c>
      <c r="J1930">
        <v>0.26303364697304499</v>
      </c>
      <c r="K1930">
        <v>0.34545019430804902</v>
      </c>
      <c r="L1930">
        <v>546.77487619016301</v>
      </c>
      <c r="M1930">
        <v>10.3405966010403</v>
      </c>
      <c r="N1930">
        <v>56.1630328843722</v>
      </c>
      <c r="O1930">
        <v>51.013602915187803</v>
      </c>
      <c r="P1930">
        <v>-3.9189574392788903E-2</v>
      </c>
      <c r="Q1930">
        <v>0.226989905705932</v>
      </c>
      <c r="R1930">
        <v>0.98478413059576098</v>
      </c>
      <c r="S1930" t="s">
        <v>6226</v>
      </c>
      <c r="T1930" t="s">
        <v>8590</v>
      </c>
      <c r="U1930" t="s">
        <v>8590</v>
      </c>
      <c r="V1930" t="s">
        <v>8590</v>
      </c>
      <c r="W1930">
        <v>2</v>
      </c>
      <c r="X1930" t="s">
        <v>10520</v>
      </c>
      <c r="Y1930">
        <v>0.58475669227557936</v>
      </c>
      <c r="Z1930" t="str">
        <f>HYPERLINK("Melting_Curves/meltCurve_sp_Q3YEC7_RABL6_HUMAN_.pdf", "Melting_Curves/meltCurve_sp_Q3YEC7_RABL6_HUMAN_.pdf")</f>
        <v>Melting_Curves/meltCurve_sp_Q3YEC7_RABL6_HUMAN_.pdf</v>
      </c>
      <c r="AA1930" t="s">
        <v>14778</v>
      </c>
      <c r="AB1930" t="s">
        <v>19014</v>
      </c>
    </row>
    <row r="1931" spans="1:28" x14ac:dyDescent="0.25">
      <c r="A1931" t="s">
        <v>1935</v>
      </c>
      <c r="B1931">
        <v>0.99876560204751996</v>
      </c>
      <c r="C1931">
        <v>0.69769216763684005</v>
      </c>
      <c r="D1931">
        <v>0.37283528419249401</v>
      </c>
      <c r="E1931">
        <v>0.30319794954121898</v>
      </c>
      <c r="F1931">
        <v>0.12911755277589601</v>
      </c>
      <c r="G1931">
        <v>9.7641580393600505E-2</v>
      </c>
      <c r="H1931">
        <v>6.7800297090734804E-2</v>
      </c>
      <c r="I1931">
        <v>3.6510871204463002E-2</v>
      </c>
      <c r="J1931">
        <v>0</v>
      </c>
      <c r="K1931">
        <v>0</v>
      </c>
      <c r="L1931">
        <v>708.73518740987402</v>
      </c>
      <c r="M1931">
        <v>15.638942079816401</v>
      </c>
      <c r="N1931">
        <v>45.5129548462127</v>
      </c>
      <c r="O1931">
        <v>44.597026810790801</v>
      </c>
      <c r="P1931">
        <v>-8.48437856607E-2</v>
      </c>
      <c r="Q1931">
        <v>3.2298732478910401E-2</v>
      </c>
      <c r="R1931">
        <v>0.96928798164267505</v>
      </c>
      <c r="S1931" t="s">
        <v>6227</v>
      </c>
      <c r="T1931" t="s">
        <v>8590</v>
      </c>
      <c r="U1931" t="s">
        <v>8590</v>
      </c>
      <c r="V1931" t="s">
        <v>8590</v>
      </c>
      <c r="W1931">
        <v>9</v>
      </c>
      <c r="X1931" t="s">
        <v>10521</v>
      </c>
      <c r="Y1931">
        <v>0.23137888571074161</v>
      </c>
      <c r="Z1931" t="str">
        <f>HYPERLINK("Melting_Curves/meltCurve_sp_Q3ZCM7_TBB8_HUMAN_.pdf", "Melting_Curves/meltCurve_sp_Q3ZCM7_TBB8_HUMAN_.pdf")</f>
        <v>Melting_Curves/meltCurve_sp_Q3ZCM7_TBB8_HUMAN_.pdf</v>
      </c>
      <c r="AA1931" t="s">
        <v>14779</v>
      </c>
      <c r="AB1931" t="s">
        <v>19015</v>
      </c>
    </row>
    <row r="1932" spans="1:28" x14ac:dyDescent="0.25">
      <c r="A1932" t="s">
        <v>1936</v>
      </c>
      <c r="B1932">
        <v>0.99876560204751996</v>
      </c>
      <c r="C1932">
        <v>1.05127914553788</v>
      </c>
      <c r="D1932">
        <v>1.00518420242164</v>
      </c>
      <c r="E1932">
        <v>0.99262000000132</v>
      </c>
      <c r="F1932">
        <v>0.90092275215901396</v>
      </c>
      <c r="G1932">
        <v>0.61367428043953498</v>
      </c>
      <c r="H1932">
        <v>0.49655080581590899</v>
      </c>
      <c r="I1932">
        <v>0.29005791830883598</v>
      </c>
      <c r="J1932">
        <v>7.8661366330038299E-2</v>
      </c>
      <c r="K1932">
        <v>7.1184710323728501E-2</v>
      </c>
      <c r="L1932">
        <v>971.71559872667603</v>
      </c>
      <c r="M1932">
        <v>16.2420382716342</v>
      </c>
      <c r="N1932">
        <v>59.827195633676702</v>
      </c>
      <c r="O1932">
        <v>58.942324312371902</v>
      </c>
      <c r="P1932">
        <v>-6.8894630841321303E-2</v>
      </c>
      <c r="Q1932">
        <v>0</v>
      </c>
      <c r="R1932">
        <v>0.98442166776296602</v>
      </c>
      <c r="S1932" t="s">
        <v>6228</v>
      </c>
      <c r="T1932" t="s">
        <v>8590</v>
      </c>
      <c r="U1932" t="s">
        <v>8590</v>
      </c>
      <c r="V1932" t="s">
        <v>8590</v>
      </c>
      <c r="W1932">
        <v>9</v>
      </c>
      <c r="X1932" t="s">
        <v>10522</v>
      </c>
      <c r="Y1932">
        <v>0.66917682776824694</v>
      </c>
      <c r="Z1932" t="str">
        <f>HYPERLINK("Melting_Curves/meltCurve_sp_Q49A26_5_GLYR1_HUMAN_.pdf", "Melting_Curves/meltCurve_sp_Q49A26_5_GLYR1_HUMAN_.pdf")</f>
        <v>Melting_Curves/meltCurve_sp_Q49A26_5_GLYR1_HUMAN_.pdf</v>
      </c>
      <c r="AA1932" t="s">
        <v>14780</v>
      </c>
      <c r="AB1932" t="s">
        <v>19016</v>
      </c>
    </row>
    <row r="1933" spans="1:28" x14ac:dyDescent="0.25">
      <c r="A1933" t="s">
        <v>1937</v>
      </c>
      <c r="B1933">
        <v>0.99876560204751996</v>
      </c>
      <c r="C1933">
        <v>0.90490700777885202</v>
      </c>
      <c r="D1933">
        <v>0.92084432105783898</v>
      </c>
      <c r="E1933">
        <v>0.81343732346925202</v>
      </c>
      <c r="F1933">
        <v>0.82918526192408903</v>
      </c>
      <c r="G1933">
        <v>0.66162514861570898</v>
      </c>
      <c r="H1933">
        <v>0.54102532674701198</v>
      </c>
      <c r="I1933">
        <v>0.52448762285290795</v>
      </c>
      <c r="J1933">
        <v>0.55865410293963702</v>
      </c>
      <c r="K1933">
        <v>0.55284743849893903</v>
      </c>
      <c r="L1933">
        <v>548.601935252011</v>
      </c>
      <c r="M1933">
        <v>10.1991338556229</v>
      </c>
      <c r="O1933">
        <v>51.844190998142999</v>
      </c>
      <c r="P1933">
        <v>-2.5867990210936099E-2</v>
      </c>
      <c r="Q1933">
        <v>0.47426892260683901</v>
      </c>
      <c r="R1933">
        <v>0.94956699775048903</v>
      </c>
      <c r="S1933" t="s">
        <v>6229</v>
      </c>
      <c r="T1933" t="s">
        <v>8590</v>
      </c>
      <c r="U1933" t="s">
        <v>8590</v>
      </c>
      <c r="V1933" t="s">
        <v>8590</v>
      </c>
      <c r="W1933">
        <v>4</v>
      </c>
      <c r="X1933" t="s">
        <v>10523</v>
      </c>
      <c r="Y1933">
        <v>0.73201615246558194</v>
      </c>
      <c r="Z1933" t="str">
        <f>HYPERLINK("Melting_Curves/meltCurve_sp_Q49AH0_CDNF_HUMAN_.pdf", "Melting_Curves/meltCurve_sp_Q49AH0_CDNF_HUMAN_.pdf")</f>
        <v>Melting_Curves/meltCurve_sp_Q49AH0_CDNF_HUMAN_.pdf</v>
      </c>
      <c r="AA1933" t="s">
        <v>14781</v>
      </c>
      <c r="AB1933" t="s">
        <v>19017</v>
      </c>
    </row>
    <row r="1934" spans="1:28" x14ac:dyDescent="0.25">
      <c r="A1934" t="s">
        <v>1938</v>
      </c>
      <c r="B1934">
        <v>0.99876560204751996</v>
      </c>
      <c r="C1934">
        <v>0.91502505147747504</v>
      </c>
      <c r="D1934">
        <v>0.86959040177303604</v>
      </c>
      <c r="E1934">
        <v>0.86942960689343296</v>
      </c>
      <c r="F1934">
        <v>0.75624369067306296</v>
      </c>
      <c r="G1934">
        <v>0.46429800019816297</v>
      </c>
      <c r="H1934">
        <v>0.230169248631232</v>
      </c>
      <c r="I1934">
        <v>0.25253596178663801</v>
      </c>
      <c r="J1934">
        <v>0.102028181014351</v>
      </c>
      <c r="K1934">
        <v>0.103208210817826</v>
      </c>
      <c r="L1934">
        <v>732.925255055104</v>
      </c>
      <c r="M1934">
        <v>12.973386560370001</v>
      </c>
      <c r="N1934">
        <v>56.634933794464501</v>
      </c>
      <c r="O1934">
        <v>55.202733324478899</v>
      </c>
      <c r="P1934">
        <v>-5.78337993791277E-2</v>
      </c>
      <c r="Q1934">
        <v>1.5826372885217099E-2</v>
      </c>
      <c r="R1934">
        <v>0.98071052834595696</v>
      </c>
      <c r="S1934" t="s">
        <v>6230</v>
      </c>
      <c r="T1934" t="s">
        <v>8590</v>
      </c>
      <c r="U1934" t="s">
        <v>8590</v>
      </c>
      <c r="V1934" t="s">
        <v>8590</v>
      </c>
      <c r="W1934">
        <v>1</v>
      </c>
      <c r="X1934" t="s">
        <v>10524</v>
      </c>
      <c r="Y1934">
        <v>0.57491955647150372</v>
      </c>
      <c r="Z1934" t="str">
        <f>HYPERLINK("Melting_Curves/meltCurve_sp_Q49AN0_CRY2_HUMAN_.pdf", "Melting_Curves/meltCurve_sp_Q49AN0_CRY2_HUMAN_.pdf")</f>
        <v>Melting_Curves/meltCurve_sp_Q49AN0_CRY2_HUMAN_.pdf</v>
      </c>
      <c r="AA1934" t="s">
        <v>14782</v>
      </c>
      <c r="AB1934" t="s">
        <v>19018</v>
      </c>
    </row>
    <row r="1935" spans="1:28" x14ac:dyDescent="0.25">
      <c r="A1935" t="s">
        <v>1939</v>
      </c>
      <c r="B1935">
        <v>0.99876560204751996</v>
      </c>
      <c r="C1935">
        <v>1.06820477620587</v>
      </c>
      <c r="D1935">
        <v>1.01228846238324</v>
      </c>
      <c r="E1935">
        <v>0.942487806133395</v>
      </c>
      <c r="F1935">
        <v>0.69185449121376397</v>
      </c>
      <c r="G1935">
        <v>0.31891922890768498</v>
      </c>
      <c r="H1935">
        <v>0.104497845976561</v>
      </c>
      <c r="I1935">
        <v>0.110324584876351</v>
      </c>
      <c r="J1935">
        <v>5.1960325419571698E-2</v>
      </c>
      <c r="K1935">
        <v>4.6328476012188001E-2</v>
      </c>
      <c r="L1935">
        <v>1382.3916186742099</v>
      </c>
      <c r="M1935">
        <v>25.263013659062299</v>
      </c>
      <c r="N1935">
        <v>54.9697677046777</v>
      </c>
      <c r="O1935">
        <v>54.380575576664199</v>
      </c>
      <c r="P1935">
        <v>-0.109843455206486</v>
      </c>
      <c r="Q1935">
        <v>5.4226487582521098E-2</v>
      </c>
      <c r="R1935">
        <v>0.99571065653026603</v>
      </c>
      <c r="S1935" t="s">
        <v>6231</v>
      </c>
      <c r="T1935" t="s">
        <v>8590</v>
      </c>
      <c r="U1935" t="s">
        <v>8590</v>
      </c>
      <c r="V1935" t="s">
        <v>8590</v>
      </c>
      <c r="W1935">
        <v>1</v>
      </c>
      <c r="X1935" t="s">
        <v>10525</v>
      </c>
      <c r="Y1935">
        <v>0.52688036721436748</v>
      </c>
      <c r="Z1935" t="str">
        <f>HYPERLINK("Melting_Curves/meltCurve_sp_Q49AR2_2_CE022_HUMAN_.pdf", "Melting_Curves/meltCurve_sp_Q49AR2_2_CE022_HUMAN_.pdf")</f>
        <v>Melting_Curves/meltCurve_sp_Q49AR2_2_CE022_HUMAN_.pdf</v>
      </c>
      <c r="AA1935" t="s">
        <v>14783</v>
      </c>
      <c r="AB1935" t="s">
        <v>19019</v>
      </c>
    </row>
    <row r="1936" spans="1:28" x14ac:dyDescent="0.25">
      <c r="A1936" t="s">
        <v>1940</v>
      </c>
      <c r="B1936">
        <v>0.99876560204751996</v>
      </c>
      <c r="C1936">
        <v>1.04073157883451</v>
      </c>
      <c r="D1936">
        <v>1.0704167716525099</v>
      </c>
      <c r="E1936">
        <v>0.95077712486275201</v>
      </c>
      <c r="F1936">
        <v>1.00929557494206</v>
      </c>
      <c r="G1936">
        <v>0.76632611650053395</v>
      </c>
      <c r="H1936">
        <v>0.649133504633023</v>
      </c>
      <c r="I1936">
        <v>0.70131515251379595</v>
      </c>
      <c r="J1936">
        <v>0.84728893423613305</v>
      </c>
      <c r="K1936">
        <v>0.86065854653694096</v>
      </c>
      <c r="L1936">
        <v>13970.3431937476</v>
      </c>
      <c r="M1936">
        <v>250</v>
      </c>
      <c r="O1936">
        <v>55.877796245699002</v>
      </c>
      <c r="P1936">
        <v>-0.263299331573838</v>
      </c>
      <c r="Q1936">
        <v>0.76459861578158095</v>
      </c>
      <c r="R1936">
        <v>0.78369325342004403</v>
      </c>
      <c r="S1936" t="s">
        <v>6232</v>
      </c>
      <c r="T1936" t="s">
        <v>8590</v>
      </c>
      <c r="U1936" t="s">
        <v>8590</v>
      </c>
      <c r="V1936" t="s">
        <v>8590</v>
      </c>
      <c r="W1936">
        <v>4</v>
      </c>
      <c r="X1936" t="s">
        <v>10526</v>
      </c>
      <c r="Y1936">
        <v>0.88923827296720914</v>
      </c>
      <c r="Z1936" t="str">
        <f>HYPERLINK("Melting_Curves/meltCurve_sp_Q49B96_COX19_HUMAN_.pdf", "Melting_Curves/meltCurve_sp_Q49B96_COX19_HUMAN_.pdf")</f>
        <v>Melting_Curves/meltCurve_sp_Q49B96_COX19_HUMAN_.pdf</v>
      </c>
      <c r="AA1936" t="s">
        <v>14784</v>
      </c>
      <c r="AB1936" t="s">
        <v>19020</v>
      </c>
    </row>
    <row r="1937" spans="1:28" x14ac:dyDescent="0.25">
      <c r="A1937" t="s">
        <v>1941</v>
      </c>
      <c r="B1937">
        <v>0.99876560204751996</v>
      </c>
      <c r="C1937">
        <v>0.97318118969448497</v>
      </c>
      <c r="D1937">
        <v>0.96074379594774495</v>
      </c>
      <c r="E1937">
        <v>0.92058830643924305</v>
      </c>
      <c r="F1937">
        <v>0.56280621009901799</v>
      </c>
      <c r="G1937">
        <v>0.30017599430935099</v>
      </c>
      <c r="H1937">
        <v>0.14597122321106101</v>
      </c>
      <c r="I1937">
        <v>0.110872173706845</v>
      </c>
      <c r="J1937">
        <v>9.2100745700901696E-2</v>
      </c>
      <c r="K1937">
        <v>5.2557996448266801E-2</v>
      </c>
      <c r="L1937">
        <v>1231.6323008454999</v>
      </c>
      <c r="M1937">
        <v>22.913850587954499</v>
      </c>
      <c r="N1937">
        <v>54.154382565034602</v>
      </c>
      <c r="O1937">
        <v>53.3461926447211</v>
      </c>
      <c r="P1937">
        <v>-9.8951611866208197E-2</v>
      </c>
      <c r="Q1937">
        <v>7.8532644821678294E-2</v>
      </c>
      <c r="R1937">
        <v>0.99417844635485697</v>
      </c>
      <c r="S1937" t="s">
        <v>6233</v>
      </c>
      <c r="T1937" t="s">
        <v>8590</v>
      </c>
      <c r="U1937" t="s">
        <v>8590</v>
      </c>
      <c r="V1937" t="s">
        <v>8590</v>
      </c>
      <c r="W1937">
        <v>9</v>
      </c>
      <c r="X1937" t="s">
        <v>10527</v>
      </c>
      <c r="Y1937">
        <v>0.51085837729245265</v>
      </c>
      <c r="Z1937" t="str">
        <f>HYPERLINK("Melting_Curves/meltCurve_sp_Q4G0F5_VP26B_HUMAN_.pdf", "Melting_Curves/meltCurve_sp_Q4G0F5_VP26B_HUMAN_.pdf")</f>
        <v>Melting_Curves/meltCurve_sp_Q4G0F5_VP26B_HUMAN_.pdf</v>
      </c>
      <c r="AA1937" t="s">
        <v>14785</v>
      </c>
      <c r="AB1937" t="s">
        <v>19021</v>
      </c>
    </row>
    <row r="1938" spans="1:28" x14ac:dyDescent="0.25">
      <c r="A1938" t="s">
        <v>1942</v>
      </c>
      <c r="B1938">
        <v>0.99876560204751996</v>
      </c>
      <c r="C1938">
        <v>1.1241930050692399</v>
      </c>
      <c r="D1938">
        <v>1.0539537083272601</v>
      </c>
      <c r="E1938">
        <v>0.95172266652236603</v>
      </c>
      <c r="F1938">
        <v>0.82585239837409397</v>
      </c>
      <c r="G1938">
        <v>0.55647096728286805</v>
      </c>
      <c r="H1938">
        <v>0.30892446666407197</v>
      </c>
      <c r="I1938">
        <v>0.22538554632208899</v>
      </c>
      <c r="J1938">
        <v>0.19277351688417099</v>
      </c>
      <c r="K1938">
        <v>0.15500061747889099</v>
      </c>
      <c r="L1938">
        <v>1177.4273289398</v>
      </c>
      <c r="M1938">
        <v>20.764300019466798</v>
      </c>
      <c r="N1938">
        <v>57.695318152003502</v>
      </c>
      <c r="O1938">
        <v>56.186354388524002</v>
      </c>
      <c r="P1938">
        <v>-7.8535503919853894E-2</v>
      </c>
      <c r="Q1938">
        <v>0.14998377236864899</v>
      </c>
      <c r="R1938">
        <v>0.98577456664986696</v>
      </c>
      <c r="S1938" t="s">
        <v>6234</v>
      </c>
      <c r="T1938" t="s">
        <v>8590</v>
      </c>
      <c r="U1938" t="s">
        <v>8590</v>
      </c>
      <c r="V1938" t="s">
        <v>8590</v>
      </c>
      <c r="W1938">
        <v>11</v>
      </c>
      <c r="X1938" t="s">
        <v>10528</v>
      </c>
      <c r="Y1938">
        <v>0.63337783008655135</v>
      </c>
      <c r="Z1938" t="str">
        <f>HYPERLINK("Melting_Curves/meltCurve_sp_Q4G0J3_LARP7_HUMAN_.pdf", "Melting_Curves/meltCurve_sp_Q4G0J3_LARP7_HUMAN_.pdf")</f>
        <v>Melting_Curves/meltCurve_sp_Q4G0J3_LARP7_HUMAN_.pdf</v>
      </c>
      <c r="AA1938" t="s">
        <v>14786</v>
      </c>
      <c r="AB1938" t="s">
        <v>19022</v>
      </c>
    </row>
    <row r="1939" spans="1:28" x14ac:dyDescent="0.25">
      <c r="A1939" t="s">
        <v>1943</v>
      </c>
      <c r="B1939">
        <v>0.99876560204751996</v>
      </c>
      <c r="C1939">
        <v>0.99931767729112198</v>
      </c>
      <c r="D1939">
        <v>0.95909824312305003</v>
      </c>
      <c r="E1939">
        <v>0.80857192191247396</v>
      </c>
      <c r="F1939">
        <v>0.38113943545776702</v>
      </c>
      <c r="G1939">
        <v>0.13270187306077799</v>
      </c>
      <c r="H1939">
        <v>7.8932573560342598E-2</v>
      </c>
      <c r="I1939">
        <v>6.4492128586248698E-2</v>
      </c>
      <c r="J1939">
        <v>5.7284286979123897E-2</v>
      </c>
      <c r="K1939">
        <v>3.6259184153733297E-2</v>
      </c>
      <c r="L1939">
        <v>1645.7526033480301</v>
      </c>
      <c r="M1939">
        <v>31.640575057363598</v>
      </c>
      <c r="N1939">
        <v>52.220766644632199</v>
      </c>
      <c r="O1939">
        <v>51.8075429141591</v>
      </c>
      <c r="P1939">
        <v>-0.14369450299627201</v>
      </c>
      <c r="Q1939">
        <v>5.8876788777094E-2</v>
      </c>
      <c r="R1939">
        <v>0.99878855521925203</v>
      </c>
      <c r="S1939" t="s">
        <v>6235</v>
      </c>
      <c r="T1939" t="s">
        <v>8590</v>
      </c>
      <c r="U1939" t="s">
        <v>8590</v>
      </c>
      <c r="V1939" t="s">
        <v>8590</v>
      </c>
      <c r="W1939">
        <v>33</v>
      </c>
      <c r="X1939" t="s">
        <v>10529</v>
      </c>
      <c r="Y1939">
        <v>0.44117551420798939</v>
      </c>
      <c r="Z1939" t="str">
        <f>HYPERLINK("Melting_Curves/meltCurve_sp_Q4G0N4_NAKD1_HUMAN_.pdf", "Melting_Curves/meltCurve_sp_Q4G0N4_NAKD1_HUMAN_.pdf")</f>
        <v>Melting_Curves/meltCurve_sp_Q4G0N4_NAKD1_HUMAN_.pdf</v>
      </c>
      <c r="AA1939" t="s">
        <v>14787</v>
      </c>
      <c r="AB1939" t="s">
        <v>19023</v>
      </c>
    </row>
    <row r="1940" spans="1:28" x14ac:dyDescent="0.25">
      <c r="A1940" t="s">
        <v>1944</v>
      </c>
      <c r="B1940">
        <v>0.99876560204751996</v>
      </c>
      <c r="C1940">
        <v>1.02708672583283</v>
      </c>
      <c r="D1940">
        <v>0.88501262620480103</v>
      </c>
      <c r="E1940">
        <v>0.78356604235585403</v>
      </c>
      <c r="F1940">
        <v>0.50364993086594301</v>
      </c>
      <c r="G1940">
        <v>0.20021005728248401</v>
      </c>
      <c r="H1940">
        <v>0.120871870150943</v>
      </c>
      <c r="I1940">
        <v>0.109871202126618</v>
      </c>
      <c r="J1940">
        <v>0.100680139128017</v>
      </c>
      <c r="K1940">
        <v>7.3343896326736005E-2</v>
      </c>
      <c r="L1940">
        <v>1108.7558910218099</v>
      </c>
      <c r="M1940">
        <v>21.1105824860703</v>
      </c>
      <c r="N1940">
        <v>52.942856382554403</v>
      </c>
      <c r="O1940">
        <v>52.056864292536403</v>
      </c>
      <c r="P1940">
        <v>-9.3542167813630395E-2</v>
      </c>
      <c r="Q1940">
        <v>7.7356905165927803E-2</v>
      </c>
      <c r="R1940">
        <v>0.99473802263887001</v>
      </c>
      <c r="S1940" t="s">
        <v>6236</v>
      </c>
      <c r="T1940" t="s">
        <v>8590</v>
      </c>
      <c r="U1940" t="s">
        <v>8590</v>
      </c>
      <c r="V1940" t="s">
        <v>8590</v>
      </c>
      <c r="W1940">
        <v>4</v>
      </c>
      <c r="X1940" t="s">
        <v>10530</v>
      </c>
      <c r="Y1940">
        <v>0.47401973897409688</v>
      </c>
      <c r="Z1940" t="str">
        <f>HYPERLINK("Melting_Curves/meltCurve_sp_Q4G0X4_KCD21_HUMAN_.pdf", "Melting_Curves/meltCurve_sp_Q4G0X4_KCD21_HUMAN_.pdf")</f>
        <v>Melting_Curves/meltCurve_sp_Q4G0X4_KCD21_HUMAN_.pdf</v>
      </c>
      <c r="AA1940" t="s">
        <v>14788</v>
      </c>
      <c r="AB1940" t="s">
        <v>19024</v>
      </c>
    </row>
    <row r="1941" spans="1:28" x14ac:dyDescent="0.25">
      <c r="A1941" t="s">
        <v>1945</v>
      </c>
      <c r="B1941">
        <v>0.99876560204751996</v>
      </c>
      <c r="C1941">
        <v>0.94239019961651604</v>
      </c>
      <c r="D1941">
        <v>0.81216134798530004</v>
      </c>
      <c r="E1941">
        <v>0.89786971327523202</v>
      </c>
      <c r="F1941">
        <v>0.81412647587169495</v>
      </c>
      <c r="G1941">
        <v>0.50327204257122005</v>
      </c>
      <c r="H1941">
        <v>0.42980718082576702</v>
      </c>
      <c r="I1941">
        <v>0.22178957032159899</v>
      </c>
      <c r="J1941">
        <v>0.13094766207709399</v>
      </c>
      <c r="K1941">
        <v>0</v>
      </c>
      <c r="L1941">
        <v>753.73287062015697</v>
      </c>
      <c r="M1941">
        <v>13.011275792424</v>
      </c>
      <c r="N1941">
        <v>57.929205633179897</v>
      </c>
      <c r="O1941">
        <v>56.612023098488898</v>
      </c>
      <c r="P1941">
        <v>-5.7468190525169202E-2</v>
      </c>
      <c r="Q1941">
        <v>0</v>
      </c>
      <c r="R1941">
        <v>0.960487093702035</v>
      </c>
      <c r="S1941" t="s">
        <v>6237</v>
      </c>
      <c r="T1941" t="s">
        <v>8590</v>
      </c>
      <c r="U1941" t="s">
        <v>8590</v>
      </c>
      <c r="V1941" t="s">
        <v>8590</v>
      </c>
      <c r="W1941">
        <v>2</v>
      </c>
      <c r="X1941" t="s">
        <v>10531</v>
      </c>
      <c r="Y1941">
        <v>0.61118325677010676</v>
      </c>
      <c r="Z1941" t="str">
        <f>HYPERLINK("Melting_Curves/meltCurve_sp_Q4G148_2_GXLT1_HUMAN_.pdf", "Melting_Curves/meltCurve_sp_Q4G148_2_GXLT1_HUMAN_.pdf")</f>
        <v>Melting_Curves/meltCurve_sp_Q4G148_2_GXLT1_HUMAN_.pdf</v>
      </c>
      <c r="AA1941" t="s">
        <v>14789</v>
      </c>
      <c r="AB1941" t="s">
        <v>19025</v>
      </c>
    </row>
    <row r="1942" spans="1:28" x14ac:dyDescent="0.25">
      <c r="A1942" t="s">
        <v>1946</v>
      </c>
      <c r="B1942">
        <v>0.99876560204751996</v>
      </c>
      <c r="C1942">
        <v>0.84896613788111397</v>
      </c>
      <c r="D1942">
        <v>0.59924888885572603</v>
      </c>
      <c r="E1942">
        <v>0.24687338668827999</v>
      </c>
      <c r="F1942">
        <v>0.109510839429956</v>
      </c>
      <c r="G1942">
        <v>7.4434106461311503E-2</v>
      </c>
      <c r="H1942">
        <v>6.3158463745295101E-2</v>
      </c>
      <c r="I1942">
        <v>4.0673318670520903E-2</v>
      </c>
      <c r="J1942">
        <v>3.5559884963126703E-2</v>
      </c>
      <c r="K1942">
        <v>3.1429575856100601E-2</v>
      </c>
      <c r="L1942">
        <v>941.27699288428596</v>
      </c>
      <c r="M1942">
        <v>20.140302169233699</v>
      </c>
      <c r="N1942">
        <v>46.927165029145101</v>
      </c>
      <c r="O1942">
        <v>46.282554370240597</v>
      </c>
      <c r="P1942">
        <v>-0.10450840638532601</v>
      </c>
      <c r="Q1942">
        <v>3.9386237924973998E-2</v>
      </c>
      <c r="R1942">
        <v>0.99859301405110901</v>
      </c>
      <c r="S1942" t="s">
        <v>6238</v>
      </c>
      <c r="T1942" t="s">
        <v>8590</v>
      </c>
      <c r="U1942" t="s">
        <v>8590</v>
      </c>
      <c r="V1942" t="s">
        <v>8590</v>
      </c>
      <c r="W1942">
        <v>21</v>
      </c>
      <c r="X1942" t="s">
        <v>10532</v>
      </c>
      <c r="Y1942">
        <v>0.26908111240467508</v>
      </c>
      <c r="Z1942" t="str">
        <f>HYPERLINK("Melting_Curves/meltCurve_sp_Q4G176_ACSF3_HUMAN_.pdf", "Melting_Curves/meltCurve_sp_Q4G176_ACSF3_HUMAN_.pdf")</f>
        <v>Melting_Curves/meltCurve_sp_Q4G176_ACSF3_HUMAN_.pdf</v>
      </c>
      <c r="AA1942" t="s">
        <v>14790</v>
      </c>
      <c r="AB1942" t="s">
        <v>19026</v>
      </c>
    </row>
    <row r="1943" spans="1:28" x14ac:dyDescent="0.25">
      <c r="A1943" t="s">
        <v>1947</v>
      </c>
      <c r="B1943">
        <v>0.99876560204751996</v>
      </c>
      <c r="C1943">
        <v>0.92879960507647497</v>
      </c>
      <c r="D1943">
        <v>0.77620257053314101</v>
      </c>
      <c r="E1943">
        <v>0.64087677549589395</v>
      </c>
      <c r="F1943">
        <v>0.33026137428665198</v>
      </c>
      <c r="G1943">
        <v>0.15675454709681699</v>
      </c>
      <c r="H1943">
        <v>8.03253145016357E-2</v>
      </c>
      <c r="I1943">
        <v>6.4896541933548796E-2</v>
      </c>
      <c r="J1943">
        <v>5.3451777145354498E-2</v>
      </c>
      <c r="K1943">
        <v>4.7358241337529597E-2</v>
      </c>
      <c r="L1943">
        <v>764.74829052544396</v>
      </c>
      <c r="M1943">
        <v>15.0582604225577</v>
      </c>
      <c r="N1943">
        <v>50.917052704282902</v>
      </c>
      <c r="O1943">
        <v>49.915555366155402</v>
      </c>
      <c r="P1943">
        <v>-7.3992063568142696E-2</v>
      </c>
      <c r="Q1943">
        <v>1.9013520635585899E-2</v>
      </c>
      <c r="R1943">
        <v>0.992248000152543</v>
      </c>
      <c r="S1943" t="s">
        <v>6239</v>
      </c>
      <c r="T1943" t="s">
        <v>8590</v>
      </c>
      <c r="U1943" t="s">
        <v>8590</v>
      </c>
      <c r="V1943" t="s">
        <v>8590</v>
      </c>
      <c r="W1943">
        <v>3</v>
      </c>
      <c r="X1943" t="s">
        <v>10533</v>
      </c>
      <c r="Y1943">
        <v>0.39438024288510498</v>
      </c>
      <c r="Z1943" t="str">
        <f>HYPERLINK("Melting_Curves/meltCurve_sp_Q4J6C6_4_PPCEL_HUMAN_.pdf", "Melting_Curves/meltCurve_sp_Q4J6C6_4_PPCEL_HUMAN_.pdf")</f>
        <v>Melting_Curves/meltCurve_sp_Q4J6C6_4_PPCEL_HUMAN_.pdf</v>
      </c>
      <c r="AA1943" t="s">
        <v>14791</v>
      </c>
      <c r="AB1943" t="s">
        <v>19027</v>
      </c>
    </row>
    <row r="1944" spans="1:28" x14ac:dyDescent="0.25">
      <c r="A1944" t="s">
        <v>1948</v>
      </c>
      <c r="B1944">
        <v>0.99876560204751996</v>
      </c>
      <c r="C1944">
        <v>1.0312629969209499</v>
      </c>
      <c r="D1944">
        <v>0.91012674587738696</v>
      </c>
      <c r="E1944">
        <v>1.0392686637903401</v>
      </c>
      <c r="F1944">
        <v>0.75670616986894501</v>
      </c>
      <c r="G1944">
        <v>0.57927951257483901</v>
      </c>
      <c r="H1944">
        <v>0.57615329387931802</v>
      </c>
      <c r="I1944">
        <v>0.54671165788398601</v>
      </c>
      <c r="J1944">
        <v>0.66072581584814805</v>
      </c>
      <c r="K1944">
        <v>0.56353738081110205</v>
      </c>
      <c r="L1944">
        <v>13231.443356010799</v>
      </c>
      <c r="M1944">
        <v>250</v>
      </c>
      <c r="O1944">
        <v>52.922402166174003</v>
      </c>
      <c r="P1944">
        <v>-0.48977202956531002</v>
      </c>
      <c r="Q1944">
        <v>0.58528152539152201</v>
      </c>
      <c r="R1944">
        <v>0.953035984177103</v>
      </c>
      <c r="S1944" t="s">
        <v>6240</v>
      </c>
      <c r="T1944" t="s">
        <v>8590</v>
      </c>
      <c r="U1944" t="s">
        <v>8590</v>
      </c>
      <c r="V1944" t="s">
        <v>8590</v>
      </c>
      <c r="W1944">
        <v>2</v>
      </c>
      <c r="X1944" t="s">
        <v>10534</v>
      </c>
      <c r="Y1944">
        <v>0.76400528064956807</v>
      </c>
      <c r="Z1944" t="str">
        <f>HYPERLINK("Melting_Curves/meltCurve_sp_Q4KMQ1_2_TPRN_HUMAN_.pdf", "Melting_Curves/meltCurve_sp_Q4KMQ1_2_TPRN_HUMAN_.pdf")</f>
        <v>Melting_Curves/meltCurve_sp_Q4KMQ1_2_TPRN_HUMAN_.pdf</v>
      </c>
      <c r="AA1944" t="s">
        <v>14792</v>
      </c>
      <c r="AB1944" t="s">
        <v>19028</v>
      </c>
    </row>
    <row r="1945" spans="1:28" x14ac:dyDescent="0.25">
      <c r="A1945" t="s">
        <v>1949</v>
      </c>
      <c r="B1945">
        <v>0.99876560204751996</v>
      </c>
      <c r="C1945">
        <v>0.88792746598801697</v>
      </c>
      <c r="D1945">
        <v>0.76458856831590305</v>
      </c>
      <c r="E1945">
        <v>0.74633112948657798</v>
      </c>
      <c r="F1945">
        <v>0.39066447510551</v>
      </c>
      <c r="G1945">
        <v>0.22761609120353701</v>
      </c>
      <c r="H1945">
        <v>7.0060176855483297E-2</v>
      </c>
      <c r="I1945">
        <v>4.3943759330252699E-2</v>
      </c>
      <c r="J1945">
        <v>4.1391061769465103E-2</v>
      </c>
      <c r="K1945">
        <v>3.3482993994964197E-2</v>
      </c>
      <c r="L1945">
        <v>721.97157133289898</v>
      </c>
      <c r="M1945">
        <v>13.9141959643077</v>
      </c>
      <c r="N1945">
        <v>51.887398728707097</v>
      </c>
      <c r="O1945">
        <v>50.850891052601703</v>
      </c>
      <c r="P1945">
        <v>-6.8416116395065202E-2</v>
      </c>
      <c r="Q1945">
        <v>0</v>
      </c>
      <c r="R1945">
        <v>0.97832548700509003</v>
      </c>
      <c r="S1945" t="s">
        <v>6241</v>
      </c>
      <c r="T1945" t="s">
        <v>8590</v>
      </c>
      <c r="U1945" t="s">
        <v>8590</v>
      </c>
      <c r="V1945" t="s">
        <v>8590</v>
      </c>
      <c r="W1945">
        <v>2</v>
      </c>
      <c r="X1945" t="s">
        <v>10535</v>
      </c>
      <c r="Y1945">
        <v>0.42137483775293061</v>
      </c>
      <c r="Z1945" t="str">
        <f>HYPERLINK("Melting_Curves/meltCurve_sp_Q4KWH8_3_PLCH1_HUMAN_.pdf", "Melting_Curves/meltCurve_sp_Q4KWH8_3_PLCH1_HUMAN_.pdf")</f>
        <v>Melting_Curves/meltCurve_sp_Q4KWH8_3_PLCH1_HUMAN_.pdf</v>
      </c>
      <c r="AA1945" t="s">
        <v>14793</v>
      </c>
      <c r="AB1945" t="s">
        <v>19029</v>
      </c>
    </row>
    <row r="1946" spans="1:28" x14ac:dyDescent="0.25">
      <c r="A1946" t="s">
        <v>1950</v>
      </c>
      <c r="B1946">
        <v>0.99876560204751996</v>
      </c>
      <c r="C1946">
        <v>0.87973219737766495</v>
      </c>
      <c r="D1946">
        <v>1.0132575410620399</v>
      </c>
      <c r="E1946">
        <v>0.79560606253164201</v>
      </c>
      <c r="F1946">
        <v>0.91671068181219295</v>
      </c>
      <c r="G1946">
        <v>0.64387323078460201</v>
      </c>
      <c r="H1946">
        <v>0.54565624203825203</v>
      </c>
      <c r="I1946">
        <v>0.60853746880439596</v>
      </c>
      <c r="J1946">
        <v>0.83580187716485799</v>
      </c>
      <c r="K1946">
        <v>0.86784022137917105</v>
      </c>
      <c r="L1946">
        <v>1071.1365595867201</v>
      </c>
      <c r="M1946">
        <v>21.277755780534999</v>
      </c>
      <c r="O1946">
        <v>49.902351715331797</v>
      </c>
      <c r="P1946">
        <v>-3.09656233396031E-2</v>
      </c>
      <c r="Q1946">
        <v>0.70951484145250998</v>
      </c>
      <c r="R1946">
        <v>0.46607783182499601</v>
      </c>
      <c r="S1946" t="s">
        <v>6242</v>
      </c>
      <c r="T1946" t="s">
        <v>8590</v>
      </c>
      <c r="U1946" t="s">
        <v>8590</v>
      </c>
      <c r="V1946" t="s">
        <v>8590</v>
      </c>
      <c r="W1946">
        <v>2</v>
      </c>
      <c r="X1946" t="s">
        <v>10536</v>
      </c>
      <c r="Y1946">
        <v>0.81322454044225301</v>
      </c>
      <c r="Z1946" t="str">
        <f>HYPERLINK("Melting_Curves/meltCurve_sp_Q4LE39_3_ARI4B_HUMAN_.pdf", "Melting_Curves/meltCurve_sp_Q4LE39_3_ARI4B_HUMAN_.pdf")</f>
        <v>Melting_Curves/meltCurve_sp_Q4LE39_3_ARI4B_HUMAN_.pdf</v>
      </c>
      <c r="AA1946" t="s">
        <v>14794</v>
      </c>
      <c r="AB1946" t="s">
        <v>19030</v>
      </c>
    </row>
    <row r="1947" spans="1:28" x14ac:dyDescent="0.25">
      <c r="A1947" t="s">
        <v>1951</v>
      </c>
      <c r="B1947">
        <v>0.99876560204751996</v>
      </c>
      <c r="C1947">
        <v>1.0002151895859099</v>
      </c>
      <c r="D1947">
        <v>0.98151696738334204</v>
      </c>
      <c r="E1947">
        <v>0.94692571342058596</v>
      </c>
      <c r="F1947">
        <v>0.93010662686014001</v>
      </c>
      <c r="G1947">
        <v>0.72650380116829405</v>
      </c>
      <c r="H1947">
        <v>0.62228252644336601</v>
      </c>
      <c r="I1947">
        <v>0.58700898332568197</v>
      </c>
      <c r="J1947">
        <v>0.77591432100509306</v>
      </c>
      <c r="K1947">
        <v>0.72040465002513798</v>
      </c>
      <c r="L1947">
        <v>2275.0160103036901</v>
      </c>
      <c r="M1947">
        <v>41.753194841077203</v>
      </c>
      <c r="O1947">
        <v>54.362702112473599</v>
      </c>
      <c r="P1947">
        <v>-6.2063276524055501E-2</v>
      </c>
      <c r="Q1947">
        <v>0.67677484503901197</v>
      </c>
      <c r="R1947">
        <v>0.88894461876503295</v>
      </c>
      <c r="S1947" t="s">
        <v>6243</v>
      </c>
      <c r="T1947" t="s">
        <v>8590</v>
      </c>
      <c r="U1947" t="s">
        <v>8590</v>
      </c>
      <c r="V1947" t="s">
        <v>8590</v>
      </c>
      <c r="W1947">
        <v>36</v>
      </c>
      <c r="X1947" t="s">
        <v>10537</v>
      </c>
      <c r="Y1947">
        <v>0.833977183020438</v>
      </c>
      <c r="Z1947" t="str">
        <f>HYPERLINK("Melting_Curves/meltCurve_sp_Q4V328_GRAP1_HUMAN_.pdf", "Melting_Curves/meltCurve_sp_Q4V328_GRAP1_HUMAN_.pdf")</f>
        <v>Melting_Curves/meltCurve_sp_Q4V328_GRAP1_HUMAN_.pdf</v>
      </c>
      <c r="AA1947" t="s">
        <v>14795</v>
      </c>
      <c r="AB1947" t="s">
        <v>19031</v>
      </c>
    </row>
    <row r="1948" spans="1:28" x14ac:dyDescent="0.25">
      <c r="A1948" t="s">
        <v>1952</v>
      </c>
      <c r="B1948">
        <v>0.99876560204751996</v>
      </c>
      <c r="C1948">
        <v>1.09521901801788</v>
      </c>
      <c r="D1948">
        <v>1.2497621940467101</v>
      </c>
      <c r="E1948">
        <v>1.08565299312619</v>
      </c>
      <c r="F1948">
        <v>1.07629189034178</v>
      </c>
      <c r="G1948">
        <v>0.81249666738099802</v>
      </c>
      <c r="H1948">
        <v>0.77159157178120596</v>
      </c>
      <c r="I1948">
        <v>0.65228451950190502</v>
      </c>
      <c r="J1948">
        <v>0.700768476120187</v>
      </c>
      <c r="K1948">
        <v>1.2899195014004099</v>
      </c>
      <c r="L1948">
        <v>3962.9562292291798</v>
      </c>
      <c r="M1948">
        <v>71.793982148122197</v>
      </c>
      <c r="O1948">
        <v>55.156221631538799</v>
      </c>
      <c r="P1948">
        <v>-5.0552366331214897E-2</v>
      </c>
      <c r="Q1948">
        <v>0.84465121569474499</v>
      </c>
      <c r="R1948">
        <v>0.23938267448438799</v>
      </c>
      <c r="S1948" t="s">
        <v>6244</v>
      </c>
      <c r="T1948" t="s">
        <v>8590</v>
      </c>
      <c r="U1948" t="s">
        <v>8590</v>
      </c>
      <c r="V1948" t="s">
        <v>8590</v>
      </c>
      <c r="W1948">
        <v>2</v>
      </c>
      <c r="X1948" t="s">
        <v>10538</v>
      </c>
      <c r="Y1948">
        <v>0.9235390336099063</v>
      </c>
      <c r="Z1948" t="str">
        <f>HYPERLINK("Melting_Curves/meltCurve_sp_Q4V348_Z658B_HUMAN_.pdf", "Melting_Curves/meltCurve_sp_Q4V348_Z658B_HUMAN_.pdf")</f>
        <v>Melting_Curves/meltCurve_sp_Q4V348_Z658B_HUMAN_.pdf</v>
      </c>
      <c r="AA1948" t="s">
        <v>14796</v>
      </c>
      <c r="AB1948" t="s">
        <v>19032</v>
      </c>
    </row>
    <row r="1949" spans="1:28" x14ac:dyDescent="0.25">
      <c r="A1949" t="s">
        <v>1953</v>
      </c>
      <c r="B1949">
        <v>0.99876560204751996</v>
      </c>
      <c r="C1949">
        <v>1.0303316678266301</v>
      </c>
      <c r="D1949">
        <v>0.88075959036247398</v>
      </c>
      <c r="E1949">
        <v>0.63747431248819197</v>
      </c>
      <c r="F1949">
        <v>0.39618583145144398</v>
      </c>
      <c r="G1949">
        <v>0.208544462949461</v>
      </c>
      <c r="H1949">
        <v>0.15647721182729599</v>
      </c>
      <c r="I1949">
        <v>0.12142378371237</v>
      </c>
      <c r="J1949">
        <v>0.147905075078822</v>
      </c>
      <c r="K1949">
        <v>0.121898429145203</v>
      </c>
      <c r="L1949">
        <v>1018.65129973612</v>
      </c>
      <c r="M1949">
        <v>20.035497876517699</v>
      </c>
      <c r="N1949">
        <v>51.568263264606699</v>
      </c>
      <c r="O1949">
        <v>50.343966876563499</v>
      </c>
      <c r="P1949">
        <v>-8.7270280455711793E-2</v>
      </c>
      <c r="Q1949">
        <v>0.12287893059864</v>
      </c>
      <c r="R1949">
        <v>0.99703681695884205</v>
      </c>
      <c r="S1949" t="s">
        <v>6245</v>
      </c>
      <c r="T1949" t="s">
        <v>8590</v>
      </c>
      <c r="U1949" t="s">
        <v>8590</v>
      </c>
      <c r="V1949" t="s">
        <v>8590</v>
      </c>
      <c r="W1949">
        <v>7</v>
      </c>
      <c r="X1949" t="s">
        <v>10539</v>
      </c>
      <c r="Y1949">
        <v>0.45201986340198291</v>
      </c>
      <c r="Z1949" t="str">
        <f>HYPERLINK("Melting_Curves/meltCurve_sp_Q52LJ0_2_FA98B_HUMAN_.pdf", "Melting_Curves/meltCurve_sp_Q52LJ0_2_FA98B_HUMAN_.pdf")</f>
        <v>Melting_Curves/meltCurve_sp_Q52LJ0_2_FA98B_HUMAN_.pdf</v>
      </c>
      <c r="AA1949" t="s">
        <v>14797</v>
      </c>
      <c r="AB1949" t="s">
        <v>19033</v>
      </c>
    </row>
    <row r="1950" spans="1:28" x14ac:dyDescent="0.25">
      <c r="A1950" t="s">
        <v>1954</v>
      </c>
      <c r="B1950">
        <v>0.99876560204751996</v>
      </c>
      <c r="C1950">
        <v>0.86503634917330596</v>
      </c>
      <c r="D1950">
        <v>1.0286392175663099</v>
      </c>
      <c r="E1950">
        <v>0.85902207920939799</v>
      </c>
      <c r="F1950">
        <v>1.0076561941814099</v>
      </c>
      <c r="G1950">
        <v>0.80183695079383599</v>
      </c>
      <c r="H1950">
        <v>0.59710293671046399</v>
      </c>
      <c r="I1950">
        <v>0.54568692141188702</v>
      </c>
      <c r="J1950">
        <v>0.63358988287790097</v>
      </c>
      <c r="K1950">
        <v>0.74740020513586303</v>
      </c>
      <c r="L1950">
        <v>14241.560656015799</v>
      </c>
      <c r="M1950">
        <v>250</v>
      </c>
      <c r="O1950">
        <v>56.962572259713298</v>
      </c>
      <c r="P1950">
        <v>-0.40493130106973602</v>
      </c>
      <c r="Q1950">
        <v>0.63094498202895499</v>
      </c>
      <c r="R1950">
        <v>0.78090481850864002</v>
      </c>
      <c r="S1950" t="s">
        <v>6246</v>
      </c>
      <c r="T1950" t="s">
        <v>8590</v>
      </c>
      <c r="U1950" t="s">
        <v>8590</v>
      </c>
      <c r="V1950" t="s">
        <v>8590</v>
      </c>
      <c r="W1950">
        <v>1</v>
      </c>
      <c r="X1950" t="s">
        <v>10540</v>
      </c>
      <c r="Y1950">
        <v>0.83969777747360141</v>
      </c>
      <c r="Z1950" t="str">
        <f>HYPERLINK("Melting_Curves/meltCurve_sp_Q52LW3_RHG29_HUMAN_.pdf", "Melting_Curves/meltCurve_sp_Q52LW3_RHG29_HUMAN_.pdf")</f>
        <v>Melting_Curves/meltCurve_sp_Q52LW3_RHG29_HUMAN_.pdf</v>
      </c>
      <c r="AA1950" t="s">
        <v>14798</v>
      </c>
      <c r="AB1950" t="s">
        <v>19034</v>
      </c>
    </row>
    <row r="1951" spans="1:28" x14ac:dyDescent="0.25">
      <c r="A1951" t="s">
        <v>1955</v>
      </c>
      <c r="B1951">
        <v>0.99876560204751996</v>
      </c>
      <c r="C1951">
        <v>0.86783807940073499</v>
      </c>
      <c r="D1951">
        <v>0.929462965583148</v>
      </c>
      <c r="E1951">
        <v>0.81286468548068702</v>
      </c>
      <c r="F1951">
        <v>0.79889161033705303</v>
      </c>
      <c r="G1951">
        <v>0.654817000882009</v>
      </c>
      <c r="H1951">
        <v>0.51613776884263296</v>
      </c>
      <c r="I1951">
        <v>0.50542114116407499</v>
      </c>
      <c r="J1951">
        <v>0.60574738647639703</v>
      </c>
      <c r="K1951">
        <v>0.55426006688599605</v>
      </c>
      <c r="L1951">
        <v>553.71068598212696</v>
      </c>
      <c r="M1951">
        <v>10.504313600066901</v>
      </c>
      <c r="O1951">
        <v>50.909762136643899</v>
      </c>
      <c r="P1951">
        <v>-2.6149363316757501E-2</v>
      </c>
      <c r="Q1951">
        <v>0.49326653943447601</v>
      </c>
      <c r="R1951">
        <v>0.91082440951181798</v>
      </c>
      <c r="S1951" t="s">
        <v>6247</v>
      </c>
      <c r="T1951" t="s">
        <v>8590</v>
      </c>
      <c r="U1951" t="s">
        <v>8590</v>
      </c>
      <c r="V1951" t="s">
        <v>8590</v>
      </c>
      <c r="W1951">
        <v>2</v>
      </c>
      <c r="X1951" t="s">
        <v>10541</v>
      </c>
      <c r="Y1951">
        <v>0.7250450006423762</v>
      </c>
      <c r="Z1951" t="str">
        <f>HYPERLINK("Melting_Curves/meltCurve_sp_Q53F19_CQ085_HUMAN_.pdf", "Melting_Curves/meltCurve_sp_Q53F19_CQ085_HUMAN_.pdf")</f>
        <v>Melting_Curves/meltCurve_sp_Q53F19_CQ085_HUMAN_.pdf</v>
      </c>
      <c r="AA1951" t="s">
        <v>14799</v>
      </c>
      <c r="AB1951" t="s">
        <v>19035</v>
      </c>
    </row>
    <row r="1952" spans="1:28" x14ac:dyDescent="0.25">
      <c r="A1952" t="s">
        <v>1956</v>
      </c>
      <c r="B1952">
        <v>0.99876560204751996</v>
      </c>
      <c r="C1952">
        <v>0.96798483979095995</v>
      </c>
      <c r="D1952">
        <v>0.90413592732355097</v>
      </c>
      <c r="E1952">
        <v>0.91217674673280602</v>
      </c>
      <c r="F1952">
        <v>0.83750582719410904</v>
      </c>
      <c r="G1952">
        <v>0.70357856988953604</v>
      </c>
      <c r="H1952">
        <v>0.57834391933254004</v>
      </c>
      <c r="I1952">
        <v>0.54574353763204198</v>
      </c>
      <c r="J1952">
        <v>0.50259741917213696</v>
      </c>
      <c r="K1952">
        <v>0.31026001796622099</v>
      </c>
      <c r="L1952">
        <v>454.70968539258803</v>
      </c>
      <c r="M1952">
        <v>7.0267310620922601</v>
      </c>
      <c r="N1952">
        <v>64.711411323859394</v>
      </c>
      <c r="O1952">
        <v>60.082322257976202</v>
      </c>
      <c r="P1952">
        <v>-2.9291384069407601E-2</v>
      </c>
      <c r="Q1952">
        <v>0</v>
      </c>
      <c r="R1952">
        <v>0.97578033761523697</v>
      </c>
      <c r="S1952" t="s">
        <v>6248</v>
      </c>
      <c r="T1952" t="s">
        <v>8590</v>
      </c>
      <c r="U1952" t="s">
        <v>8590</v>
      </c>
      <c r="V1952" t="s">
        <v>8590</v>
      </c>
      <c r="W1952">
        <v>7</v>
      </c>
      <c r="X1952" t="s">
        <v>10542</v>
      </c>
      <c r="Y1952">
        <v>0.73872887529366793</v>
      </c>
      <c r="Z1952" t="str">
        <f>HYPERLINK("Melting_Curves/meltCurve_sp_Q53FA7_QORX_HUMAN_.pdf", "Melting_Curves/meltCurve_sp_Q53FA7_QORX_HUMAN_.pdf")</f>
        <v>Melting_Curves/meltCurve_sp_Q53FA7_QORX_HUMAN_.pdf</v>
      </c>
      <c r="AA1952" t="s">
        <v>14800</v>
      </c>
      <c r="AB1952" t="s">
        <v>19036</v>
      </c>
    </row>
    <row r="1953" spans="1:28" x14ac:dyDescent="0.25">
      <c r="A1953" t="s">
        <v>1957</v>
      </c>
      <c r="B1953">
        <v>0.99876560204751996</v>
      </c>
      <c r="C1953">
        <v>0.88498116640309199</v>
      </c>
      <c r="D1953">
        <v>0.78495718831347205</v>
      </c>
      <c r="E1953">
        <v>0.42988567470852301</v>
      </c>
      <c r="F1953">
        <v>0.166216358357441</v>
      </c>
      <c r="G1953">
        <v>9.9484483803736201E-2</v>
      </c>
      <c r="H1953">
        <v>6.5534393426152499E-2</v>
      </c>
      <c r="I1953">
        <v>5.2156225705180401E-2</v>
      </c>
      <c r="J1953">
        <v>4.7097013870789302E-2</v>
      </c>
      <c r="K1953">
        <v>3.3885785160487097E-2</v>
      </c>
      <c r="L1953">
        <v>941.24086797234804</v>
      </c>
      <c r="M1953">
        <v>19.301444940515399</v>
      </c>
      <c r="N1953">
        <v>48.961660807009999</v>
      </c>
      <c r="O1953">
        <v>48.250900192143099</v>
      </c>
      <c r="P1953">
        <v>-9.6284721934909195E-2</v>
      </c>
      <c r="Q1953">
        <v>3.7243035724918098E-2</v>
      </c>
      <c r="R1953">
        <v>0.99603981892709503</v>
      </c>
      <c r="S1953" t="s">
        <v>6249</v>
      </c>
      <c r="T1953" t="s">
        <v>8590</v>
      </c>
      <c r="U1953" t="s">
        <v>8590</v>
      </c>
      <c r="V1953" t="s">
        <v>8590</v>
      </c>
      <c r="W1953">
        <v>33</v>
      </c>
      <c r="X1953" t="s">
        <v>10543</v>
      </c>
      <c r="Y1953">
        <v>0.33307820409798777</v>
      </c>
      <c r="Z1953" t="str">
        <f>HYPERLINK("Melting_Curves/meltCurve_sp_Q53FZ2_ACSM3_HUMAN_.pdf", "Melting_Curves/meltCurve_sp_Q53FZ2_ACSM3_HUMAN_.pdf")</f>
        <v>Melting_Curves/meltCurve_sp_Q53FZ2_ACSM3_HUMAN_.pdf</v>
      </c>
      <c r="AA1953" t="s">
        <v>14801</v>
      </c>
      <c r="AB1953" t="s">
        <v>19037</v>
      </c>
    </row>
    <row r="1954" spans="1:28" x14ac:dyDescent="0.25">
      <c r="A1954" t="s">
        <v>1958</v>
      </c>
      <c r="B1954">
        <v>0.99876560204751996</v>
      </c>
      <c r="C1954">
        <v>1.2199188108977601</v>
      </c>
      <c r="D1954">
        <v>0.58478925927910097</v>
      </c>
      <c r="E1954">
        <v>0.50557139990426603</v>
      </c>
      <c r="F1954">
        <v>0.18876911633003299</v>
      </c>
      <c r="G1954">
        <v>6.13007576469854E-2</v>
      </c>
      <c r="H1954">
        <v>4.5602111765129502E-2</v>
      </c>
      <c r="I1954">
        <v>0</v>
      </c>
      <c r="J1954">
        <v>4.1616435180564799E-2</v>
      </c>
      <c r="K1954">
        <v>3.9626692148381701E-2</v>
      </c>
      <c r="L1954">
        <v>946.72255524465095</v>
      </c>
      <c r="M1954">
        <v>19.3282220436759</v>
      </c>
      <c r="N1954">
        <v>49.088638563805198</v>
      </c>
      <c r="O1954">
        <v>48.466074904443502</v>
      </c>
      <c r="P1954">
        <v>-9.7641535360477497E-2</v>
      </c>
      <c r="Q1954">
        <v>2.0680608733864E-2</v>
      </c>
      <c r="R1954">
        <v>0.92795498797820697</v>
      </c>
      <c r="S1954" t="s">
        <v>6250</v>
      </c>
      <c r="T1954" t="s">
        <v>8590</v>
      </c>
      <c r="U1954" t="s">
        <v>8590</v>
      </c>
      <c r="V1954" t="s">
        <v>8590</v>
      </c>
      <c r="W1954">
        <v>1</v>
      </c>
      <c r="X1954" t="s">
        <v>10544</v>
      </c>
      <c r="Y1954">
        <v>0.3285733675728541</v>
      </c>
      <c r="Z1954" t="str">
        <f>HYPERLINK("Melting_Curves/meltCurve_sp_Q53GQ0_DHB12_HUMAN_.pdf", "Melting_Curves/meltCurve_sp_Q53GQ0_DHB12_HUMAN_.pdf")</f>
        <v>Melting_Curves/meltCurve_sp_Q53GQ0_DHB12_HUMAN_.pdf</v>
      </c>
      <c r="AA1954" t="s">
        <v>14802</v>
      </c>
      <c r="AB1954" t="s">
        <v>19038</v>
      </c>
    </row>
    <row r="1955" spans="1:28" x14ac:dyDescent="0.25">
      <c r="A1955" t="s">
        <v>1959</v>
      </c>
      <c r="B1955">
        <v>0.99876560204751996</v>
      </c>
      <c r="C1955">
        <v>0.95025983717289697</v>
      </c>
      <c r="D1955">
        <v>1.0537095795831599</v>
      </c>
      <c r="E1955">
        <v>0.75646591790961604</v>
      </c>
      <c r="F1955">
        <v>0.69388506497618596</v>
      </c>
      <c r="G1955">
        <v>0.72612571714383201</v>
      </c>
      <c r="H1955">
        <v>0.46189385482463102</v>
      </c>
      <c r="I1955">
        <v>0.52245353780870096</v>
      </c>
      <c r="J1955">
        <v>0.401731517940348</v>
      </c>
      <c r="K1955">
        <v>0.28864162012442801</v>
      </c>
      <c r="L1955">
        <v>443.77349130867998</v>
      </c>
      <c r="M1955">
        <v>7.2857526417169796</v>
      </c>
      <c r="N1955">
        <v>62.119476783883897</v>
      </c>
      <c r="O1955">
        <v>56.824062636716299</v>
      </c>
      <c r="P1955">
        <v>-2.9981916744011301E-2</v>
      </c>
      <c r="Q1955">
        <v>6.6137487565395003E-2</v>
      </c>
      <c r="R1955">
        <v>0.92254437005552903</v>
      </c>
      <c r="S1955" t="s">
        <v>6251</v>
      </c>
      <c r="T1955" t="s">
        <v>8590</v>
      </c>
      <c r="U1955" t="s">
        <v>8590</v>
      </c>
      <c r="V1955" t="s">
        <v>8590</v>
      </c>
      <c r="W1955">
        <v>18</v>
      </c>
      <c r="X1955" t="s">
        <v>10545</v>
      </c>
      <c r="Y1955">
        <v>0.68797447341473872</v>
      </c>
      <c r="Z1955" t="str">
        <f>HYPERLINK("Melting_Curves/meltCurve_sp_Q53H82_LACB2_HUMAN_.pdf", "Melting_Curves/meltCurve_sp_Q53H82_LACB2_HUMAN_.pdf")</f>
        <v>Melting_Curves/meltCurve_sp_Q53H82_LACB2_HUMAN_.pdf</v>
      </c>
      <c r="AA1955" t="s">
        <v>14803</v>
      </c>
      <c r="AB1955" t="s">
        <v>19039</v>
      </c>
    </row>
    <row r="1956" spans="1:28" x14ac:dyDescent="0.25">
      <c r="A1956" t="s">
        <v>1960</v>
      </c>
      <c r="B1956">
        <v>0.99876560204751996</v>
      </c>
      <c r="C1956">
        <v>0.95270111725637796</v>
      </c>
      <c r="D1956">
        <v>0.92297786325582198</v>
      </c>
      <c r="E1956">
        <v>0.80496614832580105</v>
      </c>
      <c r="F1956">
        <v>0.68140981750615104</v>
      </c>
      <c r="G1956">
        <v>0.26584099446917597</v>
      </c>
      <c r="H1956">
        <v>0.179124169634855</v>
      </c>
      <c r="I1956">
        <v>0.12271439369076299</v>
      </c>
      <c r="J1956">
        <v>7.1578747223501202E-2</v>
      </c>
      <c r="K1956">
        <v>7.9834108085018604E-2</v>
      </c>
      <c r="L1956">
        <v>998.54687240820999</v>
      </c>
      <c r="M1956">
        <v>18.455222076536099</v>
      </c>
      <c r="N1956">
        <v>54.471717373711201</v>
      </c>
      <c r="O1956">
        <v>53.483197043850097</v>
      </c>
      <c r="P1956">
        <v>-8.1249585348459497E-2</v>
      </c>
      <c r="Q1956">
        <v>5.81975603769374E-2</v>
      </c>
      <c r="R1956">
        <v>0.99160393190960705</v>
      </c>
      <c r="S1956" t="s">
        <v>6252</v>
      </c>
      <c r="T1956" t="s">
        <v>8590</v>
      </c>
      <c r="U1956" t="s">
        <v>8590</v>
      </c>
      <c r="V1956" t="s">
        <v>8590</v>
      </c>
      <c r="W1956">
        <v>4</v>
      </c>
      <c r="X1956" t="s">
        <v>10546</v>
      </c>
      <c r="Y1956">
        <v>0.51552354236384446</v>
      </c>
      <c r="Z1956" t="str">
        <f>HYPERLINK("Melting_Curves/meltCurve_sp_Q53HC9_TSSC1_HUMAN_.pdf", "Melting_Curves/meltCurve_sp_Q53HC9_TSSC1_HUMAN_.pdf")</f>
        <v>Melting_Curves/meltCurve_sp_Q53HC9_TSSC1_HUMAN_.pdf</v>
      </c>
      <c r="AA1956" t="s">
        <v>14804</v>
      </c>
      <c r="AB1956" t="s">
        <v>19040</v>
      </c>
    </row>
    <row r="1957" spans="1:28" x14ac:dyDescent="0.25">
      <c r="A1957" t="s">
        <v>1961</v>
      </c>
      <c r="B1957">
        <v>0.99876560204751996</v>
      </c>
      <c r="C1957">
        <v>0.97705612898780703</v>
      </c>
      <c r="D1957">
        <v>0.90062129821899195</v>
      </c>
      <c r="E1957">
        <v>0.74486399474100495</v>
      </c>
      <c r="F1957">
        <v>0.56355513660721901</v>
      </c>
      <c r="G1957">
        <v>0.34956416413940999</v>
      </c>
      <c r="H1957">
        <v>0.27779647793762002</v>
      </c>
      <c r="I1957">
        <v>0.27233444503649401</v>
      </c>
      <c r="J1957">
        <v>0.31226179812905103</v>
      </c>
      <c r="K1957">
        <v>0.289729270578438</v>
      </c>
      <c r="L1957">
        <v>970.01391113709894</v>
      </c>
      <c r="M1957">
        <v>18.821415973822401</v>
      </c>
      <c r="N1957">
        <v>53.745417730257998</v>
      </c>
      <c r="O1957">
        <v>50.966550895911901</v>
      </c>
      <c r="P1957">
        <v>-6.7470861114971095E-2</v>
      </c>
      <c r="Q1957">
        <v>0.26921229812256098</v>
      </c>
      <c r="R1957">
        <v>0.99477261015676599</v>
      </c>
      <c r="S1957" t="s">
        <v>6253</v>
      </c>
      <c r="T1957" t="s">
        <v>8590</v>
      </c>
      <c r="U1957" t="s">
        <v>8590</v>
      </c>
      <c r="V1957" t="s">
        <v>8590</v>
      </c>
      <c r="W1957">
        <v>8</v>
      </c>
      <c r="X1957" t="s">
        <v>10547</v>
      </c>
      <c r="Y1957">
        <v>0.56157352395181914</v>
      </c>
      <c r="Z1957" t="str">
        <f>HYPERLINK("Melting_Curves/meltCurve_sp_Q53LP3_SWAHC_HUMAN_.pdf", "Melting_Curves/meltCurve_sp_Q53LP3_SWAHC_HUMAN_.pdf")</f>
        <v>Melting_Curves/meltCurve_sp_Q53LP3_SWAHC_HUMAN_.pdf</v>
      </c>
      <c r="AA1957" t="s">
        <v>14805</v>
      </c>
      <c r="AB1957" t="s">
        <v>19041</v>
      </c>
    </row>
    <row r="1958" spans="1:28" x14ac:dyDescent="0.25">
      <c r="A1958" t="s">
        <v>1962</v>
      </c>
      <c r="B1958">
        <v>0.99876560204751996</v>
      </c>
      <c r="C1958">
        <v>1.0398791660721101</v>
      </c>
      <c r="D1958">
        <v>1.1942776196763401</v>
      </c>
      <c r="E1958">
        <v>0.944428164742661</v>
      </c>
      <c r="F1958">
        <v>0.853625082027895</v>
      </c>
      <c r="G1958">
        <v>0.66972572805439101</v>
      </c>
      <c r="H1958">
        <v>0.606204479177889</v>
      </c>
      <c r="I1958">
        <v>0.62461726676696505</v>
      </c>
      <c r="J1958">
        <v>0.74949229892395697</v>
      </c>
      <c r="K1958">
        <v>0.75326452535148103</v>
      </c>
      <c r="L1958">
        <v>2384.0727557346199</v>
      </c>
      <c r="M1958">
        <v>44.954176112064303</v>
      </c>
      <c r="O1958">
        <v>52.928774232561203</v>
      </c>
      <c r="P1958">
        <v>-6.8209423066392993E-2</v>
      </c>
      <c r="Q1958">
        <v>0.67876298190222395</v>
      </c>
      <c r="R1958">
        <v>0.82644464845936805</v>
      </c>
      <c r="S1958" t="s">
        <v>6254</v>
      </c>
      <c r="T1958" t="s">
        <v>8590</v>
      </c>
      <c r="U1958" t="s">
        <v>8590</v>
      </c>
      <c r="V1958" t="s">
        <v>8590</v>
      </c>
      <c r="W1958">
        <v>5</v>
      </c>
      <c r="X1958" t="s">
        <v>10548</v>
      </c>
      <c r="Y1958">
        <v>0.81925378118769521</v>
      </c>
      <c r="Z1958" t="str">
        <f>HYPERLINK("Melting_Curves/meltCurve_sp_Q53S33_BOLA3_HUMAN_.pdf", "Melting_Curves/meltCurve_sp_Q53S33_BOLA3_HUMAN_.pdf")</f>
        <v>Melting_Curves/meltCurve_sp_Q53S33_BOLA3_HUMAN_.pdf</v>
      </c>
      <c r="AA1958" t="s">
        <v>14806</v>
      </c>
      <c r="AB1958" t="s">
        <v>19042</v>
      </c>
    </row>
    <row r="1959" spans="1:28" x14ac:dyDescent="0.25">
      <c r="A1959" t="s">
        <v>1963</v>
      </c>
      <c r="B1959">
        <v>0.99876560204751996</v>
      </c>
      <c r="C1959">
        <v>0.90485568358628798</v>
      </c>
      <c r="D1959">
        <v>0.93131643254240104</v>
      </c>
      <c r="E1959">
        <v>0.82298267828619098</v>
      </c>
      <c r="F1959">
        <v>0.71920474976308901</v>
      </c>
      <c r="G1959">
        <v>0.52871232446705096</v>
      </c>
      <c r="H1959">
        <v>0.44227803933544502</v>
      </c>
      <c r="I1959">
        <v>0.47850356367872199</v>
      </c>
      <c r="J1959">
        <v>0.56128049793475299</v>
      </c>
      <c r="K1959">
        <v>0.55946344262015701</v>
      </c>
      <c r="L1959">
        <v>1013.31146012566</v>
      </c>
      <c r="M1959">
        <v>19.705985042314001</v>
      </c>
      <c r="O1959">
        <v>50.900749331929497</v>
      </c>
      <c r="P1959">
        <v>-4.8417816326251799E-2</v>
      </c>
      <c r="Q1959">
        <v>0.49976250326528898</v>
      </c>
      <c r="R1959">
        <v>0.93633958916371096</v>
      </c>
      <c r="S1959" t="s">
        <v>6255</v>
      </c>
      <c r="T1959" t="s">
        <v>8590</v>
      </c>
      <c r="U1959" t="s">
        <v>8590</v>
      </c>
      <c r="V1959" t="s">
        <v>8590</v>
      </c>
      <c r="W1959">
        <v>35</v>
      </c>
      <c r="X1959" t="s">
        <v>10549</v>
      </c>
      <c r="Y1959">
        <v>0.69733877820983781</v>
      </c>
      <c r="Z1959" t="str">
        <f>HYPERLINK("Melting_Curves/meltCurve_sp_Q53SF7_4_COBL1_HUMAN_.pdf", "Melting_Curves/meltCurve_sp_Q53SF7_4_COBL1_HUMAN_.pdf")</f>
        <v>Melting_Curves/meltCurve_sp_Q53SF7_4_COBL1_HUMAN_.pdf</v>
      </c>
      <c r="AA1959" t="s">
        <v>14807</v>
      </c>
      <c r="AB1959" t="s">
        <v>19043</v>
      </c>
    </row>
    <row r="1960" spans="1:28" x14ac:dyDescent="0.25">
      <c r="A1960" t="s">
        <v>1964</v>
      </c>
      <c r="B1960">
        <v>0.99876560204751996</v>
      </c>
      <c r="C1960">
        <v>0.91047001541676698</v>
      </c>
      <c r="D1960">
        <v>0.90276092564405797</v>
      </c>
      <c r="E1960">
        <v>0.78591689317979796</v>
      </c>
      <c r="F1960">
        <v>0.54106662540384998</v>
      </c>
      <c r="G1960">
        <v>0.28110694194374097</v>
      </c>
      <c r="H1960">
        <v>0.14699055001396499</v>
      </c>
      <c r="I1960">
        <v>0.108320817759034</v>
      </c>
      <c r="J1960">
        <v>0.112240000330923</v>
      </c>
      <c r="K1960">
        <v>8.7105665209321906E-2</v>
      </c>
      <c r="L1960">
        <v>884.35394874608801</v>
      </c>
      <c r="M1960">
        <v>16.6546986013647</v>
      </c>
      <c r="N1960">
        <v>53.546484375916002</v>
      </c>
      <c r="O1960">
        <v>52.351545546582898</v>
      </c>
      <c r="P1960">
        <v>-7.4375280477834302E-2</v>
      </c>
      <c r="Q1960">
        <v>6.4912518561992497E-2</v>
      </c>
      <c r="R1960">
        <v>0.993945614484125</v>
      </c>
      <c r="S1960" t="s">
        <v>6256</v>
      </c>
      <c r="T1960" t="s">
        <v>8590</v>
      </c>
      <c r="U1960" t="s">
        <v>8590</v>
      </c>
      <c r="V1960" t="s">
        <v>8590</v>
      </c>
      <c r="W1960">
        <v>7</v>
      </c>
      <c r="X1960" t="s">
        <v>10550</v>
      </c>
      <c r="Y1960">
        <v>0.49044697970292539</v>
      </c>
      <c r="Z1960" t="str">
        <f>HYPERLINK("Melting_Curves/meltCurve_sp_Q53T59_H1BP3_HUMAN_.pdf", "Melting_Curves/meltCurve_sp_Q53T59_H1BP3_HUMAN_.pdf")</f>
        <v>Melting_Curves/meltCurve_sp_Q53T59_H1BP3_HUMAN_.pdf</v>
      </c>
      <c r="AA1960" t="s">
        <v>14808</v>
      </c>
      <c r="AB1960" t="s">
        <v>19044</v>
      </c>
    </row>
    <row r="1961" spans="1:28" x14ac:dyDescent="0.25">
      <c r="A1961" t="s">
        <v>1965</v>
      </c>
      <c r="B1961">
        <v>0.99876560204751996</v>
      </c>
      <c r="C1961">
        <v>1.1650455791965699</v>
      </c>
      <c r="D1961">
        <v>0.90920824130803002</v>
      </c>
      <c r="E1961">
        <v>0.47802169176975101</v>
      </c>
      <c r="F1961">
        <v>0.30121017934458599</v>
      </c>
      <c r="G1961">
        <v>0.21037920943833799</v>
      </c>
      <c r="H1961">
        <v>5.2155165600591497E-2</v>
      </c>
      <c r="I1961">
        <v>6.8868023595875294E-2</v>
      </c>
      <c r="J1961">
        <v>0.100513691383062</v>
      </c>
      <c r="K1961">
        <v>4.0297691502711203E-2</v>
      </c>
      <c r="L1961">
        <v>1200.7888967747399</v>
      </c>
      <c r="M1961">
        <v>24.050138992643099</v>
      </c>
      <c r="N1961">
        <v>50.304885843875297</v>
      </c>
      <c r="O1961">
        <v>49.587200538603703</v>
      </c>
      <c r="P1961">
        <v>-0.111270971598548</v>
      </c>
      <c r="Q1961">
        <v>8.2328723115335706E-2</v>
      </c>
      <c r="R1961">
        <v>0.97102217821811898</v>
      </c>
      <c r="S1961" t="s">
        <v>6257</v>
      </c>
      <c r="T1961" t="s">
        <v>8590</v>
      </c>
      <c r="U1961" t="s">
        <v>8590</v>
      </c>
      <c r="V1961" t="s">
        <v>8590</v>
      </c>
      <c r="W1961">
        <v>2</v>
      </c>
      <c r="X1961" t="s">
        <v>10551</v>
      </c>
      <c r="Y1961">
        <v>0.39489407244847052</v>
      </c>
      <c r="Z1961" t="str">
        <f>HYPERLINK("Melting_Curves/meltCurve_sp_Q562E7_WDR81_HUMAN_.pdf", "Melting_Curves/meltCurve_sp_Q562E7_WDR81_HUMAN_.pdf")</f>
        <v>Melting_Curves/meltCurve_sp_Q562E7_WDR81_HUMAN_.pdf</v>
      </c>
      <c r="AA1961" t="s">
        <v>14809</v>
      </c>
      <c r="AB1961" t="s">
        <v>19045</v>
      </c>
    </row>
    <row r="1962" spans="1:28" x14ac:dyDescent="0.25">
      <c r="A1962" t="s">
        <v>1966</v>
      </c>
      <c r="B1962">
        <v>0.99876560204751996</v>
      </c>
      <c r="C1962">
        <v>1.04131350720575</v>
      </c>
      <c r="D1962">
        <v>1.02040381749564</v>
      </c>
      <c r="E1962">
        <v>0.92740221340261197</v>
      </c>
      <c r="F1962">
        <v>0.45533066693340102</v>
      </c>
      <c r="G1962">
        <v>0.25573959406477598</v>
      </c>
      <c r="H1962">
        <v>0.15140699865277901</v>
      </c>
      <c r="I1962">
        <v>0.120359048887453</v>
      </c>
      <c r="J1962">
        <v>0.114663167167827</v>
      </c>
      <c r="K1962">
        <v>9.7611963416822697E-2</v>
      </c>
      <c r="L1962">
        <v>2079.8131300913301</v>
      </c>
      <c r="M1962">
        <v>39.633999964109996</v>
      </c>
      <c r="N1962">
        <v>52.901517738158702</v>
      </c>
      <c r="O1962">
        <v>52.342412344184702</v>
      </c>
      <c r="P1962">
        <v>-0.16343769141596201</v>
      </c>
      <c r="Q1962">
        <v>0.13662956117306699</v>
      </c>
      <c r="R1962">
        <v>0.991600514528858</v>
      </c>
      <c r="S1962" t="s">
        <v>6258</v>
      </c>
      <c r="T1962" t="s">
        <v>8590</v>
      </c>
      <c r="U1962" t="s">
        <v>8590</v>
      </c>
      <c r="V1962" t="s">
        <v>8590</v>
      </c>
      <c r="W1962">
        <v>15</v>
      </c>
      <c r="X1962" t="s">
        <v>10552</v>
      </c>
      <c r="Y1962">
        <v>0.49884928496766551</v>
      </c>
      <c r="Z1962" t="str">
        <f>HYPERLINK("Melting_Curves/meltCurve_sp_Q58FF8_H90B2_HUMAN_.pdf", "Melting_Curves/meltCurve_sp_Q58FF8_H90B2_HUMAN_.pdf")</f>
        <v>Melting_Curves/meltCurve_sp_Q58FF8_H90B2_HUMAN_.pdf</v>
      </c>
      <c r="AA1962" t="s">
        <v>14810</v>
      </c>
      <c r="AB1962" t="s">
        <v>19046</v>
      </c>
    </row>
    <row r="1963" spans="1:28" x14ac:dyDescent="0.25">
      <c r="A1963" t="s">
        <v>1967</v>
      </c>
      <c r="B1963">
        <v>0.99876560204751996</v>
      </c>
      <c r="C1963">
        <v>1.0288540680088401</v>
      </c>
      <c r="D1963">
        <v>0.94233674196396799</v>
      </c>
      <c r="E1963">
        <v>1.0057841123760201</v>
      </c>
      <c r="F1963">
        <v>0.86805647953877696</v>
      </c>
      <c r="G1963">
        <v>0.50628318656362503</v>
      </c>
      <c r="H1963">
        <v>0.147106848043041</v>
      </c>
      <c r="I1963">
        <v>9.8968337475314902E-2</v>
      </c>
      <c r="J1963">
        <v>8.7878846085103601E-2</v>
      </c>
      <c r="K1963">
        <v>7.6368181020839601E-2</v>
      </c>
      <c r="L1963">
        <v>1667.30784745761</v>
      </c>
      <c r="M1963">
        <v>29.4415366522101</v>
      </c>
      <c r="N1963">
        <v>56.917125184886302</v>
      </c>
      <c r="O1963">
        <v>56.371801736784597</v>
      </c>
      <c r="P1963">
        <v>-0.121592190499444</v>
      </c>
      <c r="Q1963">
        <v>6.8754763361596194E-2</v>
      </c>
      <c r="R1963">
        <v>0.99644682441050203</v>
      </c>
      <c r="S1963" t="s">
        <v>6259</v>
      </c>
      <c r="T1963" t="s">
        <v>8590</v>
      </c>
      <c r="U1963" t="s">
        <v>8590</v>
      </c>
      <c r="V1963" t="s">
        <v>8590</v>
      </c>
      <c r="W1963">
        <v>6</v>
      </c>
      <c r="X1963" t="s">
        <v>10553</v>
      </c>
      <c r="Y1963">
        <v>0.59143206511022761</v>
      </c>
      <c r="Z1963" t="str">
        <f>HYPERLINK("Melting_Curves/meltCurve_sp_Q58WW2_DCAF6_HUMAN_.pdf", "Melting_Curves/meltCurve_sp_Q58WW2_DCAF6_HUMAN_.pdf")</f>
        <v>Melting_Curves/meltCurve_sp_Q58WW2_DCAF6_HUMAN_.pdf</v>
      </c>
      <c r="AA1963" t="s">
        <v>14811</v>
      </c>
      <c r="AB1963" t="s">
        <v>19047</v>
      </c>
    </row>
    <row r="1964" spans="1:28" x14ac:dyDescent="0.25">
      <c r="A1964" t="s">
        <v>1968</v>
      </c>
      <c r="B1964">
        <v>0.99876560204751996</v>
      </c>
      <c r="C1964">
        <v>0.95483946220132998</v>
      </c>
      <c r="D1964">
        <v>1.0256463068658499</v>
      </c>
      <c r="E1964">
        <v>0.81176917702239404</v>
      </c>
      <c r="F1964">
        <v>0.80746966988344204</v>
      </c>
      <c r="G1964">
        <v>0.59868315093447499</v>
      </c>
      <c r="H1964">
        <v>0.50277563397857306</v>
      </c>
      <c r="I1964">
        <v>0.48004817313937098</v>
      </c>
      <c r="J1964">
        <v>0.535583899410085</v>
      </c>
      <c r="K1964">
        <v>0.48120384682402001</v>
      </c>
      <c r="L1964">
        <v>934.95276540855798</v>
      </c>
      <c r="M1964">
        <v>17.514619862533301</v>
      </c>
      <c r="N1964">
        <v>64.682034392566905</v>
      </c>
      <c r="O1964">
        <v>52.699972613570601</v>
      </c>
      <c r="P1964">
        <v>-4.3493449818857499E-2</v>
      </c>
      <c r="Q1964">
        <v>0.47655667910503502</v>
      </c>
      <c r="R1964">
        <v>0.96707170769829998</v>
      </c>
      <c r="S1964" t="s">
        <v>6260</v>
      </c>
      <c r="T1964" t="s">
        <v>8590</v>
      </c>
      <c r="U1964" t="s">
        <v>8590</v>
      </c>
      <c r="V1964" t="s">
        <v>8590</v>
      </c>
      <c r="W1964">
        <v>3</v>
      </c>
      <c r="X1964" t="s">
        <v>10554</v>
      </c>
      <c r="Y1964">
        <v>0.71890508078603943</v>
      </c>
      <c r="Z1964" t="str">
        <f>HYPERLINK("Melting_Curves/meltCurve_sp_Q5BKU9_OXLD1_HUMAN_.pdf", "Melting_Curves/meltCurve_sp_Q5BKU9_OXLD1_HUMAN_.pdf")</f>
        <v>Melting_Curves/meltCurve_sp_Q5BKU9_OXLD1_HUMAN_.pdf</v>
      </c>
      <c r="AA1964" t="s">
        <v>14812</v>
      </c>
      <c r="AB1964" t="s">
        <v>19048</v>
      </c>
    </row>
    <row r="1965" spans="1:28" x14ac:dyDescent="0.25">
      <c r="A1965" t="s">
        <v>1969</v>
      </c>
      <c r="B1965">
        <v>0.99876560204751996</v>
      </c>
      <c r="C1965">
        <v>1.0244651991104901</v>
      </c>
      <c r="D1965">
        <v>0.97552453806213901</v>
      </c>
      <c r="E1965">
        <v>0.94750105803948503</v>
      </c>
      <c r="F1965">
        <v>1.4453522333692901</v>
      </c>
      <c r="G1965">
        <v>0.84370532351314897</v>
      </c>
      <c r="H1965">
        <v>0.77447641978037696</v>
      </c>
      <c r="I1965">
        <v>0.693553207575619</v>
      </c>
      <c r="J1965">
        <v>1.11917924099157</v>
      </c>
      <c r="K1965">
        <v>0.82121514720296396</v>
      </c>
      <c r="L1965">
        <v>8075.8623861322303</v>
      </c>
      <c r="M1965">
        <v>145.09715168998699</v>
      </c>
      <c r="O1965">
        <v>55.6477403529111</v>
      </c>
      <c r="P1965">
        <v>-9.8039809547003004E-2</v>
      </c>
      <c r="Q1965">
        <v>0.849598874897047</v>
      </c>
      <c r="R1965">
        <v>0.244450383666902</v>
      </c>
      <c r="S1965" t="s">
        <v>6261</v>
      </c>
      <c r="T1965" t="s">
        <v>8590</v>
      </c>
      <c r="U1965" t="s">
        <v>8590</v>
      </c>
      <c r="V1965" t="s">
        <v>8590</v>
      </c>
      <c r="W1965">
        <v>2</v>
      </c>
      <c r="X1965" t="s">
        <v>10555</v>
      </c>
      <c r="Y1965">
        <v>0.92814342642796022</v>
      </c>
      <c r="Z1965" t="str">
        <f>HYPERLINK("Melting_Curves/meltCurve_sp_Q5EBL4_2_RIPL1_HUMAN_.pdf", "Melting_Curves/meltCurve_sp_Q5EBL4_2_RIPL1_HUMAN_.pdf")</f>
        <v>Melting_Curves/meltCurve_sp_Q5EBL4_2_RIPL1_HUMAN_.pdf</v>
      </c>
      <c r="AA1965" t="s">
        <v>14813</v>
      </c>
      <c r="AB1965" t="s">
        <v>19049</v>
      </c>
    </row>
    <row r="1966" spans="1:28" x14ac:dyDescent="0.25">
      <c r="A1966" t="s">
        <v>1970</v>
      </c>
      <c r="B1966">
        <v>0.99876560204751996</v>
      </c>
      <c r="C1966">
        <v>0.98809479613115603</v>
      </c>
      <c r="D1966">
        <v>0.92660993044514695</v>
      </c>
      <c r="E1966">
        <v>0.78171365279856098</v>
      </c>
      <c r="F1966">
        <v>0.55572559591440496</v>
      </c>
      <c r="G1966">
        <v>0.38340885906503502</v>
      </c>
      <c r="H1966">
        <v>0.20102960440279199</v>
      </c>
      <c r="I1966">
        <v>0.160552822758634</v>
      </c>
      <c r="J1966">
        <v>0.118203535837152</v>
      </c>
      <c r="K1966">
        <v>0.10343460279630599</v>
      </c>
      <c r="L1966">
        <v>780.45218137307404</v>
      </c>
      <c r="M1966">
        <v>14.511860016709701</v>
      </c>
      <c r="N1966">
        <v>54.364571403161897</v>
      </c>
      <c r="O1966">
        <v>52.789979792137601</v>
      </c>
      <c r="P1966">
        <v>-6.3769396263727698E-2</v>
      </c>
      <c r="Q1966">
        <v>7.2207246121196902E-2</v>
      </c>
      <c r="R1966">
        <v>0.99828666292039803</v>
      </c>
      <c r="S1966" t="s">
        <v>6262</v>
      </c>
      <c r="T1966" t="s">
        <v>8590</v>
      </c>
      <c r="U1966" t="s">
        <v>8590</v>
      </c>
      <c r="V1966" t="s">
        <v>8590</v>
      </c>
      <c r="W1966">
        <v>3</v>
      </c>
      <c r="X1966" t="s">
        <v>10556</v>
      </c>
      <c r="Y1966">
        <v>0.51845363226148844</v>
      </c>
      <c r="Z1966" t="str">
        <f>HYPERLINK("Melting_Curves/meltCurve_sp_Q5EBL8_PDZ11_HUMAN_.pdf", "Melting_Curves/meltCurve_sp_Q5EBL8_PDZ11_HUMAN_.pdf")</f>
        <v>Melting_Curves/meltCurve_sp_Q5EBL8_PDZ11_HUMAN_.pdf</v>
      </c>
      <c r="AA1966" t="s">
        <v>14814</v>
      </c>
      <c r="AB1966" t="s">
        <v>19050</v>
      </c>
    </row>
    <row r="1967" spans="1:28" x14ac:dyDescent="0.25">
      <c r="A1967" t="s">
        <v>1971</v>
      </c>
      <c r="B1967">
        <v>0.99876560204751996</v>
      </c>
      <c r="C1967">
        <v>1.02121008239955</v>
      </c>
      <c r="D1967">
        <v>1.00052646275382</v>
      </c>
      <c r="E1967">
        <v>0.81743395994828205</v>
      </c>
      <c r="F1967">
        <v>0.51768913270754902</v>
      </c>
      <c r="G1967">
        <v>0.19447280965213501</v>
      </c>
      <c r="H1967">
        <v>8.6141724166464206E-2</v>
      </c>
      <c r="I1967">
        <v>8.80090799618133E-2</v>
      </c>
      <c r="J1967">
        <v>6.2982268481248799E-2</v>
      </c>
      <c r="K1967">
        <v>4.4115855124463303E-2</v>
      </c>
      <c r="L1967">
        <v>1329.7394483375499</v>
      </c>
      <c r="M1967">
        <v>25.133897264936</v>
      </c>
      <c r="N1967">
        <v>53.167244584867198</v>
      </c>
      <c r="O1967">
        <v>52.574710426744701</v>
      </c>
      <c r="P1967">
        <v>-0.112579599144582</v>
      </c>
      <c r="Q1967">
        <v>5.8043133945817497E-2</v>
      </c>
      <c r="R1967">
        <v>0.99901377032028904</v>
      </c>
      <c r="S1967" t="s">
        <v>6263</v>
      </c>
      <c r="T1967" t="s">
        <v>8590</v>
      </c>
      <c r="U1967" t="s">
        <v>8590</v>
      </c>
      <c r="V1967" t="s">
        <v>8590</v>
      </c>
      <c r="W1967">
        <v>4</v>
      </c>
      <c r="X1967" t="s">
        <v>10557</v>
      </c>
      <c r="Y1967">
        <v>0.47185997044669958</v>
      </c>
      <c r="Z1967" t="str">
        <f>HYPERLINK("Melting_Curves/meltCurve_sp_Q5EBM0_CMPK2_HUMAN_.pdf", "Melting_Curves/meltCurve_sp_Q5EBM0_CMPK2_HUMAN_.pdf")</f>
        <v>Melting_Curves/meltCurve_sp_Q5EBM0_CMPK2_HUMAN_.pdf</v>
      </c>
      <c r="AA1967" t="s">
        <v>14815</v>
      </c>
      <c r="AB1967" t="s">
        <v>19051</v>
      </c>
    </row>
    <row r="1968" spans="1:28" x14ac:dyDescent="0.25">
      <c r="A1968" t="s">
        <v>1972</v>
      </c>
      <c r="B1968">
        <v>0.99876560204751996</v>
      </c>
      <c r="C1968">
        <v>0.992621571106303</v>
      </c>
      <c r="D1968">
        <v>0.890035776017849</v>
      </c>
      <c r="E1968">
        <v>0.78728785388154798</v>
      </c>
      <c r="F1968">
        <v>0.33696454338191301</v>
      </c>
      <c r="G1968">
        <v>0.13257054445921901</v>
      </c>
      <c r="H1968">
        <v>8.8369781062509797E-2</v>
      </c>
      <c r="I1968">
        <v>6.8171751628430199E-2</v>
      </c>
      <c r="J1968">
        <v>6.9722727793685602E-2</v>
      </c>
      <c r="K1968">
        <v>5.2964273213496497E-2</v>
      </c>
      <c r="L1968">
        <v>1616.4579435821299</v>
      </c>
      <c r="M1968">
        <v>31.287771011430699</v>
      </c>
      <c r="N1968">
        <v>51.9091150691102</v>
      </c>
      <c r="O1968">
        <v>51.454514208783998</v>
      </c>
      <c r="P1968">
        <v>-0.141585974717787</v>
      </c>
      <c r="Q1968">
        <v>6.8620187266568794E-2</v>
      </c>
      <c r="R1968">
        <v>0.99350306447481296</v>
      </c>
      <c r="S1968" t="s">
        <v>6264</v>
      </c>
      <c r="T1968" t="s">
        <v>8590</v>
      </c>
      <c r="U1968" t="s">
        <v>8590</v>
      </c>
      <c r="V1968" t="s">
        <v>8590</v>
      </c>
      <c r="W1968">
        <v>13</v>
      </c>
      <c r="X1968" t="s">
        <v>10558</v>
      </c>
      <c r="Y1968">
        <v>0.43619089188746962</v>
      </c>
      <c r="Z1968" t="str">
        <f>HYPERLINK("Melting_Curves/meltCurve_sp_Q5GLZ8_3_HERC4_HUMAN_.pdf", "Melting_Curves/meltCurve_sp_Q5GLZ8_3_HERC4_HUMAN_.pdf")</f>
        <v>Melting_Curves/meltCurve_sp_Q5GLZ8_3_HERC4_HUMAN_.pdf</v>
      </c>
      <c r="AA1968" t="s">
        <v>14816</v>
      </c>
      <c r="AB1968" t="s">
        <v>19052</v>
      </c>
    </row>
    <row r="1969" spans="1:28" x14ac:dyDescent="0.25">
      <c r="A1969" t="s">
        <v>1973</v>
      </c>
      <c r="B1969">
        <v>0.99876560204751996</v>
      </c>
      <c r="C1969">
        <v>0.99673907262720896</v>
      </c>
      <c r="D1969">
        <v>1.0089824426729701</v>
      </c>
      <c r="E1969">
        <v>0.93223933863088504</v>
      </c>
      <c r="F1969">
        <v>0.85879405143448395</v>
      </c>
      <c r="G1969">
        <v>0.57221206079502096</v>
      </c>
      <c r="H1969">
        <v>0.42613120969545298</v>
      </c>
      <c r="I1969">
        <v>0.40306630617881101</v>
      </c>
      <c r="J1969">
        <v>0.516086266429576</v>
      </c>
      <c r="K1969">
        <v>0.47767968420813101</v>
      </c>
      <c r="L1969">
        <v>1767.5107635040399</v>
      </c>
      <c r="M1969">
        <v>32.384637650896202</v>
      </c>
      <c r="N1969">
        <v>58.846681016181599</v>
      </c>
      <c r="O1969">
        <v>54.371829683887398</v>
      </c>
      <c r="P1969">
        <v>-8.1561293707502494E-2</v>
      </c>
      <c r="Q1969">
        <v>0.45225690005692898</v>
      </c>
      <c r="R1969">
        <v>0.98149071523009201</v>
      </c>
      <c r="S1969" t="s">
        <v>6265</v>
      </c>
      <c r="T1969" t="s">
        <v>8590</v>
      </c>
      <c r="U1969" t="s">
        <v>8590</v>
      </c>
      <c r="V1969" t="s">
        <v>8590</v>
      </c>
      <c r="W1969">
        <v>5</v>
      </c>
      <c r="X1969" t="s">
        <v>10559</v>
      </c>
      <c r="Y1969">
        <v>0.72156048637386683</v>
      </c>
      <c r="Z1969" t="str">
        <f>HYPERLINK("Melting_Curves/meltCurve_sp_Q5HYK7_3_SH319_HUMAN_.pdf", "Melting_Curves/meltCurve_sp_Q5HYK7_3_SH319_HUMAN_.pdf")</f>
        <v>Melting_Curves/meltCurve_sp_Q5HYK7_3_SH319_HUMAN_.pdf</v>
      </c>
      <c r="AA1969" t="s">
        <v>14817</v>
      </c>
      <c r="AB1969" t="s">
        <v>19053</v>
      </c>
    </row>
    <row r="1970" spans="1:28" x14ac:dyDescent="0.25">
      <c r="A1970" t="s">
        <v>1974</v>
      </c>
      <c r="B1970">
        <v>0.99876560204751996</v>
      </c>
      <c r="C1970">
        <v>0.84730229516744104</v>
      </c>
      <c r="D1970">
        <v>0.78265094669522794</v>
      </c>
      <c r="E1970">
        <v>0.78652795402201603</v>
      </c>
      <c r="F1970">
        <v>0.785466877316082</v>
      </c>
      <c r="G1970">
        <v>0.53317753651092703</v>
      </c>
      <c r="H1970">
        <v>0.45525203135813402</v>
      </c>
      <c r="I1970">
        <v>0.25192792747479198</v>
      </c>
      <c r="J1970">
        <v>0.28831146577906702</v>
      </c>
      <c r="K1970">
        <v>0.264477774195577</v>
      </c>
      <c r="L1970">
        <v>410.989137296031</v>
      </c>
      <c r="M1970">
        <v>7.0316096451021801</v>
      </c>
      <c r="N1970">
        <v>58.448807487959101</v>
      </c>
      <c r="O1970">
        <v>54.272843143582797</v>
      </c>
      <c r="P1970">
        <v>-3.2449163073895899E-2</v>
      </c>
      <c r="Q1970">
        <v>0</v>
      </c>
      <c r="R1970">
        <v>0.94102540283158997</v>
      </c>
      <c r="S1970" t="s">
        <v>6266</v>
      </c>
      <c r="T1970" t="s">
        <v>8590</v>
      </c>
      <c r="U1970" t="s">
        <v>8590</v>
      </c>
      <c r="V1970" t="s">
        <v>8590</v>
      </c>
      <c r="W1970">
        <v>2</v>
      </c>
      <c r="X1970" t="s">
        <v>10560</v>
      </c>
      <c r="Y1970">
        <v>0.60891974078599675</v>
      </c>
      <c r="Z1970" t="str">
        <f>HYPERLINK("Melting_Curves/meltCurve_sp_Q5I0X7_TTC32_HUMAN_.pdf", "Melting_Curves/meltCurve_sp_Q5I0X7_TTC32_HUMAN_.pdf")</f>
        <v>Melting_Curves/meltCurve_sp_Q5I0X7_TTC32_HUMAN_.pdf</v>
      </c>
      <c r="AA1970" t="s">
        <v>14818</v>
      </c>
      <c r="AB1970" t="s">
        <v>19054</v>
      </c>
    </row>
    <row r="1971" spans="1:28" x14ac:dyDescent="0.25">
      <c r="A1971" t="s">
        <v>1975</v>
      </c>
      <c r="B1971">
        <v>0.99876560204751996</v>
      </c>
      <c r="C1971">
        <v>1.2757051593672999</v>
      </c>
      <c r="D1971">
        <v>0.99533209467067396</v>
      </c>
      <c r="E1971">
        <v>1.0425124268630701</v>
      </c>
      <c r="F1971">
        <v>0.80041925040057105</v>
      </c>
      <c r="G1971">
        <v>0.69886819076963003</v>
      </c>
      <c r="H1971">
        <v>0.87038177177397102</v>
      </c>
      <c r="I1971">
        <v>1.1237370655171199</v>
      </c>
      <c r="J1971">
        <v>1.69695981820369</v>
      </c>
      <c r="K1971">
        <v>1.4942742115340599</v>
      </c>
      <c r="L1971">
        <v>15000</v>
      </c>
      <c r="M1971">
        <v>233.263801298685</v>
      </c>
      <c r="O1971">
        <v>64.300148809290704</v>
      </c>
      <c r="P1971">
        <v>0.45346667415003</v>
      </c>
      <c r="Q1971">
        <v>1.5</v>
      </c>
      <c r="R1971">
        <v>0.69694687384971399</v>
      </c>
      <c r="S1971" t="s">
        <v>6267</v>
      </c>
      <c r="T1971" t="s">
        <v>8590</v>
      </c>
      <c r="U1971" t="s">
        <v>8590</v>
      </c>
      <c r="V1971" t="s">
        <v>8590</v>
      </c>
      <c r="W1971">
        <v>2</v>
      </c>
      <c r="X1971" t="s">
        <v>10561</v>
      </c>
      <c r="Y1971">
        <v>1.0948539036658189</v>
      </c>
      <c r="Z1971" t="str">
        <f>HYPERLINK("Melting_Curves/meltCurve_sp_Q5JR59_MTUS2_HUMAN_.pdf", "Melting_Curves/meltCurve_sp_Q5JR59_MTUS2_HUMAN_.pdf")</f>
        <v>Melting_Curves/meltCurve_sp_Q5JR59_MTUS2_HUMAN_.pdf</v>
      </c>
      <c r="AA1971" t="s">
        <v>14819</v>
      </c>
      <c r="AB1971" t="s">
        <v>19055</v>
      </c>
    </row>
    <row r="1972" spans="1:28" x14ac:dyDescent="0.25">
      <c r="A1972" t="s">
        <v>1976</v>
      </c>
      <c r="B1972">
        <v>0.99876560204751996</v>
      </c>
      <c r="C1972">
        <v>1.0033483360787701</v>
      </c>
      <c r="D1972">
        <v>0.91935366565185705</v>
      </c>
      <c r="E1972">
        <v>0.861685779249029</v>
      </c>
      <c r="F1972">
        <v>0.64688425335493405</v>
      </c>
      <c r="G1972">
        <v>0.30218349512702303</v>
      </c>
      <c r="H1972">
        <v>0.11038444731949699</v>
      </c>
      <c r="I1972">
        <v>8.4729589145753598E-2</v>
      </c>
      <c r="J1972">
        <v>7.5560312006429403E-2</v>
      </c>
      <c r="K1972">
        <v>6.3761126861234196E-2</v>
      </c>
      <c r="L1972">
        <v>1127.59905826001</v>
      </c>
      <c r="M1972">
        <v>20.794633872568799</v>
      </c>
      <c r="N1972">
        <v>54.486060124567302</v>
      </c>
      <c r="O1972">
        <v>53.731478996474401</v>
      </c>
      <c r="P1972">
        <v>-9.2175663738016195E-2</v>
      </c>
      <c r="Q1972">
        <v>4.7331839955536199E-2</v>
      </c>
      <c r="R1972">
        <v>0.99728367317854905</v>
      </c>
      <c r="S1972" t="s">
        <v>6268</v>
      </c>
      <c r="T1972" t="s">
        <v>8590</v>
      </c>
      <c r="U1972" t="s">
        <v>8590</v>
      </c>
      <c r="V1972" t="s">
        <v>8590</v>
      </c>
      <c r="W1972">
        <v>42</v>
      </c>
      <c r="X1972" t="s">
        <v>10562</v>
      </c>
      <c r="Y1972">
        <v>0.51118632309079803</v>
      </c>
      <c r="Z1972" t="str">
        <f>HYPERLINK("Melting_Curves/meltCurve_sp_Q5JRX3_PREP_HUMAN_.pdf", "Melting_Curves/meltCurve_sp_Q5JRX3_PREP_HUMAN_.pdf")</f>
        <v>Melting_Curves/meltCurve_sp_Q5JRX3_PREP_HUMAN_.pdf</v>
      </c>
      <c r="AA1972" t="s">
        <v>14820</v>
      </c>
      <c r="AB1972" t="s">
        <v>19056</v>
      </c>
    </row>
    <row r="1973" spans="1:28" x14ac:dyDescent="0.25">
      <c r="A1973" t="s">
        <v>1977</v>
      </c>
      <c r="B1973">
        <v>0.99876560204751996</v>
      </c>
      <c r="C1973">
        <v>0.95622295706846305</v>
      </c>
      <c r="D1973">
        <v>1.01584721318841</v>
      </c>
      <c r="E1973">
        <v>0.93112314245735195</v>
      </c>
      <c r="F1973">
        <v>0.80883468756704002</v>
      </c>
      <c r="G1973">
        <v>0.67644481395383804</v>
      </c>
      <c r="H1973">
        <v>0.58114614337654902</v>
      </c>
      <c r="I1973">
        <v>0.50269848962376096</v>
      </c>
      <c r="J1973">
        <v>0.61881859495452596</v>
      </c>
      <c r="K1973">
        <v>0.53354227777374796</v>
      </c>
      <c r="L1973">
        <v>1148.2438990135299</v>
      </c>
      <c r="M1973">
        <v>21.248199436581199</v>
      </c>
      <c r="O1973">
        <v>53.5677662642291</v>
      </c>
      <c r="P1973">
        <v>-4.50456184908265E-2</v>
      </c>
      <c r="Q1973">
        <v>0.54576266805116802</v>
      </c>
      <c r="R1973">
        <v>0.97029524352220797</v>
      </c>
      <c r="S1973" t="s">
        <v>6269</v>
      </c>
      <c r="T1973" t="s">
        <v>8590</v>
      </c>
      <c r="U1973" t="s">
        <v>8590</v>
      </c>
      <c r="V1973" t="s">
        <v>8590</v>
      </c>
      <c r="W1973">
        <v>5</v>
      </c>
      <c r="X1973" t="s">
        <v>10563</v>
      </c>
      <c r="Y1973">
        <v>0.76392631353323892</v>
      </c>
      <c r="Z1973" t="str">
        <f>HYPERLINK("Melting_Curves/meltCurve_sp_Q5JS37_NHLC3_HUMAN_.pdf", "Melting_Curves/meltCurve_sp_Q5JS37_NHLC3_HUMAN_.pdf")</f>
        <v>Melting_Curves/meltCurve_sp_Q5JS37_NHLC3_HUMAN_.pdf</v>
      </c>
      <c r="AA1973" t="s">
        <v>14821</v>
      </c>
      <c r="AB1973" t="s">
        <v>19057</v>
      </c>
    </row>
    <row r="1974" spans="1:28" x14ac:dyDescent="0.25">
      <c r="A1974" t="s">
        <v>1978</v>
      </c>
      <c r="B1974">
        <v>0.99876560204751996</v>
      </c>
      <c r="C1974">
        <v>0.97353083674332197</v>
      </c>
      <c r="D1974">
        <v>0.99061122453394901</v>
      </c>
      <c r="E1974">
        <v>0.851300478738093</v>
      </c>
      <c r="F1974">
        <v>0.81872445557821805</v>
      </c>
      <c r="G1974">
        <v>0.60242440761647498</v>
      </c>
      <c r="H1974">
        <v>0.52155399930161095</v>
      </c>
      <c r="I1974">
        <v>0.52419822546088801</v>
      </c>
      <c r="J1974">
        <v>0.59554395939748705</v>
      </c>
      <c r="K1974">
        <v>0.55033771363448802</v>
      </c>
      <c r="L1974">
        <v>1120.21092633738</v>
      </c>
      <c r="M1974">
        <v>21.147459881561101</v>
      </c>
      <c r="O1974">
        <v>52.504573442877103</v>
      </c>
      <c r="P1974">
        <v>-4.6639993955260202E-2</v>
      </c>
      <c r="Q1974">
        <v>0.53682399525856905</v>
      </c>
      <c r="R1974">
        <v>0.97019755303449196</v>
      </c>
      <c r="S1974" t="s">
        <v>6270</v>
      </c>
      <c r="T1974" t="s">
        <v>8590</v>
      </c>
      <c r="U1974" t="s">
        <v>8590</v>
      </c>
      <c r="V1974" t="s">
        <v>8590</v>
      </c>
      <c r="W1974">
        <v>13</v>
      </c>
      <c r="X1974" t="s">
        <v>10564</v>
      </c>
      <c r="Y1974">
        <v>0.74287664203041714</v>
      </c>
      <c r="Z1974" t="str">
        <f>HYPERLINK("Melting_Curves/meltCurve_sp_Q5JSH3_2_WDR44_HUMAN_.pdf", "Melting_Curves/meltCurve_sp_Q5JSH3_2_WDR44_HUMAN_.pdf")</f>
        <v>Melting_Curves/meltCurve_sp_Q5JSH3_2_WDR44_HUMAN_.pdf</v>
      </c>
      <c r="AA1974" t="s">
        <v>14822</v>
      </c>
      <c r="AB1974" t="s">
        <v>19058</v>
      </c>
    </row>
    <row r="1975" spans="1:28" x14ac:dyDescent="0.25">
      <c r="A1975" t="s">
        <v>1979</v>
      </c>
      <c r="B1975">
        <v>0.99876560204751996</v>
      </c>
      <c r="C1975">
        <v>1.00198056223576</v>
      </c>
      <c r="D1975">
        <v>1.0984750650544901</v>
      </c>
      <c r="E1975">
        <v>0.953154464413693</v>
      </c>
      <c r="F1975">
        <v>0.97152410246291399</v>
      </c>
      <c r="G1975">
        <v>0.70883345330652103</v>
      </c>
      <c r="H1975">
        <v>0.60001566293633501</v>
      </c>
      <c r="I1975">
        <v>0.62959480935021195</v>
      </c>
      <c r="J1975">
        <v>0.75921331899917999</v>
      </c>
      <c r="K1975">
        <v>0.85033905264602705</v>
      </c>
      <c r="L1975">
        <v>6151.7172329184004</v>
      </c>
      <c r="M1975">
        <v>113.854385073476</v>
      </c>
      <c r="O1975">
        <v>54.014783371934797</v>
      </c>
      <c r="P1975">
        <v>-0.153109779663653</v>
      </c>
      <c r="Q1975">
        <v>0.70944671791903102</v>
      </c>
      <c r="R1975">
        <v>0.80606792935655303</v>
      </c>
      <c r="S1975" t="s">
        <v>6271</v>
      </c>
      <c r="T1975" t="s">
        <v>8590</v>
      </c>
      <c r="U1975" t="s">
        <v>8590</v>
      </c>
      <c r="V1975" t="s">
        <v>8590</v>
      </c>
      <c r="W1975">
        <v>4</v>
      </c>
      <c r="X1975" t="s">
        <v>10565</v>
      </c>
      <c r="Y1975">
        <v>0.84547577400625373</v>
      </c>
      <c r="Z1975" t="str">
        <f>HYPERLINK("Melting_Curves/meltCurve_sp_Q5JSZ5_5_PRC2B_HUMAN_.pdf", "Melting_Curves/meltCurve_sp_Q5JSZ5_5_PRC2B_HUMAN_.pdf")</f>
        <v>Melting_Curves/meltCurve_sp_Q5JSZ5_5_PRC2B_HUMAN_.pdf</v>
      </c>
      <c r="AA1975" t="s">
        <v>14823</v>
      </c>
      <c r="AB1975" t="s">
        <v>19059</v>
      </c>
    </row>
    <row r="1976" spans="1:28" x14ac:dyDescent="0.25">
      <c r="A1976" t="s">
        <v>1980</v>
      </c>
      <c r="B1976">
        <v>0.99876560204751996</v>
      </c>
      <c r="C1976">
        <v>0.95408524734616795</v>
      </c>
      <c r="D1976">
        <v>0.92822534746899499</v>
      </c>
      <c r="E1976">
        <v>0.79963263753323599</v>
      </c>
      <c r="F1976">
        <v>0.63891684585223596</v>
      </c>
      <c r="G1976">
        <v>0.482638401295793</v>
      </c>
      <c r="H1976">
        <v>0.42041276290283702</v>
      </c>
      <c r="I1976">
        <v>0.349738169676097</v>
      </c>
      <c r="J1976">
        <v>0.28088809707030199</v>
      </c>
      <c r="K1976">
        <v>0.32918540494354198</v>
      </c>
      <c r="L1976">
        <v>709.97265896905799</v>
      </c>
      <c r="M1976">
        <v>13.3252358370388</v>
      </c>
      <c r="N1976">
        <v>56.740818747633803</v>
      </c>
      <c r="O1976">
        <v>52.123244357498201</v>
      </c>
      <c r="P1976">
        <v>-4.6141351448436299E-2</v>
      </c>
      <c r="Q1976">
        <v>0.27816629471724802</v>
      </c>
      <c r="R1976">
        <v>0.99452584133991995</v>
      </c>
      <c r="S1976" t="s">
        <v>6272</v>
      </c>
      <c r="T1976" t="s">
        <v>8590</v>
      </c>
      <c r="U1976" t="s">
        <v>8590</v>
      </c>
      <c r="V1976" t="s">
        <v>8590</v>
      </c>
      <c r="W1976">
        <v>2</v>
      </c>
      <c r="X1976" t="s">
        <v>10566</v>
      </c>
      <c r="Y1976">
        <v>0.61555152146409131</v>
      </c>
      <c r="Z1976" t="str">
        <f>HYPERLINK("Melting_Curves/meltCurve_sp_Q5JTD0_2_TJAP1_HUMAN_.pdf", "Melting_Curves/meltCurve_sp_Q5JTD0_2_TJAP1_HUMAN_.pdf")</f>
        <v>Melting_Curves/meltCurve_sp_Q5JTD0_2_TJAP1_HUMAN_.pdf</v>
      </c>
      <c r="AA1976" t="s">
        <v>14824</v>
      </c>
      <c r="AB1976" t="s">
        <v>19060</v>
      </c>
    </row>
    <row r="1977" spans="1:28" x14ac:dyDescent="0.25">
      <c r="A1977" t="s">
        <v>1981</v>
      </c>
      <c r="B1977">
        <v>0.99876560204751996</v>
      </c>
      <c r="C1977">
        <v>0.91577512502638603</v>
      </c>
      <c r="D1977">
        <v>1.1019276154486</v>
      </c>
      <c r="E1977">
        <v>0.89578713388242304</v>
      </c>
      <c r="F1977">
        <v>0.96320028696842297</v>
      </c>
      <c r="G1977">
        <v>0.75467122936341102</v>
      </c>
      <c r="H1977">
        <v>0.71269441465333006</v>
      </c>
      <c r="I1977">
        <v>0.70721145996622603</v>
      </c>
      <c r="J1977">
        <v>0.859734144339803</v>
      </c>
      <c r="K1977">
        <v>0.90391013187196201</v>
      </c>
      <c r="L1977">
        <v>11132.4957820488</v>
      </c>
      <c r="M1977">
        <v>208.48465297196299</v>
      </c>
      <c r="O1977">
        <v>53.392303498599297</v>
      </c>
      <c r="P1977">
        <v>-0.20730018369907299</v>
      </c>
      <c r="Q1977">
        <v>0.78764422667818801</v>
      </c>
      <c r="R1977">
        <v>0.58836076181978603</v>
      </c>
      <c r="S1977" t="s">
        <v>6273</v>
      </c>
      <c r="T1977" t="s">
        <v>8590</v>
      </c>
      <c r="U1977" t="s">
        <v>8590</v>
      </c>
      <c r="V1977" t="s">
        <v>8590</v>
      </c>
      <c r="W1977">
        <v>9</v>
      </c>
      <c r="X1977" t="s">
        <v>10567</v>
      </c>
      <c r="Y1977">
        <v>0.88250523802966674</v>
      </c>
      <c r="Z1977" t="str">
        <f>HYPERLINK("Melting_Curves/meltCurve_sp_Q5JTJ3_3_COA6_HUMAN_.pdf", "Melting_Curves/meltCurve_sp_Q5JTJ3_3_COA6_HUMAN_.pdf")</f>
        <v>Melting_Curves/meltCurve_sp_Q5JTJ3_3_COA6_HUMAN_.pdf</v>
      </c>
      <c r="AA1977" t="s">
        <v>14825</v>
      </c>
      <c r="AB1977" t="s">
        <v>19061</v>
      </c>
    </row>
    <row r="1978" spans="1:28" x14ac:dyDescent="0.25">
      <c r="A1978" t="s">
        <v>1982</v>
      </c>
      <c r="B1978">
        <v>0.99876560204751996</v>
      </c>
      <c r="C1978">
        <v>1.1892691058064699</v>
      </c>
      <c r="D1978">
        <v>1.3506650122641599</v>
      </c>
      <c r="E1978">
        <v>1.1068086630656</v>
      </c>
      <c r="F1978">
        <v>1.0690552643778</v>
      </c>
      <c r="G1978">
        <v>0.86035907471893602</v>
      </c>
      <c r="H1978">
        <v>0.70500999159461597</v>
      </c>
      <c r="I1978">
        <v>0.63804395474330899</v>
      </c>
      <c r="J1978">
        <v>0.68546504034935696</v>
      </c>
      <c r="K1978">
        <v>0.65887795007288097</v>
      </c>
      <c r="L1978">
        <v>3442.1291224668498</v>
      </c>
      <c r="M1978">
        <v>60.0118962999505</v>
      </c>
      <c r="O1978">
        <v>57.293859956970103</v>
      </c>
      <c r="P1978">
        <v>-8.6702177238200798E-2</v>
      </c>
      <c r="Q1978">
        <v>0.66889896377407598</v>
      </c>
      <c r="R1978">
        <v>0.69054023800549102</v>
      </c>
      <c r="S1978" t="s">
        <v>6274</v>
      </c>
      <c r="T1978" t="s">
        <v>8590</v>
      </c>
      <c r="U1978" t="s">
        <v>8590</v>
      </c>
      <c r="V1978" t="s">
        <v>8590</v>
      </c>
      <c r="W1978">
        <v>6</v>
      </c>
      <c r="X1978" t="s">
        <v>10568</v>
      </c>
      <c r="Y1978">
        <v>0.86104810228532036</v>
      </c>
      <c r="Z1978" t="str">
        <f>HYPERLINK("Melting_Curves/meltCurve_sp_Q5JTV8_TOIP1_HUMAN_.pdf", "Melting_Curves/meltCurve_sp_Q5JTV8_TOIP1_HUMAN_.pdf")</f>
        <v>Melting_Curves/meltCurve_sp_Q5JTV8_TOIP1_HUMAN_.pdf</v>
      </c>
      <c r="AA1978" t="s">
        <v>14826</v>
      </c>
      <c r="AB1978" t="s">
        <v>19062</v>
      </c>
    </row>
    <row r="1979" spans="1:28" x14ac:dyDescent="0.25">
      <c r="A1979" t="s">
        <v>1983</v>
      </c>
      <c r="B1979">
        <v>0.99876560204751996</v>
      </c>
      <c r="C1979">
        <v>0.814533217705111</v>
      </c>
      <c r="D1979">
        <v>0.56965195560286797</v>
      </c>
      <c r="E1979">
        <v>0.35558931632823298</v>
      </c>
      <c r="F1979">
        <v>0.20817168839418501</v>
      </c>
      <c r="G1979">
        <v>0.12973947433215099</v>
      </c>
      <c r="H1979">
        <v>0.10356777602815299</v>
      </c>
      <c r="I1979">
        <v>8.2594468034125207E-2</v>
      </c>
      <c r="J1979">
        <v>8.5639494320614601E-2</v>
      </c>
      <c r="K1979">
        <v>6.2805367636303705E-2</v>
      </c>
      <c r="L1979">
        <v>723.85595539706196</v>
      </c>
      <c r="M1979">
        <v>15.4419703695982</v>
      </c>
      <c r="N1979">
        <v>47.357353606597798</v>
      </c>
      <c r="O1979">
        <v>46.110851927750701</v>
      </c>
      <c r="P1979">
        <v>-7.7647007173467605E-2</v>
      </c>
      <c r="Q1979">
        <v>7.2645070117942703E-2</v>
      </c>
      <c r="R1979">
        <v>0.994373420632785</v>
      </c>
      <c r="S1979" t="s">
        <v>6275</v>
      </c>
      <c r="T1979" t="s">
        <v>8590</v>
      </c>
      <c r="U1979" t="s">
        <v>8590</v>
      </c>
      <c r="V1979" t="s">
        <v>8590</v>
      </c>
      <c r="W1979">
        <v>13</v>
      </c>
      <c r="X1979" t="s">
        <v>10569</v>
      </c>
      <c r="Y1979">
        <v>0.30909953252652972</v>
      </c>
      <c r="Z1979" t="str">
        <f>HYPERLINK("Melting_Curves/meltCurve_sp_Q5JTZ9_SYAM_HUMAN_.pdf", "Melting_Curves/meltCurve_sp_Q5JTZ9_SYAM_HUMAN_.pdf")</f>
        <v>Melting_Curves/meltCurve_sp_Q5JTZ9_SYAM_HUMAN_.pdf</v>
      </c>
      <c r="AA1979" t="s">
        <v>14827</v>
      </c>
      <c r="AB1979" t="s">
        <v>19063</v>
      </c>
    </row>
    <row r="1980" spans="1:28" x14ac:dyDescent="0.25">
      <c r="A1980" t="s">
        <v>1984</v>
      </c>
      <c r="B1980">
        <v>0.99876560204751996</v>
      </c>
      <c r="C1980">
        <v>1.0714730216703801</v>
      </c>
      <c r="D1980">
        <v>0.95398187375972499</v>
      </c>
      <c r="E1980">
        <v>0.69498609467810002</v>
      </c>
      <c r="F1980">
        <v>0.19167680245303401</v>
      </c>
      <c r="G1980">
        <v>0.118771220675469</v>
      </c>
      <c r="H1980">
        <v>6.1121576317877901E-2</v>
      </c>
      <c r="I1980">
        <v>4.4047311447587202E-2</v>
      </c>
      <c r="J1980">
        <v>4.1741769326388303E-2</v>
      </c>
      <c r="K1980">
        <v>2.9484639691854098E-2</v>
      </c>
      <c r="L1980">
        <v>2086.13273440493</v>
      </c>
      <c r="M1980">
        <v>41.017367062996897</v>
      </c>
      <c r="N1980">
        <v>51.003052838191003</v>
      </c>
      <c r="O1980">
        <v>50.739321554909502</v>
      </c>
      <c r="P1980">
        <v>-0.19110053028478</v>
      </c>
      <c r="Q1980">
        <v>5.44211317529293E-2</v>
      </c>
      <c r="R1980">
        <v>0.99435317952291802</v>
      </c>
      <c r="S1980" t="s">
        <v>6276</v>
      </c>
      <c r="T1980" t="s">
        <v>8590</v>
      </c>
      <c r="U1980" t="s">
        <v>8590</v>
      </c>
      <c r="V1980" t="s">
        <v>8590</v>
      </c>
      <c r="W1980">
        <v>4</v>
      </c>
      <c r="X1980" t="s">
        <v>10570</v>
      </c>
      <c r="Y1980">
        <v>0.3998727618242327</v>
      </c>
      <c r="Z1980" t="str">
        <f>HYPERLINK("Melting_Curves/meltCurve_sp_Q5JVF3_3_PCID2_HUMAN_.pdf", "Melting_Curves/meltCurve_sp_Q5JVF3_3_PCID2_HUMAN_.pdf")</f>
        <v>Melting_Curves/meltCurve_sp_Q5JVF3_3_PCID2_HUMAN_.pdf</v>
      </c>
      <c r="AA1980" t="s">
        <v>14828</v>
      </c>
      <c r="AB1980" t="s">
        <v>19064</v>
      </c>
    </row>
    <row r="1981" spans="1:28" x14ac:dyDescent="0.25">
      <c r="A1981" t="s">
        <v>1985</v>
      </c>
      <c r="B1981">
        <v>0.99876560204751996</v>
      </c>
      <c r="C1981">
        <v>1.11116216384384</v>
      </c>
      <c r="D1981">
        <v>1.27630210378388</v>
      </c>
      <c r="E1981">
        <v>0.98888895625986595</v>
      </c>
      <c r="F1981">
        <v>0.87303765272565304</v>
      </c>
      <c r="G1981">
        <v>0.57263350327080897</v>
      </c>
      <c r="H1981">
        <v>0.500089572573302</v>
      </c>
      <c r="I1981">
        <v>0.45450903658473901</v>
      </c>
      <c r="J1981">
        <v>0.545019797804151</v>
      </c>
      <c r="K1981">
        <v>0.64619203943093895</v>
      </c>
      <c r="L1981">
        <v>2750.4303278831699</v>
      </c>
      <c r="M1981">
        <v>50.913793048456903</v>
      </c>
      <c r="O1981">
        <v>53.938174826172698</v>
      </c>
      <c r="P1981">
        <v>-0.109202008936328</v>
      </c>
      <c r="Q1981">
        <v>0.537245053745941</v>
      </c>
      <c r="R1981">
        <v>0.85531224198136502</v>
      </c>
      <c r="S1981" t="s">
        <v>6277</v>
      </c>
      <c r="T1981" t="s">
        <v>8590</v>
      </c>
      <c r="U1981" t="s">
        <v>8590</v>
      </c>
      <c r="V1981" t="s">
        <v>8590</v>
      </c>
      <c r="W1981">
        <v>1</v>
      </c>
      <c r="X1981" t="s">
        <v>10571</v>
      </c>
      <c r="Y1981">
        <v>0.75458923373526132</v>
      </c>
      <c r="Z1981" t="str">
        <f>HYPERLINK("Melting_Curves/meltCurve_sp_Q5JVS0_HABP4_HUMAN_.pdf", "Melting_Curves/meltCurve_sp_Q5JVS0_HABP4_HUMAN_.pdf")</f>
        <v>Melting_Curves/meltCurve_sp_Q5JVS0_HABP4_HUMAN_.pdf</v>
      </c>
      <c r="AA1981" t="s">
        <v>14829</v>
      </c>
      <c r="AB1981" t="s">
        <v>19065</v>
      </c>
    </row>
    <row r="1982" spans="1:28" x14ac:dyDescent="0.25">
      <c r="A1982" t="s">
        <v>1986</v>
      </c>
      <c r="B1982">
        <v>0.99876560204751996</v>
      </c>
      <c r="C1982">
        <v>1.2179302248156501</v>
      </c>
      <c r="D1982">
        <v>0.46466874330811397</v>
      </c>
      <c r="E1982">
        <v>0.44358290762618202</v>
      </c>
      <c r="F1982">
        <v>0.213050978347092</v>
      </c>
      <c r="G1982">
        <v>0.20542019295994299</v>
      </c>
      <c r="H1982">
        <v>6.7246187266244997E-2</v>
      </c>
      <c r="I1982">
        <v>5.8161581161330002E-2</v>
      </c>
      <c r="J1982">
        <v>1.22641822978957E-2</v>
      </c>
      <c r="K1982">
        <v>1.47526316878238E-2</v>
      </c>
      <c r="L1982">
        <v>856.66075524371604</v>
      </c>
      <c r="M1982">
        <v>17.817542231379299</v>
      </c>
      <c r="N1982">
        <v>48.388759774647703</v>
      </c>
      <c r="O1982">
        <v>47.486252584741699</v>
      </c>
      <c r="P1982">
        <v>-8.8761828268712498E-2</v>
      </c>
      <c r="Q1982">
        <v>5.37976509353741E-2</v>
      </c>
      <c r="R1982">
        <v>0.88990239946725302</v>
      </c>
      <c r="S1982" t="s">
        <v>6278</v>
      </c>
      <c r="T1982" t="s">
        <v>8590</v>
      </c>
      <c r="U1982" t="s">
        <v>8590</v>
      </c>
      <c r="V1982" t="s">
        <v>8590</v>
      </c>
      <c r="W1982">
        <v>1</v>
      </c>
      <c r="X1982" t="s">
        <v>10572</v>
      </c>
      <c r="Y1982">
        <v>0.32573649385720871</v>
      </c>
      <c r="Z1982" t="str">
        <f>HYPERLINK("Melting_Curves/meltCurve_sp_Q5KU26_COL12_HUMAN_.pdf", "Melting_Curves/meltCurve_sp_Q5KU26_COL12_HUMAN_.pdf")</f>
        <v>Melting_Curves/meltCurve_sp_Q5KU26_COL12_HUMAN_.pdf</v>
      </c>
      <c r="AA1982" t="s">
        <v>14830</v>
      </c>
      <c r="AB1982" t="s">
        <v>19066</v>
      </c>
    </row>
    <row r="1983" spans="1:28" x14ac:dyDescent="0.25">
      <c r="A1983" t="s">
        <v>1987</v>
      </c>
      <c r="B1983">
        <v>0.99876560204751996</v>
      </c>
      <c r="C1983">
        <v>0.97701755757479303</v>
      </c>
      <c r="D1983">
        <v>0.878858021775904</v>
      </c>
      <c r="E1983">
        <v>0.61586500427580204</v>
      </c>
      <c r="F1983">
        <v>0.360712518382382</v>
      </c>
      <c r="G1983">
        <v>0.21087416928817901</v>
      </c>
      <c r="H1983">
        <v>0.16289244135342901</v>
      </c>
      <c r="I1983">
        <v>0.177242400908556</v>
      </c>
      <c r="J1983">
        <v>0.16530192600138999</v>
      </c>
      <c r="K1983">
        <v>0.209127929430758</v>
      </c>
      <c r="L1983">
        <v>1103.16267277061</v>
      </c>
      <c r="M1983">
        <v>21.993762559999301</v>
      </c>
      <c r="N1983">
        <v>51.117637535841297</v>
      </c>
      <c r="O1983">
        <v>49.748841336199199</v>
      </c>
      <c r="P1983">
        <v>-9.1832458239523407E-2</v>
      </c>
      <c r="Q1983">
        <v>0.16913600952076899</v>
      </c>
      <c r="R1983">
        <v>0.99740075168956499</v>
      </c>
      <c r="S1983" t="s">
        <v>6279</v>
      </c>
      <c r="T1983" t="s">
        <v>8590</v>
      </c>
      <c r="U1983" t="s">
        <v>8590</v>
      </c>
      <c r="V1983" t="s">
        <v>8590</v>
      </c>
      <c r="W1983">
        <v>8</v>
      </c>
      <c r="X1983" t="s">
        <v>10573</v>
      </c>
      <c r="Y1983">
        <v>0.46006443450425938</v>
      </c>
      <c r="Z1983" t="str">
        <f>HYPERLINK("Melting_Curves/meltCurve_sp_Q5MIZ7_3_P4R3B_HUMAN_.pdf", "Melting_Curves/meltCurve_sp_Q5MIZ7_3_P4R3B_HUMAN_.pdf")</f>
        <v>Melting_Curves/meltCurve_sp_Q5MIZ7_3_P4R3B_HUMAN_.pdf</v>
      </c>
      <c r="AA1983" t="s">
        <v>14831</v>
      </c>
      <c r="AB1983" t="s">
        <v>19067</v>
      </c>
    </row>
    <row r="1984" spans="1:28" x14ac:dyDescent="0.25">
      <c r="A1984" t="s">
        <v>1988</v>
      </c>
      <c r="B1984">
        <v>0.99876560204751996</v>
      </c>
      <c r="C1984">
        <v>0.84911050599795002</v>
      </c>
      <c r="D1984">
        <v>0</v>
      </c>
      <c r="E1984">
        <v>0.67725883703380896</v>
      </c>
      <c r="F1984">
        <v>0.65934946745965595</v>
      </c>
      <c r="G1984">
        <v>0.57441936945944005</v>
      </c>
      <c r="H1984">
        <v>0.30869037542342198</v>
      </c>
      <c r="I1984">
        <v>0.21645306651049301</v>
      </c>
      <c r="J1984">
        <v>0.12379031686811801</v>
      </c>
      <c r="K1984">
        <v>4.7586010625275198E-2</v>
      </c>
      <c r="L1984">
        <v>273.98264247316899</v>
      </c>
      <c r="M1984">
        <v>5.37094251725593</v>
      </c>
      <c r="N1984">
        <v>51.012022517865901</v>
      </c>
      <c r="O1984">
        <v>45.233786855018401</v>
      </c>
      <c r="P1984">
        <v>-2.9826415792922899E-2</v>
      </c>
      <c r="Q1984">
        <v>0</v>
      </c>
      <c r="R1984">
        <v>0.46151509257589002</v>
      </c>
      <c r="S1984" t="s">
        <v>6280</v>
      </c>
      <c r="T1984" t="s">
        <v>8590</v>
      </c>
      <c r="U1984" t="s">
        <v>8590</v>
      </c>
      <c r="V1984" t="s">
        <v>8590</v>
      </c>
      <c r="W1984">
        <v>3</v>
      </c>
      <c r="X1984" t="s">
        <v>10574</v>
      </c>
      <c r="Y1984">
        <v>0.4409891052879657</v>
      </c>
      <c r="Z1984" t="str">
        <f>HYPERLINK("Melting_Curves/meltCurve_sp_Q5MNZ6_WIPI3_HUMAN_.pdf", "Melting_Curves/meltCurve_sp_Q5MNZ6_WIPI3_HUMAN_.pdf")</f>
        <v>Melting_Curves/meltCurve_sp_Q5MNZ6_WIPI3_HUMAN_.pdf</v>
      </c>
      <c r="AA1984" t="s">
        <v>14832</v>
      </c>
      <c r="AB1984" t="s">
        <v>19068</v>
      </c>
    </row>
    <row r="1985" spans="1:28" x14ac:dyDescent="0.25">
      <c r="A1985" t="s">
        <v>1989</v>
      </c>
      <c r="B1985">
        <v>0.99876560204751996</v>
      </c>
      <c r="C1985">
        <v>0.83249266563706403</v>
      </c>
      <c r="D1985">
        <v>0.95553624312182595</v>
      </c>
      <c r="E1985">
        <v>0.80390301243830597</v>
      </c>
      <c r="F1985">
        <v>0.75486822635421702</v>
      </c>
      <c r="G1985">
        <v>0.41912449146727998</v>
      </c>
      <c r="H1985">
        <v>0.259283169858254</v>
      </c>
      <c r="I1985">
        <v>0.168242334634015</v>
      </c>
      <c r="J1985">
        <v>0.14169397962567101</v>
      </c>
      <c r="K1985">
        <v>0.15658720250744501</v>
      </c>
      <c r="L1985">
        <v>801.754749953393</v>
      </c>
      <c r="M1985">
        <v>14.4860126532911</v>
      </c>
      <c r="N1985">
        <v>56.011595019153098</v>
      </c>
      <c r="O1985">
        <v>54.324152212133697</v>
      </c>
      <c r="P1985">
        <v>-6.1406643849747901E-2</v>
      </c>
      <c r="Q1985">
        <v>7.89798022620012E-2</v>
      </c>
      <c r="R1985">
        <v>0.97074670295572796</v>
      </c>
      <c r="S1985" t="s">
        <v>6281</v>
      </c>
      <c r="T1985" t="s">
        <v>8590</v>
      </c>
      <c r="U1985" t="s">
        <v>8590</v>
      </c>
      <c r="V1985" t="s">
        <v>8590</v>
      </c>
      <c r="W1985">
        <v>2</v>
      </c>
      <c r="X1985" t="s">
        <v>10575</v>
      </c>
      <c r="Y1985">
        <v>0.56803148750300736</v>
      </c>
      <c r="Z1985" t="str">
        <f>HYPERLINK("Melting_Curves/meltCurve_sp_Q5MNZ9_2_WIPI1_HUMAN_.pdf", "Melting_Curves/meltCurve_sp_Q5MNZ9_2_WIPI1_HUMAN_.pdf")</f>
        <v>Melting_Curves/meltCurve_sp_Q5MNZ9_2_WIPI1_HUMAN_.pdf</v>
      </c>
      <c r="AA1985" t="s">
        <v>14833</v>
      </c>
      <c r="AB1985" t="s">
        <v>19069</v>
      </c>
    </row>
    <row r="1986" spans="1:28" x14ac:dyDescent="0.25">
      <c r="A1986" t="s">
        <v>1990</v>
      </c>
      <c r="B1986">
        <v>0.99876560204751996</v>
      </c>
      <c r="C1986">
        <v>1.1353551023327699</v>
      </c>
      <c r="D1986">
        <v>0.84644146263105502</v>
      </c>
      <c r="E1986">
        <v>0.94436860064647099</v>
      </c>
      <c r="F1986">
        <v>0.52560450423764205</v>
      </c>
      <c r="G1986">
        <v>0.17959385889208199</v>
      </c>
      <c r="H1986">
        <v>7.1122055218336297E-2</v>
      </c>
      <c r="I1986">
        <v>4.8647931631949401E-2</v>
      </c>
      <c r="J1986">
        <v>0</v>
      </c>
      <c r="K1986">
        <v>8.7583167260490702E-2</v>
      </c>
      <c r="L1986">
        <v>1707.09032748291</v>
      </c>
      <c r="M1986">
        <v>32.088564155594</v>
      </c>
      <c r="N1986">
        <v>53.377799735369301</v>
      </c>
      <c r="O1986">
        <v>52.994000638908801</v>
      </c>
      <c r="P1986">
        <v>-0.14367906875523501</v>
      </c>
      <c r="Q1986">
        <v>5.0865517457000901E-2</v>
      </c>
      <c r="R1986">
        <v>0.97411451964624995</v>
      </c>
      <c r="S1986" t="s">
        <v>6282</v>
      </c>
      <c r="T1986" t="s">
        <v>8590</v>
      </c>
      <c r="U1986" t="s">
        <v>8590</v>
      </c>
      <c r="V1986" t="s">
        <v>8590</v>
      </c>
      <c r="W1986">
        <v>3</v>
      </c>
      <c r="X1986" t="s">
        <v>10576</v>
      </c>
      <c r="Y1986">
        <v>0.47387161130862437</v>
      </c>
      <c r="Z1986" t="str">
        <f>HYPERLINK("Melting_Curves/meltCurve_sp_Q5NDL2_EOGT_HUMAN_.pdf", "Melting_Curves/meltCurve_sp_Q5NDL2_EOGT_HUMAN_.pdf")</f>
        <v>Melting_Curves/meltCurve_sp_Q5NDL2_EOGT_HUMAN_.pdf</v>
      </c>
      <c r="AA1986" t="s">
        <v>14834</v>
      </c>
      <c r="AB1986" t="s">
        <v>19070</v>
      </c>
    </row>
    <row r="1987" spans="1:28" x14ac:dyDescent="0.25">
      <c r="A1987" t="s">
        <v>1991</v>
      </c>
      <c r="B1987">
        <v>0.99876560204751996</v>
      </c>
      <c r="C1987">
        <v>0.92502398851342305</v>
      </c>
      <c r="D1987">
        <v>0.85398340492410096</v>
      </c>
      <c r="E1987">
        <v>0.445530191121909</v>
      </c>
      <c r="F1987">
        <v>0.18213469850788799</v>
      </c>
      <c r="G1987">
        <v>0.1231665874291</v>
      </c>
      <c r="H1987">
        <v>7.79164865261779E-2</v>
      </c>
      <c r="I1987">
        <v>9.7454306886925496E-2</v>
      </c>
      <c r="J1987">
        <v>9.5537665906620203E-2</v>
      </c>
      <c r="K1987">
        <v>7.0048613457324896E-2</v>
      </c>
      <c r="L1987">
        <v>1197.7801118524001</v>
      </c>
      <c r="M1987">
        <v>24.434735581608599</v>
      </c>
      <c r="N1987">
        <v>49.379392029500302</v>
      </c>
      <c r="O1987">
        <v>48.694777214084198</v>
      </c>
      <c r="P1987">
        <v>-0.11521961185087699</v>
      </c>
      <c r="Q1987">
        <v>8.1551637481633896E-2</v>
      </c>
      <c r="R1987">
        <v>0.99711877210810196</v>
      </c>
      <c r="S1987" t="s">
        <v>6283</v>
      </c>
      <c r="T1987" t="s">
        <v>8590</v>
      </c>
      <c r="U1987" t="s">
        <v>8590</v>
      </c>
      <c r="V1987" t="s">
        <v>8590</v>
      </c>
      <c r="W1987">
        <v>6</v>
      </c>
      <c r="X1987" t="s">
        <v>10577</v>
      </c>
      <c r="Y1987">
        <v>0.36621746704649788</v>
      </c>
      <c r="Z1987" t="str">
        <f>HYPERLINK("Melting_Curves/meltCurve_sp_Q5QJ74_TBCEL_HUMAN_.pdf", "Melting_Curves/meltCurve_sp_Q5QJ74_TBCEL_HUMAN_.pdf")</f>
        <v>Melting_Curves/meltCurve_sp_Q5QJ74_TBCEL_HUMAN_.pdf</v>
      </c>
      <c r="AA1987" t="s">
        <v>14835</v>
      </c>
      <c r="AB1987" t="s">
        <v>19071</v>
      </c>
    </row>
    <row r="1988" spans="1:28" x14ac:dyDescent="0.25">
      <c r="A1988" t="s">
        <v>1992</v>
      </c>
      <c r="B1988">
        <v>0.99876560204751996</v>
      </c>
      <c r="C1988">
        <v>0.99128392248158903</v>
      </c>
      <c r="D1988">
        <v>0.905871625221638</v>
      </c>
      <c r="E1988">
        <v>0.67938374073580499</v>
      </c>
      <c r="F1988">
        <v>0.28449015800599797</v>
      </c>
      <c r="G1988">
        <v>8.9950252347003504E-2</v>
      </c>
      <c r="H1988">
        <v>5.0098348724079499E-2</v>
      </c>
      <c r="I1988">
        <v>3.43622775971094E-2</v>
      </c>
      <c r="J1988">
        <v>3.2415242320380601E-2</v>
      </c>
      <c r="K1988">
        <v>2.62997501431892E-2</v>
      </c>
      <c r="L1988">
        <v>1346.07640250483</v>
      </c>
      <c r="M1988">
        <v>26.330287531047901</v>
      </c>
      <c r="N1988">
        <v>51.23902410577</v>
      </c>
      <c r="O1988">
        <v>50.830583916341702</v>
      </c>
      <c r="P1988">
        <v>-0.12574590203018801</v>
      </c>
      <c r="Q1988">
        <v>2.9001462887599999E-2</v>
      </c>
      <c r="R1988">
        <v>0.998155587263864</v>
      </c>
      <c r="S1988" t="s">
        <v>6284</v>
      </c>
      <c r="T1988" t="s">
        <v>8590</v>
      </c>
      <c r="U1988" t="s">
        <v>8590</v>
      </c>
      <c r="V1988" t="s">
        <v>8590</v>
      </c>
      <c r="W1988">
        <v>22</v>
      </c>
      <c r="X1988" t="s">
        <v>10578</v>
      </c>
      <c r="Y1988">
        <v>0.39693785445818708</v>
      </c>
      <c r="Z1988" t="str">
        <f>HYPERLINK("Melting_Curves/meltCurve_sp_Q5R3I4_TTC38_HUMAN_.pdf", "Melting_Curves/meltCurve_sp_Q5R3I4_TTC38_HUMAN_.pdf")</f>
        <v>Melting_Curves/meltCurve_sp_Q5R3I4_TTC38_HUMAN_.pdf</v>
      </c>
      <c r="AA1988" t="s">
        <v>14836</v>
      </c>
      <c r="AB1988" t="s">
        <v>19072</v>
      </c>
    </row>
    <row r="1989" spans="1:28" x14ac:dyDescent="0.25">
      <c r="A1989" t="s">
        <v>1993</v>
      </c>
      <c r="B1989">
        <v>0.99876560204751996</v>
      </c>
      <c r="C1989">
        <v>0.89373116028427102</v>
      </c>
      <c r="D1989">
        <v>0.84069877840307805</v>
      </c>
      <c r="E1989">
        <v>0.75709986115586803</v>
      </c>
      <c r="F1989">
        <v>0.76163869822694596</v>
      </c>
      <c r="G1989">
        <v>0.57853039376124404</v>
      </c>
      <c r="H1989">
        <v>0.55447417444730696</v>
      </c>
      <c r="I1989">
        <v>0.50419636826262104</v>
      </c>
      <c r="J1989">
        <v>0.66931939677673002</v>
      </c>
      <c r="K1989">
        <v>0.57891222315972202</v>
      </c>
      <c r="L1989">
        <v>552.54695690677704</v>
      </c>
      <c r="M1989">
        <v>11.257267406398199</v>
      </c>
      <c r="O1989">
        <v>47.611159581582797</v>
      </c>
      <c r="P1989">
        <v>-2.6539443823759098E-2</v>
      </c>
      <c r="Q1989">
        <v>0.55115790955300004</v>
      </c>
      <c r="R1989">
        <v>0.88565862368945703</v>
      </c>
      <c r="S1989" t="s">
        <v>6285</v>
      </c>
      <c r="T1989" t="s">
        <v>8590</v>
      </c>
      <c r="U1989" t="s">
        <v>8590</v>
      </c>
      <c r="V1989" t="s">
        <v>8590</v>
      </c>
      <c r="W1989">
        <v>2</v>
      </c>
      <c r="X1989" t="s">
        <v>10579</v>
      </c>
      <c r="Y1989">
        <v>0.70526930764378892</v>
      </c>
      <c r="Z1989" t="str">
        <f>HYPERLINK("Melting_Curves/meltCurve_sp_Q5RHP9_CA173_HUMAN_.pdf", "Melting_Curves/meltCurve_sp_Q5RHP9_CA173_HUMAN_.pdf")</f>
        <v>Melting_Curves/meltCurve_sp_Q5RHP9_CA173_HUMAN_.pdf</v>
      </c>
      <c r="AA1989" t="s">
        <v>14837</v>
      </c>
      <c r="AB1989" t="s">
        <v>19073</v>
      </c>
    </row>
    <row r="1990" spans="1:28" x14ac:dyDescent="0.25">
      <c r="A1990" t="s">
        <v>1994</v>
      </c>
      <c r="B1990">
        <v>0.99876560204751996</v>
      </c>
      <c r="C1990">
        <v>0.95121782296248403</v>
      </c>
      <c r="D1990">
        <v>0.80069107861844702</v>
      </c>
      <c r="E1990">
        <v>0.90698157570485904</v>
      </c>
      <c r="F1990">
        <v>0.81683504468385304</v>
      </c>
      <c r="G1990">
        <v>0.56182542979359595</v>
      </c>
      <c r="H1990">
        <v>0.26305632515890398</v>
      </c>
      <c r="I1990">
        <v>0.16423382183246499</v>
      </c>
      <c r="J1990">
        <v>8.7097170671250501E-2</v>
      </c>
      <c r="K1990">
        <v>0.13164634685225901</v>
      </c>
      <c r="L1990">
        <v>902.21822860878899</v>
      </c>
      <c r="M1990">
        <v>15.7577410302482</v>
      </c>
      <c r="N1990">
        <v>57.463343490732903</v>
      </c>
      <c r="O1990">
        <v>56.357240922371403</v>
      </c>
      <c r="P1990">
        <v>-6.7970992161672503E-2</v>
      </c>
      <c r="Q1990">
        <v>2.7693470623989198E-2</v>
      </c>
      <c r="R1990">
        <v>0.96704639465585396</v>
      </c>
      <c r="S1990" t="s">
        <v>6286</v>
      </c>
      <c r="T1990" t="s">
        <v>8590</v>
      </c>
      <c r="U1990" t="s">
        <v>8590</v>
      </c>
      <c r="V1990" t="s">
        <v>8590</v>
      </c>
      <c r="W1990">
        <v>5</v>
      </c>
      <c r="X1990" t="s">
        <v>10580</v>
      </c>
      <c r="Y1990">
        <v>0.60139025398048029</v>
      </c>
      <c r="Z1990" t="str">
        <f>HYPERLINK("Melting_Curves/meltCurve_sp_Q5RKV6_EXOS6_HUMAN_.pdf", "Melting_Curves/meltCurve_sp_Q5RKV6_EXOS6_HUMAN_.pdf")</f>
        <v>Melting_Curves/meltCurve_sp_Q5RKV6_EXOS6_HUMAN_.pdf</v>
      </c>
      <c r="AA1990" t="s">
        <v>14838</v>
      </c>
      <c r="AB1990" t="s">
        <v>19074</v>
      </c>
    </row>
    <row r="1991" spans="1:28" x14ac:dyDescent="0.25">
      <c r="A1991" t="s">
        <v>1995</v>
      </c>
      <c r="B1991">
        <v>0.99876560204751996</v>
      </c>
      <c r="C1991">
        <v>0.97007526664996002</v>
      </c>
      <c r="D1991">
        <v>0.78053801279693602</v>
      </c>
      <c r="E1991">
        <v>0.90566671947203503</v>
      </c>
      <c r="F1991">
        <v>0.94578822639403304</v>
      </c>
      <c r="G1991">
        <v>0.606316036237742</v>
      </c>
      <c r="H1991">
        <v>0.482529995763673</v>
      </c>
      <c r="I1991">
        <v>0.183281142148284</v>
      </c>
      <c r="J1991">
        <v>0.15058910550277499</v>
      </c>
      <c r="K1991">
        <v>0.43257549250048699</v>
      </c>
      <c r="L1991">
        <v>1391.35651311682</v>
      </c>
      <c r="M1991">
        <v>24.370144809078599</v>
      </c>
      <c r="N1991">
        <v>58.823132076514902</v>
      </c>
      <c r="O1991">
        <v>56.712401751053299</v>
      </c>
      <c r="P1991">
        <v>-7.9941822918102798E-2</v>
      </c>
      <c r="Q1991">
        <v>0.255872240210896</v>
      </c>
      <c r="R1991">
        <v>0.86718729394903904</v>
      </c>
      <c r="S1991" t="s">
        <v>6287</v>
      </c>
      <c r="T1991" t="s">
        <v>8590</v>
      </c>
      <c r="U1991" t="s">
        <v>8590</v>
      </c>
      <c r="V1991" t="s">
        <v>8590</v>
      </c>
      <c r="W1991">
        <v>13</v>
      </c>
      <c r="X1991" t="s">
        <v>10581</v>
      </c>
      <c r="Y1991">
        <v>0.68679358242463351</v>
      </c>
      <c r="Z1991" t="str">
        <f>HYPERLINK("Melting_Curves/meltCurve_sp_Q5SNT6_FA21B_HUMAN_.pdf", "Melting_Curves/meltCurve_sp_Q5SNT6_FA21B_HUMAN_.pdf")</f>
        <v>Melting_Curves/meltCurve_sp_Q5SNT6_FA21B_HUMAN_.pdf</v>
      </c>
      <c r="AA1991" t="s">
        <v>14839</v>
      </c>
      <c r="AB1991" t="s">
        <v>19075</v>
      </c>
    </row>
    <row r="1992" spans="1:28" x14ac:dyDescent="0.25">
      <c r="A1992" t="s">
        <v>1996</v>
      </c>
      <c r="B1992">
        <v>0.99876560204751996</v>
      </c>
      <c r="C1992">
        <v>0.93543094976327001</v>
      </c>
      <c r="D1992">
        <v>0.96699425765964997</v>
      </c>
      <c r="E1992">
        <v>0.53000545512507202</v>
      </c>
      <c r="F1992">
        <v>0.26074392286437398</v>
      </c>
      <c r="G1992">
        <v>0.136735739861821</v>
      </c>
      <c r="H1992">
        <v>9.8812799884235594E-2</v>
      </c>
      <c r="I1992">
        <v>7.0266539725068897E-2</v>
      </c>
      <c r="J1992">
        <v>6.8353731377437194E-2</v>
      </c>
      <c r="K1992">
        <v>4.6108234854776498E-2</v>
      </c>
      <c r="L1992">
        <v>1323.9754679637499</v>
      </c>
      <c r="M1992">
        <v>26.414870255633399</v>
      </c>
      <c r="N1992">
        <v>50.427417710421999</v>
      </c>
      <c r="O1992">
        <v>49.837727913988601</v>
      </c>
      <c r="P1992">
        <v>-0.122721327175946</v>
      </c>
      <c r="Q1992">
        <v>7.3841931165844699E-2</v>
      </c>
      <c r="R1992">
        <v>0.995049798748597</v>
      </c>
      <c r="S1992" t="s">
        <v>6288</v>
      </c>
      <c r="T1992" t="s">
        <v>8590</v>
      </c>
      <c r="U1992" t="s">
        <v>8590</v>
      </c>
      <c r="V1992" t="s">
        <v>8590</v>
      </c>
      <c r="W1992">
        <v>9</v>
      </c>
      <c r="X1992" t="s">
        <v>10582</v>
      </c>
      <c r="Y1992">
        <v>0.39375885780258391</v>
      </c>
      <c r="Z1992" t="str">
        <f>HYPERLINK("Melting_Curves/meltCurve_sp_Q5SRE7_PHYD1_HUMAN_.pdf", "Melting_Curves/meltCurve_sp_Q5SRE7_PHYD1_HUMAN_.pdf")</f>
        <v>Melting_Curves/meltCurve_sp_Q5SRE7_PHYD1_HUMAN_.pdf</v>
      </c>
      <c r="AA1992" t="s">
        <v>14840</v>
      </c>
      <c r="AB1992" t="s">
        <v>19076</v>
      </c>
    </row>
    <row r="1993" spans="1:28" x14ac:dyDescent="0.25">
      <c r="A1993" t="s">
        <v>1997</v>
      </c>
      <c r="B1993">
        <v>0.99876560204751996</v>
      </c>
      <c r="C1993">
        <v>0.99771181022702604</v>
      </c>
      <c r="D1993">
        <v>0.92124859243677804</v>
      </c>
      <c r="E1993">
        <v>0.76286096521114599</v>
      </c>
      <c r="F1993">
        <v>0.57248461750932</v>
      </c>
      <c r="G1993">
        <v>0.33970862588427297</v>
      </c>
      <c r="H1993">
        <v>0.222763619199527</v>
      </c>
      <c r="I1993">
        <v>0.22794422765302799</v>
      </c>
      <c r="J1993">
        <v>0.23420434340180099</v>
      </c>
      <c r="K1993">
        <v>0.21247144461189299</v>
      </c>
      <c r="L1993">
        <v>975.25703879328705</v>
      </c>
      <c r="M1993">
        <v>18.624270575052599</v>
      </c>
      <c r="N1993">
        <v>53.845961394349203</v>
      </c>
      <c r="O1993">
        <v>51.772317230145198</v>
      </c>
      <c r="P1993">
        <v>-7.1910445043031193E-2</v>
      </c>
      <c r="Q1993">
        <v>0.20043882045081499</v>
      </c>
      <c r="R1993">
        <v>0.99779295786865096</v>
      </c>
      <c r="S1993" t="s">
        <v>6289</v>
      </c>
      <c r="T1993" t="s">
        <v>8590</v>
      </c>
      <c r="U1993" t="s">
        <v>8590</v>
      </c>
      <c r="V1993" t="s">
        <v>8590</v>
      </c>
      <c r="W1993">
        <v>6</v>
      </c>
      <c r="X1993" t="s">
        <v>10583</v>
      </c>
      <c r="Y1993">
        <v>0.54248347934281216</v>
      </c>
      <c r="Z1993" t="str">
        <f>HYPERLINK("Melting_Curves/meltCurve_sp_Q5SSJ5_HP1B3_HUMAN_.pdf", "Melting_Curves/meltCurve_sp_Q5SSJ5_HP1B3_HUMAN_.pdf")</f>
        <v>Melting_Curves/meltCurve_sp_Q5SSJ5_HP1B3_HUMAN_.pdf</v>
      </c>
      <c r="AA1993" t="s">
        <v>14841</v>
      </c>
      <c r="AB1993" t="s">
        <v>19077</v>
      </c>
    </row>
    <row r="1994" spans="1:28" x14ac:dyDescent="0.25">
      <c r="A1994" t="s">
        <v>1998</v>
      </c>
      <c r="B1994">
        <v>0.99876560204751996</v>
      </c>
      <c r="C1994">
        <v>1.04303213921736</v>
      </c>
      <c r="D1994">
        <v>0.89371531659078596</v>
      </c>
      <c r="E1994">
        <v>0.717604843113122</v>
      </c>
      <c r="F1994">
        <v>0.25108695043670698</v>
      </c>
      <c r="G1994">
        <v>0.123530235124395</v>
      </c>
      <c r="H1994">
        <v>6.8947082948488198E-2</v>
      </c>
      <c r="I1994">
        <v>6.9749130337315002E-2</v>
      </c>
      <c r="J1994">
        <v>6.5890555020148706E-2</v>
      </c>
      <c r="K1994">
        <v>5.4109692030305703E-2</v>
      </c>
      <c r="L1994">
        <v>1713.6109127365</v>
      </c>
      <c r="M1994">
        <v>33.565405536873499</v>
      </c>
      <c r="N1994">
        <v>51.272531032151903</v>
      </c>
      <c r="O1994">
        <v>50.872697160482502</v>
      </c>
      <c r="P1994">
        <v>-0.15390302382330801</v>
      </c>
      <c r="Q1994">
        <v>6.6964448463728607E-2</v>
      </c>
      <c r="R1994">
        <v>0.99314584830054997</v>
      </c>
      <c r="S1994" t="s">
        <v>6290</v>
      </c>
      <c r="T1994" t="s">
        <v>8590</v>
      </c>
      <c r="U1994" t="s">
        <v>8590</v>
      </c>
      <c r="V1994" t="s">
        <v>8590</v>
      </c>
      <c r="W1994">
        <v>9</v>
      </c>
      <c r="X1994" t="s">
        <v>10584</v>
      </c>
      <c r="Y1994">
        <v>0.41540900932801877</v>
      </c>
      <c r="Z1994" t="str">
        <f>HYPERLINK("Melting_Curves/meltCurve_sp_Q5ST30_SYVM_HUMAN_.pdf", "Melting_Curves/meltCurve_sp_Q5ST30_SYVM_HUMAN_.pdf")</f>
        <v>Melting_Curves/meltCurve_sp_Q5ST30_SYVM_HUMAN_.pdf</v>
      </c>
      <c r="AA1994" t="s">
        <v>14842</v>
      </c>
      <c r="AB1994" t="s">
        <v>19078</v>
      </c>
    </row>
    <row r="1995" spans="1:28" x14ac:dyDescent="0.25">
      <c r="A1995" t="s">
        <v>1999</v>
      </c>
      <c r="B1995">
        <v>0.99876560204751996</v>
      </c>
      <c r="C1995">
        <v>0.99094942773857797</v>
      </c>
      <c r="D1995">
        <v>0.87579961241952697</v>
      </c>
      <c r="E1995">
        <v>0.90924193219911398</v>
      </c>
      <c r="F1995">
        <v>0.90412637895051295</v>
      </c>
      <c r="G1995">
        <v>0.66738729045353096</v>
      </c>
      <c r="H1995">
        <v>0.54440661630510001</v>
      </c>
      <c r="I1995">
        <v>0.58219576166541798</v>
      </c>
      <c r="J1995">
        <v>0.66504782594135203</v>
      </c>
      <c r="K1995">
        <v>0.64855631663339097</v>
      </c>
      <c r="L1995">
        <v>1799.53694517797</v>
      </c>
      <c r="M1995">
        <v>33.198629724574602</v>
      </c>
      <c r="O1995">
        <v>54.009615951072703</v>
      </c>
      <c r="P1995">
        <v>-6.0296016597527598E-2</v>
      </c>
      <c r="Q1995">
        <v>0.60762833721749399</v>
      </c>
      <c r="R1995">
        <v>0.88313640424352902</v>
      </c>
      <c r="S1995" t="s">
        <v>6291</v>
      </c>
      <c r="T1995" t="s">
        <v>8590</v>
      </c>
      <c r="U1995" t="s">
        <v>8590</v>
      </c>
      <c r="V1995" t="s">
        <v>8590</v>
      </c>
      <c r="W1995">
        <v>1</v>
      </c>
      <c r="X1995" t="s">
        <v>10585</v>
      </c>
      <c r="Y1995">
        <v>0.79554034507834459</v>
      </c>
      <c r="Z1995" t="str">
        <f>HYPERLINK("Melting_Curves/meltCurve_sp_Q5SW79_2_CE170_HUMAN_.pdf", "Melting_Curves/meltCurve_sp_Q5SW79_2_CE170_HUMAN_.pdf")</f>
        <v>Melting_Curves/meltCurve_sp_Q5SW79_2_CE170_HUMAN_.pdf</v>
      </c>
      <c r="AA1995" t="s">
        <v>14843</v>
      </c>
      <c r="AB1995" t="s">
        <v>19079</v>
      </c>
    </row>
    <row r="1996" spans="1:28" x14ac:dyDescent="0.25">
      <c r="A1996" t="s">
        <v>2000</v>
      </c>
      <c r="B1996">
        <v>0.99876560204751996</v>
      </c>
      <c r="C1996">
        <v>1.0244280944106401</v>
      </c>
      <c r="D1996">
        <v>0.74632279984232097</v>
      </c>
      <c r="E1996">
        <v>0.47846230707266701</v>
      </c>
      <c r="F1996">
        <v>0.29312052009814699</v>
      </c>
      <c r="G1996">
        <v>0.13097753026811501</v>
      </c>
      <c r="H1996">
        <v>6.8468120100825605E-2</v>
      </c>
      <c r="I1996">
        <v>7.8830668895348704E-2</v>
      </c>
      <c r="J1996">
        <v>5.7208501768623597E-2</v>
      </c>
      <c r="K1996">
        <v>8.6741102643692003E-2</v>
      </c>
      <c r="L1996">
        <v>890.74105008237905</v>
      </c>
      <c r="M1996">
        <v>18.0559685104168</v>
      </c>
      <c r="N1996">
        <v>49.690730792863903</v>
      </c>
      <c r="O1996">
        <v>48.7390448734497</v>
      </c>
      <c r="P1996">
        <v>-8.6963652867494995E-2</v>
      </c>
      <c r="Q1996">
        <v>6.1070847996409897E-2</v>
      </c>
      <c r="R1996">
        <v>0.99163391136310197</v>
      </c>
      <c r="S1996" t="s">
        <v>6292</v>
      </c>
      <c r="T1996" t="s">
        <v>8590</v>
      </c>
      <c r="U1996" t="s">
        <v>8590</v>
      </c>
      <c r="V1996" t="s">
        <v>8590</v>
      </c>
      <c r="W1996">
        <v>1</v>
      </c>
      <c r="X1996" t="s">
        <v>10586</v>
      </c>
      <c r="Y1996">
        <v>0.36921750500233419</v>
      </c>
      <c r="Z1996" t="str">
        <f>HYPERLINK("Melting_Curves/meltCurve_sp_Q5SW96_ARH_HUMAN_.pdf", "Melting_Curves/meltCurve_sp_Q5SW96_ARH_HUMAN_.pdf")</f>
        <v>Melting_Curves/meltCurve_sp_Q5SW96_ARH_HUMAN_.pdf</v>
      </c>
      <c r="AA1996" t="s">
        <v>14844</v>
      </c>
      <c r="AB1996" t="s">
        <v>19080</v>
      </c>
    </row>
    <row r="1997" spans="1:28" x14ac:dyDescent="0.25">
      <c r="A1997" t="s">
        <v>2001</v>
      </c>
      <c r="B1997">
        <v>0.99876560204751996</v>
      </c>
      <c r="C1997">
        <v>0.89676755936972796</v>
      </c>
      <c r="D1997">
        <v>1.00115084695759</v>
      </c>
      <c r="E1997">
        <v>0.996497600584907</v>
      </c>
      <c r="F1997">
        <v>0.94306428360231298</v>
      </c>
      <c r="G1997">
        <v>0.79823499345137106</v>
      </c>
      <c r="H1997">
        <v>0.73290502519984901</v>
      </c>
      <c r="I1997">
        <v>0.634153401848357</v>
      </c>
      <c r="J1997">
        <v>0.78639794602038404</v>
      </c>
      <c r="K1997">
        <v>0.79148370465739404</v>
      </c>
      <c r="L1997">
        <v>2091.2447156788598</v>
      </c>
      <c r="M1997">
        <v>38.047761601097498</v>
      </c>
      <c r="O1997">
        <v>54.812496582412699</v>
      </c>
      <c r="P1997">
        <v>-4.58273269035002E-2</v>
      </c>
      <c r="Q1997">
        <v>0.73592098577496201</v>
      </c>
      <c r="R1997">
        <v>0.81614524853894299</v>
      </c>
      <c r="S1997" t="s">
        <v>6293</v>
      </c>
      <c r="T1997" t="s">
        <v>8590</v>
      </c>
      <c r="U1997" t="s">
        <v>8590</v>
      </c>
      <c r="V1997" t="s">
        <v>8590</v>
      </c>
      <c r="W1997">
        <v>3</v>
      </c>
      <c r="X1997" t="s">
        <v>10587</v>
      </c>
      <c r="Y1997">
        <v>0.86874473075938508</v>
      </c>
      <c r="Z1997" t="str">
        <f>HYPERLINK("Melting_Curves/meltCurve_sp_Q5SXM8_DNLZ_HUMAN_.pdf", "Melting_Curves/meltCurve_sp_Q5SXM8_DNLZ_HUMAN_.pdf")</f>
        <v>Melting_Curves/meltCurve_sp_Q5SXM8_DNLZ_HUMAN_.pdf</v>
      </c>
      <c r="AA1997" t="s">
        <v>14845</v>
      </c>
      <c r="AB1997" t="s">
        <v>19081</v>
      </c>
    </row>
    <row r="1998" spans="1:28" x14ac:dyDescent="0.25">
      <c r="A1998" t="s">
        <v>2002</v>
      </c>
      <c r="B1998">
        <v>0.99876560204751996</v>
      </c>
      <c r="C1998">
        <v>1.1161442390920699</v>
      </c>
      <c r="D1998">
        <v>0.84565904173113504</v>
      </c>
      <c r="E1998">
        <v>0.66777364041494502</v>
      </c>
      <c r="F1998">
        <v>0.42095904899590902</v>
      </c>
      <c r="G1998">
        <v>0.38833541541784</v>
      </c>
      <c r="H1998">
        <v>0.26979869914837401</v>
      </c>
      <c r="I1998">
        <v>0.26917126545903602</v>
      </c>
      <c r="J1998">
        <v>0.26770717558847501</v>
      </c>
      <c r="K1998">
        <v>0.21740255938437</v>
      </c>
      <c r="L1998">
        <v>986.09849261432998</v>
      </c>
      <c r="M1998">
        <v>19.588715598767902</v>
      </c>
      <c r="N1998">
        <v>52.237499275870398</v>
      </c>
      <c r="O1998">
        <v>49.824306391499199</v>
      </c>
      <c r="P1998">
        <v>-7.3272434871899605E-2</v>
      </c>
      <c r="Q1998">
        <v>0.254546477786953</v>
      </c>
      <c r="R1998">
        <v>0.970332280949045</v>
      </c>
      <c r="S1998" t="s">
        <v>6294</v>
      </c>
      <c r="T1998" t="s">
        <v>8590</v>
      </c>
      <c r="U1998" t="s">
        <v>8590</v>
      </c>
      <c r="V1998" t="s">
        <v>8590</v>
      </c>
      <c r="W1998">
        <v>8</v>
      </c>
      <c r="X1998" t="s">
        <v>10588</v>
      </c>
      <c r="Y1998">
        <v>0.52227011118622124</v>
      </c>
      <c r="Z1998" t="str">
        <f>HYPERLINK("Melting_Curves/meltCurve_sp_Q5SYE7_2_NHSL1_HUMAN_.pdf", "Melting_Curves/meltCurve_sp_Q5SYE7_2_NHSL1_HUMAN_.pdf")</f>
        <v>Melting_Curves/meltCurve_sp_Q5SYE7_2_NHSL1_HUMAN_.pdf</v>
      </c>
      <c r="AA1998" t="s">
        <v>14846</v>
      </c>
      <c r="AB1998" t="s">
        <v>19082</v>
      </c>
    </row>
    <row r="1999" spans="1:28" x14ac:dyDescent="0.25">
      <c r="A1999" t="s">
        <v>2003</v>
      </c>
      <c r="B1999">
        <v>0.99876560204751996</v>
      </c>
      <c r="C1999">
        <v>0.99568134380626405</v>
      </c>
      <c r="D1999">
        <v>1.0787487237318201</v>
      </c>
      <c r="E1999">
        <v>0.93839545566000204</v>
      </c>
      <c r="F1999">
        <v>0.78488994734869799</v>
      </c>
      <c r="G1999">
        <v>0.61132523455238796</v>
      </c>
      <c r="H1999">
        <v>0.53020075076432505</v>
      </c>
      <c r="I1999">
        <v>0.48565627285059298</v>
      </c>
      <c r="J1999">
        <v>0.61502424990251803</v>
      </c>
      <c r="K1999">
        <v>0.55133672950055801</v>
      </c>
      <c r="L1999">
        <v>1689.55139966607</v>
      </c>
      <c r="M1999">
        <v>31.753972012354801</v>
      </c>
      <c r="O1999">
        <v>52.997870848742203</v>
      </c>
      <c r="P1999">
        <v>-6.7970854429179203E-2</v>
      </c>
      <c r="Q1999">
        <v>0.546224726094518</v>
      </c>
      <c r="R1999">
        <v>0.96480948936880595</v>
      </c>
      <c r="S1999" t="s">
        <v>6295</v>
      </c>
      <c r="T1999" t="s">
        <v>8590</v>
      </c>
      <c r="U1999" t="s">
        <v>8590</v>
      </c>
      <c r="V1999" t="s">
        <v>8590</v>
      </c>
      <c r="W1999">
        <v>8</v>
      </c>
      <c r="X1999" t="s">
        <v>10589</v>
      </c>
      <c r="Y1999">
        <v>0.74864002026936727</v>
      </c>
      <c r="Z1999" t="str">
        <f>HYPERLINK("Melting_Curves/meltCurve_sp_Q5T0N5_3_FBP1L_HUMAN_.pdf", "Melting_Curves/meltCurve_sp_Q5T0N5_3_FBP1L_HUMAN_.pdf")</f>
        <v>Melting_Curves/meltCurve_sp_Q5T0N5_3_FBP1L_HUMAN_.pdf</v>
      </c>
      <c r="AA1999" t="s">
        <v>14847</v>
      </c>
      <c r="AB1999" t="s">
        <v>19083</v>
      </c>
    </row>
    <row r="2000" spans="1:28" x14ac:dyDescent="0.25">
      <c r="A2000" t="s">
        <v>2004</v>
      </c>
      <c r="B2000">
        <v>0.99876560204751996</v>
      </c>
      <c r="C2000">
        <v>0.92194195057639705</v>
      </c>
      <c r="D2000">
        <v>0.84200004271955697</v>
      </c>
      <c r="E2000">
        <v>0.58635478048515299</v>
      </c>
      <c r="F2000">
        <v>0.25049814899435802</v>
      </c>
      <c r="G2000">
        <v>0.12444393468123099</v>
      </c>
      <c r="H2000">
        <v>8.6244523474929696E-2</v>
      </c>
      <c r="I2000">
        <v>7.5510872977931798E-2</v>
      </c>
      <c r="J2000">
        <v>8.4654316472284802E-2</v>
      </c>
      <c r="K2000">
        <v>6.5491145731023201E-2</v>
      </c>
      <c r="L2000">
        <v>1013.7210535058</v>
      </c>
      <c r="M2000">
        <v>20.2521973337197</v>
      </c>
      <c r="N2000">
        <v>50.382825301387797</v>
      </c>
      <c r="O2000">
        <v>49.5744796654079</v>
      </c>
      <c r="P2000">
        <v>-9.5826138061850905E-2</v>
      </c>
      <c r="Q2000">
        <v>6.1754075293373102E-2</v>
      </c>
      <c r="R2000">
        <v>0.99460290519519201</v>
      </c>
      <c r="S2000" t="s">
        <v>6296</v>
      </c>
      <c r="T2000" t="s">
        <v>8590</v>
      </c>
      <c r="U2000" t="s">
        <v>8590</v>
      </c>
      <c r="V2000" t="s">
        <v>8590</v>
      </c>
      <c r="W2000">
        <v>12</v>
      </c>
      <c r="X2000" t="s">
        <v>10590</v>
      </c>
      <c r="Y2000">
        <v>0.38896255276464659</v>
      </c>
      <c r="Z2000" t="str">
        <f>HYPERLINK("Melting_Curves/meltCurve_sp_Q5T160_SYRM_HUMAN_.pdf", "Melting_Curves/meltCurve_sp_Q5T160_SYRM_HUMAN_.pdf")</f>
        <v>Melting_Curves/meltCurve_sp_Q5T160_SYRM_HUMAN_.pdf</v>
      </c>
      <c r="AA2000" t="s">
        <v>14848</v>
      </c>
      <c r="AB2000" t="s">
        <v>19084</v>
      </c>
    </row>
    <row r="2001" spans="1:28" x14ac:dyDescent="0.25">
      <c r="A2001" t="s">
        <v>2005</v>
      </c>
      <c r="B2001">
        <v>0.99876560204751996</v>
      </c>
      <c r="C2001">
        <v>1.03966175092881</v>
      </c>
      <c r="D2001">
        <v>1.21477701618862</v>
      </c>
      <c r="E2001">
        <v>1.0111663741149799</v>
      </c>
      <c r="F2001">
        <v>0.88317601107871302</v>
      </c>
      <c r="G2001">
        <v>0.48353857662279398</v>
      </c>
      <c r="H2001">
        <v>0.21035560797244199</v>
      </c>
      <c r="I2001">
        <v>0.11743455303667</v>
      </c>
      <c r="J2001">
        <v>9.6932452900690205E-2</v>
      </c>
      <c r="K2001">
        <v>3.9752982574733198E-2</v>
      </c>
      <c r="L2001">
        <v>1567.61304404922</v>
      </c>
      <c r="M2001">
        <v>27.650356726195099</v>
      </c>
      <c r="N2001">
        <v>57.007141439279302</v>
      </c>
      <c r="O2001">
        <v>56.400077994578702</v>
      </c>
      <c r="P2001">
        <v>-0.113932568186454</v>
      </c>
      <c r="Q2001">
        <v>7.0428222278684505E-2</v>
      </c>
      <c r="R2001">
        <v>0.97329953838647199</v>
      </c>
      <c r="S2001" t="s">
        <v>6297</v>
      </c>
      <c r="T2001" t="s">
        <v>8590</v>
      </c>
      <c r="U2001" t="s">
        <v>8590</v>
      </c>
      <c r="V2001" t="s">
        <v>8590</v>
      </c>
      <c r="W2001">
        <v>1</v>
      </c>
      <c r="X2001" t="s">
        <v>10591</v>
      </c>
      <c r="Y2001">
        <v>0.5948538048101859</v>
      </c>
      <c r="Z2001" t="str">
        <f>HYPERLINK("Melting_Curves/meltCurve_sp_Q5T1C6_THEM4_HUMAN_.pdf", "Melting_Curves/meltCurve_sp_Q5T1C6_THEM4_HUMAN_.pdf")</f>
        <v>Melting_Curves/meltCurve_sp_Q5T1C6_THEM4_HUMAN_.pdf</v>
      </c>
      <c r="AA2001" t="s">
        <v>14849</v>
      </c>
      <c r="AB2001" t="s">
        <v>19085</v>
      </c>
    </row>
    <row r="2002" spans="1:28" x14ac:dyDescent="0.25">
      <c r="A2002" t="s">
        <v>2006</v>
      </c>
      <c r="B2002">
        <v>0.99876560204751996</v>
      </c>
      <c r="C2002">
        <v>1.09480809269739</v>
      </c>
      <c r="D2002">
        <v>0.98585966364021904</v>
      </c>
      <c r="E2002">
        <v>0.94424671766299795</v>
      </c>
      <c r="F2002">
        <v>0.72863596630236804</v>
      </c>
      <c r="G2002">
        <v>0.49289214961669903</v>
      </c>
      <c r="H2002">
        <v>0.368807584019819</v>
      </c>
      <c r="I2002">
        <v>0.33060845462057498</v>
      </c>
      <c r="J2002">
        <v>0.44424088970007097</v>
      </c>
      <c r="K2002">
        <v>0.39704418843373901</v>
      </c>
      <c r="L2002">
        <v>1609.6143132796001</v>
      </c>
      <c r="M2002">
        <v>30.059629266163402</v>
      </c>
      <c r="N2002">
        <v>56.283756271804201</v>
      </c>
      <c r="O2002">
        <v>53.312066878566299</v>
      </c>
      <c r="P2002">
        <v>-8.68257012873596E-2</v>
      </c>
      <c r="Q2002">
        <v>0.38404727434128699</v>
      </c>
      <c r="R2002">
        <v>0.97854935612105798</v>
      </c>
      <c r="S2002" t="s">
        <v>6298</v>
      </c>
      <c r="T2002" t="s">
        <v>8590</v>
      </c>
      <c r="U2002" t="s">
        <v>8590</v>
      </c>
      <c r="V2002" t="s">
        <v>8590</v>
      </c>
      <c r="W2002">
        <v>12</v>
      </c>
      <c r="X2002" t="s">
        <v>10592</v>
      </c>
      <c r="Y2002">
        <v>0.66620709787216692</v>
      </c>
      <c r="Z2002" t="str">
        <f>HYPERLINK("Melting_Curves/meltCurve_sp_Q5T1M5_FKB15_HUMAN_.pdf", "Melting_Curves/meltCurve_sp_Q5T1M5_FKB15_HUMAN_.pdf")</f>
        <v>Melting_Curves/meltCurve_sp_Q5T1M5_FKB15_HUMAN_.pdf</v>
      </c>
      <c r="AA2002" t="s">
        <v>14850</v>
      </c>
      <c r="AB2002" t="s">
        <v>19086</v>
      </c>
    </row>
    <row r="2003" spans="1:28" x14ac:dyDescent="0.25">
      <c r="A2003" t="s">
        <v>2007</v>
      </c>
      <c r="B2003">
        <v>0.99876560204751996</v>
      </c>
      <c r="C2003">
        <v>1.11784320528507</v>
      </c>
      <c r="D2003">
        <v>0.91466249928493604</v>
      </c>
      <c r="E2003">
        <v>0.85224705444329096</v>
      </c>
      <c r="F2003">
        <v>0.66650033425546296</v>
      </c>
      <c r="G2003">
        <v>0.40432686537710699</v>
      </c>
      <c r="H2003">
        <v>0.31432480052922102</v>
      </c>
      <c r="I2003">
        <v>0.222894417362522</v>
      </c>
      <c r="J2003">
        <v>0.23383185980129101</v>
      </c>
      <c r="K2003">
        <v>0.15492852179531399</v>
      </c>
      <c r="L2003">
        <v>920.01828645081002</v>
      </c>
      <c r="M2003">
        <v>16.965043546414002</v>
      </c>
      <c r="N2003">
        <v>55.624308999895</v>
      </c>
      <c r="O2003">
        <v>53.493550963154803</v>
      </c>
      <c r="P2003">
        <v>-6.5559296149305807E-2</v>
      </c>
      <c r="Q2003">
        <v>0.17317486740253099</v>
      </c>
      <c r="R2003">
        <v>0.98129578558552299</v>
      </c>
      <c r="S2003" t="s">
        <v>6299</v>
      </c>
      <c r="T2003" t="s">
        <v>8590</v>
      </c>
      <c r="U2003" t="s">
        <v>8590</v>
      </c>
      <c r="V2003" t="s">
        <v>8590</v>
      </c>
      <c r="W2003">
        <v>1</v>
      </c>
      <c r="X2003" t="s">
        <v>10593</v>
      </c>
      <c r="Y2003">
        <v>0.57966233587977711</v>
      </c>
      <c r="Z2003" t="str">
        <f>HYPERLINK("Melting_Curves/meltCurve_sp_Q5T200_ZC3HD_HUMAN_.pdf", "Melting_Curves/meltCurve_sp_Q5T200_ZC3HD_HUMAN_.pdf")</f>
        <v>Melting_Curves/meltCurve_sp_Q5T200_ZC3HD_HUMAN_.pdf</v>
      </c>
      <c r="AA2003" t="s">
        <v>14851</v>
      </c>
      <c r="AB2003" t="s">
        <v>19087</v>
      </c>
    </row>
    <row r="2004" spans="1:28" x14ac:dyDescent="0.25">
      <c r="A2004" t="s">
        <v>2008</v>
      </c>
      <c r="B2004">
        <v>0.99876560204751996</v>
      </c>
      <c r="C2004">
        <v>0.97115770353356101</v>
      </c>
      <c r="D2004">
        <v>0.95892788267886797</v>
      </c>
      <c r="E2004">
        <v>0.92116588996228599</v>
      </c>
      <c r="F2004">
        <v>0.74551388160024701</v>
      </c>
      <c r="G2004">
        <v>0.49088467230817701</v>
      </c>
      <c r="H2004">
        <v>0.31485107323253197</v>
      </c>
      <c r="I2004">
        <v>0.16207501637980901</v>
      </c>
      <c r="J2004">
        <v>7.6205994711175506E-2</v>
      </c>
      <c r="K2004">
        <v>7.9697506639660895E-2</v>
      </c>
      <c r="L2004">
        <v>838.91568060872805</v>
      </c>
      <c r="M2004">
        <v>14.6872445226476</v>
      </c>
      <c r="N2004">
        <v>57.118656921804401</v>
      </c>
      <c r="O2004">
        <v>56.091117490396897</v>
      </c>
      <c r="P2004">
        <v>-6.5468725884829507E-2</v>
      </c>
      <c r="Q2004">
        <v>0</v>
      </c>
      <c r="R2004">
        <v>0.99695465169964603</v>
      </c>
      <c r="S2004" t="s">
        <v>6300</v>
      </c>
      <c r="T2004" t="s">
        <v>8590</v>
      </c>
      <c r="U2004" t="s">
        <v>8590</v>
      </c>
      <c r="V2004" t="s">
        <v>8590</v>
      </c>
      <c r="W2004">
        <v>5</v>
      </c>
      <c r="X2004" t="s">
        <v>10594</v>
      </c>
      <c r="Y2004">
        <v>0.58635054892666061</v>
      </c>
      <c r="Z2004" t="str">
        <f>HYPERLINK("Melting_Curves/meltCurve_sp_Q5T2E6_CJ076_HUMAN_.pdf", "Melting_Curves/meltCurve_sp_Q5T2E6_CJ076_HUMAN_.pdf")</f>
        <v>Melting_Curves/meltCurve_sp_Q5T2E6_CJ076_HUMAN_.pdf</v>
      </c>
      <c r="AA2004" t="s">
        <v>14852</v>
      </c>
      <c r="AB2004" t="s">
        <v>19088</v>
      </c>
    </row>
    <row r="2005" spans="1:28" x14ac:dyDescent="0.25">
      <c r="A2005" t="s">
        <v>2009</v>
      </c>
      <c r="B2005">
        <v>0.99876560204751996</v>
      </c>
      <c r="C2005">
        <v>0.88228593771625596</v>
      </c>
      <c r="D2005">
        <v>0.89885523238851095</v>
      </c>
      <c r="E2005">
        <v>0.82539599829131105</v>
      </c>
      <c r="F2005">
        <v>0.73582658074302798</v>
      </c>
      <c r="G2005">
        <v>0.57152826657186495</v>
      </c>
      <c r="H2005">
        <v>0.43234777046189499</v>
      </c>
      <c r="I2005">
        <v>0.38421842533327299</v>
      </c>
      <c r="J2005">
        <v>0.440057201111268</v>
      </c>
      <c r="K2005">
        <v>0.410786841576255</v>
      </c>
      <c r="L2005">
        <v>597.59166379791202</v>
      </c>
      <c r="M2005">
        <v>11.0867225630719</v>
      </c>
      <c r="N2005">
        <v>59.8761499295139</v>
      </c>
      <c r="O2005">
        <v>52.237025082489801</v>
      </c>
      <c r="P2005">
        <v>-3.5317312708099097E-2</v>
      </c>
      <c r="Q2005">
        <v>0.334603114118523</v>
      </c>
      <c r="R2005">
        <v>0.96900218258998505</v>
      </c>
      <c r="S2005" t="s">
        <v>6301</v>
      </c>
      <c r="T2005" t="s">
        <v>8590</v>
      </c>
      <c r="U2005" t="s">
        <v>8590</v>
      </c>
      <c r="V2005" t="s">
        <v>8590</v>
      </c>
      <c r="W2005">
        <v>14</v>
      </c>
      <c r="X2005" t="s">
        <v>10595</v>
      </c>
      <c r="Y2005">
        <v>0.6617592186175304</v>
      </c>
      <c r="Z2005" t="str">
        <f>HYPERLINK("Melting_Curves/meltCurve_sp_Q5T2W1_NHRF3_HUMAN_.pdf", "Melting_Curves/meltCurve_sp_Q5T2W1_NHRF3_HUMAN_.pdf")</f>
        <v>Melting_Curves/meltCurve_sp_Q5T2W1_NHRF3_HUMAN_.pdf</v>
      </c>
      <c r="AA2005" t="s">
        <v>14853</v>
      </c>
      <c r="AB2005" t="s">
        <v>19089</v>
      </c>
    </row>
    <row r="2006" spans="1:28" x14ac:dyDescent="0.25">
      <c r="A2006" t="s">
        <v>2010</v>
      </c>
      <c r="B2006">
        <v>0.99876560204751996</v>
      </c>
      <c r="C2006">
        <v>0.91695926832304797</v>
      </c>
      <c r="D2006">
        <v>0.95585930870339297</v>
      </c>
      <c r="E2006">
        <v>0.74996204568146096</v>
      </c>
      <c r="F2006">
        <v>0.43577920013546101</v>
      </c>
      <c r="G2006">
        <v>0.124253413159505</v>
      </c>
      <c r="H2006">
        <v>6.7465876706019903E-2</v>
      </c>
      <c r="I2006">
        <v>5.6499537349660602E-2</v>
      </c>
      <c r="J2006">
        <v>5.4753154964195701E-2</v>
      </c>
      <c r="K2006">
        <v>3.7755427998252697E-2</v>
      </c>
      <c r="L2006">
        <v>1270.68816423564</v>
      </c>
      <c r="M2006">
        <v>24.3752094871803</v>
      </c>
      <c r="N2006">
        <v>52.308381107248401</v>
      </c>
      <c r="O2006">
        <v>51.7832789818561</v>
      </c>
      <c r="P2006">
        <v>-0.112995729706295</v>
      </c>
      <c r="Q2006">
        <v>3.98109315511911E-2</v>
      </c>
      <c r="R2006">
        <v>0.99566933204816399</v>
      </c>
      <c r="S2006" t="s">
        <v>6302</v>
      </c>
      <c r="T2006" t="s">
        <v>8590</v>
      </c>
      <c r="U2006" t="s">
        <v>8590</v>
      </c>
      <c r="V2006" t="s">
        <v>8590</v>
      </c>
      <c r="W2006">
        <v>12</v>
      </c>
      <c r="X2006" t="s">
        <v>10596</v>
      </c>
      <c r="Y2006">
        <v>0.43727050382926769</v>
      </c>
      <c r="Z2006" t="str">
        <f>HYPERLINK("Melting_Curves/meltCurve_sp_Q5T440_CAF17_HUMAN_.pdf", "Melting_Curves/meltCurve_sp_Q5T440_CAF17_HUMAN_.pdf")</f>
        <v>Melting_Curves/meltCurve_sp_Q5T440_CAF17_HUMAN_.pdf</v>
      </c>
      <c r="AA2006" t="s">
        <v>14854</v>
      </c>
      <c r="AB2006" t="s">
        <v>19090</v>
      </c>
    </row>
    <row r="2007" spans="1:28" x14ac:dyDescent="0.25">
      <c r="A2007" t="s">
        <v>2011</v>
      </c>
      <c r="B2007">
        <v>0.99876560204751996</v>
      </c>
      <c r="C2007">
        <v>1.0141193176249701</v>
      </c>
      <c r="D2007">
        <v>1.09365375571288</v>
      </c>
      <c r="E2007">
        <v>0.97279935979907195</v>
      </c>
      <c r="F2007">
        <v>0.94999720688359401</v>
      </c>
      <c r="G2007">
        <v>0.52479111158960501</v>
      </c>
      <c r="H2007">
        <v>0.773734962527727</v>
      </c>
      <c r="I2007">
        <v>0.55089735777048998</v>
      </c>
      <c r="J2007">
        <v>0.72195570782290097</v>
      </c>
      <c r="K2007">
        <v>0.81851447071095695</v>
      </c>
      <c r="L2007">
        <v>13339.7707591082</v>
      </c>
      <c r="M2007">
        <v>250</v>
      </c>
      <c r="O2007">
        <v>53.355668551249401</v>
      </c>
      <c r="P2007">
        <v>-0.377210715897909</v>
      </c>
      <c r="Q2007">
        <v>0.67797872233284595</v>
      </c>
      <c r="R2007">
        <v>0.77174915265439903</v>
      </c>
      <c r="S2007" t="s">
        <v>6303</v>
      </c>
      <c r="T2007" t="s">
        <v>8590</v>
      </c>
      <c r="U2007" t="s">
        <v>8590</v>
      </c>
      <c r="V2007" t="s">
        <v>8590</v>
      </c>
      <c r="W2007">
        <v>1</v>
      </c>
      <c r="X2007" t="s">
        <v>10597</v>
      </c>
      <c r="Y2007">
        <v>0.82140584407117845</v>
      </c>
      <c r="Z2007" t="str">
        <f>HYPERLINK("Melting_Curves/meltCurve_sp_Q5T4F4_6_ZFY27_HUMAN_.pdf", "Melting_Curves/meltCurve_sp_Q5T4F4_6_ZFY27_HUMAN_.pdf")</f>
        <v>Melting_Curves/meltCurve_sp_Q5T4F4_6_ZFY27_HUMAN_.pdf</v>
      </c>
      <c r="AA2007" t="s">
        <v>14855</v>
      </c>
      <c r="AB2007" t="s">
        <v>19091</v>
      </c>
    </row>
    <row r="2008" spans="1:28" x14ac:dyDescent="0.25">
      <c r="A2008" t="s">
        <v>2012</v>
      </c>
      <c r="B2008">
        <v>0.99876560204751996</v>
      </c>
      <c r="C2008">
        <v>0.98834876622622803</v>
      </c>
      <c r="D2008">
        <v>0.99350510913443502</v>
      </c>
      <c r="E2008">
        <v>0.78167277206663499</v>
      </c>
      <c r="F2008">
        <v>0.31249214486586901</v>
      </c>
      <c r="G2008">
        <v>0.164633778580521</v>
      </c>
      <c r="H2008">
        <v>0.101461516328589</v>
      </c>
      <c r="I2008">
        <v>8.9357449896955696E-2</v>
      </c>
      <c r="J2008">
        <v>8.0267199489626004E-2</v>
      </c>
      <c r="K2008">
        <v>7.1013644357436095E-2</v>
      </c>
      <c r="L2008">
        <v>1918.2021663483099</v>
      </c>
      <c r="M2008">
        <v>37.258857299349003</v>
      </c>
      <c r="N2008">
        <v>51.7723357159174</v>
      </c>
      <c r="O2008">
        <v>51.335485152453799</v>
      </c>
      <c r="P2008">
        <v>-0.164400617872212</v>
      </c>
      <c r="Q2008">
        <v>9.3953730742576097E-2</v>
      </c>
      <c r="R2008">
        <v>0.99795582099827296</v>
      </c>
      <c r="S2008" t="s">
        <v>6304</v>
      </c>
      <c r="T2008" t="s">
        <v>8590</v>
      </c>
      <c r="U2008" t="s">
        <v>8590</v>
      </c>
      <c r="V2008" t="s">
        <v>8590</v>
      </c>
      <c r="W2008">
        <v>19</v>
      </c>
      <c r="X2008" t="s">
        <v>10598</v>
      </c>
      <c r="Y2008">
        <v>0.44448012229940131</v>
      </c>
      <c r="Z2008" t="str">
        <f>HYPERLINK("Melting_Curves/meltCurve_sp_Q5T4S7_3_UBR4_HUMAN_.pdf", "Melting_Curves/meltCurve_sp_Q5T4S7_3_UBR4_HUMAN_.pdf")</f>
        <v>Melting_Curves/meltCurve_sp_Q5T4S7_3_UBR4_HUMAN_.pdf</v>
      </c>
      <c r="AA2008" t="s">
        <v>14856</v>
      </c>
      <c r="AB2008" t="s">
        <v>19092</v>
      </c>
    </row>
    <row r="2009" spans="1:28" x14ac:dyDescent="0.25">
      <c r="A2009" t="s">
        <v>2013</v>
      </c>
      <c r="B2009">
        <v>0.99876560204751996</v>
      </c>
      <c r="C2009">
        <v>0.95988707425751896</v>
      </c>
      <c r="D2009">
        <v>0.99431467267712803</v>
      </c>
      <c r="E2009">
        <v>0.88243854036957803</v>
      </c>
      <c r="F2009">
        <v>0.84441570932881005</v>
      </c>
      <c r="G2009">
        <v>0.64291025182615802</v>
      </c>
      <c r="H2009">
        <v>0.54203865256447203</v>
      </c>
      <c r="I2009">
        <v>0.51227471158438398</v>
      </c>
      <c r="J2009">
        <v>0.65405252768053501</v>
      </c>
      <c r="K2009">
        <v>0.59556688153521997</v>
      </c>
      <c r="L2009">
        <v>1276.51654855231</v>
      </c>
      <c r="M2009">
        <v>23.9046898849607</v>
      </c>
      <c r="O2009">
        <v>53.030760542900801</v>
      </c>
      <c r="P2009">
        <v>-4.8468331572054303E-2</v>
      </c>
      <c r="Q2009">
        <v>0.56991348322449598</v>
      </c>
      <c r="R2009">
        <v>0.94279356636707301</v>
      </c>
      <c r="S2009" t="s">
        <v>6305</v>
      </c>
      <c r="T2009" t="s">
        <v>8590</v>
      </c>
      <c r="U2009" t="s">
        <v>8590</v>
      </c>
      <c r="V2009" t="s">
        <v>8590</v>
      </c>
      <c r="W2009">
        <v>30</v>
      </c>
      <c r="X2009" t="s">
        <v>10599</v>
      </c>
      <c r="Y2009">
        <v>0.76633369684632913</v>
      </c>
      <c r="Z2009" t="str">
        <f>HYPERLINK("Melting_Curves/meltCurve_sp_Q5T5P2_SKT_HUMAN_.pdf", "Melting_Curves/meltCurve_sp_Q5T5P2_SKT_HUMAN_.pdf")</f>
        <v>Melting_Curves/meltCurve_sp_Q5T5P2_SKT_HUMAN_.pdf</v>
      </c>
      <c r="AA2009" t="s">
        <v>14857</v>
      </c>
      <c r="AB2009" t="s">
        <v>19093</v>
      </c>
    </row>
    <row r="2010" spans="1:28" x14ac:dyDescent="0.25">
      <c r="A2010" t="s">
        <v>2014</v>
      </c>
      <c r="B2010">
        <v>0.99876560204751996</v>
      </c>
      <c r="C2010">
        <v>0.97959647730842003</v>
      </c>
      <c r="D2010">
        <v>0.81346927208624298</v>
      </c>
      <c r="E2010">
        <v>0.97120785937722798</v>
      </c>
      <c r="F2010">
        <v>0.34561837355699498</v>
      </c>
      <c r="G2010">
        <v>0.16298264648001301</v>
      </c>
      <c r="H2010">
        <v>0.13944546753314599</v>
      </c>
      <c r="I2010">
        <v>9.2547523864836501E-2</v>
      </c>
      <c r="J2010">
        <v>4.9501726360716598E-2</v>
      </c>
      <c r="K2010">
        <v>6.8274024488274895E-2</v>
      </c>
      <c r="L2010">
        <v>3697.6447042739201</v>
      </c>
      <c r="M2010">
        <v>70.743298040964902</v>
      </c>
      <c r="N2010">
        <v>52.437172275600503</v>
      </c>
      <c r="O2010">
        <v>52.226772424450601</v>
      </c>
      <c r="P2010">
        <v>-0.30417184603363701</v>
      </c>
      <c r="Q2010">
        <v>0.101771782817312</v>
      </c>
      <c r="R2010">
        <v>0.97260957700299899</v>
      </c>
      <c r="S2010" t="s">
        <v>6306</v>
      </c>
      <c r="T2010" t="s">
        <v>8590</v>
      </c>
      <c r="U2010" t="s">
        <v>8590</v>
      </c>
      <c r="V2010" t="s">
        <v>8590</v>
      </c>
      <c r="W2010">
        <v>2</v>
      </c>
      <c r="X2010" t="s">
        <v>10600</v>
      </c>
      <c r="Y2010">
        <v>0.47013324819460223</v>
      </c>
      <c r="Z2010" t="str">
        <f>HYPERLINK("Melting_Curves/meltCurve_sp_Q5T5U3_RHG21_HUMAN_.pdf", "Melting_Curves/meltCurve_sp_Q5T5U3_RHG21_HUMAN_.pdf")</f>
        <v>Melting_Curves/meltCurve_sp_Q5T5U3_RHG21_HUMAN_.pdf</v>
      </c>
      <c r="AA2010" t="s">
        <v>14858</v>
      </c>
      <c r="AB2010" t="s">
        <v>19094</v>
      </c>
    </row>
    <row r="2011" spans="1:28" x14ac:dyDescent="0.25">
      <c r="A2011" t="s">
        <v>2015</v>
      </c>
      <c r="B2011">
        <v>0.99876560204751996</v>
      </c>
      <c r="C2011">
        <v>0.94179931602462597</v>
      </c>
      <c r="D2011">
        <v>1.06053591047035</v>
      </c>
      <c r="E2011">
        <v>0.423105041821631</v>
      </c>
      <c r="F2011">
        <v>0.147649997461825</v>
      </c>
      <c r="G2011">
        <v>7.4431743070171905E-2</v>
      </c>
      <c r="H2011">
        <v>5.4595193220789699E-2</v>
      </c>
      <c r="I2011">
        <v>5.1882900771264097E-2</v>
      </c>
      <c r="J2011">
        <v>5.1357829241235102E-2</v>
      </c>
      <c r="K2011">
        <v>5.99399722409431E-2</v>
      </c>
      <c r="L2011">
        <v>2698.8026945007</v>
      </c>
      <c r="M2011">
        <v>54.411969706854997</v>
      </c>
      <c r="N2011">
        <v>49.731807668143396</v>
      </c>
      <c r="O2011">
        <v>49.532569525354198</v>
      </c>
      <c r="P2011">
        <v>-0.25611317969198499</v>
      </c>
      <c r="Q2011">
        <v>6.7415773596418704E-2</v>
      </c>
      <c r="R2011">
        <v>0.992838776607192</v>
      </c>
      <c r="S2011" t="s">
        <v>6307</v>
      </c>
      <c r="T2011" t="s">
        <v>8590</v>
      </c>
      <c r="U2011" t="s">
        <v>8590</v>
      </c>
      <c r="V2011" t="s">
        <v>8590</v>
      </c>
      <c r="W2011">
        <v>4</v>
      </c>
      <c r="X2011" t="s">
        <v>10601</v>
      </c>
      <c r="Y2011">
        <v>0.36754642487605083</v>
      </c>
      <c r="Z2011" t="str">
        <f>HYPERLINK("Melting_Curves/meltCurve_sp_Q5T6J7_GNTK_HUMAN_.pdf", "Melting_Curves/meltCurve_sp_Q5T6J7_GNTK_HUMAN_.pdf")</f>
        <v>Melting_Curves/meltCurve_sp_Q5T6J7_GNTK_HUMAN_.pdf</v>
      </c>
      <c r="AA2011" t="s">
        <v>14859</v>
      </c>
      <c r="AB2011" t="s">
        <v>19095</v>
      </c>
    </row>
    <row r="2012" spans="1:28" x14ac:dyDescent="0.25">
      <c r="A2012" t="s">
        <v>2016</v>
      </c>
      <c r="B2012">
        <v>0.99876560204751996</v>
      </c>
      <c r="C2012">
        <v>0.90183102825926498</v>
      </c>
      <c r="D2012">
        <v>0.98290068503369199</v>
      </c>
      <c r="E2012">
        <v>0.73367514532892597</v>
      </c>
      <c r="F2012">
        <v>0.22172350948580699</v>
      </c>
      <c r="G2012">
        <v>0.13010705551878601</v>
      </c>
      <c r="H2012">
        <v>7.6454409596165299E-2</v>
      </c>
      <c r="I2012">
        <v>6.6655504779245506E-2</v>
      </c>
      <c r="J2012">
        <v>5.8705007920663799E-2</v>
      </c>
      <c r="K2012">
        <v>4.2657809214609599E-2</v>
      </c>
      <c r="L2012">
        <v>2165.07499258691</v>
      </c>
      <c r="M2012">
        <v>42.414727481772601</v>
      </c>
      <c r="N2012">
        <v>51.230312471264199</v>
      </c>
      <c r="O2012">
        <v>50.932281300646501</v>
      </c>
      <c r="P2012">
        <v>-0.19341318265128299</v>
      </c>
      <c r="Q2012">
        <v>7.0986985050658299E-2</v>
      </c>
      <c r="R2012">
        <v>0.991926600851323</v>
      </c>
      <c r="S2012" t="s">
        <v>6308</v>
      </c>
      <c r="T2012" t="s">
        <v>8590</v>
      </c>
      <c r="U2012" t="s">
        <v>8590</v>
      </c>
      <c r="V2012" t="s">
        <v>8590</v>
      </c>
      <c r="W2012">
        <v>15</v>
      </c>
      <c r="X2012" t="s">
        <v>10602</v>
      </c>
      <c r="Y2012">
        <v>0.41594242980996321</v>
      </c>
      <c r="Z2012" t="str">
        <f>HYPERLINK("Melting_Curves/meltCurve_sp_Q5T6V5_CI064_HUMAN_.pdf", "Melting_Curves/meltCurve_sp_Q5T6V5_CI064_HUMAN_.pdf")</f>
        <v>Melting_Curves/meltCurve_sp_Q5T6V5_CI064_HUMAN_.pdf</v>
      </c>
      <c r="AA2012" t="s">
        <v>14860</v>
      </c>
      <c r="AB2012" t="s">
        <v>19096</v>
      </c>
    </row>
    <row r="2013" spans="1:28" x14ac:dyDescent="0.25">
      <c r="A2013" t="s">
        <v>2017</v>
      </c>
      <c r="B2013">
        <v>0.99876560204751996</v>
      </c>
      <c r="C2013">
        <v>0.94288135791383298</v>
      </c>
      <c r="D2013">
        <v>1.0680791316464</v>
      </c>
      <c r="E2013">
        <v>0.87418228268579101</v>
      </c>
      <c r="F2013">
        <v>1.00965169856825</v>
      </c>
      <c r="G2013">
        <v>0.58277163821448497</v>
      </c>
      <c r="H2013">
        <v>0.51163589733938497</v>
      </c>
      <c r="I2013">
        <v>0.48800839697521198</v>
      </c>
      <c r="J2013">
        <v>0.591018027141473</v>
      </c>
      <c r="K2013">
        <v>0.66235540852102204</v>
      </c>
      <c r="L2013">
        <v>14075.4469137826</v>
      </c>
      <c r="M2013">
        <v>250</v>
      </c>
      <c r="O2013">
        <v>56.298187552886098</v>
      </c>
      <c r="P2013">
        <v>-0.48485752590060599</v>
      </c>
      <c r="Q2013">
        <v>0.56325442364344303</v>
      </c>
      <c r="R2013">
        <v>0.90793108066009798</v>
      </c>
      <c r="S2013" t="s">
        <v>6309</v>
      </c>
      <c r="T2013" t="s">
        <v>8590</v>
      </c>
      <c r="U2013" t="s">
        <v>8590</v>
      </c>
      <c r="V2013" t="s">
        <v>8590</v>
      </c>
      <c r="W2013">
        <v>3</v>
      </c>
      <c r="X2013" t="s">
        <v>10603</v>
      </c>
      <c r="Y2013">
        <v>0.80062203276882349</v>
      </c>
      <c r="Z2013" t="str">
        <f>HYPERLINK("Melting_Curves/meltCurve_sp_Q5T7V8_GORAB_HUMAN_.pdf", "Melting_Curves/meltCurve_sp_Q5T7V8_GORAB_HUMAN_.pdf")</f>
        <v>Melting_Curves/meltCurve_sp_Q5T7V8_GORAB_HUMAN_.pdf</v>
      </c>
      <c r="AA2013" t="s">
        <v>14861</v>
      </c>
      <c r="AB2013" t="s">
        <v>19097</v>
      </c>
    </row>
    <row r="2014" spans="1:28" x14ac:dyDescent="0.25">
      <c r="A2014" t="s">
        <v>2018</v>
      </c>
      <c r="B2014">
        <v>0.99876560204751996</v>
      </c>
      <c r="C2014">
        <v>1.0114268542935601</v>
      </c>
      <c r="D2014">
        <v>0.95770341599045095</v>
      </c>
      <c r="E2014">
        <v>1.0570609932206401</v>
      </c>
      <c r="F2014">
        <v>0.86471432839253903</v>
      </c>
      <c r="G2014">
        <v>0.69619900308674898</v>
      </c>
      <c r="H2014">
        <v>0.51928212246724903</v>
      </c>
      <c r="I2014">
        <v>0.49514036274871698</v>
      </c>
      <c r="J2014">
        <v>0.60742308994806304</v>
      </c>
      <c r="K2014">
        <v>0.62329569054577205</v>
      </c>
      <c r="L2014">
        <v>1868.2556718501</v>
      </c>
      <c r="M2014">
        <v>34.024167449191602</v>
      </c>
      <c r="O2014">
        <v>54.721023170179699</v>
      </c>
      <c r="P2014">
        <v>-6.79780119600112E-2</v>
      </c>
      <c r="Q2014">
        <v>0.56268594776472003</v>
      </c>
      <c r="R2014">
        <v>0.94485854772919198</v>
      </c>
      <c r="S2014" t="s">
        <v>6310</v>
      </c>
      <c r="T2014" t="s">
        <v>8590</v>
      </c>
      <c r="U2014" t="s">
        <v>8590</v>
      </c>
      <c r="V2014" t="s">
        <v>8590</v>
      </c>
      <c r="W2014">
        <v>12</v>
      </c>
      <c r="X2014" t="s">
        <v>10604</v>
      </c>
      <c r="Y2014">
        <v>0.78230176987127298</v>
      </c>
      <c r="Z2014" t="str">
        <f>HYPERLINK("Melting_Curves/meltCurve_sp_Q5T8D3_2_ACBD5_HUMAN_.pdf", "Melting_Curves/meltCurve_sp_Q5T8D3_2_ACBD5_HUMAN_.pdf")</f>
        <v>Melting_Curves/meltCurve_sp_Q5T8D3_2_ACBD5_HUMAN_.pdf</v>
      </c>
      <c r="AA2014" t="s">
        <v>14862</v>
      </c>
      <c r="AB2014" t="s">
        <v>19098</v>
      </c>
    </row>
    <row r="2015" spans="1:28" x14ac:dyDescent="0.25">
      <c r="A2015" t="s">
        <v>2019</v>
      </c>
      <c r="B2015">
        <v>0.99876560204751996</v>
      </c>
      <c r="C2015">
        <v>0.97614910438118496</v>
      </c>
      <c r="D2015">
        <v>1.1209502924022601</v>
      </c>
      <c r="E2015">
        <v>0.93329969452306805</v>
      </c>
      <c r="F2015">
        <v>0.90739707596927899</v>
      </c>
      <c r="G2015">
        <v>0.64108175552982505</v>
      </c>
      <c r="H2015">
        <v>0.51687115496486802</v>
      </c>
      <c r="I2015">
        <v>0.44287517905179902</v>
      </c>
      <c r="J2015">
        <v>0.58331905702784603</v>
      </c>
      <c r="K2015">
        <v>0.55892843630105105</v>
      </c>
      <c r="L2015">
        <v>1906.27774285701</v>
      </c>
      <c r="M2015">
        <v>34.634486510007903</v>
      </c>
      <c r="O2015">
        <v>54.857351448390602</v>
      </c>
      <c r="P2015">
        <v>-7.5431506410676197E-2</v>
      </c>
      <c r="Q2015">
        <v>0.52209975177299295</v>
      </c>
      <c r="R2015">
        <v>0.94256125037927097</v>
      </c>
      <c r="S2015" t="s">
        <v>6311</v>
      </c>
      <c r="T2015" t="s">
        <v>8590</v>
      </c>
      <c r="U2015" t="s">
        <v>8590</v>
      </c>
      <c r="V2015" t="s">
        <v>8590</v>
      </c>
      <c r="W2015">
        <v>12</v>
      </c>
      <c r="X2015" t="s">
        <v>10605</v>
      </c>
      <c r="Y2015">
        <v>0.76409115812841788</v>
      </c>
      <c r="Z2015" t="str">
        <f>HYPERLINK("Melting_Curves/meltCurve_sp_Q5T8D3_ACBD5_HUMAN_.pdf", "Melting_Curves/meltCurve_sp_Q5T8D3_ACBD5_HUMAN_.pdf")</f>
        <v>Melting_Curves/meltCurve_sp_Q5T8D3_ACBD5_HUMAN_.pdf</v>
      </c>
      <c r="AA2015" t="s">
        <v>14862</v>
      </c>
      <c r="AB2015" t="s">
        <v>19099</v>
      </c>
    </row>
    <row r="2016" spans="1:28" x14ac:dyDescent="0.25">
      <c r="A2016" t="s">
        <v>2020</v>
      </c>
      <c r="B2016">
        <v>0.99876560204751996</v>
      </c>
      <c r="C2016">
        <v>1.0084466560573599</v>
      </c>
      <c r="D2016">
        <v>1.0160809549802601</v>
      </c>
      <c r="E2016">
        <v>0.91135876230395296</v>
      </c>
      <c r="F2016">
        <v>0.86264118987465499</v>
      </c>
      <c r="G2016">
        <v>0.66936506698269105</v>
      </c>
      <c r="H2016">
        <v>0.53138934477851296</v>
      </c>
      <c r="I2016">
        <v>0.466771254972562</v>
      </c>
      <c r="J2016">
        <v>0.53404113378115203</v>
      </c>
      <c r="K2016">
        <v>0.50970082910794301</v>
      </c>
      <c r="L2016">
        <v>1200.7559897522799</v>
      </c>
      <c r="M2016">
        <v>21.790154100050501</v>
      </c>
      <c r="N2016">
        <v>67.142276910505402</v>
      </c>
      <c r="O2016">
        <v>54.647624593756802</v>
      </c>
      <c r="P2016">
        <v>-5.0846060935394101E-2</v>
      </c>
      <c r="Q2016">
        <v>0.48994360001491999</v>
      </c>
      <c r="R2016">
        <v>0.986985015163242</v>
      </c>
      <c r="S2016" t="s">
        <v>6312</v>
      </c>
      <c r="T2016" t="s">
        <v>8590</v>
      </c>
      <c r="U2016" t="s">
        <v>8590</v>
      </c>
      <c r="V2016" t="s">
        <v>8590</v>
      </c>
      <c r="W2016">
        <v>16</v>
      </c>
      <c r="X2016" t="s">
        <v>10606</v>
      </c>
      <c r="Y2016">
        <v>0.75269910940245099</v>
      </c>
      <c r="Z2016" t="str">
        <f>HYPERLINK("Melting_Curves/meltCurve_sp_Q5T8P6_2_RBM26_HUMAN_.pdf", "Melting_Curves/meltCurve_sp_Q5T8P6_2_RBM26_HUMAN_.pdf")</f>
        <v>Melting_Curves/meltCurve_sp_Q5T8P6_2_RBM26_HUMAN_.pdf</v>
      </c>
      <c r="AA2016" t="s">
        <v>14863</v>
      </c>
      <c r="AB2016" t="s">
        <v>19100</v>
      </c>
    </row>
    <row r="2017" spans="1:28" x14ac:dyDescent="0.25">
      <c r="A2017" t="s">
        <v>2021</v>
      </c>
      <c r="B2017">
        <v>0.99876560204751996</v>
      </c>
      <c r="C2017">
        <v>0.97666074659681001</v>
      </c>
      <c r="D2017">
        <v>1.00509473917897</v>
      </c>
      <c r="E2017">
        <v>0.53922394406277796</v>
      </c>
      <c r="F2017">
        <v>0.17745847240003099</v>
      </c>
      <c r="G2017">
        <v>0.108661171530208</v>
      </c>
      <c r="H2017">
        <v>7.2797452623994299E-2</v>
      </c>
      <c r="I2017">
        <v>4.5704689814666098E-2</v>
      </c>
      <c r="J2017">
        <v>6.0552418254114997E-2</v>
      </c>
      <c r="K2017">
        <v>2.0318697574434299E-2</v>
      </c>
      <c r="L2017">
        <v>1867.53485999906</v>
      </c>
      <c r="M2017">
        <v>37.268397338199797</v>
      </c>
      <c r="N2017">
        <v>50.282717266885498</v>
      </c>
      <c r="O2017">
        <v>49.966792151408598</v>
      </c>
      <c r="P2017">
        <v>-0.17528879494361399</v>
      </c>
      <c r="Q2017">
        <v>5.99440719666769E-2</v>
      </c>
      <c r="R2017">
        <v>0.99680033335243001</v>
      </c>
      <c r="S2017" t="s">
        <v>6313</v>
      </c>
      <c r="T2017" t="s">
        <v>8590</v>
      </c>
      <c r="U2017" t="s">
        <v>8590</v>
      </c>
      <c r="V2017" t="s">
        <v>8590</v>
      </c>
      <c r="W2017">
        <v>2</v>
      </c>
      <c r="X2017" t="s">
        <v>10607</v>
      </c>
      <c r="Y2017">
        <v>0.38051290543357152</v>
      </c>
      <c r="Z2017" t="str">
        <f>HYPERLINK("Melting_Curves/meltCurve_sp_Q5TA50_GLTD1_HUMAN_.pdf", "Melting_Curves/meltCurve_sp_Q5TA50_GLTD1_HUMAN_.pdf")</f>
        <v>Melting_Curves/meltCurve_sp_Q5TA50_GLTD1_HUMAN_.pdf</v>
      </c>
      <c r="AA2017" t="s">
        <v>14864</v>
      </c>
      <c r="AB2017" t="s">
        <v>19101</v>
      </c>
    </row>
    <row r="2018" spans="1:28" x14ac:dyDescent="0.25">
      <c r="A2018" t="s">
        <v>2022</v>
      </c>
      <c r="B2018">
        <v>0.99876560204751996</v>
      </c>
      <c r="C2018">
        <v>1.04124882503094</v>
      </c>
      <c r="D2018">
        <v>0.65717683382324299</v>
      </c>
      <c r="E2018">
        <v>0.53600038486169499</v>
      </c>
      <c r="F2018">
        <v>0.27078236593493599</v>
      </c>
      <c r="G2018">
        <v>0.100598089735567</v>
      </c>
      <c r="H2018">
        <v>5.0778220304189998E-2</v>
      </c>
      <c r="I2018">
        <v>4.8445691044499799E-2</v>
      </c>
      <c r="J2018">
        <v>5.6975028660777201E-2</v>
      </c>
      <c r="K2018">
        <v>6.1341007530140698E-2</v>
      </c>
      <c r="L2018">
        <v>810.44550439991804</v>
      </c>
      <c r="M2018">
        <v>16.398942096461901</v>
      </c>
      <c r="N2018">
        <v>49.615366663222801</v>
      </c>
      <c r="O2018">
        <v>48.703231835733597</v>
      </c>
      <c r="P2018">
        <v>-8.1559570912090998E-2</v>
      </c>
      <c r="Q2018">
        <v>3.1173632968509099E-2</v>
      </c>
      <c r="R2018">
        <v>0.97569413125515303</v>
      </c>
      <c r="S2018" t="s">
        <v>6314</v>
      </c>
      <c r="T2018" t="s">
        <v>8590</v>
      </c>
      <c r="U2018" t="s">
        <v>8590</v>
      </c>
      <c r="V2018" t="s">
        <v>8590</v>
      </c>
      <c r="W2018">
        <v>1</v>
      </c>
      <c r="X2018" t="s">
        <v>10608</v>
      </c>
      <c r="Y2018">
        <v>0.35534187713409621</v>
      </c>
      <c r="Z2018" t="str">
        <f>HYPERLINK("Melting_Curves/meltCurve_sp_Q5TBA9_FRY_HUMAN_.pdf", "Melting_Curves/meltCurve_sp_Q5TBA9_FRY_HUMAN_.pdf")</f>
        <v>Melting_Curves/meltCurve_sp_Q5TBA9_FRY_HUMAN_.pdf</v>
      </c>
      <c r="AA2018" t="s">
        <v>14865</v>
      </c>
      <c r="AB2018" t="s">
        <v>19102</v>
      </c>
    </row>
    <row r="2019" spans="1:28" x14ac:dyDescent="0.25">
      <c r="A2019" t="s">
        <v>2023</v>
      </c>
      <c r="B2019">
        <v>0.99876560204751996</v>
      </c>
      <c r="C2019">
        <v>0.99004574575826099</v>
      </c>
      <c r="D2019">
        <v>0.991641215220322</v>
      </c>
      <c r="E2019">
        <v>0.85401027616338299</v>
      </c>
      <c r="F2019">
        <v>0.86835580466366102</v>
      </c>
      <c r="G2019">
        <v>0.68419193696769298</v>
      </c>
      <c r="H2019">
        <v>0.42505389702430502</v>
      </c>
      <c r="I2019">
        <v>0.22738543055531599</v>
      </c>
      <c r="J2019">
        <v>0.10644956420615601</v>
      </c>
      <c r="K2019">
        <v>5.9739913110390501E-2</v>
      </c>
      <c r="L2019">
        <v>947.87578168958601</v>
      </c>
      <c r="M2019">
        <v>15.966176438375999</v>
      </c>
      <c r="N2019">
        <v>59.3677384722426</v>
      </c>
      <c r="O2019">
        <v>58.459833786553602</v>
      </c>
      <c r="P2019">
        <v>-6.82838031713245E-2</v>
      </c>
      <c r="Q2019">
        <v>0</v>
      </c>
      <c r="R2019">
        <v>0.99012673663602602</v>
      </c>
      <c r="S2019" t="s">
        <v>6315</v>
      </c>
      <c r="T2019" t="s">
        <v>8590</v>
      </c>
      <c r="U2019" t="s">
        <v>8590</v>
      </c>
      <c r="V2019" t="s">
        <v>8590</v>
      </c>
      <c r="W2019">
        <v>7</v>
      </c>
      <c r="X2019" t="s">
        <v>10609</v>
      </c>
      <c r="Y2019">
        <v>0.65520611635167603</v>
      </c>
      <c r="Z2019" t="str">
        <f>HYPERLINK("Melting_Curves/meltCurve_sp_Q5TC12_ATPF1_HUMAN_.pdf", "Melting_Curves/meltCurve_sp_Q5TC12_ATPF1_HUMAN_.pdf")</f>
        <v>Melting_Curves/meltCurve_sp_Q5TC12_ATPF1_HUMAN_.pdf</v>
      </c>
      <c r="AA2019" t="s">
        <v>14866</v>
      </c>
      <c r="AB2019" t="s">
        <v>19103</v>
      </c>
    </row>
    <row r="2020" spans="1:28" x14ac:dyDescent="0.25">
      <c r="A2020" t="s">
        <v>2024</v>
      </c>
      <c r="B2020">
        <v>0.99876560204751996</v>
      </c>
      <c r="C2020">
        <v>0.99041691335903503</v>
      </c>
      <c r="D2020">
        <v>0.90866369028465899</v>
      </c>
      <c r="E2020">
        <v>0.81134502428314903</v>
      </c>
      <c r="F2020">
        <v>0.49901030548874298</v>
      </c>
      <c r="G2020">
        <v>0.28312090021430503</v>
      </c>
      <c r="H2020">
        <v>0.19194569407871201</v>
      </c>
      <c r="I2020">
        <v>0.16252198082410399</v>
      </c>
      <c r="J2020">
        <v>0.16566658727275499</v>
      </c>
      <c r="K2020">
        <v>0.13199056607967499</v>
      </c>
      <c r="L2020">
        <v>1102.0311074555</v>
      </c>
      <c r="M2020">
        <v>21.019649989782302</v>
      </c>
      <c r="N2020">
        <v>53.2896251541749</v>
      </c>
      <c r="O2020">
        <v>51.960994280733502</v>
      </c>
      <c r="P2020">
        <v>-8.6573293898015394E-2</v>
      </c>
      <c r="Q2020">
        <v>0.143979168463021</v>
      </c>
      <c r="R2020">
        <v>0.99610772506412604</v>
      </c>
      <c r="S2020" t="s">
        <v>6316</v>
      </c>
      <c r="T2020" t="s">
        <v>8590</v>
      </c>
      <c r="U2020" t="s">
        <v>8590</v>
      </c>
      <c r="V2020" t="s">
        <v>8590</v>
      </c>
      <c r="W2020">
        <v>10</v>
      </c>
      <c r="X2020" t="s">
        <v>10610</v>
      </c>
      <c r="Y2020">
        <v>0.50943940142995969</v>
      </c>
      <c r="Z2020" t="str">
        <f>HYPERLINK("Melting_Curves/meltCurve_sp_Q5TCQ9_4_MAGI3_HUMAN_.pdf", "Melting_Curves/meltCurve_sp_Q5TCQ9_4_MAGI3_HUMAN_.pdf")</f>
        <v>Melting_Curves/meltCurve_sp_Q5TCQ9_4_MAGI3_HUMAN_.pdf</v>
      </c>
      <c r="AA2020" t="s">
        <v>14867</v>
      </c>
      <c r="AB2020" t="s">
        <v>19104</v>
      </c>
    </row>
    <row r="2021" spans="1:28" x14ac:dyDescent="0.25">
      <c r="A2021" t="s">
        <v>2025</v>
      </c>
      <c r="B2021">
        <v>0.99876560204751996</v>
      </c>
      <c r="C2021">
        <v>0.99619618500738805</v>
      </c>
      <c r="D2021">
        <v>0.96520350076314798</v>
      </c>
      <c r="E2021">
        <v>0.94570384663143103</v>
      </c>
      <c r="F2021">
        <v>0.895984947451689</v>
      </c>
      <c r="G2021">
        <v>0.58481043923193299</v>
      </c>
      <c r="H2021">
        <v>0.21593594912716699</v>
      </c>
      <c r="I2021">
        <v>0.130326621053447</v>
      </c>
      <c r="J2021">
        <v>0.116289908201578</v>
      </c>
      <c r="K2021">
        <v>8.3590754966546096E-2</v>
      </c>
      <c r="L2021">
        <v>1496.43991850302</v>
      </c>
      <c r="M2021">
        <v>26.121543136615902</v>
      </c>
      <c r="N2021">
        <v>57.665443092857103</v>
      </c>
      <c r="O2021">
        <v>56.954989748615901</v>
      </c>
      <c r="P2021">
        <v>-0.105640746996469</v>
      </c>
      <c r="Q2021">
        <v>7.86609163812719E-2</v>
      </c>
      <c r="R2021">
        <v>0.99788411640677799</v>
      </c>
      <c r="S2021" t="s">
        <v>6317</v>
      </c>
      <c r="T2021" t="s">
        <v>8590</v>
      </c>
      <c r="U2021" t="s">
        <v>8590</v>
      </c>
      <c r="V2021" t="s">
        <v>8590</v>
      </c>
      <c r="W2021">
        <v>16</v>
      </c>
      <c r="X2021" t="s">
        <v>10611</v>
      </c>
      <c r="Y2021">
        <v>0.6172808248292021</v>
      </c>
      <c r="Z2021" t="str">
        <f>HYPERLINK("Melting_Curves/meltCurve_sp_Q5TDH0_DDI2_HUMAN_.pdf", "Melting_Curves/meltCurve_sp_Q5TDH0_DDI2_HUMAN_.pdf")</f>
        <v>Melting_Curves/meltCurve_sp_Q5TDH0_DDI2_HUMAN_.pdf</v>
      </c>
      <c r="AA2021" t="s">
        <v>14868</v>
      </c>
      <c r="AB2021" t="s">
        <v>19105</v>
      </c>
    </row>
    <row r="2022" spans="1:28" x14ac:dyDescent="0.25">
      <c r="A2022" t="s">
        <v>2026</v>
      </c>
      <c r="B2022">
        <v>0.99876560204751996</v>
      </c>
      <c r="C2022">
        <v>0.92550448187728296</v>
      </c>
      <c r="D2022">
        <v>0.85557871526927998</v>
      </c>
      <c r="E2022">
        <v>0.46327964790989501</v>
      </c>
      <c r="F2022">
        <v>0.19234111967798301</v>
      </c>
      <c r="G2022">
        <v>9.2659690369577705E-2</v>
      </c>
      <c r="H2022">
        <v>5.52219717596098E-2</v>
      </c>
      <c r="I2022">
        <v>4.3389758951521598E-2</v>
      </c>
      <c r="J2022">
        <v>3.8287799390880298E-2</v>
      </c>
      <c r="K2022">
        <v>3.0444117872640199E-2</v>
      </c>
      <c r="L2022">
        <v>1097.4296069919901</v>
      </c>
      <c r="M2022">
        <v>22.210209958797201</v>
      </c>
      <c r="N2022">
        <v>49.575409513827502</v>
      </c>
      <c r="O2022">
        <v>49.015733734245998</v>
      </c>
      <c r="P2022">
        <v>-0.10926238570279601</v>
      </c>
      <c r="Q2022">
        <v>3.5496127221056897E-2</v>
      </c>
      <c r="R2022">
        <v>0.99830149793731604</v>
      </c>
      <c r="S2022" t="s">
        <v>6318</v>
      </c>
      <c r="T2022" t="s">
        <v>8590</v>
      </c>
      <c r="U2022" t="s">
        <v>8590</v>
      </c>
      <c r="V2022" t="s">
        <v>8590</v>
      </c>
      <c r="W2022">
        <v>5</v>
      </c>
      <c r="X2022" t="s">
        <v>10612</v>
      </c>
      <c r="Y2022">
        <v>0.34896736794108713</v>
      </c>
      <c r="Z2022" t="str">
        <f>HYPERLINK("Melting_Curves/meltCurve_sp_Q5TEU4_NDUF5_HUMAN_.pdf", "Melting_Curves/meltCurve_sp_Q5TEU4_NDUF5_HUMAN_.pdf")</f>
        <v>Melting_Curves/meltCurve_sp_Q5TEU4_NDUF5_HUMAN_.pdf</v>
      </c>
      <c r="AA2022" t="s">
        <v>14869</v>
      </c>
      <c r="AB2022" t="s">
        <v>19106</v>
      </c>
    </row>
    <row r="2023" spans="1:28" x14ac:dyDescent="0.25">
      <c r="A2023" t="s">
        <v>2027</v>
      </c>
      <c r="B2023">
        <v>0.99876560204751996</v>
      </c>
      <c r="C2023">
        <v>0.94299370926914505</v>
      </c>
      <c r="D2023">
        <v>0.95255740046626203</v>
      </c>
      <c r="E2023">
        <v>0.92582121418003505</v>
      </c>
      <c r="F2023">
        <v>0.74548673062874604</v>
      </c>
      <c r="G2023">
        <v>0.32310035103051599</v>
      </c>
      <c r="H2023">
        <v>8.7867413023255694E-2</v>
      </c>
      <c r="I2023">
        <v>6.0662159716319899E-2</v>
      </c>
      <c r="J2023">
        <v>5.2860067510673701E-2</v>
      </c>
      <c r="K2023">
        <v>4.1462677793464603E-2</v>
      </c>
      <c r="L2023">
        <v>1416.30738080114</v>
      </c>
      <c r="M2023">
        <v>25.721353748729801</v>
      </c>
      <c r="N2023">
        <v>55.213883374478797</v>
      </c>
      <c r="O2023">
        <v>54.733884538384402</v>
      </c>
      <c r="P2023">
        <v>-0.113510649973271</v>
      </c>
      <c r="Q2023">
        <v>3.3829364761212802E-2</v>
      </c>
      <c r="R2023">
        <v>0.99677694411251205</v>
      </c>
      <c r="S2023" t="s">
        <v>6319</v>
      </c>
      <c r="T2023" t="s">
        <v>8590</v>
      </c>
      <c r="U2023" t="s">
        <v>8590</v>
      </c>
      <c r="V2023" t="s">
        <v>8590</v>
      </c>
      <c r="W2023">
        <v>16</v>
      </c>
      <c r="X2023" t="s">
        <v>10613</v>
      </c>
      <c r="Y2023">
        <v>0.52745970889912686</v>
      </c>
      <c r="Z2023" t="str">
        <f>HYPERLINK("Melting_Curves/meltCurve_sp_Q5TFE4_NT5D1_HUMAN_.pdf", "Melting_Curves/meltCurve_sp_Q5TFE4_NT5D1_HUMAN_.pdf")</f>
        <v>Melting_Curves/meltCurve_sp_Q5TFE4_NT5D1_HUMAN_.pdf</v>
      </c>
      <c r="AA2023" t="s">
        <v>14870</v>
      </c>
      <c r="AB2023" t="s">
        <v>19107</v>
      </c>
    </row>
    <row r="2024" spans="1:28" x14ac:dyDescent="0.25">
      <c r="A2024" t="s">
        <v>2028</v>
      </c>
      <c r="B2024">
        <v>0.99876560204751996</v>
      </c>
      <c r="C2024">
        <v>1.02674015045533</v>
      </c>
      <c r="D2024">
        <v>0.88827867302776897</v>
      </c>
      <c r="E2024">
        <v>0.85529357599002998</v>
      </c>
      <c r="F2024">
        <v>0.87695383173985297</v>
      </c>
      <c r="G2024">
        <v>0.61316566830431696</v>
      </c>
      <c r="H2024">
        <v>0.50486467928107304</v>
      </c>
      <c r="I2024">
        <v>0.55456094199223005</v>
      </c>
      <c r="J2024">
        <v>0.67018472419993702</v>
      </c>
      <c r="K2024">
        <v>0.59195708405125502</v>
      </c>
      <c r="L2024">
        <v>1062.14136911696</v>
      </c>
      <c r="M2024">
        <v>20.041358640766902</v>
      </c>
      <c r="O2024">
        <v>52.478277526162003</v>
      </c>
      <c r="P2024">
        <v>-4.1182344948686202E-2</v>
      </c>
      <c r="Q2024">
        <v>0.56867019178769596</v>
      </c>
      <c r="R2024">
        <v>0.87823091042647305</v>
      </c>
      <c r="S2024" t="s">
        <v>6320</v>
      </c>
      <c r="T2024" t="s">
        <v>8590</v>
      </c>
      <c r="U2024" t="s">
        <v>8590</v>
      </c>
      <c r="V2024" t="s">
        <v>8590</v>
      </c>
      <c r="W2024">
        <v>2</v>
      </c>
      <c r="X2024" t="s">
        <v>10614</v>
      </c>
      <c r="Y2024">
        <v>0.76145511924498066</v>
      </c>
      <c r="Z2024" t="str">
        <f>HYPERLINK("Melting_Curves/meltCurve_sp_Q5TFQ8_SIRBL_HUMAN_.pdf", "Melting_Curves/meltCurve_sp_Q5TFQ8_SIRBL_HUMAN_.pdf")</f>
        <v>Melting_Curves/meltCurve_sp_Q5TFQ8_SIRBL_HUMAN_.pdf</v>
      </c>
      <c r="AA2024" t="s">
        <v>14871</v>
      </c>
      <c r="AB2024" t="s">
        <v>19108</v>
      </c>
    </row>
    <row r="2025" spans="1:28" x14ac:dyDescent="0.25">
      <c r="A2025" t="s">
        <v>2029</v>
      </c>
      <c r="B2025">
        <v>0.99876560204751996</v>
      </c>
      <c r="C2025">
        <v>1.23955061190907</v>
      </c>
      <c r="D2025">
        <v>1.31109661478449</v>
      </c>
      <c r="E2025">
        <v>1.2043794967680901</v>
      </c>
      <c r="F2025">
        <v>1.4124306952883701</v>
      </c>
      <c r="G2025">
        <v>0.60828019418968104</v>
      </c>
      <c r="H2025">
        <v>0.50773983128192002</v>
      </c>
      <c r="I2025">
        <v>5.4288540265796298E-2</v>
      </c>
      <c r="J2025">
        <v>0.79903888697824499</v>
      </c>
      <c r="K2025">
        <v>0.15815240520767901</v>
      </c>
      <c r="L2025">
        <v>13497.406635302599</v>
      </c>
      <c r="M2025">
        <v>237.33572150138701</v>
      </c>
      <c r="N2025">
        <v>57.214164248528903</v>
      </c>
      <c r="O2025">
        <v>56.866485077843201</v>
      </c>
      <c r="P2025">
        <v>-0.64710547188471401</v>
      </c>
      <c r="Q2025">
        <v>0.37980488787118799</v>
      </c>
      <c r="R2025">
        <v>0.66262547583833298</v>
      </c>
      <c r="S2025" t="s">
        <v>6321</v>
      </c>
      <c r="T2025" t="s">
        <v>8590</v>
      </c>
      <c r="U2025" t="s">
        <v>8590</v>
      </c>
      <c r="V2025" t="s">
        <v>8590</v>
      </c>
      <c r="W2025">
        <v>2</v>
      </c>
      <c r="X2025" t="s">
        <v>10615</v>
      </c>
      <c r="Y2025">
        <v>0.72864077062333288</v>
      </c>
      <c r="Z2025" t="str">
        <f>HYPERLINK("Melting_Curves/meltCurve_sp_Q5TZA2_CROCC_HUMAN_.pdf", "Melting_Curves/meltCurve_sp_Q5TZA2_CROCC_HUMAN_.pdf")</f>
        <v>Melting_Curves/meltCurve_sp_Q5TZA2_CROCC_HUMAN_.pdf</v>
      </c>
      <c r="AA2025" t="s">
        <v>14872</v>
      </c>
      <c r="AB2025" t="s">
        <v>19109</v>
      </c>
    </row>
    <row r="2026" spans="1:28" x14ac:dyDescent="0.25">
      <c r="A2026" t="s">
        <v>2030</v>
      </c>
      <c r="B2026">
        <v>0.99876560204751996</v>
      </c>
      <c r="C2026">
        <v>0.97159103520873102</v>
      </c>
      <c r="D2026">
        <v>1.0686012374993701</v>
      </c>
      <c r="E2026">
        <v>0.91186957851936001</v>
      </c>
      <c r="F2026">
        <v>0.870067389357284</v>
      </c>
      <c r="G2026">
        <v>0.55667149347459299</v>
      </c>
      <c r="H2026">
        <v>0.326320072626891</v>
      </c>
      <c r="I2026">
        <v>0.22629991607845301</v>
      </c>
      <c r="J2026">
        <v>0.241878172735046</v>
      </c>
      <c r="K2026">
        <v>0.19013641949985</v>
      </c>
      <c r="L2026">
        <v>1264.16060503996</v>
      </c>
      <c r="M2026">
        <v>22.355013263256399</v>
      </c>
      <c r="N2026">
        <v>57.787714166450598</v>
      </c>
      <c r="O2026">
        <v>56.102616530987497</v>
      </c>
      <c r="P2026">
        <v>-8.0659296432707694E-2</v>
      </c>
      <c r="Q2026">
        <v>0.190319568775981</v>
      </c>
      <c r="R2026">
        <v>0.991579956064079</v>
      </c>
      <c r="S2026" t="s">
        <v>6322</v>
      </c>
      <c r="T2026" t="s">
        <v>8590</v>
      </c>
      <c r="U2026" t="s">
        <v>8590</v>
      </c>
      <c r="V2026" t="s">
        <v>8590</v>
      </c>
      <c r="W2026">
        <v>5</v>
      </c>
      <c r="X2026" t="s">
        <v>10616</v>
      </c>
      <c r="Y2026">
        <v>0.6457146678181066</v>
      </c>
      <c r="Z2026" t="str">
        <f>HYPERLINK("Melting_Curves/meltCurve_sp_Q5U5X0_LYRM7_HUMAN_.pdf", "Melting_Curves/meltCurve_sp_Q5U5X0_LYRM7_HUMAN_.pdf")</f>
        <v>Melting_Curves/meltCurve_sp_Q5U5X0_LYRM7_HUMAN_.pdf</v>
      </c>
      <c r="AA2026" t="s">
        <v>14873</v>
      </c>
      <c r="AB2026" t="s">
        <v>19110</v>
      </c>
    </row>
    <row r="2027" spans="1:28" x14ac:dyDescent="0.25">
      <c r="A2027" t="s">
        <v>2031</v>
      </c>
      <c r="B2027">
        <v>0.99876560204751996</v>
      </c>
      <c r="C2027">
        <v>0.85864233394026601</v>
      </c>
      <c r="D2027">
        <v>0.99160805918381101</v>
      </c>
      <c r="E2027">
        <v>0.85445394094399396</v>
      </c>
      <c r="F2027">
        <v>0.90979258890425896</v>
      </c>
      <c r="G2027">
        <v>0.81579904438041995</v>
      </c>
      <c r="H2027">
        <v>0.64594311594387999</v>
      </c>
      <c r="I2027">
        <v>0.64538871681406795</v>
      </c>
      <c r="J2027">
        <v>0.76729471895515999</v>
      </c>
      <c r="K2027">
        <v>0.752671317182668</v>
      </c>
      <c r="L2027">
        <v>535.06960041399805</v>
      </c>
      <c r="M2027">
        <v>10.101533997865699</v>
      </c>
      <c r="O2027">
        <v>51.018961524476701</v>
      </c>
      <c r="P2027">
        <v>-1.60442927090482E-2</v>
      </c>
      <c r="Q2027">
        <v>0.67601741062126897</v>
      </c>
      <c r="R2027">
        <v>0.68351767662410801</v>
      </c>
      <c r="S2027" t="s">
        <v>6323</v>
      </c>
      <c r="T2027" t="s">
        <v>8590</v>
      </c>
      <c r="U2027" t="s">
        <v>8590</v>
      </c>
      <c r="V2027" t="s">
        <v>8590</v>
      </c>
      <c r="W2027">
        <v>4</v>
      </c>
      <c r="X2027" t="s">
        <v>10617</v>
      </c>
      <c r="Y2027">
        <v>0.82709643898924201</v>
      </c>
      <c r="Z2027" t="str">
        <f>HYPERLINK("Melting_Curves/meltCurve_sp_Q5UIP0_2_RIF1_HUMAN_.pdf", "Melting_Curves/meltCurve_sp_Q5UIP0_2_RIF1_HUMAN_.pdf")</f>
        <v>Melting_Curves/meltCurve_sp_Q5UIP0_2_RIF1_HUMAN_.pdf</v>
      </c>
      <c r="AA2027" t="s">
        <v>14874</v>
      </c>
      <c r="AB2027" t="s">
        <v>19111</v>
      </c>
    </row>
    <row r="2028" spans="1:28" x14ac:dyDescent="0.25">
      <c r="A2028" t="s">
        <v>2032</v>
      </c>
      <c r="B2028">
        <v>0.99876560204751996</v>
      </c>
      <c r="C2028">
        <v>1.0275359123950301</v>
      </c>
      <c r="D2028">
        <v>0.91087275615700103</v>
      </c>
      <c r="E2028">
        <v>0.77949231547923503</v>
      </c>
      <c r="F2028">
        <v>0.288035808428377</v>
      </c>
      <c r="G2028">
        <v>0.15395116241885901</v>
      </c>
      <c r="H2028">
        <v>9.4415358725095003E-2</v>
      </c>
      <c r="I2028">
        <v>5.3714845606512303E-2</v>
      </c>
      <c r="J2028">
        <v>4.7783883273245002E-2</v>
      </c>
      <c r="K2028">
        <v>2.4092160107028301E-2</v>
      </c>
      <c r="L2028">
        <v>1761.04024398201</v>
      </c>
      <c r="M2028">
        <v>34.2013238670257</v>
      </c>
      <c r="N2028">
        <v>51.694405077416803</v>
      </c>
      <c r="O2028">
        <v>51.315332482492003</v>
      </c>
      <c r="P2028">
        <v>-0.15610565774346999</v>
      </c>
      <c r="Q2028">
        <v>6.3126002296434697E-2</v>
      </c>
      <c r="R2028">
        <v>0.99176457648009197</v>
      </c>
      <c r="S2028" t="s">
        <v>6324</v>
      </c>
      <c r="T2028" t="s">
        <v>8590</v>
      </c>
      <c r="U2028" t="s">
        <v>8590</v>
      </c>
      <c r="V2028" t="s">
        <v>8590</v>
      </c>
      <c r="W2028">
        <v>8</v>
      </c>
      <c r="X2028" t="s">
        <v>10618</v>
      </c>
      <c r="Y2028">
        <v>0.42652929618899937</v>
      </c>
      <c r="Z2028" t="str">
        <f>HYPERLINK("Melting_Curves/meltCurve_sp_Q5VIR6_4_VPS53_HUMAN_.pdf", "Melting_Curves/meltCurve_sp_Q5VIR6_4_VPS53_HUMAN_.pdf")</f>
        <v>Melting_Curves/meltCurve_sp_Q5VIR6_4_VPS53_HUMAN_.pdf</v>
      </c>
      <c r="AA2028" t="s">
        <v>14875</v>
      </c>
      <c r="AB2028" t="s">
        <v>19112</v>
      </c>
    </row>
    <row r="2029" spans="1:28" x14ac:dyDescent="0.25">
      <c r="A2029" t="s">
        <v>2033</v>
      </c>
      <c r="B2029">
        <v>0.99876560204751996</v>
      </c>
      <c r="C2029">
        <v>1.0887781343490599</v>
      </c>
      <c r="D2029">
        <v>0.90562711583198197</v>
      </c>
      <c r="E2029">
        <v>0.79483046623070497</v>
      </c>
      <c r="F2029">
        <v>0.58568414750377895</v>
      </c>
      <c r="G2029">
        <v>0.30748960098838302</v>
      </c>
      <c r="H2029">
        <v>0.193136140198715</v>
      </c>
      <c r="I2029">
        <v>0.131202822118589</v>
      </c>
      <c r="J2029">
        <v>0.15030740961463401</v>
      </c>
      <c r="K2029">
        <v>0.123293511218782</v>
      </c>
      <c r="L2029">
        <v>989.026323111544</v>
      </c>
      <c r="M2029">
        <v>18.578401940797701</v>
      </c>
      <c r="N2029">
        <v>53.982698636031799</v>
      </c>
      <c r="O2029">
        <v>52.629990786553002</v>
      </c>
      <c r="P2029">
        <v>-7.8245513919357898E-2</v>
      </c>
      <c r="Q2029">
        <v>0.113404607363115</v>
      </c>
      <c r="R2029">
        <v>0.99053799320254698</v>
      </c>
      <c r="S2029" t="s">
        <v>6325</v>
      </c>
      <c r="T2029" t="s">
        <v>8590</v>
      </c>
      <c r="U2029" t="s">
        <v>8590</v>
      </c>
      <c r="V2029" t="s">
        <v>8590</v>
      </c>
      <c r="W2029">
        <v>6</v>
      </c>
      <c r="X2029" t="s">
        <v>10619</v>
      </c>
      <c r="Y2029">
        <v>0.51828855074602154</v>
      </c>
      <c r="Z2029" t="str">
        <f>HYPERLINK("Melting_Curves/meltCurve_sp_Q5VSL9_STRP1_HUMAN_.pdf", "Melting_Curves/meltCurve_sp_Q5VSL9_STRP1_HUMAN_.pdf")</f>
        <v>Melting_Curves/meltCurve_sp_Q5VSL9_STRP1_HUMAN_.pdf</v>
      </c>
      <c r="AA2029" t="s">
        <v>14876</v>
      </c>
      <c r="AB2029" t="s">
        <v>19113</v>
      </c>
    </row>
    <row r="2030" spans="1:28" x14ac:dyDescent="0.25">
      <c r="A2030" t="s">
        <v>2034</v>
      </c>
      <c r="B2030">
        <v>0.99876560204751996</v>
      </c>
      <c r="C2030">
        <v>1.44092412923455</v>
      </c>
      <c r="D2030">
        <v>0.54841139621144297</v>
      </c>
      <c r="E2030">
        <v>0.73004145873283099</v>
      </c>
      <c r="F2030">
        <v>0.39851355865995602</v>
      </c>
      <c r="G2030">
        <v>0.31346067947645001</v>
      </c>
      <c r="H2030">
        <v>0.193942841132763</v>
      </c>
      <c r="I2030">
        <v>0.208948732274473</v>
      </c>
      <c r="J2030">
        <v>5.72617755514317E-2</v>
      </c>
      <c r="K2030">
        <v>0.718615181648526</v>
      </c>
      <c r="L2030">
        <v>1018.57407052014</v>
      </c>
      <c r="M2030">
        <v>20.720579603219502</v>
      </c>
      <c r="N2030">
        <v>51.335720419675702</v>
      </c>
      <c r="O2030">
        <v>48.706625232856098</v>
      </c>
      <c r="P2030">
        <v>-7.52547319069648E-2</v>
      </c>
      <c r="Q2030">
        <v>0.29243306570130301</v>
      </c>
      <c r="R2030">
        <v>0.62812707514826505</v>
      </c>
      <c r="S2030" t="s">
        <v>6326</v>
      </c>
      <c r="T2030" t="s">
        <v>8590</v>
      </c>
      <c r="U2030" t="s">
        <v>8590</v>
      </c>
      <c r="V2030" t="s">
        <v>8590</v>
      </c>
      <c r="W2030">
        <v>1</v>
      </c>
      <c r="X2030" t="s">
        <v>10620</v>
      </c>
      <c r="Y2030">
        <v>0.51763367385841652</v>
      </c>
      <c r="Z2030" t="str">
        <f>HYPERLINK("Melting_Curves/meltCurve_sp_Q5VSP4_LC1L1_HUMAN_.pdf", "Melting_Curves/meltCurve_sp_Q5VSP4_LC1L1_HUMAN_.pdf")</f>
        <v>Melting_Curves/meltCurve_sp_Q5VSP4_LC1L1_HUMAN_.pdf</v>
      </c>
      <c r="AA2030" t="s">
        <v>14877</v>
      </c>
      <c r="AB2030" t="s">
        <v>19114</v>
      </c>
    </row>
    <row r="2031" spans="1:28" x14ac:dyDescent="0.25">
      <c r="A2031" t="s">
        <v>2035</v>
      </c>
      <c r="B2031">
        <v>0.99876560204751996</v>
      </c>
      <c r="C2031">
        <v>1.0552391075299199</v>
      </c>
      <c r="D2031">
        <v>0.70047555776315396</v>
      </c>
      <c r="E2031">
        <v>0.54068923858000795</v>
      </c>
      <c r="F2031">
        <v>0.413607377319062</v>
      </c>
      <c r="G2031">
        <v>0.34187431418946201</v>
      </c>
      <c r="H2031">
        <v>0.271581532977691</v>
      </c>
      <c r="I2031">
        <v>0.23573892384297501</v>
      </c>
      <c r="J2031">
        <v>0.32053183560666998</v>
      </c>
      <c r="K2031">
        <v>0.30211592084697197</v>
      </c>
      <c r="L2031">
        <v>916.46979559203396</v>
      </c>
      <c r="M2031">
        <v>19.064064852405298</v>
      </c>
      <c r="N2031">
        <v>50.323661881588599</v>
      </c>
      <c r="O2031">
        <v>47.553569956779</v>
      </c>
      <c r="P2031">
        <v>-7.1478846982054603E-2</v>
      </c>
      <c r="Q2031">
        <v>0.28683821218632499</v>
      </c>
      <c r="R2031">
        <v>0.96480171020882899</v>
      </c>
      <c r="S2031" t="s">
        <v>6327</v>
      </c>
      <c r="T2031" t="s">
        <v>8590</v>
      </c>
      <c r="U2031" t="s">
        <v>8590</v>
      </c>
      <c r="V2031" t="s">
        <v>8590</v>
      </c>
      <c r="W2031">
        <v>2</v>
      </c>
      <c r="X2031" t="s">
        <v>10621</v>
      </c>
      <c r="Y2031">
        <v>0.48994990872147443</v>
      </c>
      <c r="Z2031" t="str">
        <f>HYPERLINK("Melting_Curves/meltCurve_sp_Q5VT06_CE350_HUMAN_.pdf", "Melting_Curves/meltCurve_sp_Q5VT06_CE350_HUMAN_.pdf")</f>
        <v>Melting_Curves/meltCurve_sp_Q5VT06_CE350_HUMAN_.pdf</v>
      </c>
      <c r="AA2031" t="s">
        <v>14878</v>
      </c>
      <c r="AB2031" t="s">
        <v>19115</v>
      </c>
    </row>
    <row r="2032" spans="1:28" x14ac:dyDescent="0.25">
      <c r="A2032" t="s">
        <v>2036</v>
      </c>
      <c r="B2032">
        <v>0.99876560204751996</v>
      </c>
      <c r="C2032">
        <v>0.98470469481327605</v>
      </c>
      <c r="D2032">
        <v>0.99919498745032898</v>
      </c>
      <c r="E2032">
        <v>0.82256117253632099</v>
      </c>
      <c r="F2032">
        <v>0.69909004573938804</v>
      </c>
      <c r="G2032">
        <v>0.44561353825299799</v>
      </c>
      <c r="H2032">
        <v>0.31641312493996299</v>
      </c>
      <c r="I2032">
        <v>0.30295586536402802</v>
      </c>
      <c r="J2032">
        <v>0.357012378515774</v>
      </c>
      <c r="K2032">
        <v>0.34783850081406997</v>
      </c>
      <c r="L2032">
        <v>1156.98199581821</v>
      </c>
      <c r="M2032">
        <v>21.7753837457633</v>
      </c>
      <c r="N2032">
        <v>55.709206178191003</v>
      </c>
      <c r="O2032">
        <v>52.690536863119704</v>
      </c>
      <c r="P2032">
        <v>-7.0529124782582997E-2</v>
      </c>
      <c r="Q2032">
        <v>0.31737012108711099</v>
      </c>
      <c r="R2032">
        <v>0.99117258737774305</v>
      </c>
      <c r="S2032" t="s">
        <v>6328</v>
      </c>
      <c r="T2032" t="s">
        <v>8590</v>
      </c>
      <c r="U2032" t="s">
        <v>8590</v>
      </c>
      <c r="V2032" t="s">
        <v>8590</v>
      </c>
      <c r="W2032">
        <v>8</v>
      </c>
      <c r="X2032" t="s">
        <v>10622</v>
      </c>
      <c r="Y2032">
        <v>0.62428488831354967</v>
      </c>
      <c r="Z2032" t="str">
        <f>HYPERLINK("Melting_Curves/meltCurve_sp_Q5VT52_RPRD2_HUMAN_.pdf", "Melting_Curves/meltCurve_sp_Q5VT52_RPRD2_HUMAN_.pdf")</f>
        <v>Melting_Curves/meltCurve_sp_Q5VT52_RPRD2_HUMAN_.pdf</v>
      </c>
      <c r="AA2032" t="s">
        <v>14879</v>
      </c>
      <c r="AB2032" t="s">
        <v>19116</v>
      </c>
    </row>
    <row r="2033" spans="1:28" x14ac:dyDescent="0.25">
      <c r="A2033" t="s">
        <v>2037</v>
      </c>
      <c r="B2033">
        <v>0.99876560204751996</v>
      </c>
      <c r="C2033">
        <v>0.903310578027954</v>
      </c>
      <c r="D2033">
        <v>0.76836399814067702</v>
      </c>
      <c r="E2033">
        <v>0.46657598037897802</v>
      </c>
      <c r="F2033">
        <v>0.199395765593505</v>
      </c>
      <c r="G2033">
        <v>0.10266815261822899</v>
      </c>
      <c r="H2033">
        <v>6.3763329776134803E-2</v>
      </c>
      <c r="I2033">
        <v>5.2306384272639998E-2</v>
      </c>
      <c r="J2033">
        <v>5.3319860876195099E-2</v>
      </c>
      <c r="K2033">
        <v>4.90495061541543E-2</v>
      </c>
      <c r="L2033">
        <v>887.306069927164</v>
      </c>
      <c r="M2033">
        <v>18.110918031506301</v>
      </c>
      <c r="N2033">
        <v>49.207904196264103</v>
      </c>
      <c r="O2033">
        <v>48.407294513329198</v>
      </c>
      <c r="P2033">
        <v>-8.9979968722557604E-2</v>
      </c>
      <c r="Q2033">
        <v>3.8044102772270501E-2</v>
      </c>
      <c r="R2033">
        <v>0.99739280228963001</v>
      </c>
      <c r="S2033" t="s">
        <v>6329</v>
      </c>
      <c r="T2033" t="s">
        <v>8590</v>
      </c>
      <c r="U2033" t="s">
        <v>8590</v>
      </c>
      <c r="V2033" t="s">
        <v>8590</v>
      </c>
      <c r="W2033">
        <v>23</v>
      </c>
      <c r="X2033" t="s">
        <v>10623</v>
      </c>
      <c r="Y2033">
        <v>0.34286363299052702</v>
      </c>
      <c r="Z2033" t="str">
        <f>HYPERLINK("Melting_Curves/meltCurve_sp_Q5VTE0_EF1A3_HUMAN_.pdf", "Melting_Curves/meltCurve_sp_Q5VTE0_EF1A3_HUMAN_.pdf")</f>
        <v>Melting_Curves/meltCurve_sp_Q5VTE0_EF1A3_HUMAN_.pdf</v>
      </c>
      <c r="AA2033" t="s">
        <v>14880</v>
      </c>
      <c r="AB2033" t="s">
        <v>19117</v>
      </c>
    </row>
    <row r="2034" spans="1:28" x14ac:dyDescent="0.25">
      <c r="A2034" t="s">
        <v>2038</v>
      </c>
      <c r="B2034">
        <v>0.99876560204751996</v>
      </c>
      <c r="C2034">
        <v>1.03389815393233</v>
      </c>
      <c r="D2034">
        <v>0.98424634577655701</v>
      </c>
      <c r="E2034">
        <v>0.94693232748520595</v>
      </c>
      <c r="F2034">
        <v>0.87305072240617998</v>
      </c>
      <c r="G2034">
        <v>0.43615380106393398</v>
      </c>
      <c r="H2034">
        <v>0.15387007872778199</v>
      </c>
      <c r="I2034">
        <v>9.5243647891727096E-2</v>
      </c>
      <c r="J2034">
        <v>0.108782262550891</v>
      </c>
      <c r="K2034">
        <v>8.2862727502153496E-2</v>
      </c>
      <c r="L2034">
        <v>1688.9124977895101</v>
      </c>
      <c r="M2034">
        <v>30.107403983551301</v>
      </c>
      <c r="N2034">
        <v>56.442075100427097</v>
      </c>
      <c r="O2034">
        <v>55.850515574713597</v>
      </c>
      <c r="P2034">
        <v>-0.123417440461336</v>
      </c>
      <c r="Q2034">
        <v>8.4227467601933795E-2</v>
      </c>
      <c r="R2034">
        <v>0.99831399377049201</v>
      </c>
      <c r="S2034" t="s">
        <v>6330</v>
      </c>
      <c r="T2034" t="s">
        <v>8590</v>
      </c>
      <c r="U2034" t="s">
        <v>8590</v>
      </c>
      <c r="V2034" t="s">
        <v>8590</v>
      </c>
      <c r="W2034">
        <v>1</v>
      </c>
      <c r="X2034" t="s">
        <v>10624</v>
      </c>
      <c r="Y2034">
        <v>0.58164586337449675</v>
      </c>
      <c r="Z2034" t="str">
        <f>HYPERLINK("Melting_Curves/meltCurve_sp_Q5VTQ0_5_TT39B_HUMAN_.pdf", "Melting_Curves/meltCurve_sp_Q5VTQ0_5_TT39B_HUMAN_.pdf")</f>
        <v>Melting_Curves/meltCurve_sp_Q5VTQ0_5_TT39B_HUMAN_.pdf</v>
      </c>
      <c r="AA2034" t="s">
        <v>14881</v>
      </c>
      <c r="AB2034" t="s">
        <v>19118</v>
      </c>
    </row>
    <row r="2035" spans="1:28" x14ac:dyDescent="0.25">
      <c r="A2035" t="s">
        <v>2039</v>
      </c>
      <c r="B2035">
        <v>0.99876560204751996</v>
      </c>
      <c r="C2035">
        <v>1.0511915586128</v>
      </c>
      <c r="D2035">
        <v>0.95815402706652397</v>
      </c>
      <c r="E2035">
        <v>0.87129565473846804</v>
      </c>
      <c r="F2035">
        <v>0.787699063856382</v>
      </c>
      <c r="G2035">
        <v>0.441132229795204</v>
      </c>
      <c r="H2035">
        <v>0.21268777885961501</v>
      </c>
      <c r="I2035">
        <v>0.154764541107757</v>
      </c>
      <c r="J2035">
        <v>0.130008424179482</v>
      </c>
      <c r="K2035">
        <v>0.10925756401284201</v>
      </c>
      <c r="L2035">
        <v>1099.93576614893</v>
      </c>
      <c r="M2035">
        <v>19.7505851918263</v>
      </c>
      <c r="N2035">
        <v>56.258443996476998</v>
      </c>
      <c r="O2035">
        <v>55.129804333678301</v>
      </c>
      <c r="P2035">
        <v>-8.1481969134929499E-2</v>
      </c>
      <c r="Q2035">
        <v>9.0268708425622998E-2</v>
      </c>
      <c r="R2035">
        <v>0.99525865952989101</v>
      </c>
      <c r="S2035" t="s">
        <v>6331</v>
      </c>
      <c r="T2035" t="s">
        <v>8590</v>
      </c>
      <c r="U2035" t="s">
        <v>8590</v>
      </c>
      <c r="V2035" t="s">
        <v>8590</v>
      </c>
      <c r="W2035">
        <v>13</v>
      </c>
      <c r="X2035" t="s">
        <v>10625</v>
      </c>
      <c r="Y2035">
        <v>0.57816518527860628</v>
      </c>
      <c r="Z2035" t="str">
        <f>HYPERLINK("Melting_Curves/meltCurve_sp_Q5VTR2_BRE1A_HUMAN_.pdf", "Melting_Curves/meltCurve_sp_Q5VTR2_BRE1A_HUMAN_.pdf")</f>
        <v>Melting_Curves/meltCurve_sp_Q5VTR2_BRE1A_HUMAN_.pdf</v>
      </c>
      <c r="AA2035" t="s">
        <v>14882</v>
      </c>
      <c r="AB2035" t="s">
        <v>19119</v>
      </c>
    </row>
    <row r="2036" spans="1:28" x14ac:dyDescent="0.25">
      <c r="A2036" t="s">
        <v>2040</v>
      </c>
      <c r="B2036">
        <v>0.99876560204751996</v>
      </c>
      <c r="C2036">
        <v>0.92523434027021001</v>
      </c>
      <c r="D2036">
        <v>0.96291943877477604</v>
      </c>
      <c r="E2036">
        <v>0.75272878942064803</v>
      </c>
      <c r="F2036">
        <v>0.67104723369329899</v>
      </c>
      <c r="G2036">
        <v>0.49344367606179901</v>
      </c>
      <c r="H2036">
        <v>0.40798001410691498</v>
      </c>
      <c r="I2036">
        <v>0.42593797856214</v>
      </c>
      <c r="J2036">
        <v>0.48637477339472901</v>
      </c>
      <c r="K2036">
        <v>0.50879302744004695</v>
      </c>
      <c r="L2036">
        <v>1003.30196176942</v>
      </c>
      <c r="M2036">
        <v>19.673088580341599</v>
      </c>
      <c r="N2036">
        <v>57.721385847468802</v>
      </c>
      <c r="O2036">
        <v>50.480511069179698</v>
      </c>
      <c r="P2036">
        <v>-5.3643240988702899E-2</v>
      </c>
      <c r="Q2036">
        <v>0.449431650149551</v>
      </c>
      <c r="R2036">
        <v>0.96613302620327002</v>
      </c>
      <c r="S2036" t="s">
        <v>6332</v>
      </c>
      <c r="T2036" t="s">
        <v>8590</v>
      </c>
      <c r="U2036" t="s">
        <v>8590</v>
      </c>
      <c r="V2036" t="s">
        <v>8590</v>
      </c>
      <c r="W2036">
        <v>2</v>
      </c>
      <c r="X2036" t="s">
        <v>10626</v>
      </c>
      <c r="Y2036">
        <v>0.65916447254463362</v>
      </c>
      <c r="Z2036" t="str">
        <f>HYPERLINK("Melting_Curves/meltCurve_sp_Q5VTU8_AT5EL_HUMAN_.pdf", "Melting_Curves/meltCurve_sp_Q5VTU8_AT5EL_HUMAN_.pdf")</f>
        <v>Melting_Curves/meltCurve_sp_Q5VTU8_AT5EL_HUMAN_.pdf</v>
      </c>
      <c r="AA2036" t="s">
        <v>14883</v>
      </c>
      <c r="AB2036" t="s">
        <v>19120</v>
      </c>
    </row>
    <row r="2037" spans="1:28" x14ac:dyDescent="0.25">
      <c r="A2037" t="s">
        <v>2041</v>
      </c>
      <c r="B2037">
        <v>0.99876560204751996</v>
      </c>
      <c r="C2037">
        <v>1.1656512207198899</v>
      </c>
      <c r="D2037">
        <v>0.94586352378726302</v>
      </c>
      <c r="E2037">
        <v>0.765351733438002</v>
      </c>
      <c r="F2037">
        <v>0.79174334870566798</v>
      </c>
      <c r="G2037">
        <v>0.49881790302439499</v>
      </c>
      <c r="H2037">
        <v>0.25119683039414797</v>
      </c>
      <c r="I2037">
        <v>0.25884471878758603</v>
      </c>
      <c r="J2037">
        <v>0.32940618154696399</v>
      </c>
      <c r="K2037">
        <v>0.29200891663186501</v>
      </c>
      <c r="L2037">
        <v>997.69992869175098</v>
      </c>
      <c r="M2037">
        <v>18.357695319290102</v>
      </c>
      <c r="N2037">
        <v>56.492626979571099</v>
      </c>
      <c r="O2037">
        <v>53.715185846727103</v>
      </c>
      <c r="P2037">
        <v>-6.4001083349551999E-2</v>
      </c>
      <c r="Q2037">
        <v>0.25095758036625498</v>
      </c>
      <c r="R2037">
        <v>0.94198763502336103</v>
      </c>
      <c r="S2037" t="s">
        <v>6333</v>
      </c>
      <c r="T2037" t="s">
        <v>8590</v>
      </c>
      <c r="U2037" t="s">
        <v>8590</v>
      </c>
      <c r="V2037" t="s">
        <v>8590</v>
      </c>
      <c r="W2037">
        <v>3</v>
      </c>
      <c r="X2037" t="s">
        <v>10627</v>
      </c>
      <c r="Y2037">
        <v>0.62072151744124704</v>
      </c>
      <c r="Z2037" t="str">
        <f>HYPERLINK("Melting_Curves/meltCurve_sp_Q5VUA4_ZN318_HUMAN_.pdf", "Melting_Curves/meltCurve_sp_Q5VUA4_ZN318_HUMAN_.pdf")</f>
        <v>Melting_Curves/meltCurve_sp_Q5VUA4_ZN318_HUMAN_.pdf</v>
      </c>
      <c r="AA2037" t="s">
        <v>14884</v>
      </c>
      <c r="AB2037" t="s">
        <v>19121</v>
      </c>
    </row>
    <row r="2038" spans="1:28" x14ac:dyDescent="0.25">
      <c r="A2038" t="s">
        <v>2042</v>
      </c>
      <c r="B2038">
        <v>0.99876560204751996</v>
      </c>
      <c r="C2038">
        <v>0.85964547053076801</v>
      </c>
      <c r="D2038">
        <v>0.92903250229076895</v>
      </c>
      <c r="E2038">
        <v>0.78345617103045295</v>
      </c>
      <c r="F2038">
        <v>0.78846915313399202</v>
      </c>
      <c r="G2038">
        <v>0.69301166930590496</v>
      </c>
      <c r="H2038">
        <v>0.553822369581767</v>
      </c>
      <c r="I2038">
        <v>0.62507589229330596</v>
      </c>
      <c r="J2038">
        <v>0.62546878737481704</v>
      </c>
      <c r="K2038">
        <v>0.62027487394631498</v>
      </c>
      <c r="L2038">
        <v>483.64819006378002</v>
      </c>
      <c r="M2038">
        <v>9.4843385869333705</v>
      </c>
      <c r="O2038">
        <v>48.881700892677102</v>
      </c>
      <c r="P2038">
        <v>-2.11068518671839E-2</v>
      </c>
      <c r="Q2038">
        <v>0.56512515265053498</v>
      </c>
      <c r="R2038">
        <v>0.89973017534878696</v>
      </c>
      <c r="S2038" t="s">
        <v>6334</v>
      </c>
      <c r="T2038" t="s">
        <v>8590</v>
      </c>
      <c r="U2038" t="s">
        <v>8590</v>
      </c>
      <c r="V2038" t="s">
        <v>8590</v>
      </c>
      <c r="W2038">
        <v>2</v>
      </c>
      <c r="X2038" t="s">
        <v>10628</v>
      </c>
      <c r="Y2038">
        <v>0.74378941946956156</v>
      </c>
      <c r="Z2038" t="str">
        <f>HYPERLINK("Melting_Curves/meltCurve_sp_Q5VUE5_CA053_HUMAN_.pdf", "Melting_Curves/meltCurve_sp_Q5VUE5_CA053_HUMAN_.pdf")</f>
        <v>Melting_Curves/meltCurve_sp_Q5VUE5_CA053_HUMAN_.pdf</v>
      </c>
      <c r="AA2038" t="s">
        <v>14885</v>
      </c>
      <c r="AB2038" t="s">
        <v>19122</v>
      </c>
    </row>
    <row r="2039" spans="1:28" x14ac:dyDescent="0.25">
      <c r="A2039" t="s">
        <v>2043</v>
      </c>
      <c r="B2039">
        <v>0.99876560204751996</v>
      </c>
      <c r="C2039">
        <v>0.97698918067848795</v>
      </c>
      <c r="D2039">
        <v>1.3652044298870101</v>
      </c>
      <c r="E2039">
        <v>0.96926122835037198</v>
      </c>
      <c r="F2039">
        <v>0.78466166236476897</v>
      </c>
      <c r="G2039">
        <v>0.271957690331528</v>
      </c>
      <c r="H2039">
        <v>0.270022819232134</v>
      </c>
      <c r="I2039">
        <v>0.25105101322789197</v>
      </c>
      <c r="J2039">
        <v>0.25093484183154602</v>
      </c>
      <c r="K2039">
        <v>0</v>
      </c>
      <c r="L2039">
        <v>2258.3939366278801</v>
      </c>
      <c r="M2039">
        <v>41.609684695365303</v>
      </c>
      <c r="N2039">
        <v>54.8958763760902</v>
      </c>
      <c r="O2039">
        <v>54.150775994221803</v>
      </c>
      <c r="P2039">
        <v>-0.15607704040032999</v>
      </c>
      <c r="Q2039">
        <v>0.187527947425742</v>
      </c>
      <c r="R2039">
        <v>0.90239355513582797</v>
      </c>
      <c r="S2039" t="s">
        <v>6335</v>
      </c>
      <c r="T2039" t="s">
        <v>8590</v>
      </c>
      <c r="U2039" t="s">
        <v>8590</v>
      </c>
      <c r="V2039" t="s">
        <v>8590</v>
      </c>
      <c r="W2039">
        <v>1</v>
      </c>
      <c r="X2039" t="s">
        <v>10629</v>
      </c>
      <c r="Y2039">
        <v>0.57695795924257698</v>
      </c>
      <c r="Z2039" t="str">
        <f>HYPERLINK("Melting_Curves/meltCurve_sp_Q5VVQ6_2_OTU1_HUMAN_.pdf", "Melting_Curves/meltCurve_sp_Q5VVQ6_2_OTU1_HUMAN_.pdf")</f>
        <v>Melting_Curves/meltCurve_sp_Q5VVQ6_2_OTU1_HUMAN_.pdf</v>
      </c>
      <c r="AA2039" t="s">
        <v>14886</v>
      </c>
      <c r="AB2039" t="s">
        <v>19123</v>
      </c>
    </row>
    <row r="2040" spans="1:28" x14ac:dyDescent="0.25">
      <c r="A2040" t="s">
        <v>2044</v>
      </c>
      <c r="B2040">
        <v>0.99876560204751996</v>
      </c>
      <c r="C2040">
        <v>1.00158418002226</v>
      </c>
      <c r="D2040">
        <v>1.14467128977355</v>
      </c>
      <c r="E2040">
        <v>0.92986243908176303</v>
      </c>
      <c r="F2040">
        <v>0.33426477426687601</v>
      </c>
      <c r="G2040">
        <v>0.133375785725491</v>
      </c>
      <c r="H2040">
        <v>7.7209851364040794E-2</v>
      </c>
      <c r="I2040">
        <v>7.0112461002045601E-2</v>
      </c>
      <c r="J2040">
        <v>7.5796321688783003E-2</v>
      </c>
      <c r="K2040">
        <v>5.7993956132576401E-2</v>
      </c>
      <c r="L2040">
        <v>3004.1384201590299</v>
      </c>
      <c r="M2040">
        <v>57.632479223175601</v>
      </c>
      <c r="N2040">
        <v>52.286332660294597</v>
      </c>
      <c r="O2040">
        <v>52.063140143552502</v>
      </c>
      <c r="P2040">
        <v>-0.25430135927021902</v>
      </c>
      <c r="Q2040">
        <v>8.109307998767E-2</v>
      </c>
      <c r="R2040">
        <v>0.98806014687785004</v>
      </c>
      <c r="S2040" t="s">
        <v>6336</v>
      </c>
      <c r="T2040" t="s">
        <v>8590</v>
      </c>
      <c r="U2040" t="s">
        <v>8590</v>
      </c>
      <c r="V2040" t="s">
        <v>8590</v>
      </c>
      <c r="W2040">
        <v>6</v>
      </c>
      <c r="X2040" t="s">
        <v>10630</v>
      </c>
      <c r="Y2040">
        <v>0.45409681652497902</v>
      </c>
      <c r="Z2040" t="str">
        <f>HYPERLINK("Melting_Curves/meltCurve_sp_Q5VW32_BROX_HUMAN_.pdf", "Melting_Curves/meltCurve_sp_Q5VW32_BROX_HUMAN_.pdf")</f>
        <v>Melting_Curves/meltCurve_sp_Q5VW32_BROX_HUMAN_.pdf</v>
      </c>
      <c r="AA2040" t="s">
        <v>14887</v>
      </c>
      <c r="AB2040" t="s">
        <v>19124</v>
      </c>
    </row>
    <row r="2041" spans="1:28" x14ac:dyDescent="0.25">
      <c r="A2041" t="s">
        <v>2045</v>
      </c>
      <c r="B2041">
        <v>0.99876560204751996</v>
      </c>
      <c r="C2041">
        <v>0.93286168316473095</v>
      </c>
      <c r="D2041">
        <v>0.63974156662468995</v>
      </c>
      <c r="E2041">
        <v>0.52508377113659099</v>
      </c>
      <c r="F2041">
        <v>0.24302319054743901</v>
      </c>
      <c r="G2041">
        <v>0.13823625544793</v>
      </c>
      <c r="H2041">
        <v>4.8734810679181402E-2</v>
      </c>
      <c r="I2041">
        <v>2.8699811200537901E-2</v>
      </c>
      <c r="J2041">
        <v>0</v>
      </c>
      <c r="K2041">
        <v>2.1869506425949401E-2</v>
      </c>
      <c r="L2041">
        <v>692.05464873743495</v>
      </c>
      <c r="M2041">
        <v>14.0445630198875</v>
      </c>
      <c r="N2041">
        <v>49.275626815086802</v>
      </c>
      <c r="O2041">
        <v>48.3088838965039</v>
      </c>
      <c r="P2041">
        <v>-7.2690556600290196E-2</v>
      </c>
      <c r="Q2041">
        <v>0</v>
      </c>
      <c r="R2041">
        <v>0.98596571866443405</v>
      </c>
      <c r="S2041" t="s">
        <v>6337</v>
      </c>
      <c r="T2041" t="s">
        <v>8590</v>
      </c>
      <c r="U2041" t="s">
        <v>8590</v>
      </c>
      <c r="V2041" t="s">
        <v>8590</v>
      </c>
      <c r="W2041">
        <v>6</v>
      </c>
      <c r="X2041" t="s">
        <v>10631</v>
      </c>
      <c r="Y2041">
        <v>0.33674032895560291</v>
      </c>
      <c r="Z2041" t="str">
        <f>HYPERLINK("Melting_Curves/meltCurve_sp_Q5VW36_FOCAD_HUMAN_.pdf", "Melting_Curves/meltCurve_sp_Q5VW36_FOCAD_HUMAN_.pdf")</f>
        <v>Melting_Curves/meltCurve_sp_Q5VW36_FOCAD_HUMAN_.pdf</v>
      </c>
      <c r="AA2041" t="s">
        <v>14888</v>
      </c>
      <c r="AB2041" t="s">
        <v>19125</v>
      </c>
    </row>
    <row r="2042" spans="1:28" x14ac:dyDescent="0.25">
      <c r="A2042" t="s">
        <v>2046</v>
      </c>
      <c r="B2042">
        <v>0.99876560204751996</v>
      </c>
      <c r="C2042">
        <v>0.95782348271478002</v>
      </c>
      <c r="D2042">
        <v>1.0193162915087699</v>
      </c>
      <c r="E2042">
        <v>0.93365294600428805</v>
      </c>
      <c r="F2042">
        <v>0.91737771970093396</v>
      </c>
      <c r="G2042">
        <v>0.62978043564123798</v>
      </c>
      <c r="H2042">
        <v>0.65160243457853795</v>
      </c>
      <c r="I2042">
        <v>0.62980021844370304</v>
      </c>
      <c r="J2042">
        <v>0.778821784386722</v>
      </c>
      <c r="K2042">
        <v>0.63989279820104605</v>
      </c>
      <c r="L2042">
        <v>9244.3670043389193</v>
      </c>
      <c r="M2042">
        <v>173.30935650099599</v>
      </c>
      <c r="O2042">
        <v>53.3331633567662</v>
      </c>
      <c r="P2042">
        <v>-0.271355520522784</v>
      </c>
      <c r="Q2042">
        <v>0.66597883824942805</v>
      </c>
      <c r="R2042">
        <v>0.90798853580582495</v>
      </c>
      <c r="S2042" t="s">
        <v>6338</v>
      </c>
      <c r="T2042" t="s">
        <v>8590</v>
      </c>
      <c r="U2042" t="s">
        <v>8590</v>
      </c>
      <c r="V2042" t="s">
        <v>8590</v>
      </c>
      <c r="W2042">
        <v>6</v>
      </c>
      <c r="X2042" t="s">
        <v>10632</v>
      </c>
      <c r="Y2042">
        <v>0.81457494468071012</v>
      </c>
      <c r="Z2042" t="str">
        <f>HYPERLINK("Melting_Curves/meltCurve_sp_Q5VWP3_MLIP_HUMAN_.pdf", "Melting_Curves/meltCurve_sp_Q5VWP3_MLIP_HUMAN_.pdf")</f>
        <v>Melting_Curves/meltCurve_sp_Q5VWP3_MLIP_HUMAN_.pdf</v>
      </c>
      <c r="AA2042" t="s">
        <v>14889</v>
      </c>
      <c r="AB2042" t="s">
        <v>19126</v>
      </c>
    </row>
    <row r="2043" spans="1:28" x14ac:dyDescent="0.25">
      <c r="A2043" t="s">
        <v>2047</v>
      </c>
      <c r="B2043">
        <v>0.99876560204751996</v>
      </c>
      <c r="C2043">
        <v>1.072500878671</v>
      </c>
      <c r="D2043">
        <v>0.95334682989436303</v>
      </c>
      <c r="E2043">
        <v>0.80911794422595695</v>
      </c>
      <c r="F2043">
        <v>0.61047381056188199</v>
      </c>
      <c r="G2043">
        <v>0.40606931148744102</v>
      </c>
      <c r="H2043">
        <v>0.313162851733228</v>
      </c>
      <c r="I2043">
        <v>0.29920996585953202</v>
      </c>
      <c r="J2043">
        <v>0.34487400421659897</v>
      </c>
      <c r="K2043">
        <v>0.29877377069614702</v>
      </c>
      <c r="L2043">
        <v>1159.52363763985</v>
      </c>
      <c r="M2043">
        <v>22.158716999483001</v>
      </c>
      <c r="N2043">
        <v>54.632347666614201</v>
      </c>
      <c r="O2043">
        <v>51.907500340063301</v>
      </c>
      <c r="P2043">
        <v>-7.4320160891537798E-2</v>
      </c>
      <c r="Q2043">
        <v>0.30362557871630202</v>
      </c>
      <c r="R2043">
        <v>0.99083260161103703</v>
      </c>
      <c r="S2043" t="s">
        <v>6339</v>
      </c>
      <c r="T2043" t="s">
        <v>8590</v>
      </c>
      <c r="U2043" t="s">
        <v>8590</v>
      </c>
      <c r="V2043" t="s">
        <v>8590</v>
      </c>
      <c r="W2043">
        <v>3</v>
      </c>
      <c r="X2043" t="s">
        <v>10633</v>
      </c>
      <c r="Y2043">
        <v>0.5977890304677963</v>
      </c>
      <c r="Z2043" t="str">
        <f>HYPERLINK("Melting_Curves/meltCurve_sp_Q5VWQ8_3_DAB2P_HUMAN_.pdf", "Melting_Curves/meltCurve_sp_Q5VWQ8_3_DAB2P_HUMAN_.pdf")</f>
        <v>Melting_Curves/meltCurve_sp_Q5VWQ8_3_DAB2P_HUMAN_.pdf</v>
      </c>
      <c r="AA2043" t="s">
        <v>14890</v>
      </c>
      <c r="AB2043" t="s">
        <v>19127</v>
      </c>
    </row>
    <row r="2044" spans="1:28" x14ac:dyDescent="0.25">
      <c r="A2044" t="s">
        <v>2048</v>
      </c>
      <c r="B2044">
        <v>0.99876560204751996</v>
      </c>
      <c r="C2044">
        <v>0.82335760523323398</v>
      </c>
      <c r="D2044">
        <v>0.86871183192826396</v>
      </c>
      <c r="E2044">
        <v>0.73424203909636099</v>
      </c>
      <c r="F2044">
        <v>0.53286634225892504</v>
      </c>
      <c r="G2044">
        <v>0.19875778798069399</v>
      </c>
      <c r="H2044">
        <v>9.57982011949053E-2</v>
      </c>
      <c r="I2044">
        <v>7.6448977202806995E-2</v>
      </c>
      <c r="J2044">
        <v>6.7927032912950699E-2</v>
      </c>
      <c r="K2044">
        <v>5.8097294915803802E-2</v>
      </c>
      <c r="L2044">
        <v>763.636706927918</v>
      </c>
      <c r="M2044">
        <v>14.4688243915101</v>
      </c>
      <c r="N2044">
        <v>52.8090375908588</v>
      </c>
      <c r="O2044">
        <v>51.800622634542698</v>
      </c>
      <c r="P2044">
        <v>-6.9542677595625296E-2</v>
      </c>
      <c r="Q2044">
        <v>4.2218145301489299E-3</v>
      </c>
      <c r="R2044">
        <v>0.97707120179802298</v>
      </c>
      <c r="S2044" t="s">
        <v>6340</v>
      </c>
      <c r="T2044" t="s">
        <v>8590</v>
      </c>
      <c r="U2044" t="s">
        <v>8590</v>
      </c>
      <c r="V2044" t="s">
        <v>8590</v>
      </c>
      <c r="W2044">
        <v>10</v>
      </c>
      <c r="X2044" t="s">
        <v>10634</v>
      </c>
      <c r="Y2044">
        <v>0.45110520282330102</v>
      </c>
      <c r="Z2044" t="str">
        <f>HYPERLINK("Melting_Curves/meltCurve_sp_Q5VWZ2_LYPL1_HUMAN_.pdf", "Melting_Curves/meltCurve_sp_Q5VWZ2_LYPL1_HUMAN_.pdf")</f>
        <v>Melting_Curves/meltCurve_sp_Q5VWZ2_LYPL1_HUMAN_.pdf</v>
      </c>
      <c r="AA2044" t="s">
        <v>14891</v>
      </c>
      <c r="AB2044" t="s">
        <v>19128</v>
      </c>
    </row>
    <row r="2045" spans="1:28" x14ac:dyDescent="0.25">
      <c r="A2045" t="s">
        <v>2049</v>
      </c>
      <c r="B2045">
        <v>0.99876560204751996</v>
      </c>
      <c r="C2045">
        <v>0.98104266191856004</v>
      </c>
      <c r="D2045">
        <v>0.85449566107420705</v>
      </c>
      <c r="E2045">
        <v>0.61783320097313998</v>
      </c>
      <c r="F2045">
        <v>0.221162872279099</v>
      </c>
      <c r="G2045">
        <v>0.13251347961537099</v>
      </c>
      <c r="H2045">
        <v>7.9174853625024702E-2</v>
      </c>
      <c r="I2045">
        <v>6.44124033346372E-2</v>
      </c>
      <c r="J2045">
        <v>5.8300073219582998E-2</v>
      </c>
      <c r="K2045">
        <v>4.33755648046589E-2</v>
      </c>
      <c r="L2045">
        <v>1170.57488840205</v>
      </c>
      <c r="M2045">
        <v>23.255538557777101</v>
      </c>
      <c r="N2045">
        <v>50.581614616226801</v>
      </c>
      <c r="O2045">
        <v>49.967553202270203</v>
      </c>
      <c r="P2045">
        <v>-0.110126636226297</v>
      </c>
      <c r="Q2045">
        <v>5.3531291604666402E-2</v>
      </c>
      <c r="R2045">
        <v>0.99380844890545605</v>
      </c>
      <c r="S2045" t="s">
        <v>6341</v>
      </c>
      <c r="T2045" t="s">
        <v>8590</v>
      </c>
      <c r="U2045" t="s">
        <v>8590</v>
      </c>
      <c r="V2045" t="s">
        <v>8590</v>
      </c>
      <c r="W2045">
        <v>26</v>
      </c>
      <c r="X2045" t="s">
        <v>10635</v>
      </c>
      <c r="Y2045">
        <v>0.38940148847575262</v>
      </c>
      <c r="Z2045" t="str">
        <f>HYPERLINK("Melting_Curves/meltCurve_sp_Q5VYK3_ECM29_HUMAN_.pdf", "Melting_Curves/meltCurve_sp_Q5VYK3_ECM29_HUMAN_.pdf")</f>
        <v>Melting_Curves/meltCurve_sp_Q5VYK3_ECM29_HUMAN_.pdf</v>
      </c>
      <c r="AA2045" t="s">
        <v>14892</v>
      </c>
      <c r="AB2045" t="s">
        <v>19129</v>
      </c>
    </row>
    <row r="2046" spans="1:28" x14ac:dyDescent="0.25">
      <c r="A2046" t="s">
        <v>2050</v>
      </c>
      <c r="B2046">
        <v>0.99876560204751996</v>
      </c>
      <c r="C2046">
        <v>0.87908769712106105</v>
      </c>
      <c r="D2046">
        <v>0.93580149885852504</v>
      </c>
      <c r="E2046">
        <v>0.82430028945622202</v>
      </c>
      <c r="F2046">
        <v>0.62524840698128203</v>
      </c>
      <c r="G2046">
        <v>0.35204116389305401</v>
      </c>
      <c r="H2046">
        <v>8.8422658310437705E-2</v>
      </c>
      <c r="I2046">
        <v>7.0927203097018096E-2</v>
      </c>
      <c r="J2046">
        <v>7.7162846346121097E-2</v>
      </c>
      <c r="K2046">
        <v>7.0731146552442795E-2</v>
      </c>
      <c r="L2046">
        <v>943.80990954685501</v>
      </c>
      <c r="M2046">
        <v>17.371994382469801</v>
      </c>
      <c r="N2046">
        <v>54.472663567573697</v>
      </c>
      <c r="O2046">
        <v>53.624801943026299</v>
      </c>
      <c r="P2046">
        <v>-7.9184534162030196E-2</v>
      </c>
      <c r="Q2046">
        <v>2.2331251399339801E-2</v>
      </c>
      <c r="R2046">
        <v>0.98667290780717798</v>
      </c>
      <c r="S2046" t="s">
        <v>6342</v>
      </c>
      <c r="T2046" t="s">
        <v>8590</v>
      </c>
      <c r="U2046" t="s">
        <v>8590</v>
      </c>
      <c r="V2046" t="s">
        <v>8590</v>
      </c>
      <c r="W2046">
        <v>4</v>
      </c>
      <c r="X2046" t="s">
        <v>10636</v>
      </c>
      <c r="Y2046">
        <v>0.50560265394247872</v>
      </c>
      <c r="Z2046" t="str">
        <f>HYPERLINK("Melting_Curves/meltCurve_sp_Q5VYX0_2_RNLS_HUMAN_.pdf", "Melting_Curves/meltCurve_sp_Q5VYX0_2_RNLS_HUMAN_.pdf")</f>
        <v>Melting_Curves/meltCurve_sp_Q5VYX0_2_RNLS_HUMAN_.pdf</v>
      </c>
      <c r="AA2046" t="s">
        <v>14893</v>
      </c>
      <c r="AB2046" t="s">
        <v>19130</v>
      </c>
    </row>
    <row r="2047" spans="1:28" x14ac:dyDescent="0.25">
      <c r="A2047" t="s">
        <v>2051</v>
      </c>
      <c r="B2047">
        <v>0.99876560204751996</v>
      </c>
      <c r="C2047">
        <v>0.85880419395366903</v>
      </c>
      <c r="D2047">
        <v>0.94757388922192798</v>
      </c>
      <c r="E2047">
        <v>0.76179915532278297</v>
      </c>
      <c r="F2047">
        <v>0.69020142165735798</v>
      </c>
      <c r="G2047">
        <v>0.59017689027733</v>
      </c>
      <c r="H2047">
        <v>0.56379184175823904</v>
      </c>
      <c r="I2047">
        <v>0.52666595731202803</v>
      </c>
      <c r="J2047">
        <v>0.63056696709660598</v>
      </c>
      <c r="K2047">
        <v>0.67499613569954697</v>
      </c>
      <c r="L2047">
        <v>821.13731769438402</v>
      </c>
      <c r="M2047">
        <v>16.765282123418501</v>
      </c>
      <c r="O2047">
        <v>48.297511552831097</v>
      </c>
      <c r="P2047">
        <v>-3.5744399506302003E-2</v>
      </c>
      <c r="Q2047">
        <v>0.58813626039510003</v>
      </c>
      <c r="R2047">
        <v>0.87442099419576202</v>
      </c>
      <c r="S2047" t="s">
        <v>6343</v>
      </c>
      <c r="T2047" t="s">
        <v>8590</v>
      </c>
      <c r="U2047" t="s">
        <v>8590</v>
      </c>
      <c r="V2047" t="s">
        <v>8590</v>
      </c>
      <c r="W2047">
        <v>4</v>
      </c>
      <c r="X2047" t="s">
        <v>10637</v>
      </c>
      <c r="Y2047">
        <v>0.71961324282154593</v>
      </c>
      <c r="Z2047" t="str">
        <f>HYPERLINK("Melting_Curves/meltCurve_sp_Q5VZK9_LR16A_HUMAN_.pdf", "Melting_Curves/meltCurve_sp_Q5VZK9_LR16A_HUMAN_.pdf")</f>
        <v>Melting_Curves/meltCurve_sp_Q5VZK9_LR16A_HUMAN_.pdf</v>
      </c>
      <c r="AA2047" t="s">
        <v>14894</v>
      </c>
      <c r="AB2047" t="s">
        <v>19131</v>
      </c>
    </row>
    <row r="2048" spans="1:28" x14ac:dyDescent="0.25">
      <c r="A2048" t="s">
        <v>2052</v>
      </c>
      <c r="B2048">
        <v>0.99876560204751996</v>
      </c>
      <c r="C2048">
        <v>1.0471959714143999</v>
      </c>
      <c r="D2048">
        <v>1.0205547847574701</v>
      </c>
      <c r="E2048">
        <v>0.96666559360566295</v>
      </c>
      <c r="F2048">
        <v>0.90561231629762395</v>
      </c>
      <c r="G2048">
        <v>0.674345354019804</v>
      </c>
      <c r="H2048">
        <v>0.25768655351112701</v>
      </c>
      <c r="I2048">
        <v>0.101132420706808</v>
      </c>
      <c r="J2048">
        <v>6.3332559396580904E-2</v>
      </c>
      <c r="K2048">
        <v>6.65752076466056E-2</v>
      </c>
      <c r="L2048">
        <v>1546.4700640901999</v>
      </c>
      <c r="M2048">
        <v>26.541482767028</v>
      </c>
      <c r="N2048">
        <v>58.4357525241074</v>
      </c>
      <c r="O2048">
        <v>57.938403020202699</v>
      </c>
      <c r="P2048">
        <v>-0.110280298797165</v>
      </c>
      <c r="Q2048">
        <v>3.7070127846131701E-2</v>
      </c>
      <c r="R2048">
        <v>0.99703840679603295</v>
      </c>
      <c r="S2048" t="s">
        <v>6344</v>
      </c>
      <c r="T2048" t="s">
        <v>8590</v>
      </c>
      <c r="U2048" t="s">
        <v>8590</v>
      </c>
      <c r="V2048" t="s">
        <v>8590</v>
      </c>
      <c r="W2048">
        <v>6</v>
      </c>
      <c r="X2048" t="s">
        <v>10638</v>
      </c>
      <c r="Y2048">
        <v>0.63097742828694814</v>
      </c>
      <c r="Z2048" t="str">
        <f>HYPERLINK("Melting_Curves/meltCurve_sp_Q5W0V3_F16B1_HUMAN_.pdf", "Melting_Curves/meltCurve_sp_Q5W0V3_F16B1_HUMAN_.pdf")</f>
        <v>Melting_Curves/meltCurve_sp_Q5W0V3_F16B1_HUMAN_.pdf</v>
      </c>
      <c r="AA2048" t="s">
        <v>14895</v>
      </c>
      <c r="AB2048" t="s">
        <v>19132</v>
      </c>
    </row>
    <row r="2049" spans="1:28" x14ac:dyDescent="0.25">
      <c r="A2049" t="s">
        <v>2053</v>
      </c>
      <c r="B2049">
        <v>0.99876560204751996</v>
      </c>
      <c r="C2049">
        <v>0.90168801272125998</v>
      </c>
      <c r="D2049">
        <v>0.84909441298155597</v>
      </c>
      <c r="E2049">
        <v>0.62818368861923202</v>
      </c>
      <c r="F2049">
        <v>0.35714661219875798</v>
      </c>
      <c r="G2049">
        <v>0.11539227822117901</v>
      </c>
      <c r="H2049">
        <v>5.3875428774961202E-2</v>
      </c>
      <c r="I2049">
        <v>2.0998567490401399E-2</v>
      </c>
      <c r="J2049">
        <v>1.3460718501077201E-2</v>
      </c>
      <c r="K2049">
        <v>0</v>
      </c>
      <c r="L2049">
        <v>876.63080801557601</v>
      </c>
      <c r="M2049">
        <v>17.1479190326673</v>
      </c>
      <c r="N2049">
        <v>51.121702187262599</v>
      </c>
      <c r="O2049">
        <v>50.441656301422597</v>
      </c>
      <c r="P2049">
        <v>-8.49939555864756E-2</v>
      </c>
      <c r="Q2049">
        <v>0</v>
      </c>
      <c r="R2049">
        <v>0.99560826301613503</v>
      </c>
      <c r="S2049" t="s">
        <v>6345</v>
      </c>
      <c r="T2049" t="s">
        <v>8590</v>
      </c>
      <c r="U2049" t="s">
        <v>8590</v>
      </c>
      <c r="V2049" t="s">
        <v>8590</v>
      </c>
      <c r="W2049">
        <v>2</v>
      </c>
      <c r="X2049" t="s">
        <v>10639</v>
      </c>
      <c r="Y2049">
        <v>0.38906001971537962</v>
      </c>
      <c r="Z2049" t="str">
        <f>HYPERLINK("Melting_Curves/meltCurve_sp_Q5W111_SPRY7_HUMAN_.pdf", "Melting_Curves/meltCurve_sp_Q5W111_SPRY7_HUMAN_.pdf")</f>
        <v>Melting_Curves/meltCurve_sp_Q5W111_SPRY7_HUMAN_.pdf</v>
      </c>
      <c r="AA2049" t="s">
        <v>14896</v>
      </c>
      <c r="AB2049" t="s">
        <v>19133</v>
      </c>
    </row>
    <row r="2050" spans="1:28" x14ac:dyDescent="0.25">
      <c r="A2050" t="s">
        <v>2054</v>
      </c>
      <c r="B2050">
        <v>0.99876560204751996</v>
      </c>
      <c r="C2050">
        <v>0.96675599887833596</v>
      </c>
      <c r="D2050">
        <v>0.77847181396647303</v>
      </c>
      <c r="E2050">
        <v>0.90383808410550304</v>
      </c>
      <c r="F2050">
        <v>0.38021558305234998</v>
      </c>
      <c r="G2050">
        <v>0.207250623405978</v>
      </c>
      <c r="H2050">
        <v>0.178140769784848</v>
      </c>
      <c r="I2050">
        <v>0.18447759193670701</v>
      </c>
      <c r="J2050">
        <v>0.16075480469074599</v>
      </c>
      <c r="K2050">
        <v>9.0948317775456103E-2</v>
      </c>
      <c r="L2050">
        <v>2546.6259918236301</v>
      </c>
      <c r="M2050">
        <v>49.039312665445998</v>
      </c>
      <c r="N2050">
        <v>52.345297883016897</v>
      </c>
      <c r="O2050">
        <v>51.844159235568</v>
      </c>
      <c r="P2050">
        <v>-0.198387656589009</v>
      </c>
      <c r="Q2050">
        <v>0.16106233457235899</v>
      </c>
      <c r="R2050">
        <v>0.95601269967931302</v>
      </c>
      <c r="S2050" t="s">
        <v>6346</v>
      </c>
      <c r="T2050" t="s">
        <v>8590</v>
      </c>
      <c r="U2050" t="s">
        <v>8590</v>
      </c>
      <c r="V2050" t="s">
        <v>8590</v>
      </c>
      <c r="W2050">
        <v>2</v>
      </c>
      <c r="X2050" t="s">
        <v>10640</v>
      </c>
      <c r="Y2050">
        <v>0.4966861712915232</v>
      </c>
      <c r="Z2050" t="str">
        <f>HYPERLINK("Melting_Curves/meltCurve_sp_Q5XPI4_RN123_HUMAN_.pdf", "Melting_Curves/meltCurve_sp_Q5XPI4_RN123_HUMAN_.pdf")</f>
        <v>Melting_Curves/meltCurve_sp_Q5XPI4_RN123_HUMAN_.pdf</v>
      </c>
      <c r="AA2050" t="s">
        <v>14897</v>
      </c>
      <c r="AB2050" t="s">
        <v>19134</v>
      </c>
    </row>
    <row r="2051" spans="1:28" x14ac:dyDescent="0.25">
      <c r="A2051" t="s">
        <v>2055</v>
      </c>
      <c r="B2051">
        <v>0.99876560204751996</v>
      </c>
      <c r="C2051">
        <v>0.82883675790760603</v>
      </c>
      <c r="D2051">
        <v>0.91816086709671796</v>
      </c>
      <c r="E2051">
        <v>0.63154581934352005</v>
      </c>
      <c r="F2051">
        <v>0.20665962818153799</v>
      </c>
      <c r="G2051">
        <v>9.75193258153048E-2</v>
      </c>
      <c r="H2051">
        <v>6.2942071588868206E-2</v>
      </c>
      <c r="I2051">
        <v>4.2857190806584101E-2</v>
      </c>
      <c r="J2051">
        <v>3.1722981000996901E-2</v>
      </c>
      <c r="K2051">
        <v>1.36432405438991E-2</v>
      </c>
      <c r="L2051">
        <v>1358.6561474473899</v>
      </c>
      <c r="M2051">
        <v>26.857417609834499</v>
      </c>
      <c r="N2051">
        <v>50.7171781548955</v>
      </c>
      <c r="O2051">
        <v>50.309780353945399</v>
      </c>
      <c r="P2051">
        <v>-0.12904096182705399</v>
      </c>
      <c r="Q2051">
        <v>3.3122712048283598E-2</v>
      </c>
      <c r="R2051">
        <v>0.97889447055364098</v>
      </c>
      <c r="S2051" t="s">
        <v>6347</v>
      </c>
      <c r="T2051" t="s">
        <v>8590</v>
      </c>
      <c r="U2051" t="s">
        <v>8590</v>
      </c>
      <c r="V2051" t="s">
        <v>8590</v>
      </c>
      <c r="W2051">
        <v>2</v>
      </c>
      <c r="X2051" t="s">
        <v>10641</v>
      </c>
      <c r="Y2051">
        <v>0.38189621552216141</v>
      </c>
      <c r="Z2051" t="str">
        <f>HYPERLINK("Melting_Curves/meltCurve_sp_Q63HM1_KFA_HUMAN_.pdf", "Melting_Curves/meltCurve_sp_Q63HM1_KFA_HUMAN_.pdf")</f>
        <v>Melting_Curves/meltCurve_sp_Q63HM1_KFA_HUMAN_.pdf</v>
      </c>
      <c r="AA2051" t="s">
        <v>14898</v>
      </c>
      <c r="AB2051" t="s">
        <v>19135</v>
      </c>
    </row>
    <row r="2052" spans="1:28" x14ac:dyDescent="0.25">
      <c r="A2052" t="s">
        <v>2056</v>
      </c>
      <c r="B2052">
        <v>0.99876560204751996</v>
      </c>
      <c r="C2052">
        <v>0.96130431025963003</v>
      </c>
      <c r="D2052">
        <v>0.81977913011620496</v>
      </c>
      <c r="E2052">
        <v>0.411876394946257</v>
      </c>
      <c r="F2052">
        <v>0.249291395118725</v>
      </c>
      <c r="G2052">
        <v>0.14983019254824601</v>
      </c>
      <c r="H2052">
        <v>9.6173795175464205E-2</v>
      </c>
      <c r="I2052">
        <v>8.1446606296195795E-2</v>
      </c>
      <c r="J2052">
        <v>9.2277001311594095E-2</v>
      </c>
      <c r="K2052">
        <v>6.03710649684671E-2</v>
      </c>
      <c r="L2052">
        <v>1031.88037026192</v>
      </c>
      <c r="M2052">
        <v>21.105124011733</v>
      </c>
      <c r="N2052">
        <v>49.314774250815702</v>
      </c>
      <c r="O2052">
        <v>48.459815821792603</v>
      </c>
      <c r="P2052">
        <v>-9.9879846924173302E-2</v>
      </c>
      <c r="Q2052">
        <v>8.2681370477914296E-2</v>
      </c>
      <c r="R2052">
        <v>0.99824251823557097</v>
      </c>
      <c r="S2052" t="s">
        <v>6348</v>
      </c>
      <c r="T2052" t="s">
        <v>8590</v>
      </c>
      <c r="U2052" t="s">
        <v>8590</v>
      </c>
      <c r="V2052" t="s">
        <v>8590</v>
      </c>
      <c r="W2052">
        <v>13</v>
      </c>
      <c r="X2052" t="s">
        <v>10642</v>
      </c>
      <c r="Y2052">
        <v>0.36610830396161481</v>
      </c>
      <c r="Z2052" t="str">
        <f>HYPERLINK("Melting_Curves/meltCurve_sp_Q63HN8_RN213_HUMAN_.pdf", "Melting_Curves/meltCurve_sp_Q63HN8_RN213_HUMAN_.pdf")</f>
        <v>Melting_Curves/meltCurve_sp_Q63HN8_RN213_HUMAN_.pdf</v>
      </c>
      <c r="AA2052" t="s">
        <v>14899</v>
      </c>
      <c r="AB2052" t="s">
        <v>19136</v>
      </c>
    </row>
    <row r="2053" spans="1:28" x14ac:dyDescent="0.25">
      <c r="A2053" t="s">
        <v>2057</v>
      </c>
      <c r="B2053">
        <v>0.99876560204751996</v>
      </c>
      <c r="C2053">
        <v>1.0549118291655499</v>
      </c>
      <c r="D2053">
        <v>1.0290043465985601</v>
      </c>
      <c r="E2053">
        <v>0.80364272135213199</v>
      </c>
      <c r="F2053">
        <v>0.53901710838324801</v>
      </c>
      <c r="G2053">
        <v>0.26658536905958602</v>
      </c>
      <c r="H2053">
        <v>0.20641299927206999</v>
      </c>
      <c r="I2053">
        <v>0.19849420564923501</v>
      </c>
      <c r="J2053">
        <v>0.27840809434722602</v>
      </c>
      <c r="K2053">
        <v>0.22242609852047099</v>
      </c>
      <c r="L2053">
        <v>1540.2602717723501</v>
      </c>
      <c r="M2053">
        <v>29.540437622448401</v>
      </c>
      <c r="N2053">
        <v>53.195050244910597</v>
      </c>
      <c r="O2053">
        <v>51.903550565656801</v>
      </c>
      <c r="P2053">
        <v>-0.11075823675918001</v>
      </c>
      <c r="Q2053">
        <v>0.22158153855360499</v>
      </c>
      <c r="R2053">
        <v>0.99143581641692402</v>
      </c>
      <c r="S2053" t="s">
        <v>6349</v>
      </c>
      <c r="T2053" t="s">
        <v>8590</v>
      </c>
      <c r="U2053" t="s">
        <v>8590</v>
      </c>
      <c r="V2053" t="s">
        <v>8590</v>
      </c>
      <c r="W2053">
        <v>12</v>
      </c>
      <c r="X2053" t="s">
        <v>10643</v>
      </c>
      <c r="Y2053">
        <v>0.54173971377766261</v>
      </c>
      <c r="Z2053" t="str">
        <f>HYPERLINK("Melting_Curves/meltCurve_sp_Q63ZY3_3_KANK2_HUMAN_.pdf", "Melting_Curves/meltCurve_sp_Q63ZY3_3_KANK2_HUMAN_.pdf")</f>
        <v>Melting_Curves/meltCurve_sp_Q63ZY3_3_KANK2_HUMAN_.pdf</v>
      </c>
      <c r="AA2053" t="s">
        <v>14900</v>
      </c>
      <c r="AB2053" t="s">
        <v>19137</v>
      </c>
    </row>
    <row r="2054" spans="1:28" x14ac:dyDescent="0.25">
      <c r="A2054" t="s">
        <v>2058</v>
      </c>
      <c r="B2054">
        <v>0.99876560204751996</v>
      </c>
      <c r="C2054">
        <v>1.07158632323582</v>
      </c>
      <c r="D2054">
        <v>0.94013341969584296</v>
      </c>
      <c r="E2054">
        <v>0.89678984631180403</v>
      </c>
      <c r="F2054">
        <v>0.66620943081142303</v>
      </c>
      <c r="G2054">
        <v>0.404318650540748</v>
      </c>
      <c r="H2054">
        <v>0.18778091009214301</v>
      </c>
      <c r="I2054">
        <v>0.140253027243671</v>
      </c>
      <c r="J2054">
        <v>0.12415962479744599</v>
      </c>
      <c r="K2054">
        <v>0.120937810832074</v>
      </c>
      <c r="L2054">
        <v>1068.0786398846601</v>
      </c>
      <c r="M2054">
        <v>19.518870371350499</v>
      </c>
      <c r="N2054">
        <v>55.338851076602197</v>
      </c>
      <c r="O2054">
        <v>54.155658034730898</v>
      </c>
      <c r="P2054">
        <v>-8.1277720022799593E-2</v>
      </c>
      <c r="Q2054">
        <v>9.8003081341454704E-2</v>
      </c>
      <c r="R2054">
        <v>0.993756869776247</v>
      </c>
      <c r="S2054" t="s">
        <v>6350</v>
      </c>
      <c r="T2054" t="s">
        <v>8590</v>
      </c>
      <c r="U2054" t="s">
        <v>8590</v>
      </c>
      <c r="V2054" t="s">
        <v>8590</v>
      </c>
      <c r="W2054">
        <v>6</v>
      </c>
      <c r="X2054" t="s">
        <v>10644</v>
      </c>
      <c r="Y2054">
        <v>0.55313870983222191</v>
      </c>
      <c r="Z2054" t="str">
        <f>HYPERLINK("Melting_Curves/meltCurve_sp_Q658Y4_F91A1_HUMAN_.pdf", "Melting_Curves/meltCurve_sp_Q658Y4_F91A1_HUMAN_.pdf")</f>
        <v>Melting_Curves/meltCurve_sp_Q658Y4_F91A1_HUMAN_.pdf</v>
      </c>
      <c r="AA2054" t="s">
        <v>14901</v>
      </c>
      <c r="AB2054" t="s">
        <v>19138</v>
      </c>
    </row>
    <row r="2055" spans="1:28" x14ac:dyDescent="0.25">
      <c r="A2055" t="s">
        <v>2059</v>
      </c>
      <c r="B2055">
        <v>0.99876560204751996</v>
      </c>
      <c r="C2055">
        <v>1.00142093612021</v>
      </c>
      <c r="D2055">
        <v>0.90534012890807203</v>
      </c>
      <c r="E2055">
        <v>0.720596666022568</v>
      </c>
      <c r="F2055">
        <v>0.335840063227758</v>
      </c>
      <c r="G2055">
        <v>0.14384293271666701</v>
      </c>
      <c r="H2055">
        <v>7.8847303599681104E-2</v>
      </c>
      <c r="I2055">
        <v>4.95827803408996E-2</v>
      </c>
      <c r="J2055">
        <v>5.8901495615054499E-2</v>
      </c>
      <c r="K2055">
        <v>5.9651616093137703E-2</v>
      </c>
      <c r="L2055">
        <v>1287.6879968328601</v>
      </c>
      <c r="M2055">
        <v>25.034667394585199</v>
      </c>
      <c r="N2055">
        <v>51.677514053630098</v>
      </c>
      <c r="O2055">
        <v>51.111363174123603</v>
      </c>
      <c r="P2055">
        <v>-0.115698316609743</v>
      </c>
      <c r="Q2055">
        <v>5.5163074320179098E-2</v>
      </c>
      <c r="R2055">
        <v>0.99732604049988005</v>
      </c>
      <c r="S2055" t="s">
        <v>6351</v>
      </c>
      <c r="T2055" t="s">
        <v>8590</v>
      </c>
      <c r="U2055" t="s">
        <v>8590</v>
      </c>
      <c r="V2055" t="s">
        <v>8590</v>
      </c>
      <c r="W2055">
        <v>10</v>
      </c>
      <c r="X2055" t="s">
        <v>10645</v>
      </c>
      <c r="Y2055">
        <v>0.42389373164905059</v>
      </c>
      <c r="Z2055" t="str">
        <f>HYPERLINK("Melting_Curves/meltCurve_sp_Q66K14_2_TBC9B_HUMAN_.pdf", "Melting_Curves/meltCurve_sp_Q66K14_2_TBC9B_HUMAN_.pdf")</f>
        <v>Melting_Curves/meltCurve_sp_Q66K14_2_TBC9B_HUMAN_.pdf</v>
      </c>
      <c r="AA2055" t="s">
        <v>14902</v>
      </c>
      <c r="AB2055" t="s">
        <v>19139</v>
      </c>
    </row>
    <row r="2056" spans="1:28" x14ac:dyDescent="0.25">
      <c r="A2056" t="s">
        <v>2060</v>
      </c>
      <c r="B2056">
        <v>0.99876560204751996</v>
      </c>
      <c r="C2056">
        <v>1.2769548462538101</v>
      </c>
      <c r="D2056">
        <v>0.45429914434739999</v>
      </c>
      <c r="E2056">
        <v>0.34745605296510101</v>
      </c>
      <c r="F2056">
        <v>0.161829012203278</v>
      </c>
      <c r="G2056">
        <v>9.0814464469522502E-2</v>
      </c>
      <c r="H2056">
        <v>6.0006242688115601E-2</v>
      </c>
      <c r="I2056">
        <v>4.5245019482820802E-2</v>
      </c>
      <c r="J2056">
        <v>1.4180455376098799E-2</v>
      </c>
      <c r="K2056">
        <v>4.7457615957449698E-2</v>
      </c>
      <c r="L2056">
        <v>11478.8716798926</v>
      </c>
      <c r="M2056">
        <v>250</v>
      </c>
      <c r="N2056">
        <v>45.960944651405697</v>
      </c>
      <c r="O2056">
        <v>45.912548977764303</v>
      </c>
      <c r="P2056">
        <v>-1.2121279938548499</v>
      </c>
      <c r="Q2056">
        <v>0.10956983744467801</v>
      </c>
      <c r="R2056">
        <v>0.91214698059191501</v>
      </c>
      <c r="S2056" t="s">
        <v>6352</v>
      </c>
      <c r="T2056" t="s">
        <v>8590</v>
      </c>
      <c r="U2056" t="s">
        <v>8590</v>
      </c>
      <c r="V2056" t="s">
        <v>8590</v>
      </c>
      <c r="W2056">
        <v>3</v>
      </c>
      <c r="X2056" t="s">
        <v>10646</v>
      </c>
      <c r="Y2056">
        <v>0.28521918254277401</v>
      </c>
      <c r="Z2056" t="str">
        <f>HYPERLINK("Melting_Curves/meltCurve_sp_Q66PJ3_5_AR6P4_HUMAN_.pdf", "Melting_Curves/meltCurve_sp_Q66PJ3_5_AR6P4_HUMAN_.pdf")</f>
        <v>Melting_Curves/meltCurve_sp_Q66PJ3_5_AR6P4_HUMAN_.pdf</v>
      </c>
      <c r="AA2056" t="s">
        <v>14903</v>
      </c>
      <c r="AB2056" t="s">
        <v>19140</v>
      </c>
    </row>
    <row r="2057" spans="1:28" x14ac:dyDescent="0.25">
      <c r="A2057" t="s">
        <v>2061</v>
      </c>
      <c r="B2057">
        <v>0.99876560204751996</v>
      </c>
      <c r="C2057">
        <v>1.0887587679197701</v>
      </c>
      <c r="D2057">
        <v>1.0939823253902199</v>
      </c>
      <c r="E2057">
        <v>0.90412074648454999</v>
      </c>
      <c r="F2057">
        <v>0.83681786896438204</v>
      </c>
      <c r="G2057">
        <v>0.60405716097268103</v>
      </c>
      <c r="H2057">
        <v>0.39671241279774999</v>
      </c>
      <c r="I2057">
        <v>0.40555395838064801</v>
      </c>
      <c r="J2057">
        <v>0.49113704511528</v>
      </c>
      <c r="K2057">
        <v>0.43951277016887602</v>
      </c>
      <c r="L2057">
        <v>1448.6745082979501</v>
      </c>
      <c r="M2057">
        <v>26.462853275914899</v>
      </c>
      <c r="N2057">
        <v>58.996127476454497</v>
      </c>
      <c r="O2057">
        <v>54.433966938283199</v>
      </c>
      <c r="P2057">
        <v>-6.9790713968166801E-2</v>
      </c>
      <c r="Q2057">
        <v>0.42576963485355801</v>
      </c>
      <c r="R2057">
        <v>0.959579837408994</v>
      </c>
      <c r="S2057" t="s">
        <v>6353</v>
      </c>
      <c r="T2057" t="s">
        <v>8590</v>
      </c>
      <c r="U2057" t="s">
        <v>8590</v>
      </c>
      <c r="V2057" t="s">
        <v>8590</v>
      </c>
      <c r="W2057">
        <v>5</v>
      </c>
      <c r="X2057" t="s">
        <v>10647</v>
      </c>
      <c r="Y2057">
        <v>0.71277942384215487</v>
      </c>
      <c r="Z2057" t="str">
        <f>HYPERLINK("Melting_Curves/meltCurve_sp_Q66PJ3_AR6P4_HUMAN_.pdf", "Melting_Curves/meltCurve_sp_Q66PJ3_AR6P4_HUMAN_.pdf")</f>
        <v>Melting_Curves/meltCurve_sp_Q66PJ3_AR6P4_HUMAN_.pdf</v>
      </c>
      <c r="AA2057" t="s">
        <v>14903</v>
      </c>
      <c r="AB2057" t="s">
        <v>19141</v>
      </c>
    </row>
    <row r="2058" spans="1:28" x14ac:dyDescent="0.25">
      <c r="A2058" t="s">
        <v>2062</v>
      </c>
      <c r="B2058">
        <v>0.99876560204751996</v>
      </c>
      <c r="C2058">
        <v>0.95302421030985696</v>
      </c>
      <c r="D2058">
        <v>0.94860561479302996</v>
      </c>
      <c r="E2058">
        <v>0.92510341875285595</v>
      </c>
      <c r="F2058">
        <v>0.84115788926344304</v>
      </c>
      <c r="G2058">
        <v>0.54836818532426301</v>
      </c>
      <c r="H2058">
        <v>0.36141566388900098</v>
      </c>
      <c r="I2058">
        <v>0.26133740726672</v>
      </c>
      <c r="J2058">
        <v>0.248282664810341</v>
      </c>
      <c r="K2058">
        <v>0.19007764985712</v>
      </c>
      <c r="L2058">
        <v>1026.74643591216</v>
      </c>
      <c r="M2058">
        <v>18.132812501206601</v>
      </c>
      <c r="N2058">
        <v>58.046983329219699</v>
      </c>
      <c r="O2058">
        <v>55.948466441773597</v>
      </c>
      <c r="P2058">
        <v>-6.6486738384361602E-2</v>
      </c>
      <c r="Q2058">
        <v>0.17946479283980599</v>
      </c>
      <c r="R2058">
        <v>0.99485162542733097</v>
      </c>
      <c r="S2058" t="s">
        <v>6354</v>
      </c>
      <c r="T2058" t="s">
        <v>8590</v>
      </c>
      <c r="U2058" t="s">
        <v>8590</v>
      </c>
      <c r="V2058" t="s">
        <v>8590</v>
      </c>
      <c r="W2058">
        <v>11</v>
      </c>
      <c r="X2058" t="s">
        <v>10648</v>
      </c>
      <c r="Y2058">
        <v>0.6456515307721109</v>
      </c>
      <c r="Z2058" t="str">
        <f>HYPERLINK("Melting_Curves/meltCurve_sp_Q676U5_2_A16L1_HUMAN_.pdf", "Melting_Curves/meltCurve_sp_Q676U5_2_A16L1_HUMAN_.pdf")</f>
        <v>Melting_Curves/meltCurve_sp_Q676U5_2_A16L1_HUMAN_.pdf</v>
      </c>
      <c r="AA2058" t="s">
        <v>14904</v>
      </c>
      <c r="AB2058" t="s">
        <v>19142</v>
      </c>
    </row>
    <row r="2059" spans="1:28" x14ac:dyDescent="0.25">
      <c r="A2059" t="s">
        <v>2063</v>
      </c>
      <c r="B2059">
        <v>0.99876560204751996</v>
      </c>
      <c r="C2059">
        <v>0.89839864527326496</v>
      </c>
      <c r="D2059">
        <v>0.75975494111897501</v>
      </c>
      <c r="E2059">
        <v>0.36953516632997002</v>
      </c>
      <c r="F2059">
        <v>0.18583533186109899</v>
      </c>
      <c r="G2059">
        <v>7.9934444737710997E-2</v>
      </c>
      <c r="H2059">
        <v>4.6895358005126099E-2</v>
      </c>
      <c r="I2059">
        <v>3.5390256635565699E-2</v>
      </c>
      <c r="J2059">
        <v>3.2491977668105798E-2</v>
      </c>
      <c r="K2059">
        <v>2.19704172247829E-2</v>
      </c>
      <c r="L2059">
        <v>923.914162234586</v>
      </c>
      <c r="M2059">
        <v>19.052185319695599</v>
      </c>
      <c r="N2059">
        <v>48.6239551470671</v>
      </c>
      <c r="O2059">
        <v>47.969090978768101</v>
      </c>
      <c r="P2059">
        <v>-9.6830711357800206E-2</v>
      </c>
      <c r="Q2059">
        <v>2.4847180909120501E-2</v>
      </c>
      <c r="R2059">
        <v>0.99907174903683305</v>
      </c>
      <c r="S2059" t="s">
        <v>6355</v>
      </c>
      <c r="T2059" t="s">
        <v>8590</v>
      </c>
      <c r="U2059" t="s">
        <v>8590</v>
      </c>
      <c r="V2059" t="s">
        <v>8590</v>
      </c>
      <c r="W2059">
        <v>33</v>
      </c>
      <c r="X2059" t="s">
        <v>10649</v>
      </c>
      <c r="Y2059">
        <v>0.31613440366008261</v>
      </c>
      <c r="Z2059" t="str">
        <f>HYPERLINK("Melting_Curves/meltCurve_sp_Q68CK6_ACS2B_HUMAN_.pdf", "Melting_Curves/meltCurve_sp_Q68CK6_ACS2B_HUMAN_.pdf")</f>
        <v>Melting_Curves/meltCurve_sp_Q68CK6_ACS2B_HUMAN_.pdf</v>
      </c>
      <c r="AA2059" t="s">
        <v>14905</v>
      </c>
      <c r="AB2059" t="s">
        <v>19143</v>
      </c>
    </row>
    <row r="2060" spans="1:28" x14ac:dyDescent="0.25">
      <c r="A2060" t="s">
        <v>2064</v>
      </c>
      <c r="B2060">
        <v>0.99876560204751996</v>
      </c>
      <c r="C2060">
        <v>1.06485263535067</v>
      </c>
      <c r="D2060">
        <v>0.98891874159566995</v>
      </c>
      <c r="E2060">
        <v>0.77514081130202095</v>
      </c>
      <c r="F2060">
        <v>0.59582291584190805</v>
      </c>
      <c r="G2060">
        <v>0.42778784940502002</v>
      </c>
      <c r="H2060">
        <v>0.36800950070249699</v>
      </c>
      <c r="I2060">
        <v>0.33557417964889102</v>
      </c>
      <c r="J2060">
        <v>0.37435213421267199</v>
      </c>
      <c r="K2060">
        <v>0.30391533098842199</v>
      </c>
      <c r="L2060">
        <v>1146.12123448435</v>
      </c>
      <c r="M2060">
        <v>22.105516216395301</v>
      </c>
      <c r="N2060">
        <v>54.627117527230098</v>
      </c>
      <c r="O2060">
        <v>51.429029031330501</v>
      </c>
      <c r="P2060">
        <v>-7.1177934219159897E-2</v>
      </c>
      <c r="Q2060">
        <v>0.33762553884239299</v>
      </c>
      <c r="R2060">
        <v>0.98939477948160903</v>
      </c>
      <c r="S2060" t="s">
        <v>6356</v>
      </c>
      <c r="T2060" t="s">
        <v>8590</v>
      </c>
      <c r="U2060" t="s">
        <v>8590</v>
      </c>
      <c r="V2060" t="s">
        <v>8590</v>
      </c>
      <c r="W2060">
        <v>14</v>
      </c>
      <c r="X2060" t="s">
        <v>10650</v>
      </c>
      <c r="Y2060">
        <v>0.60684405956519571</v>
      </c>
      <c r="Z2060" t="str">
        <f>HYPERLINK("Melting_Curves/meltCurve_sp_Q68CZ2_TENS3_HUMAN_.pdf", "Melting_Curves/meltCurve_sp_Q68CZ2_TENS3_HUMAN_.pdf")</f>
        <v>Melting_Curves/meltCurve_sp_Q68CZ2_TENS3_HUMAN_.pdf</v>
      </c>
      <c r="AA2060" t="s">
        <v>14906</v>
      </c>
      <c r="AB2060" t="s">
        <v>19144</v>
      </c>
    </row>
    <row r="2061" spans="1:28" x14ac:dyDescent="0.25">
      <c r="A2061" t="s">
        <v>2065</v>
      </c>
      <c r="B2061">
        <v>0.99876560204751996</v>
      </c>
      <c r="C2061">
        <v>0.94496853942659997</v>
      </c>
      <c r="D2061">
        <v>0.71373079616453905</v>
      </c>
      <c r="E2061">
        <v>0.56047448979015801</v>
      </c>
      <c r="F2061">
        <v>0.40665505646230998</v>
      </c>
      <c r="G2061">
        <v>0.233858066955654</v>
      </c>
      <c r="H2061">
        <v>0.143707754289183</v>
      </c>
      <c r="I2061">
        <v>0.10029258877342299</v>
      </c>
      <c r="J2061">
        <v>0.116015359598892</v>
      </c>
      <c r="K2061">
        <v>6.2014338904524902E-2</v>
      </c>
      <c r="L2061">
        <v>612.48797582033205</v>
      </c>
      <c r="M2061">
        <v>12.130680130505301</v>
      </c>
      <c r="N2061">
        <v>50.881831622496598</v>
      </c>
      <c r="O2061">
        <v>49.177448382390502</v>
      </c>
      <c r="P2061">
        <v>-5.89370533786873E-2</v>
      </c>
      <c r="Q2061">
        <v>4.4503856756926398E-2</v>
      </c>
      <c r="R2061">
        <v>0.99238878873084901</v>
      </c>
      <c r="S2061" t="s">
        <v>6357</v>
      </c>
      <c r="T2061" t="s">
        <v>8590</v>
      </c>
      <c r="U2061" t="s">
        <v>8590</v>
      </c>
      <c r="V2061" t="s">
        <v>8590</v>
      </c>
      <c r="W2061">
        <v>4</v>
      </c>
      <c r="X2061" t="s">
        <v>10651</v>
      </c>
      <c r="Y2061">
        <v>0.41024639442751709</v>
      </c>
      <c r="Z2061" t="str">
        <f>HYPERLINK("Melting_Curves/meltCurve_sp_Q68E01_2_INT3_HUMAN_.pdf", "Melting_Curves/meltCurve_sp_Q68E01_2_INT3_HUMAN_.pdf")</f>
        <v>Melting_Curves/meltCurve_sp_Q68E01_2_INT3_HUMAN_.pdf</v>
      </c>
      <c r="AA2061" t="s">
        <v>14907</v>
      </c>
      <c r="AB2061" t="s">
        <v>19145</v>
      </c>
    </row>
    <row r="2062" spans="1:28" x14ac:dyDescent="0.25">
      <c r="A2062" t="s">
        <v>2066</v>
      </c>
      <c r="B2062">
        <v>0.99876560204751996</v>
      </c>
      <c r="C2062">
        <v>1.0154894096356899</v>
      </c>
      <c r="D2062">
        <v>0.91894843794808601</v>
      </c>
      <c r="E2062">
        <v>0.68949532387835899</v>
      </c>
      <c r="F2062">
        <v>0.21931863549084801</v>
      </c>
      <c r="G2062">
        <v>0.15349726452404899</v>
      </c>
      <c r="H2062">
        <v>9.8531703611773006E-2</v>
      </c>
      <c r="I2062">
        <v>9.6876117391851702E-2</v>
      </c>
      <c r="J2062">
        <v>0.105241911578816</v>
      </c>
      <c r="K2062">
        <v>9.7449338508569294E-2</v>
      </c>
      <c r="L2062">
        <v>2035.2546131105901</v>
      </c>
      <c r="M2062">
        <v>40.139328161546203</v>
      </c>
      <c r="N2062">
        <v>51.005188045010001</v>
      </c>
      <c r="O2062">
        <v>50.579383207988002</v>
      </c>
      <c r="P2062">
        <v>-0.17751018682148301</v>
      </c>
      <c r="Q2062">
        <v>0.105282702310208</v>
      </c>
      <c r="R2062">
        <v>0.99550125011439605</v>
      </c>
      <c r="S2062" t="s">
        <v>6358</v>
      </c>
      <c r="T2062" t="s">
        <v>8590</v>
      </c>
      <c r="U2062" t="s">
        <v>8590</v>
      </c>
      <c r="V2062" t="s">
        <v>8590</v>
      </c>
      <c r="W2062">
        <v>4</v>
      </c>
      <c r="X2062" t="s">
        <v>10652</v>
      </c>
      <c r="Y2062">
        <v>0.42765431914514868</v>
      </c>
      <c r="Z2062" t="str">
        <f>HYPERLINK("Melting_Curves/meltCurve_sp_Q68EM7_6_RHG17_HUMAN_.pdf", "Melting_Curves/meltCurve_sp_Q68EM7_6_RHG17_HUMAN_.pdf")</f>
        <v>Melting_Curves/meltCurve_sp_Q68EM7_6_RHG17_HUMAN_.pdf</v>
      </c>
      <c r="AA2062" t="s">
        <v>14908</v>
      </c>
      <c r="AB2062" t="s">
        <v>19146</v>
      </c>
    </row>
    <row r="2063" spans="1:28" x14ac:dyDescent="0.25">
      <c r="A2063" t="s">
        <v>2067</v>
      </c>
      <c r="B2063">
        <v>0.99876560204751996</v>
      </c>
      <c r="C2063">
        <v>0.92402507387218702</v>
      </c>
      <c r="D2063">
        <v>1.03342946794861</v>
      </c>
      <c r="E2063">
        <v>0.82318438523010895</v>
      </c>
      <c r="F2063">
        <v>0.51114250797865601</v>
      </c>
      <c r="G2063">
        <v>0.16741998812199199</v>
      </c>
      <c r="H2063">
        <v>9.8451110897973898E-2</v>
      </c>
      <c r="I2063">
        <v>8.2296582804367094E-2</v>
      </c>
      <c r="J2063">
        <v>7.3370521487953796E-2</v>
      </c>
      <c r="K2063">
        <v>7.2660337905474701E-2</v>
      </c>
      <c r="L2063">
        <v>1485.03465900327</v>
      </c>
      <c r="M2063">
        <v>28.160887396812001</v>
      </c>
      <c r="N2063">
        <v>53.0328336192702</v>
      </c>
      <c r="O2063">
        <v>52.4701780321071</v>
      </c>
      <c r="P2063">
        <v>-0.124331266711512</v>
      </c>
      <c r="Q2063">
        <v>7.3377431522411704E-2</v>
      </c>
      <c r="R2063">
        <v>0.99496039692051597</v>
      </c>
      <c r="S2063" t="s">
        <v>6359</v>
      </c>
      <c r="T2063" t="s">
        <v>8590</v>
      </c>
      <c r="U2063" t="s">
        <v>8590</v>
      </c>
      <c r="V2063" t="s">
        <v>8590</v>
      </c>
      <c r="W2063">
        <v>8</v>
      </c>
      <c r="X2063" t="s">
        <v>10653</v>
      </c>
      <c r="Y2063">
        <v>0.47347102147848719</v>
      </c>
      <c r="Z2063" t="str">
        <f>HYPERLINK("Melting_Curves/meltCurve_sp_Q69YN2_C19L1_HUMAN_.pdf", "Melting_Curves/meltCurve_sp_Q69YN2_C19L1_HUMAN_.pdf")</f>
        <v>Melting_Curves/meltCurve_sp_Q69YN2_C19L1_HUMAN_.pdf</v>
      </c>
      <c r="AA2063" t="s">
        <v>14909</v>
      </c>
      <c r="AB2063" t="s">
        <v>19147</v>
      </c>
    </row>
    <row r="2064" spans="1:28" x14ac:dyDescent="0.25">
      <c r="A2064" t="s">
        <v>2068</v>
      </c>
      <c r="B2064">
        <v>0.99876560204751996</v>
      </c>
      <c r="C2064">
        <v>0.856830183419937</v>
      </c>
      <c r="D2064">
        <v>0.78786676446201498</v>
      </c>
      <c r="E2064">
        <v>0.72473015618265402</v>
      </c>
      <c r="F2064">
        <v>0.41438387660394499</v>
      </c>
      <c r="G2064">
        <v>0.26705207085445898</v>
      </c>
      <c r="H2064">
        <v>0.10893900952871</v>
      </c>
      <c r="I2064">
        <v>9.6102383777198805E-2</v>
      </c>
      <c r="J2064">
        <v>0.16754684133150699</v>
      </c>
      <c r="K2064">
        <v>0</v>
      </c>
      <c r="L2064">
        <v>605.77597517618506</v>
      </c>
      <c r="M2064">
        <v>11.610487175343</v>
      </c>
      <c r="N2064">
        <v>52.174921271509497</v>
      </c>
      <c r="O2064">
        <v>50.699172424039901</v>
      </c>
      <c r="P2064">
        <v>-5.72675391094545E-2</v>
      </c>
      <c r="Q2064">
        <v>0</v>
      </c>
      <c r="R2064">
        <v>0.97294560722057799</v>
      </c>
      <c r="S2064" t="s">
        <v>6360</v>
      </c>
      <c r="T2064" t="s">
        <v>8590</v>
      </c>
      <c r="U2064" t="s">
        <v>8590</v>
      </c>
      <c r="V2064" t="s">
        <v>8590</v>
      </c>
      <c r="W2064">
        <v>2</v>
      </c>
      <c r="X2064" t="s">
        <v>10654</v>
      </c>
      <c r="Y2064">
        <v>0.43733235004392118</v>
      </c>
      <c r="Z2064" t="str">
        <f>HYPERLINK("Melting_Curves/meltCurve_sp_Q69YN4_3_VIR_HUMAN_.pdf", "Melting_Curves/meltCurve_sp_Q69YN4_3_VIR_HUMAN_.pdf")</f>
        <v>Melting_Curves/meltCurve_sp_Q69YN4_3_VIR_HUMAN_.pdf</v>
      </c>
      <c r="AA2064" t="s">
        <v>14910</v>
      </c>
      <c r="AB2064" t="s">
        <v>19148</v>
      </c>
    </row>
    <row r="2065" spans="1:28" x14ac:dyDescent="0.25">
      <c r="A2065" t="s">
        <v>2069</v>
      </c>
      <c r="B2065">
        <v>0.99876560204751996</v>
      </c>
      <c r="C2065">
        <v>0.90871709493207298</v>
      </c>
      <c r="D2065">
        <v>0.78409504983591405</v>
      </c>
      <c r="E2065">
        <v>0.68654338417171501</v>
      </c>
      <c r="F2065">
        <v>0.64803711833828204</v>
      </c>
      <c r="G2065">
        <v>0.42756920995855802</v>
      </c>
      <c r="H2065">
        <v>0.376498775577008</v>
      </c>
      <c r="I2065">
        <v>0.324855229062122</v>
      </c>
      <c r="J2065">
        <v>0.46249783870632299</v>
      </c>
      <c r="K2065">
        <v>0.39416153614977301</v>
      </c>
      <c r="L2065">
        <v>587.07054008297496</v>
      </c>
      <c r="M2065">
        <v>11.737359098168</v>
      </c>
      <c r="N2065">
        <v>55.730798501372902</v>
      </c>
      <c r="O2065">
        <v>48.631614682291797</v>
      </c>
      <c r="P2065">
        <v>-3.9236008395922999E-2</v>
      </c>
      <c r="Q2065">
        <v>0.34990190493815898</v>
      </c>
      <c r="R2065">
        <v>0.95078144868308601</v>
      </c>
      <c r="S2065" t="s">
        <v>6361</v>
      </c>
      <c r="T2065" t="s">
        <v>8590</v>
      </c>
      <c r="U2065" t="s">
        <v>8590</v>
      </c>
      <c r="V2065" t="s">
        <v>8590</v>
      </c>
      <c r="W2065">
        <v>3</v>
      </c>
      <c r="X2065" t="s">
        <v>10655</v>
      </c>
      <c r="Y2065">
        <v>0.59023967524713494</v>
      </c>
      <c r="Z2065" t="str">
        <f>HYPERLINK("Melting_Curves/meltCurve_sp_Q69YQ0_2_CYTSA_HUMAN_.pdf", "Melting_Curves/meltCurve_sp_Q69YQ0_2_CYTSA_HUMAN_.pdf")</f>
        <v>Melting_Curves/meltCurve_sp_Q69YQ0_2_CYTSA_HUMAN_.pdf</v>
      </c>
      <c r="AA2065" t="s">
        <v>14911</v>
      </c>
      <c r="AB2065" t="s">
        <v>19149</v>
      </c>
    </row>
    <row r="2066" spans="1:28" x14ac:dyDescent="0.25">
      <c r="A2066" t="s">
        <v>2070</v>
      </c>
      <c r="B2066">
        <v>0.99876560204751996</v>
      </c>
      <c r="C2066">
        <v>0.92412471787777895</v>
      </c>
      <c r="D2066">
        <v>0.73988564531047396</v>
      </c>
      <c r="E2066">
        <v>0.36018760382134302</v>
      </c>
      <c r="F2066">
        <v>0.18258272580733101</v>
      </c>
      <c r="G2066">
        <v>0.115905970499475</v>
      </c>
      <c r="H2066">
        <v>8.4860491166262902E-2</v>
      </c>
      <c r="I2066">
        <v>7.9431271158449099E-2</v>
      </c>
      <c r="J2066">
        <v>8.8830953219851599E-2</v>
      </c>
      <c r="K2066">
        <v>9.1626584564523897E-2</v>
      </c>
      <c r="L2066">
        <v>1024.1535627677899</v>
      </c>
      <c r="M2066">
        <v>21.339955600292601</v>
      </c>
      <c r="N2066">
        <v>48.398095092681302</v>
      </c>
      <c r="O2066">
        <v>47.576823952716801</v>
      </c>
      <c r="P2066">
        <v>-0.10295109347003099</v>
      </c>
      <c r="Q2066">
        <v>8.1916986848267898E-2</v>
      </c>
      <c r="R2066">
        <v>0.99962199063097401</v>
      </c>
      <c r="S2066" t="s">
        <v>6362</v>
      </c>
      <c r="T2066" t="s">
        <v>8590</v>
      </c>
      <c r="U2066" t="s">
        <v>8590</v>
      </c>
      <c r="V2066" t="s">
        <v>8590</v>
      </c>
      <c r="W2066">
        <v>4</v>
      </c>
      <c r="X2066" t="s">
        <v>10656</v>
      </c>
      <c r="Y2066">
        <v>0.33787200349451718</v>
      </c>
      <c r="Z2066" t="str">
        <f>HYPERLINK("Melting_Curves/meltCurve_sp_Q6A1A2_PDPK2_HUMAN_.pdf", "Melting_Curves/meltCurve_sp_Q6A1A2_PDPK2_HUMAN_.pdf")</f>
        <v>Melting_Curves/meltCurve_sp_Q6A1A2_PDPK2_HUMAN_.pdf</v>
      </c>
      <c r="AA2066" t="s">
        <v>14912</v>
      </c>
      <c r="AB2066" t="s">
        <v>19150</v>
      </c>
    </row>
    <row r="2067" spans="1:28" x14ac:dyDescent="0.25">
      <c r="A2067" t="s">
        <v>2071</v>
      </c>
      <c r="B2067">
        <v>0.99876560204751996</v>
      </c>
      <c r="C2067">
        <v>0.73302097934827004</v>
      </c>
      <c r="D2067">
        <v>0.81179782763680497</v>
      </c>
      <c r="E2067">
        <v>0.82909172332515102</v>
      </c>
      <c r="F2067">
        <v>0.68429931141684797</v>
      </c>
      <c r="G2067">
        <v>0.40606195145472401</v>
      </c>
      <c r="H2067">
        <v>0.41277602717856798</v>
      </c>
      <c r="I2067">
        <v>0.57401535045627805</v>
      </c>
      <c r="J2067">
        <v>0.60803774608480399</v>
      </c>
      <c r="K2067">
        <v>0.55434630712857902</v>
      </c>
      <c r="L2067">
        <v>475.500501573159</v>
      </c>
      <c r="M2067">
        <v>9.9431741883356395</v>
      </c>
      <c r="O2067">
        <v>46.008110733114997</v>
      </c>
      <c r="P2067">
        <v>-2.7420408250781899E-2</v>
      </c>
      <c r="Q2067">
        <v>0.49274375404311899</v>
      </c>
      <c r="R2067">
        <v>0.671813031691747</v>
      </c>
      <c r="S2067" t="s">
        <v>6363</v>
      </c>
      <c r="T2067" t="s">
        <v>8590</v>
      </c>
      <c r="U2067" t="s">
        <v>8590</v>
      </c>
      <c r="V2067" t="s">
        <v>8590</v>
      </c>
      <c r="W2067">
        <v>1</v>
      </c>
      <c r="X2067" t="s">
        <v>10657</v>
      </c>
      <c r="Y2067">
        <v>0.65249614577111392</v>
      </c>
      <c r="Z2067" t="str">
        <f>HYPERLINK("Melting_Curves/meltCurve_sp_Q6DD87_ZN787_HUMAN_.pdf", "Melting_Curves/meltCurve_sp_Q6DD87_ZN787_HUMAN_.pdf")</f>
        <v>Melting_Curves/meltCurve_sp_Q6DD87_ZN787_HUMAN_.pdf</v>
      </c>
      <c r="AA2067" t="s">
        <v>14913</v>
      </c>
      <c r="AB2067" t="s">
        <v>19151</v>
      </c>
    </row>
    <row r="2068" spans="1:28" x14ac:dyDescent="0.25">
      <c r="A2068" t="s">
        <v>2072</v>
      </c>
      <c r="B2068">
        <v>0.99876560204751996</v>
      </c>
      <c r="C2068">
        <v>1.0528804649393799</v>
      </c>
      <c r="D2068">
        <v>0.90232323128715897</v>
      </c>
      <c r="E2068">
        <v>0.68983181974521501</v>
      </c>
      <c r="F2068">
        <v>0.379594341780638</v>
      </c>
      <c r="G2068">
        <v>0.18646884693160501</v>
      </c>
      <c r="H2068">
        <v>0.112898726037044</v>
      </c>
      <c r="I2068">
        <v>8.5172818589206903E-2</v>
      </c>
      <c r="J2068">
        <v>6.3397197123275795E-2</v>
      </c>
      <c r="K2068">
        <v>4.7683471324689697E-2</v>
      </c>
      <c r="L2068">
        <v>1072.08771889386</v>
      </c>
      <c r="M2068">
        <v>20.808287945275602</v>
      </c>
      <c r="N2068">
        <v>51.852858994858401</v>
      </c>
      <c r="O2068">
        <v>51.053378886512</v>
      </c>
      <c r="P2068">
        <v>-9.5565625066094798E-2</v>
      </c>
      <c r="Q2068">
        <v>6.2140574422786497E-2</v>
      </c>
      <c r="R2068">
        <v>0.99577455947523696</v>
      </c>
      <c r="S2068" t="s">
        <v>6364</v>
      </c>
      <c r="T2068" t="s">
        <v>8590</v>
      </c>
      <c r="U2068" t="s">
        <v>8590</v>
      </c>
      <c r="V2068" t="s">
        <v>8590</v>
      </c>
      <c r="W2068">
        <v>6</v>
      </c>
      <c r="X2068" t="s">
        <v>10658</v>
      </c>
      <c r="Y2068">
        <v>0.43443090650728422</v>
      </c>
      <c r="Z2068" t="str">
        <f>HYPERLINK("Melting_Curves/meltCurve_sp_Q6DD88_ATLA3_HUMAN_.pdf", "Melting_Curves/meltCurve_sp_Q6DD88_ATLA3_HUMAN_.pdf")</f>
        <v>Melting_Curves/meltCurve_sp_Q6DD88_ATLA3_HUMAN_.pdf</v>
      </c>
      <c r="AA2068" t="s">
        <v>14914</v>
      </c>
      <c r="AB2068" t="s">
        <v>19152</v>
      </c>
    </row>
    <row r="2069" spans="1:28" x14ac:dyDescent="0.25">
      <c r="A2069" t="s">
        <v>2073</v>
      </c>
      <c r="B2069">
        <v>0.99876560204751996</v>
      </c>
      <c r="C2069">
        <v>0.99503878582432004</v>
      </c>
      <c r="D2069">
        <v>1.09933037492592</v>
      </c>
      <c r="E2069">
        <v>0.93263182788385601</v>
      </c>
      <c r="F2069">
        <v>0.78388521263768296</v>
      </c>
      <c r="G2069">
        <v>0.52628479882753698</v>
      </c>
      <c r="H2069">
        <v>0.21060003783567699</v>
      </c>
      <c r="I2069">
        <v>0.11058153385271</v>
      </c>
      <c r="J2069">
        <v>0.12902238665228499</v>
      </c>
      <c r="K2069">
        <v>6.58888690216827E-2</v>
      </c>
      <c r="L2069">
        <v>1170.2704743244799</v>
      </c>
      <c r="M2069">
        <v>20.675698475957301</v>
      </c>
      <c r="N2069">
        <v>56.930041086609599</v>
      </c>
      <c r="O2069">
        <v>56.0797466073561</v>
      </c>
      <c r="P2069">
        <v>-8.6986338174346395E-2</v>
      </c>
      <c r="Q2069">
        <v>5.6277086448641302E-2</v>
      </c>
      <c r="R2069">
        <v>0.99011285707280805</v>
      </c>
      <c r="S2069" t="s">
        <v>6365</v>
      </c>
      <c r="T2069" t="s">
        <v>8590</v>
      </c>
      <c r="U2069" t="s">
        <v>8590</v>
      </c>
      <c r="V2069" t="s">
        <v>8590</v>
      </c>
      <c r="W2069">
        <v>1</v>
      </c>
      <c r="X2069" t="s">
        <v>10659</v>
      </c>
      <c r="Y2069">
        <v>0.58983482933366915</v>
      </c>
      <c r="Z2069" t="str">
        <f>HYPERLINK("Melting_Curves/meltCurve_sp_Q6DHV7_2_ADAL_HUMAN_.pdf", "Melting_Curves/meltCurve_sp_Q6DHV7_2_ADAL_HUMAN_.pdf")</f>
        <v>Melting_Curves/meltCurve_sp_Q6DHV7_2_ADAL_HUMAN_.pdf</v>
      </c>
      <c r="AA2069" t="s">
        <v>14915</v>
      </c>
      <c r="AB2069" t="s">
        <v>19153</v>
      </c>
    </row>
    <row r="2070" spans="1:28" x14ac:dyDescent="0.25">
      <c r="A2070" t="s">
        <v>2074</v>
      </c>
      <c r="B2070">
        <v>0.99876560204751996</v>
      </c>
      <c r="C2070">
        <v>0.97561451866189097</v>
      </c>
      <c r="D2070">
        <v>0.79630141360501505</v>
      </c>
      <c r="E2070">
        <v>0.76628618608325505</v>
      </c>
      <c r="F2070">
        <v>0.53520815587589599</v>
      </c>
      <c r="G2070">
        <v>0.32188349703080099</v>
      </c>
      <c r="H2070">
        <v>0.215219833592765</v>
      </c>
      <c r="I2070">
        <v>0.183136109116947</v>
      </c>
      <c r="J2070">
        <v>0.18106021152993901</v>
      </c>
      <c r="K2070">
        <v>0.120873080105779</v>
      </c>
      <c r="L2070">
        <v>676.05877141874805</v>
      </c>
      <c r="M2070">
        <v>12.807239833351501</v>
      </c>
      <c r="N2070">
        <v>53.660808122397498</v>
      </c>
      <c r="O2070">
        <v>51.5499239038326</v>
      </c>
      <c r="P2070">
        <v>-5.6276889223671002E-2</v>
      </c>
      <c r="Q2070">
        <v>9.4097859044498702E-2</v>
      </c>
      <c r="R2070">
        <v>0.98730660452991903</v>
      </c>
      <c r="S2070" t="s">
        <v>6366</v>
      </c>
      <c r="T2070" t="s">
        <v>8590</v>
      </c>
      <c r="U2070" t="s">
        <v>8590</v>
      </c>
      <c r="V2070" t="s">
        <v>8590</v>
      </c>
      <c r="W2070">
        <v>1</v>
      </c>
      <c r="X2070" t="s">
        <v>10660</v>
      </c>
      <c r="Y2070">
        <v>0.50448766377777743</v>
      </c>
      <c r="Z2070" t="str">
        <f>HYPERLINK("Melting_Curves/meltCurve_sp_Q6DKK2_TTC19_HUMAN_.pdf", "Melting_Curves/meltCurve_sp_Q6DKK2_TTC19_HUMAN_.pdf")</f>
        <v>Melting_Curves/meltCurve_sp_Q6DKK2_TTC19_HUMAN_.pdf</v>
      </c>
      <c r="AA2070" t="s">
        <v>14916</v>
      </c>
      <c r="AB2070" t="s">
        <v>19154</v>
      </c>
    </row>
    <row r="2071" spans="1:28" x14ac:dyDescent="0.25">
      <c r="A2071" t="s">
        <v>2075</v>
      </c>
      <c r="B2071">
        <v>0.99876560204751996</v>
      </c>
      <c r="C2071">
        <v>1.0860396574269</v>
      </c>
      <c r="D2071">
        <v>1.05700093021541</v>
      </c>
      <c r="E2071">
        <v>0.82072066504849095</v>
      </c>
      <c r="F2071">
        <v>0.42779344184542201</v>
      </c>
      <c r="G2071">
        <v>0.19975615073678499</v>
      </c>
      <c r="H2071">
        <v>0.122985232235406</v>
      </c>
      <c r="I2071">
        <v>9.6916107929560305E-2</v>
      </c>
      <c r="J2071">
        <v>8.90759790320204E-2</v>
      </c>
      <c r="K2071">
        <v>5.7835082995694703E-2</v>
      </c>
      <c r="L2071">
        <v>1618.74569476487</v>
      </c>
      <c r="M2071">
        <v>30.996882292026701</v>
      </c>
      <c r="N2071">
        <v>52.5814800439246</v>
      </c>
      <c r="O2071">
        <v>52.006945927766601</v>
      </c>
      <c r="P2071">
        <v>-0.13480720810771099</v>
      </c>
      <c r="Q2071">
        <v>9.52806014289726E-2</v>
      </c>
      <c r="R2071">
        <v>0.99070628633511304</v>
      </c>
      <c r="S2071" t="s">
        <v>6367</v>
      </c>
      <c r="T2071" t="s">
        <v>8590</v>
      </c>
      <c r="U2071" t="s">
        <v>8590</v>
      </c>
      <c r="V2071" t="s">
        <v>8590</v>
      </c>
      <c r="W2071">
        <v>3</v>
      </c>
      <c r="X2071" t="s">
        <v>10661</v>
      </c>
      <c r="Y2071">
        <v>0.46932577942584203</v>
      </c>
      <c r="Z2071" t="str">
        <f>HYPERLINK("Melting_Curves/meltCurve_sp_Q6DN90_2_IQEC1_HUMAN_.pdf", "Melting_Curves/meltCurve_sp_Q6DN90_2_IQEC1_HUMAN_.pdf")</f>
        <v>Melting_Curves/meltCurve_sp_Q6DN90_2_IQEC1_HUMAN_.pdf</v>
      </c>
      <c r="AA2071" t="s">
        <v>14917</v>
      </c>
      <c r="AB2071" t="s">
        <v>19155</v>
      </c>
    </row>
    <row r="2072" spans="1:28" x14ac:dyDescent="0.25">
      <c r="A2072" t="s">
        <v>2076</v>
      </c>
      <c r="B2072">
        <v>0.99876560204751996</v>
      </c>
      <c r="C2072">
        <v>0.94168993397794598</v>
      </c>
      <c r="D2072">
        <v>0.98270806624487705</v>
      </c>
      <c r="E2072">
        <v>0.70790372796198797</v>
      </c>
      <c r="F2072">
        <v>0.83299990502837995</v>
      </c>
      <c r="G2072">
        <v>0.70604290386387702</v>
      </c>
      <c r="H2072">
        <v>0.46907392260832398</v>
      </c>
      <c r="I2072">
        <v>0.18534551913701999</v>
      </c>
      <c r="J2072">
        <v>0.61555819154964497</v>
      </c>
      <c r="K2072">
        <v>0.215292857404037</v>
      </c>
      <c r="L2072">
        <v>508.82865362154803</v>
      </c>
      <c r="M2072">
        <v>8.6443300525276694</v>
      </c>
      <c r="N2072">
        <v>60.8231415522609</v>
      </c>
      <c r="O2072">
        <v>55.966857521275401</v>
      </c>
      <c r="P2072">
        <v>-3.3947393225004098E-2</v>
      </c>
      <c r="Q2072">
        <v>0.121586765916678</v>
      </c>
      <c r="R2072">
        <v>0.79076217255488401</v>
      </c>
      <c r="S2072" t="s">
        <v>6368</v>
      </c>
      <c r="T2072" t="s">
        <v>8590</v>
      </c>
      <c r="U2072" t="s">
        <v>8590</v>
      </c>
      <c r="V2072" t="s">
        <v>8590</v>
      </c>
      <c r="W2072">
        <v>1</v>
      </c>
      <c r="X2072" t="s">
        <v>10662</v>
      </c>
      <c r="Y2072">
        <v>0.6731532142279395</v>
      </c>
      <c r="Z2072" t="str">
        <f>HYPERLINK("Melting_Curves/meltCurve_sp_Q6EMK4_VASN_HUMAN_.pdf", "Melting_Curves/meltCurve_sp_Q6EMK4_VASN_HUMAN_.pdf")</f>
        <v>Melting_Curves/meltCurve_sp_Q6EMK4_VASN_HUMAN_.pdf</v>
      </c>
      <c r="AA2072" t="s">
        <v>14918</v>
      </c>
      <c r="AB2072" t="s">
        <v>19156</v>
      </c>
    </row>
    <row r="2073" spans="1:28" x14ac:dyDescent="0.25">
      <c r="A2073" t="s">
        <v>2077</v>
      </c>
      <c r="B2073">
        <v>0.99876560204751996</v>
      </c>
      <c r="C2073">
        <v>0.91628880123345902</v>
      </c>
      <c r="D2073">
        <v>0.97820808626854105</v>
      </c>
      <c r="E2073">
        <v>0.85276168514807005</v>
      </c>
      <c r="F2073">
        <v>0.77418586002627598</v>
      </c>
      <c r="G2073">
        <v>0.513786939878497</v>
      </c>
      <c r="H2073">
        <v>0.35601934856564699</v>
      </c>
      <c r="I2073">
        <v>0.30880970424663701</v>
      </c>
      <c r="J2073">
        <v>0.34513996769250699</v>
      </c>
      <c r="K2073">
        <v>0.33554972255708598</v>
      </c>
      <c r="L2073">
        <v>1024.4574901978999</v>
      </c>
      <c r="M2073">
        <v>18.8185367432128</v>
      </c>
      <c r="N2073">
        <v>57.2526151149168</v>
      </c>
      <c r="O2073">
        <v>53.835183587646803</v>
      </c>
      <c r="P2073">
        <v>-6.1025406879783299E-2</v>
      </c>
      <c r="Q2073">
        <v>0.30171445646626099</v>
      </c>
      <c r="R2073">
        <v>0.98460325470045795</v>
      </c>
      <c r="S2073" t="s">
        <v>6369</v>
      </c>
      <c r="T2073" t="s">
        <v>8590</v>
      </c>
      <c r="U2073" t="s">
        <v>8590</v>
      </c>
      <c r="V2073" t="s">
        <v>8590</v>
      </c>
      <c r="W2073">
        <v>11</v>
      </c>
      <c r="X2073" t="s">
        <v>10663</v>
      </c>
      <c r="Y2073">
        <v>0.64812712259281158</v>
      </c>
      <c r="Z2073" t="str">
        <f>HYPERLINK("Melting_Curves/meltCurve_sp_Q6FI81_3_CPIN1_HUMAN_.pdf", "Melting_Curves/meltCurve_sp_Q6FI81_3_CPIN1_HUMAN_.pdf")</f>
        <v>Melting_Curves/meltCurve_sp_Q6FI81_3_CPIN1_HUMAN_.pdf</v>
      </c>
      <c r="AA2073" t="s">
        <v>14919</v>
      </c>
      <c r="AB2073" t="s">
        <v>19157</v>
      </c>
    </row>
    <row r="2074" spans="1:28" x14ac:dyDescent="0.25">
      <c r="A2074" t="s">
        <v>2078</v>
      </c>
      <c r="B2074">
        <v>0.99876560204751996</v>
      </c>
      <c r="C2074">
        <v>0.93709967724072496</v>
      </c>
      <c r="D2074">
        <v>1.0417262946499</v>
      </c>
      <c r="E2074">
        <v>0.95786475290412099</v>
      </c>
      <c r="F2074">
        <v>1.0439516625669401</v>
      </c>
      <c r="G2074">
        <v>0.86368339092077495</v>
      </c>
      <c r="H2074">
        <v>0.76200279271446103</v>
      </c>
      <c r="I2074">
        <v>0.82751050085789801</v>
      </c>
      <c r="J2074">
        <v>1.0817068946338899</v>
      </c>
      <c r="K2074">
        <v>1.04474725107834</v>
      </c>
      <c r="L2074">
        <v>3552.0791611663699</v>
      </c>
      <c r="M2074">
        <v>64.773237703387494</v>
      </c>
      <c r="O2074">
        <v>54.786482441054098</v>
      </c>
      <c r="P2074">
        <v>-2.4773829825909699E-2</v>
      </c>
      <c r="Q2074">
        <v>0.91618324485077596</v>
      </c>
      <c r="R2074">
        <v>0.13861128643288401</v>
      </c>
      <c r="S2074" t="s">
        <v>6370</v>
      </c>
      <c r="T2074" t="s">
        <v>8590</v>
      </c>
      <c r="U2074" t="s">
        <v>8590</v>
      </c>
      <c r="V2074" t="s">
        <v>8590</v>
      </c>
      <c r="W2074">
        <v>3</v>
      </c>
      <c r="X2074" t="s">
        <v>10664</v>
      </c>
      <c r="Y2074">
        <v>0.95776145936945301</v>
      </c>
      <c r="Z2074" t="str">
        <f>HYPERLINK("Melting_Curves/meltCurve_sp_Q6FIF0_2_ZFAN6_HUMAN_.pdf", "Melting_Curves/meltCurve_sp_Q6FIF0_2_ZFAN6_HUMAN_.pdf")</f>
        <v>Melting_Curves/meltCurve_sp_Q6FIF0_2_ZFAN6_HUMAN_.pdf</v>
      </c>
      <c r="AA2074" t="s">
        <v>14920</v>
      </c>
      <c r="AB2074" t="s">
        <v>19158</v>
      </c>
    </row>
    <row r="2075" spans="1:28" x14ac:dyDescent="0.25">
      <c r="A2075" t="s">
        <v>2079</v>
      </c>
      <c r="B2075">
        <v>0.99876560204751996</v>
      </c>
      <c r="C2075">
        <v>0.98001095968472196</v>
      </c>
      <c r="D2075">
        <v>1.0996723769244401</v>
      </c>
      <c r="E2075">
        <v>1.0344507415209001</v>
      </c>
      <c r="F2075">
        <v>0.858762576432758</v>
      </c>
      <c r="G2075">
        <v>0.32257637718585003</v>
      </c>
      <c r="H2075">
        <v>0.18320933068373799</v>
      </c>
      <c r="I2075">
        <v>0.13267041069426</v>
      </c>
      <c r="J2075">
        <v>0.11731067868512</v>
      </c>
      <c r="K2075">
        <v>0.101772841895253</v>
      </c>
      <c r="L2075">
        <v>2190.0222064834402</v>
      </c>
      <c r="M2075">
        <v>39.628020019373501</v>
      </c>
      <c r="N2075">
        <v>55.673111942644603</v>
      </c>
      <c r="O2075">
        <v>55.124334343472199</v>
      </c>
      <c r="P2075">
        <v>-0.15704183107061701</v>
      </c>
      <c r="Q2075">
        <v>0.12619356580633501</v>
      </c>
      <c r="R2075">
        <v>0.99159382625600601</v>
      </c>
      <c r="S2075" t="s">
        <v>6371</v>
      </c>
      <c r="T2075" t="s">
        <v>8590</v>
      </c>
      <c r="U2075" t="s">
        <v>8590</v>
      </c>
      <c r="V2075" t="s">
        <v>8590</v>
      </c>
      <c r="W2075">
        <v>4</v>
      </c>
      <c r="X2075" t="s">
        <v>10665</v>
      </c>
      <c r="Y2075">
        <v>0.57418633446235245</v>
      </c>
      <c r="Z2075" t="str">
        <f>HYPERLINK("Melting_Curves/meltCurve_sp_Q6GMV2_SMYD5_HUMAN_.pdf", "Melting_Curves/meltCurve_sp_Q6GMV2_SMYD5_HUMAN_.pdf")</f>
        <v>Melting_Curves/meltCurve_sp_Q6GMV2_SMYD5_HUMAN_.pdf</v>
      </c>
      <c r="AA2075" t="s">
        <v>14921</v>
      </c>
      <c r="AB2075" t="s">
        <v>19159</v>
      </c>
    </row>
    <row r="2076" spans="1:28" x14ac:dyDescent="0.25">
      <c r="A2076" t="s">
        <v>2080</v>
      </c>
      <c r="B2076">
        <v>0.99876560204751996</v>
      </c>
      <c r="C2076">
        <v>0.88949806507705298</v>
      </c>
      <c r="D2076">
        <v>1.0158938846032799</v>
      </c>
      <c r="E2076">
        <v>0.78717123211179996</v>
      </c>
      <c r="F2076">
        <v>0.806376151739568</v>
      </c>
      <c r="G2076">
        <v>0.64299307131989403</v>
      </c>
      <c r="H2076">
        <v>0.45473328680858399</v>
      </c>
      <c r="I2076">
        <v>0.374798493749744</v>
      </c>
      <c r="J2076">
        <v>0.33804224084275097</v>
      </c>
      <c r="K2076">
        <v>0.25700008244265199</v>
      </c>
      <c r="L2076">
        <v>533.79350665462505</v>
      </c>
      <c r="M2076">
        <v>8.9773691737247994</v>
      </c>
      <c r="N2076">
        <v>60.435838477219598</v>
      </c>
      <c r="O2076">
        <v>56.731776499726401</v>
      </c>
      <c r="P2076">
        <v>-3.6918257496346002E-2</v>
      </c>
      <c r="Q2076">
        <v>6.7475476138704693E-2</v>
      </c>
      <c r="R2076">
        <v>0.97059648701538803</v>
      </c>
      <c r="S2076" t="s">
        <v>6372</v>
      </c>
      <c r="T2076" t="s">
        <v>8590</v>
      </c>
      <c r="U2076" t="s">
        <v>8590</v>
      </c>
      <c r="V2076" t="s">
        <v>8590</v>
      </c>
      <c r="W2076">
        <v>7</v>
      </c>
      <c r="X2076" t="s">
        <v>10666</v>
      </c>
      <c r="Y2076">
        <v>0.66838842534140386</v>
      </c>
      <c r="Z2076" t="str">
        <f>HYPERLINK("Melting_Curves/meltCurve_sp_Q6GMV3_PTRD1_HUMAN_.pdf", "Melting_Curves/meltCurve_sp_Q6GMV3_PTRD1_HUMAN_.pdf")</f>
        <v>Melting_Curves/meltCurve_sp_Q6GMV3_PTRD1_HUMAN_.pdf</v>
      </c>
      <c r="AA2076" t="s">
        <v>14922</v>
      </c>
      <c r="AB2076" t="s">
        <v>19160</v>
      </c>
    </row>
    <row r="2077" spans="1:28" x14ac:dyDescent="0.25">
      <c r="A2077" t="s">
        <v>2081</v>
      </c>
      <c r="B2077">
        <v>0.99876560204751996</v>
      </c>
      <c r="C2077">
        <v>0.95467536037298495</v>
      </c>
      <c r="D2077">
        <v>0.80640719663086302</v>
      </c>
      <c r="E2077">
        <v>0.69315890406237601</v>
      </c>
      <c r="F2077">
        <v>0.540587738026167</v>
      </c>
      <c r="G2077">
        <v>0.41633351600277302</v>
      </c>
      <c r="H2077">
        <v>0.32433702988931601</v>
      </c>
      <c r="I2077">
        <v>0.27246222848409002</v>
      </c>
      <c r="J2077">
        <v>0.27032259353279198</v>
      </c>
      <c r="K2077">
        <v>0.26597465946362298</v>
      </c>
      <c r="L2077">
        <v>611.16296479810399</v>
      </c>
      <c r="M2077">
        <v>11.886979903999601</v>
      </c>
      <c r="N2077">
        <v>54.0998918317853</v>
      </c>
      <c r="O2077">
        <v>50.024161501230097</v>
      </c>
      <c r="P2077">
        <v>-4.6179139900426901E-2</v>
      </c>
      <c r="Q2077">
        <v>0.22284878642401901</v>
      </c>
      <c r="R2077">
        <v>0.99537560861415797</v>
      </c>
      <c r="S2077" t="s">
        <v>6373</v>
      </c>
      <c r="T2077" t="s">
        <v>8590</v>
      </c>
      <c r="U2077" t="s">
        <v>8590</v>
      </c>
      <c r="V2077" t="s">
        <v>8590</v>
      </c>
      <c r="W2077">
        <v>4</v>
      </c>
      <c r="X2077" t="s">
        <v>10667</v>
      </c>
      <c r="Y2077">
        <v>0.54356789292418994</v>
      </c>
      <c r="Z2077" t="str">
        <f>HYPERLINK("Melting_Curves/meltCurve_sp_Q6GQQ9_2_OTU7B_HUMAN_.pdf", "Melting_Curves/meltCurve_sp_Q6GQQ9_2_OTU7B_HUMAN_.pdf")</f>
        <v>Melting_Curves/meltCurve_sp_Q6GQQ9_2_OTU7B_HUMAN_.pdf</v>
      </c>
      <c r="AA2077" t="s">
        <v>14923</v>
      </c>
      <c r="AB2077" t="s">
        <v>19161</v>
      </c>
    </row>
    <row r="2078" spans="1:28" x14ac:dyDescent="0.25">
      <c r="A2078" t="s">
        <v>2082</v>
      </c>
      <c r="B2078">
        <v>0.99876560204751996</v>
      </c>
      <c r="C2078">
        <v>1.2193780890477599</v>
      </c>
      <c r="D2078">
        <v>1.0506409865998101</v>
      </c>
      <c r="E2078">
        <v>0.92839742411870196</v>
      </c>
      <c r="F2078">
        <v>0.86815844772191297</v>
      </c>
      <c r="G2078">
        <v>0.71104107979795605</v>
      </c>
      <c r="H2078">
        <v>0.96313705716067899</v>
      </c>
      <c r="I2078">
        <v>1.09992345148278</v>
      </c>
      <c r="J2078">
        <v>1.3467831024402099</v>
      </c>
      <c r="K2078">
        <v>1.3264320971694501</v>
      </c>
      <c r="L2078">
        <v>15000</v>
      </c>
      <c r="M2078">
        <v>233.51266958835899</v>
      </c>
      <c r="O2078">
        <v>64.231624257692403</v>
      </c>
      <c r="P2078">
        <v>0.30594169020394002</v>
      </c>
      <c r="Q2078">
        <v>1.33661786255816</v>
      </c>
      <c r="R2078">
        <v>0.57060398668707202</v>
      </c>
      <c r="S2078" t="s">
        <v>6374</v>
      </c>
      <c r="T2078" t="s">
        <v>8590</v>
      </c>
      <c r="U2078" t="s">
        <v>8590</v>
      </c>
      <c r="V2078" t="s">
        <v>8590</v>
      </c>
      <c r="W2078">
        <v>2</v>
      </c>
      <c r="X2078" t="s">
        <v>10668</v>
      </c>
      <c r="Y2078">
        <v>1.064628162880183</v>
      </c>
      <c r="Z2078" t="str">
        <f>HYPERLINK("Melting_Curves/meltCurve_sp_Q6GYQ0_4_RGPA1_HUMAN_.pdf", "Melting_Curves/meltCurve_sp_Q6GYQ0_4_RGPA1_HUMAN_.pdf")</f>
        <v>Melting_Curves/meltCurve_sp_Q6GYQ0_4_RGPA1_HUMAN_.pdf</v>
      </c>
      <c r="AA2078" t="s">
        <v>14924</v>
      </c>
      <c r="AB2078" t="s">
        <v>19162</v>
      </c>
    </row>
    <row r="2079" spans="1:28" x14ac:dyDescent="0.25">
      <c r="A2079" t="s">
        <v>2083</v>
      </c>
      <c r="B2079">
        <v>0.99876560204751996</v>
      </c>
      <c r="C2079">
        <v>0.90573087644040995</v>
      </c>
      <c r="D2079">
        <v>0.80472278835426503</v>
      </c>
      <c r="E2079">
        <v>0.72206212083430399</v>
      </c>
      <c r="F2079">
        <v>0.50001609180955997</v>
      </c>
      <c r="G2079">
        <v>0.34750138604394198</v>
      </c>
      <c r="H2079">
        <v>0.184039363603995</v>
      </c>
      <c r="I2079">
        <v>7.0799652086837306E-2</v>
      </c>
      <c r="J2079">
        <v>4.4079717772476303E-2</v>
      </c>
      <c r="K2079">
        <v>4.5876565171620497E-2</v>
      </c>
      <c r="L2079">
        <v>629.479546604245</v>
      </c>
      <c r="M2079">
        <v>11.845080857706799</v>
      </c>
      <c r="N2079">
        <v>53.142695411308097</v>
      </c>
      <c r="O2079">
        <v>51.695910335171703</v>
      </c>
      <c r="P2079">
        <v>-5.7297006800536697E-2</v>
      </c>
      <c r="Q2079">
        <v>0</v>
      </c>
      <c r="R2079">
        <v>0.99029911457525699</v>
      </c>
      <c r="S2079" t="s">
        <v>6375</v>
      </c>
      <c r="T2079" t="s">
        <v>8590</v>
      </c>
      <c r="U2079" t="s">
        <v>8590</v>
      </c>
      <c r="V2079" t="s">
        <v>8590</v>
      </c>
      <c r="W2079">
        <v>4</v>
      </c>
      <c r="X2079" t="s">
        <v>10669</v>
      </c>
      <c r="Y2079">
        <v>0.46663966677820989</v>
      </c>
      <c r="Z2079" t="str">
        <f>HYPERLINK("Melting_Curves/meltCurve_sp_Q6IA69_NADE_HUMAN_.pdf", "Melting_Curves/meltCurve_sp_Q6IA69_NADE_HUMAN_.pdf")</f>
        <v>Melting_Curves/meltCurve_sp_Q6IA69_NADE_HUMAN_.pdf</v>
      </c>
      <c r="AA2079" t="s">
        <v>14925</v>
      </c>
      <c r="AB2079" t="s">
        <v>19163</v>
      </c>
    </row>
    <row r="2080" spans="1:28" x14ac:dyDescent="0.25">
      <c r="A2080" t="s">
        <v>2084</v>
      </c>
      <c r="B2080">
        <v>0.99876560204751996</v>
      </c>
      <c r="C2080">
        <v>1.0207393732519201</v>
      </c>
      <c r="D2080">
        <v>0.93864035107185295</v>
      </c>
      <c r="E2080">
        <v>0.81713751828943404</v>
      </c>
      <c r="F2080">
        <v>0.48722921612706999</v>
      </c>
      <c r="G2080">
        <v>0.21664010879943199</v>
      </c>
      <c r="H2080">
        <v>0.112155808269868</v>
      </c>
      <c r="I2080">
        <v>7.3490255157425993E-2</v>
      </c>
      <c r="J2080">
        <v>6.8117901332307496E-2</v>
      </c>
      <c r="K2080">
        <v>6.8082594173843505E-2</v>
      </c>
      <c r="L2080">
        <v>1221.23226969647</v>
      </c>
      <c r="M2080">
        <v>23.1577297849968</v>
      </c>
      <c r="N2080">
        <v>53.055828667499199</v>
      </c>
      <c r="O2080">
        <v>52.346882531261699</v>
      </c>
      <c r="P2080">
        <v>-0.103381884320842</v>
      </c>
      <c r="Q2080">
        <v>6.5258815439298207E-2</v>
      </c>
      <c r="R2080">
        <v>0.99830736044519097</v>
      </c>
      <c r="S2080" t="s">
        <v>6376</v>
      </c>
      <c r="T2080" t="s">
        <v>8590</v>
      </c>
      <c r="U2080" t="s">
        <v>8590</v>
      </c>
      <c r="V2080" t="s">
        <v>8590</v>
      </c>
      <c r="W2080">
        <v>4</v>
      </c>
      <c r="X2080" t="s">
        <v>10670</v>
      </c>
      <c r="Y2080">
        <v>0.47197887635082048</v>
      </c>
      <c r="Z2080" t="str">
        <f>HYPERLINK("Melting_Curves/meltCurve_sp_Q6IA86_2_ELP2_HUMAN_.pdf", "Melting_Curves/meltCurve_sp_Q6IA86_2_ELP2_HUMAN_.pdf")</f>
        <v>Melting_Curves/meltCurve_sp_Q6IA86_2_ELP2_HUMAN_.pdf</v>
      </c>
      <c r="AA2080" t="s">
        <v>14926</v>
      </c>
      <c r="AB2080" t="s">
        <v>19164</v>
      </c>
    </row>
    <row r="2081" spans="1:28" x14ac:dyDescent="0.25">
      <c r="A2081" t="s">
        <v>2085</v>
      </c>
      <c r="B2081">
        <v>0.99876560204751996</v>
      </c>
      <c r="C2081">
        <v>0.95711929357075698</v>
      </c>
      <c r="D2081">
        <v>0.89265338241626502</v>
      </c>
      <c r="E2081">
        <v>0.73598915007033605</v>
      </c>
      <c r="F2081">
        <v>0.347892973714162</v>
      </c>
      <c r="G2081">
        <v>0.17028174946599001</v>
      </c>
      <c r="H2081">
        <v>9.3358631196294201E-2</v>
      </c>
      <c r="I2081">
        <v>6.7765404941111496E-2</v>
      </c>
      <c r="J2081">
        <v>6.6986439244008697E-2</v>
      </c>
      <c r="K2081">
        <v>5.8384341911289599E-2</v>
      </c>
      <c r="L2081">
        <v>1179.7829478169499</v>
      </c>
      <c r="M2081">
        <v>22.893328633083001</v>
      </c>
      <c r="N2081">
        <v>51.827612402794799</v>
      </c>
      <c r="O2081">
        <v>51.145545893350402</v>
      </c>
      <c r="P2081">
        <v>-0.10509753171861699</v>
      </c>
      <c r="Q2081">
        <v>6.0832510452633499E-2</v>
      </c>
      <c r="R2081">
        <v>0.99480799733275704</v>
      </c>
      <c r="S2081" t="s">
        <v>6377</v>
      </c>
      <c r="T2081" t="s">
        <v>8590</v>
      </c>
      <c r="U2081" t="s">
        <v>8590</v>
      </c>
      <c r="V2081" t="s">
        <v>8590</v>
      </c>
      <c r="W2081">
        <v>16</v>
      </c>
      <c r="X2081" t="s">
        <v>10671</v>
      </c>
      <c r="Y2081">
        <v>0.43201943906260681</v>
      </c>
      <c r="Z2081" t="str">
        <f>HYPERLINK("Melting_Curves/meltCurve_sp_Q6IB77_GLYAT_HUMAN_.pdf", "Melting_Curves/meltCurve_sp_Q6IB77_GLYAT_HUMAN_.pdf")</f>
        <v>Melting_Curves/meltCurve_sp_Q6IB77_GLYAT_HUMAN_.pdf</v>
      </c>
      <c r="AA2081" t="s">
        <v>14927</v>
      </c>
      <c r="AB2081" t="s">
        <v>19165</v>
      </c>
    </row>
    <row r="2082" spans="1:28" x14ac:dyDescent="0.25">
      <c r="A2082" t="s">
        <v>2086</v>
      </c>
      <c r="B2082">
        <v>0.99876560204751996</v>
      </c>
      <c r="C2082">
        <v>0.94721855120248</v>
      </c>
      <c r="D2082">
        <v>1.07265279256558</v>
      </c>
      <c r="E2082">
        <v>0.86222338196289805</v>
      </c>
      <c r="F2082">
        <v>0.82571928457565202</v>
      </c>
      <c r="G2082">
        <v>0.47678377498662</v>
      </c>
      <c r="H2082">
        <v>0.18234096903314401</v>
      </c>
      <c r="I2082">
        <v>0.105532489222756</v>
      </c>
      <c r="J2082">
        <v>0.11005307128207401</v>
      </c>
      <c r="K2082">
        <v>7.4471400767360404E-2</v>
      </c>
      <c r="L2082">
        <v>1210.4070035790501</v>
      </c>
      <c r="M2082">
        <v>21.5169501534508</v>
      </c>
      <c r="N2082">
        <v>56.573417005678401</v>
      </c>
      <c r="O2082">
        <v>55.774520717281902</v>
      </c>
      <c r="P2082">
        <v>-9.0926138315759894E-2</v>
      </c>
      <c r="Q2082">
        <v>5.7257067858033403E-2</v>
      </c>
      <c r="R2082">
        <v>0.98884853988463695</v>
      </c>
      <c r="S2082" t="s">
        <v>6378</v>
      </c>
      <c r="T2082" t="s">
        <v>8590</v>
      </c>
      <c r="U2082" t="s">
        <v>8590</v>
      </c>
      <c r="V2082" t="s">
        <v>8590</v>
      </c>
      <c r="W2082">
        <v>8</v>
      </c>
      <c r="X2082" t="s">
        <v>10672</v>
      </c>
      <c r="Y2082">
        <v>0.57888545463775765</v>
      </c>
      <c r="Z2082" t="str">
        <f>HYPERLINK("Melting_Curves/meltCurve_sp_Q6IBS0_TWF2_HUMAN_.pdf", "Melting_Curves/meltCurve_sp_Q6IBS0_TWF2_HUMAN_.pdf")</f>
        <v>Melting_Curves/meltCurve_sp_Q6IBS0_TWF2_HUMAN_.pdf</v>
      </c>
      <c r="AA2082" t="s">
        <v>14928</v>
      </c>
      <c r="AB2082" t="s">
        <v>19166</v>
      </c>
    </row>
    <row r="2083" spans="1:28" x14ac:dyDescent="0.25">
      <c r="A2083" t="s">
        <v>2087</v>
      </c>
      <c r="B2083">
        <v>0.99876560204751996</v>
      </c>
      <c r="C2083">
        <v>1.6605268249285601</v>
      </c>
      <c r="D2083">
        <v>1.7660943471359301</v>
      </c>
      <c r="E2083">
        <v>1.30450161728209</v>
      </c>
      <c r="F2083">
        <v>0.61887761345233505</v>
      </c>
      <c r="G2083">
        <v>0.24914792977750999</v>
      </c>
      <c r="H2083">
        <v>0.243138298565995</v>
      </c>
      <c r="I2083">
        <v>0.20776344366793101</v>
      </c>
      <c r="J2083">
        <v>0.18034000770057801</v>
      </c>
      <c r="K2083">
        <v>0.141375993207909</v>
      </c>
      <c r="L2083">
        <v>13254.4527095988</v>
      </c>
      <c r="M2083">
        <v>250</v>
      </c>
      <c r="N2083">
        <v>53.129494245403301</v>
      </c>
      <c r="O2083">
        <v>53.014418066741698</v>
      </c>
      <c r="P2083">
        <v>-0.93800767045765598</v>
      </c>
      <c r="Q2083">
        <v>0.20435310851821001</v>
      </c>
      <c r="R2083">
        <v>0.69971814099525798</v>
      </c>
      <c r="S2083" t="s">
        <v>6379</v>
      </c>
      <c r="T2083" t="s">
        <v>8590</v>
      </c>
      <c r="U2083" t="s">
        <v>8590</v>
      </c>
      <c r="V2083" t="s">
        <v>8590</v>
      </c>
      <c r="W2083">
        <v>2</v>
      </c>
      <c r="X2083" t="s">
        <v>10673</v>
      </c>
      <c r="Y2083">
        <v>0.5496798307432188</v>
      </c>
      <c r="Z2083" t="str">
        <f>HYPERLINK("Melting_Curves/meltCurve_sp_Q6ICG6_3_K0930_HUMAN_.pdf", "Melting_Curves/meltCurve_sp_Q6ICG6_3_K0930_HUMAN_.pdf")</f>
        <v>Melting_Curves/meltCurve_sp_Q6ICG6_3_K0930_HUMAN_.pdf</v>
      </c>
      <c r="AA2083" t="s">
        <v>14929</v>
      </c>
      <c r="AB2083" t="s">
        <v>19167</v>
      </c>
    </row>
    <row r="2084" spans="1:28" x14ac:dyDescent="0.25">
      <c r="A2084" t="s">
        <v>2088</v>
      </c>
      <c r="B2084">
        <v>0.99876560204751996</v>
      </c>
      <c r="C2084">
        <v>1.0154990147094101</v>
      </c>
      <c r="D2084">
        <v>1.03303118501366</v>
      </c>
      <c r="E2084">
        <v>0.88388360506910502</v>
      </c>
      <c r="F2084">
        <v>0.66829423042717395</v>
      </c>
      <c r="G2084">
        <v>0.33947312805691598</v>
      </c>
      <c r="H2084">
        <v>0.181976774009282</v>
      </c>
      <c r="I2084">
        <v>0.140279235329379</v>
      </c>
      <c r="J2084">
        <v>0.13909399407424</v>
      </c>
      <c r="K2084">
        <v>0.13889002601052899</v>
      </c>
      <c r="L2084">
        <v>1285.9384149745399</v>
      </c>
      <c r="M2084">
        <v>23.756993334177601</v>
      </c>
      <c r="N2084">
        <v>54.815108900223798</v>
      </c>
      <c r="O2084">
        <v>53.749683366674503</v>
      </c>
      <c r="P2084">
        <v>-9.6285553485945904E-2</v>
      </c>
      <c r="Q2084">
        <v>0.128638418364317</v>
      </c>
      <c r="R2084">
        <v>0.998136418889215</v>
      </c>
      <c r="S2084" t="s">
        <v>6380</v>
      </c>
      <c r="T2084" t="s">
        <v>8590</v>
      </c>
      <c r="U2084" t="s">
        <v>8590</v>
      </c>
      <c r="V2084" t="s">
        <v>8590</v>
      </c>
      <c r="W2084">
        <v>8</v>
      </c>
      <c r="X2084" t="s">
        <v>10674</v>
      </c>
      <c r="Y2084">
        <v>0.54785385154837918</v>
      </c>
      <c r="Z2084" t="str">
        <f>HYPERLINK("Melting_Curves/meltCurve_sp_Q6IN85_2_P4R3A_HUMAN_.pdf", "Melting_Curves/meltCurve_sp_Q6IN85_2_P4R3A_HUMAN_.pdf")</f>
        <v>Melting_Curves/meltCurve_sp_Q6IN85_2_P4R3A_HUMAN_.pdf</v>
      </c>
      <c r="AA2084" t="s">
        <v>14930</v>
      </c>
      <c r="AB2084" t="s">
        <v>19168</v>
      </c>
    </row>
    <row r="2085" spans="1:28" x14ac:dyDescent="0.25">
      <c r="A2085" t="s">
        <v>2089</v>
      </c>
      <c r="B2085">
        <v>0.99876560204751996</v>
      </c>
      <c r="C2085">
        <v>0.94734189840280203</v>
      </c>
      <c r="D2085">
        <v>0.90754340878778395</v>
      </c>
      <c r="E2085">
        <v>0.77669383498185995</v>
      </c>
      <c r="F2085">
        <v>0.47972647591419698</v>
      </c>
      <c r="G2085">
        <v>0.22682008757184999</v>
      </c>
      <c r="H2085">
        <v>0.109704851321974</v>
      </c>
      <c r="I2085">
        <v>7.7368619822401702E-2</v>
      </c>
      <c r="J2085">
        <v>6.7218212097930094E-2</v>
      </c>
      <c r="K2085">
        <v>4.3670406877074797E-2</v>
      </c>
      <c r="L2085">
        <v>978.31689219390296</v>
      </c>
      <c r="M2085">
        <v>18.562479805158301</v>
      </c>
      <c r="N2085">
        <v>52.941809527490499</v>
      </c>
      <c r="O2085">
        <v>52.103746567058302</v>
      </c>
      <c r="P2085">
        <v>-8.5506139467413395E-2</v>
      </c>
      <c r="Q2085">
        <v>3.9999919394397697E-2</v>
      </c>
      <c r="R2085">
        <v>0.99721917823426198</v>
      </c>
      <c r="S2085" t="s">
        <v>6381</v>
      </c>
      <c r="T2085" t="s">
        <v>8590</v>
      </c>
      <c r="U2085" t="s">
        <v>8590</v>
      </c>
      <c r="V2085" t="s">
        <v>8590</v>
      </c>
      <c r="W2085">
        <v>3</v>
      </c>
      <c r="X2085" t="s">
        <v>10675</v>
      </c>
      <c r="Y2085">
        <v>0.46154975472598758</v>
      </c>
      <c r="Z2085" t="str">
        <f>HYPERLINK("Melting_Curves/meltCurve_sp_Q6IPR1_LYRM5_HUMAN_.pdf", "Melting_Curves/meltCurve_sp_Q6IPR1_LYRM5_HUMAN_.pdf")</f>
        <v>Melting_Curves/meltCurve_sp_Q6IPR1_LYRM5_HUMAN_.pdf</v>
      </c>
      <c r="AA2085" t="s">
        <v>14931</v>
      </c>
      <c r="AB2085" t="s">
        <v>19169</v>
      </c>
    </row>
    <row r="2086" spans="1:28" x14ac:dyDescent="0.25">
      <c r="A2086" t="s">
        <v>2090</v>
      </c>
      <c r="B2086">
        <v>0.99876560204751996</v>
      </c>
      <c r="C2086">
        <v>0.81466680622832199</v>
      </c>
      <c r="D2086">
        <v>0.57629529068853902</v>
      </c>
      <c r="E2086">
        <v>0.44030285200944902</v>
      </c>
      <c r="F2086">
        <v>0.25683601792587202</v>
      </c>
      <c r="G2086">
        <v>0.14616262402669</v>
      </c>
      <c r="H2086">
        <v>8.5531368381215597E-2</v>
      </c>
      <c r="I2086">
        <v>7.2655392606396904E-2</v>
      </c>
      <c r="J2086">
        <v>6.8214173710273496E-2</v>
      </c>
      <c r="K2086">
        <v>4.4836841199969203E-2</v>
      </c>
      <c r="L2086">
        <v>602.76335268803905</v>
      </c>
      <c r="M2086">
        <v>12.582536356463001</v>
      </c>
      <c r="N2086">
        <v>48.176892872708798</v>
      </c>
      <c r="O2086">
        <v>46.743046548047602</v>
      </c>
      <c r="P2086">
        <v>-6.5000859022960197E-2</v>
      </c>
      <c r="Q2086">
        <v>3.4303163849800401E-2</v>
      </c>
      <c r="R2086">
        <v>0.98883770169748697</v>
      </c>
      <c r="S2086" t="s">
        <v>6382</v>
      </c>
      <c r="T2086" t="s">
        <v>8590</v>
      </c>
      <c r="U2086" t="s">
        <v>8590</v>
      </c>
      <c r="V2086" t="s">
        <v>8590</v>
      </c>
      <c r="W2086">
        <v>26</v>
      </c>
      <c r="X2086" t="s">
        <v>10676</v>
      </c>
      <c r="Y2086">
        <v>0.32367801411563563</v>
      </c>
      <c r="Z2086" t="str">
        <f>HYPERLINK("Melting_Curves/meltCurve_sp_Q6JQN1_ACD10_HUMAN_.pdf", "Melting_Curves/meltCurve_sp_Q6JQN1_ACD10_HUMAN_.pdf")</f>
        <v>Melting_Curves/meltCurve_sp_Q6JQN1_ACD10_HUMAN_.pdf</v>
      </c>
      <c r="AA2086" t="s">
        <v>14932</v>
      </c>
      <c r="AB2086" t="s">
        <v>19170</v>
      </c>
    </row>
    <row r="2087" spans="1:28" x14ac:dyDescent="0.25">
      <c r="A2087" t="s">
        <v>2091</v>
      </c>
      <c r="B2087">
        <v>0.99876560204751996</v>
      </c>
      <c r="C2087">
        <v>1.0296589137363501</v>
      </c>
      <c r="D2087">
        <v>1.1458217127797801</v>
      </c>
      <c r="E2087">
        <v>0.93718181130933997</v>
      </c>
      <c r="F2087">
        <v>0.93461217277484598</v>
      </c>
      <c r="G2087">
        <v>0.80703857236534904</v>
      </c>
      <c r="H2087">
        <v>0.66372133998354699</v>
      </c>
      <c r="I2087">
        <v>0.71024692518773902</v>
      </c>
      <c r="J2087">
        <v>0.858226461155848</v>
      </c>
      <c r="K2087">
        <v>0.89137864030924896</v>
      </c>
      <c r="L2087">
        <v>2175.6358483559302</v>
      </c>
      <c r="M2087">
        <v>40.456706591669203</v>
      </c>
      <c r="O2087">
        <v>53.646002398358803</v>
      </c>
      <c r="P2087">
        <v>-4.1061703921504301E-2</v>
      </c>
      <c r="Q2087">
        <v>0.78220750682530504</v>
      </c>
      <c r="R2087">
        <v>0.67379090563990696</v>
      </c>
      <c r="S2087" t="s">
        <v>6383</v>
      </c>
      <c r="T2087" t="s">
        <v>8590</v>
      </c>
      <c r="U2087" t="s">
        <v>8590</v>
      </c>
      <c r="V2087" t="s">
        <v>8590</v>
      </c>
      <c r="W2087">
        <v>4</v>
      </c>
      <c r="X2087" t="s">
        <v>10677</v>
      </c>
      <c r="Y2087">
        <v>0.88301427486837825</v>
      </c>
      <c r="Z2087" t="str">
        <f>HYPERLINK("Melting_Curves/meltCurve_sp_Q6KC79_2_NIPBL_HUMAN_.pdf", "Melting_Curves/meltCurve_sp_Q6KC79_2_NIPBL_HUMAN_.pdf")</f>
        <v>Melting_Curves/meltCurve_sp_Q6KC79_2_NIPBL_HUMAN_.pdf</v>
      </c>
      <c r="AA2087" t="s">
        <v>14933</v>
      </c>
      <c r="AB2087" t="s">
        <v>19171</v>
      </c>
    </row>
    <row r="2088" spans="1:28" x14ac:dyDescent="0.25">
      <c r="A2088" t="s">
        <v>2092</v>
      </c>
      <c r="B2088">
        <v>0.99876560204751996</v>
      </c>
      <c r="C2088">
        <v>0.98261928081475503</v>
      </c>
      <c r="D2088">
        <v>1.1111209081325699</v>
      </c>
      <c r="E2088">
        <v>0.86811520374314299</v>
      </c>
      <c r="F2088">
        <v>0.86460090609136697</v>
      </c>
      <c r="G2088">
        <v>0.62419006861940696</v>
      </c>
      <c r="H2088">
        <v>0.49910469264375301</v>
      </c>
      <c r="I2088">
        <v>0.48346797457666002</v>
      </c>
      <c r="J2088">
        <v>0.57648525688841801</v>
      </c>
      <c r="K2088">
        <v>0.49253209020832001</v>
      </c>
      <c r="L2088">
        <v>1344.69771707366</v>
      </c>
      <c r="M2088">
        <v>24.731684271043701</v>
      </c>
      <c r="O2088">
        <v>54.019717124372299</v>
      </c>
      <c r="P2088">
        <v>-5.6936766639969903E-2</v>
      </c>
      <c r="Q2088">
        <v>0.50255473620724</v>
      </c>
      <c r="R2088">
        <v>0.94455908204403705</v>
      </c>
      <c r="S2088" t="s">
        <v>6384</v>
      </c>
      <c r="T2088" t="s">
        <v>8590</v>
      </c>
      <c r="U2088" t="s">
        <v>8590</v>
      </c>
      <c r="V2088" t="s">
        <v>8590</v>
      </c>
      <c r="W2088">
        <v>3</v>
      </c>
      <c r="X2088" t="s">
        <v>10678</v>
      </c>
      <c r="Y2088">
        <v>0.7455513271028108</v>
      </c>
      <c r="Z2088" t="str">
        <f>HYPERLINK("Melting_Curves/meltCurve_sp_Q6N043_2_Z280D_HUMAN_.pdf", "Melting_Curves/meltCurve_sp_Q6N043_2_Z280D_HUMAN_.pdf")</f>
        <v>Melting_Curves/meltCurve_sp_Q6N043_2_Z280D_HUMAN_.pdf</v>
      </c>
      <c r="AA2088" t="s">
        <v>14934</v>
      </c>
      <c r="AB2088" t="s">
        <v>19172</v>
      </c>
    </row>
    <row r="2089" spans="1:28" x14ac:dyDescent="0.25">
      <c r="A2089" t="s">
        <v>2093</v>
      </c>
      <c r="B2089">
        <v>0.99876560204751996</v>
      </c>
      <c r="C2089">
        <v>1.0445354291832301</v>
      </c>
      <c r="D2089">
        <v>0.889692314601774</v>
      </c>
      <c r="E2089">
        <v>0.55200359179605596</v>
      </c>
      <c r="F2089">
        <v>0.30846838889669598</v>
      </c>
      <c r="G2089">
        <v>0.19680450725887599</v>
      </c>
      <c r="H2089">
        <v>0.22849490939362599</v>
      </c>
      <c r="I2089">
        <v>0.137744334013196</v>
      </c>
      <c r="J2089">
        <v>0.38936626909493599</v>
      </c>
      <c r="K2089">
        <v>0.21161281169850901</v>
      </c>
      <c r="L2089">
        <v>1473.4631011623701</v>
      </c>
      <c r="M2089">
        <v>29.881785737201898</v>
      </c>
      <c r="N2089">
        <v>50.3460906027315</v>
      </c>
      <c r="O2089">
        <v>49.090484642735099</v>
      </c>
      <c r="P2089">
        <v>-0.117221383052959</v>
      </c>
      <c r="Q2089">
        <v>0.22970917712257</v>
      </c>
      <c r="R2089">
        <v>0.96409775216323201</v>
      </c>
      <c r="S2089" t="s">
        <v>6385</v>
      </c>
      <c r="T2089" t="s">
        <v>8590</v>
      </c>
      <c r="U2089" t="s">
        <v>8590</v>
      </c>
      <c r="V2089" t="s">
        <v>8590</v>
      </c>
      <c r="W2089">
        <v>4</v>
      </c>
      <c r="X2089" t="s">
        <v>10679</v>
      </c>
      <c r="Y2089">
        <v>0.47350049977548653</v>
      </c>
      <c r="Z2089" t="str">
        <f>HYPERLINK("Melting_Curves/meltCurve_sp_Q6N063_OGFD2_HUMAN_.pdf", "Melting_Curves/meltCurve_sp_Q6N063_OGFD2_HUMAN_.pdf")</f>
        <v>Melting_Curves/meltCurve_sp_Q6N063_OGFD2_HUMAN_.pdf</v>
      </c>
      <c r="AA2089" t="s">
        <v>14935</v>
      </c>
      <c r="AB2089" t="s">
        <v>19173</v>
      </c>
    </row>
    <row r="2090" spans="1:28" x14ac:dyDescent="0.25">
      <c r="A2090" t="s">
        <v>2094</v>
      </c>
      <c r="B2090">
        <v>0.99876560204751996</v>
      </c>
      <c r="C2090">
        <v>0.99632060546288703</v>
      </c>
      <c r="D2090">
        <v>1.0022229580714199</v>
      </c>
      <c r="E2090">
        <v>1.02797523815973</v>
      </c>
      <c r="F2090">
        <v>0.96006763683016105</v>
      </c>
      <c r="G2090">
        <v>0.75591169945213199</v>
      </c>
      <c r="H2090">
        <v>0.53453365563760502</v>
      </c>
      <c r="I2090">
        <v>0.52085743245765004</v>
      </c>
      <c r="J2090">
        <v>0.59795806402088203</v>
      </c>
      <c r="K2090">
        <v>0.48415112275968097</v>
      </c>
      <c r="L2090">
        <v>2460.86434766604</v>
      </c>
      <c r="M2090">
        <v>43.295245231208902</v>
      </c>
      <c r="O2090">
        <v>56.718276130297902</v>
      </c>
      <c r="P2090">
        <v>-9.0027074133342599E-2</v>
      </c>
      <c r="Q2090">
        <v>0.52824633315873903</v>
      </c>
      <c r="R2090">
        <v>0.98258363967990903</v>
      </c>
      <c r="S2090" t="s">
        <v>6386</v>
      </c>
      <c r="T2090" t="s">
        <v>8590</v>
      </c>
      <c r="U2090" t="s">
        <v>8590</v>
      </c>
      <c r="V2090" t="s">
        <v>8590</v>
      </c>
      <c r="W2090">
        <v>2</v>
      </c>
      <c r="X2090" t="s">
        <v>10680</v>
      </c>
      <c r="Y2090">
        <v>0.79461457230067045</v>
      </c>
      <c r="Z2090" t="str">
        <f>HYPERLINK("Melting_Curves/meltCurve_sp_Q6NUM9_RETST_HUMAN_.pdf", "Melting_Curves/meltCurve_sp_Q6NUM9_RETST_HUMAN_.pdf")</f>
        <v>Melting_Curves/meltCurve_sp_Q6NUM9_RETST_HUMAN_.pdf</v>
      </c>
      <c r="AA2090" t="s">
        <v>14936</v>
      </c>
      <c r="AB2090" t="s">
        <v>19174</v>
      </c>
    </row>
    <row r="2091" spans="1:28" x14ac:dyDescent="0.25">
      <c r="A2091" t="s">
        <v>2095</v>
      </c>
      <c r="B2091">
        <v>0.99876560204751996</v>
      </c>
      <c r="C2091">
        <v>0.90539794517665795</v>
      </c>
      <c r="D2091">
        <v>0.89305591867128398</v>
      </c>
      <c r="E2091">
        <v>0.74603830639637003</v>
      </c>
      <c r="F2091">
        <v>0.52896745417686697</v>
      </c>
      <c r="G2091">
        <v>0.31300768674196</v>
      </c>
      <c r="H2091">
        <v>0.128222056076397</v>
      </c>
      <c r="I2091">
        <v>7.2414372315791106E-2</v>
      </c>
      <c r="J2091">
        <v>5.5900468331551899E-2</v>
      </c>
      <c r="K2091">
        <v>4.6389471939988297E-2</v>
      </c>
      <c r="L2091">
        <v>746.01872402484003</v>
      </c>
      <c r="M2091">
        <v>13.952037458228199</v>
      </c>
      <c r="N2091">
        <v>53.470237514781502</v>
      </c>
      <c r="O2091">
        <v>52.407710034119503</v>
      </c>
      <c r="P2091">
        <v>-6.6564216123637804E-2</v>
      </c>
      <c r="Q2091">
        <v>0</v>
      </c>
      <c r="R2091">
        <v>0.99564170867604196</v>
      </c>
      <c r="S2091" t="s">
        <v>6387</v>
      </c>
      <c r="T2091" t="s">
        <v>8590</v>
      </c>
      <c r="U2091" t="s">
        <v>8590</v>
      </c>
      <c r="V2091" t="s">
        <v>8590</v>
      </c>
      <c r="W2091">
        <v>26</v>
      </c>
      <c r="X2091" t="s">
        <v>10681</v>
      </c>
      <c r="Y2091">
        <v>0.47211970333669778</v>
      </c>
      <c r="Z2091" t="str">
        <f>HYPERLINK("Melting_Curves/meltCurve_sp_Q6NUN0_ACSM5_HUMAN_.pdf", "Melting_Curves/meltCurve_sp_Q6NUN0_ACSM5_HUMAN_.pdf")</f>
        <v>Melting_Curves/meltCurve_sp_Q6NUN0_ACSM5_HUMAN_.pdf</v>
      </c>
      <c r="AA2091" t="s">
        <v>14937</v>
      </c>
      <c r="AB2091" t="s">
        <v>19175</v>
      </c>
    </row>
    <row r="2092" spans="1:28" x14ac:dyDescent="0.25">
      <c r="A2092" t="s">
        <v>2096</v>
      </c>
      <c r="B2092">
        <v>0.99876560204751996</v>
      </c>
      <c r="C2092">
        <v>0.99320961772860505</v>
      </c>
      <c r="D2092">
        <v>0.78780835334025201</v>
      </c>
      <c r="E2092">
        <v>0.47623763642240602</v>
      </c>
      <c r="F2092">
        <v>0.30314099812940898</v>
      </c>
      <c r="G2092">
        <v>0.13750030365298799</v>
      </c>
      <c r="H2092">
        <v>5.8482297451984099E-2</v>
      </c>
      <c r="I2092">
        <v>7.1119538585251899E-2</v>
      </c>
      <c r="J2092">
        <v>4.1909054590596503E-2</v>
      </c>
      <c r="K2092">
        <v>6.3341487751263303E-2</v>
      </c>
      <c r="L2092">
        <v>878.053027119597</v>
      </c>
      <c r="M2092">
        <v>17.695945615280198</v>
      </c>
      <c r="N2092">
        <v>49.888235696433398</v>
      </c>
      <c r="O2092">
        <v>48.998241906731799</v>
      </c>
      <c r="P2092">
        <v>-8.6179635060769699E-2</v>
      </c>
      <c r="Q2092">
        <v>4.5560404581150502E-2</v>
      </c>
      <c r="R2092">
        <v>0.99664722989887999</v>
      </c>
      <c r="S2092" t="s">
        <v>6388</v>
      </c>
      <c r="T2092" t="s">
        <v>8590</v>
      </c>
      <c r="U2092" t="s">
        <v>8590</v>
      </c>
      <c r="V2092" t="s">
        <v>8590</v>
      </c>
      <c r="W2092">
        <v>2</v>
      </c>
      <c r="X2092" t="s">
        <v>10682</v>
      </c>
      <c r="Y2092">
        <v>0.36849146118576742</v>
      </c>
      <c r="Z2092" t="str">
        <f>HYPERLINK("Melting_Curves/meltCurve_sp_Q6NUQ1_RINT1_HUMAN_.pdf", "Melting_Curves/meltCurve_sp_Q6NUQ1_RINT1_HUMAN_.pdf")</f>
        <v>Melting_Curves/meltCurve_sp_Q6NUQ1_RINT1_HUMAN_.pdf</v>
      </c>
      <c r="AA2092" t="s">
        <v>14938</v>
      </c>
      <c r="AB2092" t="s">
        <v>19176</v>
      </c>
    </row>
    <row r="2093" spans="1:28" x14ac:dyDescent="0.25">
      <c r="A2093" t="s">
        <v>2097</v>
      </c>
      <c r="B2093">
        <v>0.99876560204751996</v>
      </c>
      <c r="C2093">
        <v>1.0698707791479201</v>
      </c>
      <c r="D2093">
        <v>0.97164704892277298</v>
      </c>
      <c r="E2093">
        <v>0.97570998848555202</v>
      </c>
      <c r="F2093">
        <v>1.04467234900364</v>
      </c>
      <c r="G2093">
        <v>0.82994866269671796</v>
      </c>
      <c r="H2093">
        <v>0.85086727559181097</v>
      </c>
      <c r="I2093">
        <v>0.84848029859552099</v>
      </c>
      <c r="J2093">
        <v>1.1296269686024301</v>
      </c>
      <c r="K2093">
        <v>0.79890606199705205</v>
      </c>
      <c r="L2093">
        <v>4282.0830503074503</v>
      </c>
      <c r="M2093">
        <v>78.077930939222895</v>
      </c>
      <c r="O2093">
        <v>54.807759204666702</v>
      </c>
      <c r="P2093">
        <v>-3.8514732524266897E-2</v>
      </c>
      <c r="Q2093">
        <v>0.89185646425547305</v>
      </c>
      <c r="R2093">
        <v>0.29427477873947799</v>
      </c>
      <c r="S2093" t="s">
        <v>6389</v>
      </c>
      <c r="T2093" t="s">
        <v>8590</v>
      </c>
      <c r="U2093" t="s">
        <v>8590</v>
      </c>
      <c r="V2093" t="s">
        <v>8590</v>
      </c>
      <c r="W2093">
        <v>5</v>
      </c>
      <c r="X2093" t="s">
        <v>10683</v>
      </c>
      <c r="Y2093">
        <v>0.94547175805697681</v>
      </c>
      <c r="Z2093" t="str">
        <f>HYPERLINK("Melting_Curves/meltCurve_sp_Q6NUQ4_2_TM214_HUMAN_.pdf", "Melting_Curves/meltCurve_sp_Q6NUQ4_2_TM214_HUMAN_.pdf")</f>
        <v>Melting_Curves/meltCurve_sp_Q6NUQ4_2_TM214_HUMAN_.pdf</v>
      </c>
      <c r="AA2093" t="s">
        <v>14939</v>
      </c>
      <c r="AB2093" t="s">
        <v>19177</v>
      </c>
    </row>
    <row r="2094" spans="1:28" x14ac:dyDescent="0.25">
      <c r="A2094" t="s">
        <v>2098</v>
      </c>
      <c r="B2094">
        <v>0.99876560204751996</v>
      </c>
      <c r="C2094">
        <v>0.94430003799648898</v>
      </c>
      <c r="D2094">
        <v>1.0549405167764601</v>
      </c>
      <c r="E2094">
        <v>0.88698246571002903</v>
      </c>
      <c r="F2094">
        <v>0.57926225346342297</v>
      </c>
      <c r="G2094">
        <v>0.117906692893954</v>
      </c>
      <c r="H2094">
        <v>7.6972150958097604E-2</v>
      </c>
      <c r="I2094">
        <v>6.2433632905917302E-2</v>
      </c>
      <c r="J2094">
        <v>6.3935780212582394E-2</v>
      </c>
      <c r="K2094">
        <v>5.2607127881723198E-2</v>
      </c>
      <c r="L2094">
        <v>1890.6114446271699</v>
      </c>
      <c r="M2094">
        <v>35.517203531283698</v>
      </c>
      <c r="N2094">
        <v>53.412505457328002</v>
      </c>
      <c r="O2094">
        <v>53.0629613138452</v>
      </c>
      <c r="P2094">
        <v>-0.15781622755650199</v>
      </c>
      <c r="Q2094">
        <v>5.6888753746338699E-2</v>
      </c>
      <c r="R2094">
        <v>0.99556692251976098</v>
      </c>
      <c r="S2094" t="s">
        <v>6390</v>
      </c>
      <c r="T2094" t="s">
        <v>8590</v>
      </c>
      <c r="U2094" t="s">
        <v>8590</v>
      </c>
      <c r="V2094" t="s">
        <v>8590</v>
      </c>
      <c r="W2094">
        <v>30</v>
      </c>
      <c r="X2094" t="s">
        <v>10684</v>
      </c>
      <c r="Y2094">
        <v>0.47722363396613982</v>
      </c>
      <c r="Z2094" t="str">
        <f>HYPERLINK("Melting_Curves/meltCurve_sp_Q6NVY1_HIBCH_HUMAN_.pdf", "Melting_Curves/meltCurve_sp_Q6NVY1_HIBCH_HUMAN_.pdf")</f>
        <v>Melting_Curves/meltCurve_sp_Q6NVY1_HIBCH_HUMAN_.pdf</v>
      </c>
      <c r="AA2094" t="s">
        <v>14940</v>
      </c>
      <c r="AB2094" t="s">
        <v>19178</v>
      </c>
    </row>
    <row r="2095" spans="1:28" x14ac:dyDescent="0.25">
      <c r="A2095" t="s">
        <v>2099</v>
      </c>
      <c r="B2095">
        <v>0.99876560204751996</v>
      </c>
      <c r="C2095">
        <v>0.98318403647081298</v>
      </c>
      <c r="D2095">
        <v>1.04133596589258</v>
      </c>
      <c r="E2095">
        <v>1.08819813288961</v>
      </c>
      <c r="F2095">
        <v>1.18817856476395</v>
      </c>
      <c r="G2095">
        <v>1.0605873233465499</v>
      </c>
      <c r="H2095">
        <v>0.95945267916694199</v>
      </c>
      <c r="I2095">
        <v>0.95760349027106395</v>
      </c>
      <c r="J2095">
        <v>1.05056121566718</v>
      </c>
      <c r="K2095">
        <v>1.08144194194008</v>
      </c>
      <c r="L2095">
        <v>15000</v>
      </c>
      <c r="M2095">
        <v>224.373012518742</v>
      </c>
      <c r="O2095">
        <v>66.8476488005427</v>
      </c>
      <c r="P2095">
        <v>6.8345109658279807E-2</v>
      </c>
      <c r="Q2095">
        <v>1.08144847415104</v>
      </c>
      <c r="R2095">
        <v>-0.16910920742187599</v>
      </c>
      <c r="S2095" t="s">
        <v>6391</v>
      </c>
      <c r="T2095" t="s">
        <v>8590</v>
      </c>
      <c r="U2095" t="s">
        <v>8590</v>
      </c>
      <c r="V2095" t="s">
        <v>8590</v>
      </c>
      <c r="W2095">
        <v>4</v>
      </c>
      <c r="X2095" t="s">
        <v>10685</v>
      </c>
      <c r="Y2095">
        <v>1.008532226947878</v>
      </c>
      <c r="Z2095" t="str">
        <f>HYPERLINK("Melting_Curves/meltCurve_sp_Q6NYC8_PPR18_HUMAN_.pdf", "Melting_Curves/meltCurve_sp_Q6NYC8_PPR18_HUMAN_.pdf")</f>
        <v>Melting_Curves/meltCurve_sp_Q6NYC8_PPR18_HUMAN_.pdf</v>
      </c>
      <c r="AA2095" t="s">
        <v>14941</v>
      </c>
      <c r="AB2095" t="s">
        <v>19179</v>
      </c>
    </row>
    <row r="2096" spans="1:28" x14ac:dyDescent="0.25">
      <c r="A2096" t="s">
        <v>2100</v>
      </c>
      <c r="B2096">
        <v>0.99876560204751996</v>
      </c>
      <c r="C2096">
        <v>1.0323674321145999</v>
      </c>
      <c r="D2096">
        <v>0.90653164005878495</v>
      </c>
      <c r="E2096">
        <v>0.86408557939256003</v>
      </c>
      <c r="F2096">
        <v>0.63638059090282095</v>
      </c>
      <c r="G2096">
        <v>0.34749893023346801</v>
      </c>
      <c r="H2096">
        <v>0.21517918842796999</v>
      </c>
      <c r="I2096">
        <v>0.18493193303782701</v>
      </c>
      <c r="J2096">
        <v>0.23128750259014699</v>
      </c>
      <c r="K2096">
        <v>0.19310534194161</v>
      </c>
      <c r="L2096">
        <v>1186.92557790771</v>
      </c>
      <c r="M2096">
        <v>22.2158501097522</v>
      </c>
      <c r="N2096">
        <v>54.574275498808397</v>
      </c>
      <c r="O2096">
        <v>52.999727602636703</v>
      </c>
      <c r="P2096">
        <v>-8.5242777775233702E-2</v>
      </c>
      <c r="Q2096">
        <v>0.18657235969511701</v>
      </c>
      <c r="R2096">
        <v>0.99263036072623201</v>
      </c>
      <c r="S2096" t="s">
        <v>6392</v>
      </c>
      <c r="T2096" t="s">
        <v>8590</v>
      </c>
      <c r="U2096" t="s">
        <v>8590</v>
      </c>
      <c r="V2096" t="s">
        <v>8590</v>
      </c>
      <c r="W2096">
        <v>9</v>
      </c>
      <c r="X2096" t="s">
        <v>10686</v>
      </c>
      <c r="Y2096">
        <v>0.55993560214918969</v>
      </c>
      <c r="Z2096" t="str">
        <f>HYPERLINK("Melting_Curves/meltCurve_sp_Q6NZY4_ZCHC8_HUMAN_.pdf", "Melting_Curves/meltCurve_sp_Q6NZY4_ZCHC8_HUMAN_.pdf")</f>
        <v>Melting_Curves/meltCurve_sp_Q6NZY4_ZCHC8_HUMAN_.pdf</v>
      </c>
      <c r="AA2096" t="s">
        <v>14942</v>
      </c>
      <c r="AB2096" t="s">
        <v>19180</v>
      </c>
    </row>
    <row r="2097" spans="1:28" x14ac:dyDescent="0.25">
      <c r="A2097" t="s">
        <v>2101</v>
      </c>
      <c r="B2097">
        <v>0.99876560204751996</v>
      </c>
      <c r="C2097">
        <v>1.0015780807299599</v>
      </c>
      <c r="D2097">
        <v>1.03262311471895</v>
      </c>
      <c r="E2097">
        <v>0.77066373702860103</v>
      </c>
      <c r="F2097">
        <v>0.65829811896216595</v>
      </c>
      <c r="G2097">
        <v>0.20863931024372101</v>
      </c>
      <c r="H2097">
        <v>0.12963084811077999</v>
      </c>
      <c r="I2097">
        <v>0.114089038599774</v>
      </c>
      <c r="J2097">
        <v>0.13465190807090299</v>
      </c>
      <c r="K2097">
        <v>8.1749056803018E-2</v>
      </c>
      <c r="L2097">
        <v>1271.9051655947801</v>
      </c>
      <c r="M2097">
        <v>23.809957068181401</v>
      </c>
      <c r="N2097">
        <v>53.877475937019597</v>
      </c>
      <c r="O2097">
        <v>53.046509092565699</v>
      </c>
      <c r="P2097">
        <v>-0.10192498637536999</v>
      </c>
      <c r="Q2097">
        <v>9.1694914402400393E-2</v>
      </c>
      <c r="R2097">
        <v>0.98847913858153902</v>
      </c>
      <c r="S2097" t="s">
        <v>6393</v>
      </c>
      <c r="T2097" t="s">
        <v>8590</v>
      </c>
      <c r="U2097" t="s">
        <v>8590</v>
      </c>
      <c r="V2097" t="s">
        <v>8590</v>
      </c>
      <c r="W2097">
        <v>6</v>
      </c>
      <c r="X2097" t="s">
        <v>10687</v>
      </c>
      <c r="Y2097">
        <v>0.50715272868979844</v>
      </c>
      <c r="Z2097" t="str">
        <f>HYPERLINK("Melting_Curves/meltCurve_sp_Q6P1J9_CDC73_HUMAN_.pdf", "Melting_Curves/meltCurve_sp_Q6P1J9_CDC73_HUMAN_.pdf")</f>
        <v>Melting_Curves/meltCurve_sp_Q6P1J9_CDC73_HUMAN_.pdf</v>
      </c>
      <c r="AA2097" t="s">
        <v>14943</v>
      </c>
      <c r="AB2097" t="s">
        <v>19181</v>
      </c>
    </row>
    <row r="2098" spans="1:28" x14ac:dyDescent="0.25">
      <c r="A2098" t="s">
        <v>2102</v>
      </c>
      <c r="B2098">
        <v>0.99876560204751996</v>
      </c>
      <c r="C2098">
        <v>0.97207744985293798</v>
      </c>
      <c r="D2098">
        <v>0.73217056115530998</v>
      </c>
      <c r="E2098">
        <v>0.52729950689138205</v>
      </c>
      <c r="F2098">
        <v>0.307023976613989</v>
      </c>
      <c r="G2098">
        <v>0.18680166210683399</v>
      </c>
      <c r="H2098">
        <v>9.6637098111983996E-2</v>
      </c>
      <c r="I2098">
        <v>8.6503454696316498E-2</v>
      </c>
      <c r="J2098">
        <v>6.8069874003120506E-2</v>
      </c>
      <c r="K2098">
        <v>3.9526006122728302E-2</v>
      </c>
      <c r="L2098">
        <v>739.46685426783904</v>
      </c>
      <c r="M2098">
        <v>14.851760896884199</v>
      </c>
      <c r="N2098">
        <v>50.096609868874403</v>
      </c>
      <c r="O2098">
        <v>48.913306515631803</v>
      </c>
      <c r="P2098">
        <v>-7.2616786835061703E-2</v>
      </c>
      <c r="Q2098">
        <v>4.3465854676152403E-2</v>
      </c>
      <c r="R2098">
        <v>0.994494652427522</v>
      </c>
      <c r="S2098" t="s">
        <v>6394</v>
      </c>
      <c r="T2098" t="s">
        <v>8590</v>
      </c>
      <c r="U2098" t="s">
        <v>8590</v>
      </c>
      <c r="V2098" t="s">
        <v>8590</v>
      </c>
      <c r="W2098">
        <v>2</v>
      </c>
      <c r="X2098" t="s">
        <v>10688</v>
      </c>
      <c r="Y2098">
        <v>0.37898854277156402</v>
      </c>
      <c r="Z2098" t="str">
        <f>HYPERLINK("Melting_Curves/meltCurve_sp_Q6P1M3_2_L2GL2_HUMAN_.pdf", "Melting_Curves/meltCurve_sp_Q6P1M3_2_L2GL2_HUMAN_.pdf")</f>
        <v>Melting_Curves/meltCurve_sp_Q6P1M3_2_L2GL2_HUMAN_.pdf</v>
      </c>
      <c r="AA2098" t="s">
        <v>14944</v>
      </c>
      <c r="AB2098" t="s">
        <v>19182</v>
      </c>
    </row>
    <row r="2099" spans="1:28" x14ac:dyDescent="0.25">
      <c r="A2099" t="s">
        <v>2103</v>
      </c>
      <c r="B2099">
        <v>0.99876560204751996</v>
      </c>
      <c r="C2099">
        <v>0.94923740917966104</v>
      </c>
      <c r="D2099">
        <v>0.86969303506343298</v>
      </c>
      <c r="E2099">
        <v>0.79462438349728604</v>
      </c>
      <c r="F2099">
        <v>0.56498652152655504</v>
      </c>
      <c r="G2099">
        <v>0.465899321769698</v>
      </c>
      <c r="H2099">
        <v>0.35352378637742099</v>
      </c>
      <c r="I2099">
        <v>0.34862399759296397</v>
      </c>
      <c r="J2099">
        <v>0.357599986794231</v>
      </c>
      <c r="K2099">
        <v>0.32725861038846599</v>
      </c>
      <c r="L2099">
        <v>754.77199025129403</v>
      </c>
      <c r="M2099">
        <v>14.586706458314</v>
      </c>
      <c r="N2099">
        <v>55.460197254967497</v>
      </c>
      <c r="O2099">
        <v>50.800498348125302</v>
      </c>
      <c r="P2099">
        <v>-4.9402876130866802E-2</v>
      </c>
      <c r="Q2099">
        <v>0.31186456156936398</v>
      </c>
      <c r="R2099">
        <v>0.98991455443827203</v>
      </c>
      <c r="S2099" t="s">
        <v>6395</v>
      </c>
      <c r="T2099" t="s">
        <v>8590</v>
      </c>
      <c r="U2099" t="s">
        <v>8590</v>
      </c>
      <c r="V2099" t="s">
        <v>8590</v>
      </c>
      <c r="W2099">
        <v>10</v>
      </c>
      <c r="X2099" t="s">
        <v>10689</v>
      </c>
      <c r="Y2099">
        <v>0.59744812356203836</v>
      </c>
      <c r="Z2099" t="str">
        <f>HYPERLINK("Melting_Curves/meltCurve_sp_Q6P1N0_2_C2D1A_HUMAN_.pdf", "Melting_Curves/meltCurve_sp_Q6P1N0_2_C2D1A_HUMAN_.pdf")</f>
        <v>Melting_Curves/meltCurve_sp_Q6P1N0_2_C2D1A_HUMAN_.pdf</v>
      </c>
      <c r="AA2099" t="s">
        <v>14945</v>
      </c>
      <c r="AB2099" t="s">
        <v>19183</v>
      </c>
    </row>
    <row r="2100" spans="1:28" x14ac:dyDescent="0.25">
      <c r="A2100" t="s">
        <v>2104</v>
      </c>
      <c r="B2100">
        <v>0.99876560204751996</v>
      </c>
      <c r="C2100">
        <v>0.96916817709361402</v>
      </c>
      <c r="D2100">
        <v>1.0383943097046699</v>
      </c>
      <c r="E2100">
        <v>0.95249559886517099</v>
      </c>
      <c r="F2100">
        <v>0.90594080749147299</v>
      </c>
      <c r="G2100">
        <v>0.76014743809901797</v>
      </c>
      <c r="H2100">
        <v>0.41515935288302502</v>
      </c>
      <c r="I2100">
        <v>0.13297773705704799</v>
      </c>
      <c r="J2100">
        <v>8.2104975888767501E-2</v>
      </c>
      <c r="K2100">
        <v>6.90543888346421E-2</v>
      </c>
      <c r="L2100">
        <v>1371.86232364893</v>
      </c>
      <c r="M2100">
        <v>22.986120223051401</v>
      </c>
      <c r="N2100">
        <v>59.737355679985498</v>
      </c>
      <c r="O2100">
        <v>59.236007648380202</v>
      </c>
      <c r="P2100">
        <v>-9.5994154286149894E-2</v>
      </c>
      <c r="Q2100">
        <v>1.0498069324091801E-2</v>
      </c>
      <c r="R2100">
        <v>0.99350471867347401</v>
      </c>
      <c r="S2100" t="s">
        <v>6396</v>
      </c>
      <c r="T2100" t="s">
        <v>8590</v>
      </c>
      <c r="U2100" t="s">
        <v>8590</v>
      </c>
      <c r="V2100" t="s">
        <v>8590</v>
      </c>
      <c r="W2100">
        <v>14</v>
      </c>
      <c r="X2100" t="s">
        <v>10690</v>
      </c>
      <c r="Y2100">
        <v>0.66788838333447087</v>
      </c>
      <c r="Z2100" t="str">
        <f>HYPERLINK("Melting_Curves/meltCurve_sp_Q6P1N9_TATD1_HUMAN_.pdf", "Melting_Curves/meltCurve_sp_Q6P1N9_TATD1_HUMAN_.pdf")</f>
        <v>Melting_Curves/meltCurve_sp_Q6P1N9_TATD1_HUMAN_.pdf</v>
      </c>
      <c r="AA2100" t="s">
        <v>14946</v>
      </c>
      <c r="AB2100" t="s">
        <v>19184</v>
      </c>
    </row>
    <row r="2101" spans="1:28" x14ac:dyDescent="0.25">
      <c r="A2101" t="s">
        <v>2105</v>
      </c>
      <c r="B2101">
        <v>0.99876560204751996</v>
      </c>
      <c r="C2101">
        <v>0.82318905265085796</v>
      </c>
      <c r="D2101">
        <v>0.66040422091093998</v>
      </c>
      <c r="E2101">
        <v>0.51100887637280201</v>
      </c>
      <c r="F2101">
        <v>0.23041959685494801</v>
      </c>
      <c r="G2101">
        <v>0.139295846280103</v>
      </c>
      <c r="H2101">
        <v>0.13626746754296101</v>
      </c>
      <c r="I2101">
        <v>7.3167766291183101E-2</v>
      </c>
      <c r="J2101">
        <v>4.7498533036936602E-2</v>
      </c>
      <c r="K2101">
        <v>2.5310039928470002E-2</v>
      </c>
      <c r="L2101">
        <v>614.31639128952304</v>
      </c>
      <c r="M2101">
        <v>12.5803620740288</v>
      </c>
      <c r="N2101">
        <v>48.9895501256415</v>
      </c>
      <c r="O2101">
        <v>47.646800958213603</v>
      </c>
      <c r="P2101">
        <v>-6.47077860477836E-2</v>
      </c>
      <c r="Q2101">
        <v>1.9900917559879699E-2</v>
      </c>
      <c r="R2101">
        <v>0.98617669620177595</v>
      </c>
      <c r="S2101" t="s">
        <v>6397</v>
      </c>
      <c r="T2101" t="s">
        <v>8590</v>
      </c>
      <c r="U2101" t="s">
        <v>8590</v>
      </c>
      <c r="V2101" t="s">
        <v>8590</v>
      </c>
      <c r="W2101">
        <v>2</v>
      </c>
      <c r="X2101" t="s">
        <v>10691</v>
      </c>
      <c r="Y2101">
        <v>0.34196932378913542</v>
      </c>
      <c r="Z2101" t="str">
        <f>HYPERLINK("Melting_Curves/meltCurve_sp_Q6P1R4_DUS1L_HUMAN_.pdf", "Melting_Curves/meltCurve_sp_Q6P1R4_DUS1L_HUMAN_.pdf")</f>
        <v>Melting_Curves/meltCurve_sp_Q6P1R4_DUS1L_HUMAN_.pdf</v>
      </c>
      <c r="AA2101" t="s">
        <v>14947</v>
      </c>
      <c r="AB2101" t="s">
        <v>19185</v>
      </c>
    </row>
    <row r="2102" spans="1:28" x14ac:dyDescent="0.25">
      <c r="A2102" t="s">
        <v>2106</v>
      </c>
      <c r="B2102">
        <v>0.99876560204751996</v>
      </c>
      <c r="C2102">
        <v>0.92500228512731297</v>
      </c>
      <c r="D2102">
        <v>0.98209844621891096</v>
      </c>
      <c r="E2102">
        <v>0.84851656576494905</v>
      </c>
      <c r="F2102">
        <v>0.74390812887337299</v>
      </c>
      <c r="G2102">
        <v>0.47538784909309201</v>
      </c>
      <c r="H2102">
        <v>0.20611090947105101</v>
      </c>
      <c r="I2102">
        <v>0.15008503186368399</v>
      </c>
      <c r="J2102">
        <v>0.121667771068019</v>
      </c>
      <c r="K2102">
        <v>6.2040571832305401E-2</v>
      </c>
      <c r="L2102">
        <v>877.98554961319098</v>
      </c>
      <c r="M2102">
        <v>15.632044443613101</v>
      </c>
      <c r="N2102">
        <v>56.3504242392194</v>
      </c>
      <c r="O2102">
        <v>55.270682964341503</v>
      </c>
      <c r="P2102">
        <v>-6.8947276986664502E-2</v>
      </c>
      <c r="Q2102">
        <v>2.4968066241264401E-2</v>
      </c>
      <c r="R2102">
        <v>0.99396698562693897</v>
      </c>
      <c r="S2102" t="s">
        <v>6398</v>
      </c>
      <c r="T2102" t="s">
        <v>8590</v>
      </c>
      <c r="U2102" t="s">
        <v>8590</v>
      </c>
      <c r="V2102" t="s">
        <v>8590</v>
      </c>
      <c r="W2102">
        <v>7</v>
      </c>
      <c r="X2102" t="s">
        <v>10692</v>
      </c>
      <c r="Y2102">
        <v>0.56680291688342699</v>
      </c>
      <c r="Z2102" t="str">
        <f>HYPERLINK("Melting_Curves/meltCurve_sp_Q6P1X6_CH082_HUMAN_.pdf", "Melting_Curves/meltCurve_sp_Q6P1X6_CH082_HUMAN_.pdf")</f>
        <v>Melting_Curves/meltCurve_sp_Q6P1X6_CH082_HUMAN_.pdf</v>
      </c>
      <c r="AA2102" t="s">
        <v>14948</v>
      </c>
      <c r="AB2102" t="s">
        <v>19186</v>
      </c>
    </row>
    <row r="2103" spans="1:28" x14ac:dyDescent="0.25">
      <c r="A2103" t="s">
        <v>2107</v>
      </c>
      <c r="B2103">
        <v>0.99876560204751996</v>
      </c>
      <c r="C2103">
        <v>0.96369198133247502</v>
      </c>
      <c r="D2103">
        <v>1.0050806583512299</v>
      </c>
      <c r="E2103">
        <v>0.878719592554565</v>
      </c>
      <c r="F2103">
        <v>0.71190821555079697</v>
      </c>
      <c r="G2103">
        <v>0.29971373994095202</v>
      </c>
      <c r="H2103">
        <v>0.13287377305725601</v>
      </c>
      <c r="I2103">
        <v>7.8784020184685999E-2</v>
      </c>
      <c r="J2103">
        <v>6.3233448375714693E-2</v>
      </c>
      <c r="K2103">
        <v>4.6395643351180599E-2</v>
      </c>
      <c r="L2103">
        <v>1270.77980446585</v>
      </c>
      <c r="M2103">
        <v>23.2357674548639</v>
      </c>
      <c r="N2103">
        <v>54.919966058160099</v>
      </c>
      <c r="O2103">
        <v>54.2904186104792</v>
      </c>
      <c r="P2103">
        <v>-0.102053295349174</v>
      </c>
      <c r="Q2103">
        <v>4.6226222464197497E-2</v>
      </c>
      <c r="R2103">
        <v>0.99831956732927696</v>
      </c>
      <c r="S2103" t="s">
        <v>6399</v>
      </c>
      <c r="T2103" t="s">
        <v>8590</v>
      </c>
      <c r="U2103" t="s">
        <v>8590</v>
      </c>
      <c r="V2103" t="s">
        <v>8590</v>
      </c>
      <c r="W2103">
        <v>6</v>
      </c>
      <c r="X2103" t="s">
        <v>10693</v>
      </c>
      <c r="Y2103">
        <v>0.52330946701921555</v>
      </c>
      <c r="Z2103" t="str">
        <f>HYPERLINK("Melting_Curves/meltCurve_sp_Q6P2E9_EDC4_HUMAN_.pdf", "Melting_Curves/meltCurve_sp_Q6P2E9_EDC4_HUMAN_.pdf")</f>
        <v>Melting_Curves/meltCurve_sp_Q6P2E9_EDC4_HUMAN_.pdf</v>
      </c>
      <c r="AA2103" t="s">
        <v>14949</v>
      </c>
      <c r="AB2103" t="s">
        <v>19187</v>
      </c>
    </row>
    <row r="2104" spans="1:28" x14ac:dyDescent="0.25">
      <c r="A2104" t="s">
        <v>2108</v>
      </c>
      <c r="B2104">
        <v>0.99876560204751996</v>
      </c>
      <c r="C2104">
        <v>0.96397755119244599</v>
      </c>
      <c r="D2104">
        <v>0.92926462720043101</v>
      </c>
      <c r="E2104">
        <v>0.98471894389169401</v>
      </c>
      <c r="F2104">
        <v>0.53082892908407797</v>
      </c>
      <c r="G2104">
        <v>0.103541507094203</v>
      </c>
      <c r="H2104">
        <v>0.105004993611523</v>
      </c>
      <c r="I2104">
        <v>0.12551125496950499</v>
      </c>
      <c r="J2104">
        <v>0.16033357123024999</v>
      </c>
      <c r="K2104">
        <v>8.9286721129376898E-2</v>
      </c>
      <c r="L2104">
        <v>4170.2341496642903</v>
      </c>
      <c r="M2104">
        <v>78.809328996264099</v>
      </c>
      <c r="N2104">
        <v>53.093599019850402</v>
      </c>
      <c r="O2104">
        <v>52.881426488514599</v>
      </c>
      <c r="P2104">
        <v>-0.32929787066383798</v>
      </c>
      <c r="Q2104">
        <v>0.116158180175451</v>
      </c>
      <c r="R2104">
        <v>0.99415635367339605</v>
      </c>
      <c r="S2104" t="s">
        <v>6400</v>
      </c>
      <c r="T2104" t="s">
        <v>8590</v>
      </c>
      <c r="U2104" t="s">
        <v>8590</v>
      </c>
      <c r="V2104" t="s">
        <v>8590</v>
      </c>
      <c r="W2104">
        <v>1</v>
      </c>
      <c r="X2104" t="s">
        <v>10694</v>
      </c>
      <c r="Y2104">
        <v>0.49749409499273078</v>
      </c>
      <c r="Z2104" t="str">
        <f>HYPERLINK("Melting_Curves/meltCurve_sp_Q6P2P2_ANM10_HUMAN_.pdf", "Melting_Curves/meltCurve_sp_Q6P2P2_ANM10_HUMAN_.pdf")</f>
        <v>Melting_Curves/meltCurve_sp_Q6P2P2_ANM10_HUMAN_.pdf</v>
      </c>
      <c r="AA2104" t="s">
        <v>14950</v>
      </c>
      <c r="AB2104" t="s">
        <v>19188</v>
      </c>
    </row>
    <row r="2105" spans="1:28" x14ac:dyDescent="0.25">
      <c r="A2105" t="s">
        <v>2109</v>
      </c>
      <c r="B2105">
        <v>0.99876560204751996</v>
      </c>
      <c r="C2105">
        <v>1.06709453895377</v>
      </c>
      <c r="D2105">
        <v>1.0513958040550899</v>
      </c>
      <c r="E2105">
        <v>0.86293310389979005</v>
      </c>
      <c r="F2105">
        <v>0.48475926445679701</v>
      </c>
      <c r="G2105">
        <v>0.205955215211264</v>
      </c>
      <c r="H2105">
        <v>0.13384960759982401</v>
      </c>
      <c r="I2105">
        <v>0.10908644063680401</v>
      </c>
      <c r="J2105">
        <v>7.8627682554607198E-2</v>
      </c>
      <c r="K2105">
        <v>9.2659241764288594E-2</v>
      </c>
      <c r="L2105">
        <v>1654.73391659295</v>
      </c>
      <c r="M2105">
        <v>31.448678597446701</v>
      </c>
      <c r="N2105">
        <v>53.010570262556399</v>
      </c>
      <c r="O2105">
        <v>52.405581099524298</v>
      </c>
      <c r="P2105">
        <v>-0.134405274786144</v>
      </c>
      <c r="Q2105">
        <v>0.104121543083761</v>
      </c>
      <c r="R2105">
        <v>0.993819836159335</v>
      </c>
      <c r="S2105" t="s">
        <v>6401</v>
      </c>
      <c r="T2105" t="s">
        <v>8590</v>
      </c>
      <c r="U2105" t="s">
        <v>8590</v>
      </c>
      <c r="V2105" t="s">
        <v>8590</v>
      </c>
      <c r="W2105">
        <v>8</v>
      </c>
      <c r="X2105" t="s">
        <v>10695</v>
      </c>
      <c r="Y2105">
        <v>0.48616115701599999</v>
      </c>
      <c r="Z2105" t="str">
        <f>HYPERLINK("Melting_Curves/meltCurve_sp_Q6P2Q9_PRP8_HUMAN_.pdf", "Melting_Curves/meltCurve_sp_Q6P2Q9_PRP8_HUMAN_.pdf")</f>
        <v>Melting_Curves/meltCurve_sp_Q6P2Q9_PRP8_HUMAN_.pdf</v>
      </c>
      <c r="AA2105" t="s">
        <v>14951</v>
      </c>
      <c r="AB2105" t="s">
        <v>19189</v>
      </c>
    </row>
    <row r="2106" spans="1:28" x14ac:dyDescent="0.25">
      <c r="A2106" t="s">
        <v>2110</v>
      </c>
      <c r="B2106">
        <v>0.99876560204751996</v>
      </c>
      <c r="C2106">
        <v>1.0154427663705501</v>
      </c>
      <c r="D2106">
        <v>0.953283601643797</v>
      </c>
      <c r="E2106">
        <v>0.92651885056905303</v>
      </c>
      <c r="F2106">
        <v>0.809246263661202</v>
      </c>
      <c r="G2106">
        <v>0.37004722049843403</v>
      </c>
      <c r="H2106">
        <v>0.120427146645651</v>
      </c>
      <c r="I2106">
        <v>9.2376568948717E-2</v>
      </c>
      <c r="J2106">
        <v>8.7505701979926007E-2</v>
      </c>
      <c r="K2106">
        <v>8.77136418419905E-2</v>
      </c>
      <c r="L2106">
        <v>1551.1647654424</v>
      </c>
      <c r="M2106">
        <v>27.989255480660599</v>
      </c>
      <c r="N2106">
        <v>55.738404547280503</v>
      </c>
      <c r="O2106">
        <v>55.139415471422801</v>
      </c>
      <c r="P2106">
        <v>-0.117527846049878</v>
      </c>
      <c r="Q2106">
        <v>7.3878660482897804E-2</v>
      </c>
      <c r="R2106">
        <v>0.99767238304288897</v>
      </c>
      <c r="S2106" t="s">
        <v>6402</v>
      </c>
      <c r="T2106" t="s">
        <v>8590</v>
      </c>
      <c r="U2106" t="s">
        <v>8590</v>
      </c>
      <c r="V2106" t="s">
        <v>8590</v>
      </c>
      <c r="W2106">
        <v>9</v>
      </c>
      <c r="X2106" t="s">
        <v>10696</v>
      </c>
      <c r="Y2106">
        <v>0.55690645472515654</v>
      </c>
      <c r="Z2106" t="str">
        <f>HYPERLINK("Melting_Curves/meltCurve_sp_Q6P3W7_SCYL2_HUMAN_.pdf", "Melting_Curves/meltCurve_sp_Q6P3W7_SCYL2_HUMAN_.pdf")</f>
        <v>Melting_Curves/meltCurve_sp_Q6P3W7_SCYL2_HUMAN_.pdf</v>
      </c>
      <c r="AA2106" t="s">
        <v>14952</v>
      </c>
      <c r="AB2106" t="s">
        <v>19190</v>
      </c>
    </row>
    <row r="2107" spans="1:28" x14ac:dyDescent="0.25">
      <c r="A2107" t="s">
        <v>2111</v>
      </c>
      <c r="B2107">
        <v>0.99876560204751996</v>
      </c>
      <c r="C2107">
        <v>0.92418406718103197</v>
      </c>
      <c r="D2107">
        <v>0.68153056422696601</v>
      </c>
      <c r="E2107">
        <v>0.37886488726616202</v>
      </c>
      <c r="F2107">
        <v>0.19353542627105599</v>
      </c>
      <c r="G2107">
        <v>0.146694419916654</v>
      </c>
      <c r="H2107">
        <v>0.106217393120189</v>
      </c>
      <c r="I2107">
        <v>5.7908681591015802E-2</v>
      </c>
      <c r="J2107">
        <v>4.9702500316746598E-2</v>
      </c>
      <c r="K2107">
        <v>2.8810492555383201E-2</v>
      </c>
      <c r="L2107">
        <v>843.23908034606598</v>
      </c>
      <c r="M2107">
        <v>17.544407085851201</v>
      </c>
      <c r="N2107">
        <v>48.382176659724301</v>
      </c>
      <c r="O2107">
        <v>47.4517318999821</v>
      </c>
      <c r="P2107">
        <v>-8.7388158467266996E-2</v>
      </c>
      <c r="Q2107">
        <v>5.4628957215537899E-2</v>
      </c>
      <c r="R2107">
        <v>0.99579270420169896</v>
      </c>
      <c r="S2107" t="s">
        <v>6403</v>
      </c>
      <c r="T2107" t="s">
        <v>8590</v>
      </c>
      <c r="U2107" t="s">
        <v>8590</v>
      </c>
      <c r="V2107" t="s">
        <v>8590</v>
      </c>
      <c r="W2107">
        <v>1</v>
      </c>
      <c r="X2107" t="s">
        <v>10697</v>
      </c>
      <c r="Y2107">
        <v>0.3263745221920008</v>
      </c>
      <c r="Z2107" t="str">
        <f>HYPERLINK("Melting_Curves/meltCurve_sp_Q6P3X3_TTC27_HUMAN_.pdf", "Melting_Curves/meltCurve_sp_Q6P3X3_TTC27_HUMAN_.pdf")</f>
        <v>Melting_Curves/meltCurve_sp_Q6P3X3_TTC27_HUMAN_.pdf</v>
      </c>
      <c r="AA2107" t="s">
        <v>14953</v>
      </c>
      <c r="AB2107" t="s">
        <v>19191</v>
      </c>
    </row>
    <row r="2108" spans="1:28" x14ac:dyDescent="0.25">
      <c r="A2108" t="s">
        <v>2112</v>
      </c>
      <c r="B2108">
        <v>0.99876560204751996</v>
      </c>
      <c r="C2108">
        <v>1.00513044075126</v>
      </c>
      <c r="D2108">
        <v>0.92119039018719595</v>
      </c>
      <c r="E2108">
        <v>0.909029349990776</v>
      </c>
      <c r="F2108">
        <v>0.85884466368884305</v>
      </c>
      <c r="G2108">
        <v>0.75104048031366999</v>
      </c>
      <c r="H2108">
        <v>0.54651537097176295</v>
      </c>
      <c r="I2108">
        <v>0.44131060073176998</v>
      </c>
      <c r="J2108">
        <v>0.38248190229428702</v>
      </c>
      <c r="K2108">
        <v>0.209442205502925</v>
      </c>
      <c r="L2108">
        <v>626.84755643496703</v>
      </c>
      <c r="M2108">
        <v>10.0263504818403</v>
      </c>
      <c r="N2108">
        <v>62.5200310199969</v>
      </c>
      <c r="O2108">
        <v>60.185659213833098</v>
      </c>
      <c r="P2108">
        <v>-4.1667643234475499E-2</v>
      </c>
      <c r="Q2108">
        <v>0</v>
      </c>
      <c r="R2108">
        <v>0.98890036724290697</v>
      </c>
      <c r="S2108" t="s">
        <v>6404</v>
      </c>
      <c r="T2108" t="s">
        <v>8590</v>
      </c>
      <c r="U2108" t="s">
        <v>8590</v>
      </c>
      <c r="V2108" t="s">
        <v>8590</v>
      </c>
      <c r="W2108">
        <v>5</v>
      </c>
      <c r="X2108" t="s">
        <v>10698</v>
      </c>
      <c r="Y2108">
        <v>0.72454395740538802</v>
      </c>
      <c r="Z2108" t="str">
        <f>HYPERLINK("Melting_Curves/meltCurve_sp_Q6P4A8_PLBL1_HUMAN_.pdf", "Melting_Curves/meltCurve_sp_Q6P4A8_PLBL1_HUMAN_.pdf")</f>
        <v>Melting_Curves/meltCurve_sp_Q6P4A8_PLBL1_HUMAN_.pdf</v>
      </c>
      <c r="AA2108" t="s">
        <v>14954</v>
      </c>
      <c r="AB2108" t="s">
        <v>19192</v>
      </c>
    </row>
    <row r="2109" spans="1:28" x14ac:dyDescent="0.25">
      <c r="A2109" t="s">
        <v>2113</v>
      </c>
      <c r="B2109">
        <v>0.99876560204751996</v>
      </c>
      <c r="C2109">
        <v>0.94566645231248503</v>
      </c>
      <c r="D2109">
        <v>0.94532966715667199</v>
      </c>
      <c r="E2109">
        <v>0.741878742987922</v>
      </c>
      <c r="F2109">
        <v>0.65142721689674199</v>
      </c>
      <c r="G2109">
        <v>0.51212059449654801</v>
      </c>
      <c r="H2109">
        <v>0.40584791427347</v>
      </c>
      <c r="I2109">
        <v>0.38057362856006199</v>
      </c>
      <c r="J2109">
        <v>0.42176926289729599</v>
      </c>
      <c r="K2109">
        <v>0.410023371631418</v>
      </c>
      <c r="L2109">
        <v>801.40032566506295</v>
      </c>
      <c r="M2109">
        <v>15.516709342346999</v>
      </c>
      <c r="N2109">
        <v>56.941878682993298</v>
      </c>
      <c r="O2109">
        <v>50.812549347451103</v>
      </c>
      <c r="P2109">
        <v>-4.7195113243183803E-2</v>
      </c>
      <c r="Q2109">
        <v>0.38185556646485902</v>
      </c>
      <c r="R2109">
        <v>0.99038261340568501</v>
      </c>
      <c r="S2109" t="s">
        <v>6405</v>
      </c>
      <c r="T2109" t="s">
        <v>8590</v>
      </c>
      <c r="U2109" t="s">
        <v>8590</v>
      </c>
      <c r="V2109" t="s">
        <v>8590</v>
      </c>
      <c r="W2109">
        <v>4</v>
      </c>
      <c r="X2109" t="s">
        <v>10699</v>
      </c>
      <c r="Y2109">
        <v>0.63510472211075286</v>
      </c>
      <c r="Z2109" t="str">
        <f>HYPERLINK("Melting_Curves/meltCurve_sp_Q6P4F2_ADXL_HUMAN_.pdf", "Melting_Curves/meltCurve_sp_Q6P4F2_ADXL_HUMAN_.pdf")</f>
        <v>Melting_Curves/meltCurve_sp_Q6P4F2_ADXL_HUMAN_.pdf</v>
      </c>
      <c r="AA2109" t="s">
        <v>14955</v>
      </c>
      <c r="AB2109" t="s">
        <v>19193</v>
      </c>
    </row>
    <row r="2110" spans="1:28" x14ac:dyDescent="0.25">
      <c r="A2110" t="s">
        <v>2114</v>
      </c>
      <c r="B2110">
        <v>0.99876560204751996</v>
      </c>
      <c r="C2110">
        <v>1.2219552989934599</v>
      </c>
      <c r="D2110">
        <v>1.2357230117311799</v>
      </c>
      <c r="E2110">
        <v>1.0267704772219</v>
      </c>
      <c r="F2110">
        <v>1.0857270387636</v>
      </c>
      <c r="G2110">
        <v>0.876476787187214</v>
      </c>
      <c r="H2110">
        <v>0.71816684162792399</v>
      </c>
      <c r="I2110">
        <v>0.73128069167642595</v>
      </c>
      <c r="J2110">
        <v>0.90766796909757497</v>
      </c>
      <c r="K2110">
        <v>0.83149172807659</v>
      </c>
      <c r="L2110">
        <v>14224.7560529169</v>
      </c>
      <c r="M2110">
        <v>250</v>
      </c>
      <c r="O2110">
        <v>56.895382840141103</v>
      </c>
      <c r="P2110">
        <v>-0.22283024234412799</v>
      </c>
      <c r="Q2110">
        <v>0.79715180833959898</v>
      </c>
      <c r="R2110">
        <v>0.54877059354259705</v>
      </c>
      <c r="S2110" t="s">
        <v>6406</v>
      </c>
      <c r="T2110" t="s">
        <v>8590</v>
      </c>
      <c r="U2110" t="s">
        <v>8590</v>
      </c>
      <c r="V2110" t="s">
        <v>8590</v>
      </c>
      <c r="W2110">
        <v>4</v>
      </c>
      <c r="X2110" t="s">
        <v>10700</v>
      </c>
      <c r="Y2110">
        <v>0.91143661420365396</v>
      </c>
      <c r="Z2110" t="str">
        <f>HYPERLINK("Melting_Curves/meltCurve_sp_Q6P4R8_3_NFRKB_HUMAN_.pdf", "Melting_Curves/meltCurve_sp_Q6P4R8_3_NFRKB_HUMAN_.pdf")</f>
        <v>Melting_Curves/meltCurve_sp_Q6P4R8_3_NFRKB_HUMAN_.pdf</v>
      </c>
      <c r="AA2110" t="s">
        <v>14956</v>
      </c>
      <c r="AB2110" t="s">
        <v>19194</v>
      </c>
    </row>
    <row r="2111" spans="1:28" x14ac:dyDescent="0.25">
      <c r="A2111" t="s">
        <v>2115</v>
      </c>
      <c r="B2111">
        <v>0.99876560204751996</v>
      </c>
      <c r="C2111">
        <v>0.96969215464653202</v>
      </c>
      <c r="D2111">
        <v>1.03314026438735</v>
      </c>
      <c r="E2111">
        <v>0.918289545429123</v>
      </c>
      <c r="F2111">
        <v>0.94117415917140002</v>
      </c>
      <c r="G2111">
        <v>0.77696998254726501</v>
      </c>
      <c r="H2111">
        <v>0.67129787214631298</v>
      </c>
      <c r="I2111">
        <v>0.63781925794462002</v>
      </c>
      <c r="J2111">
        <v>0.70607997517575105</v>
      </c>
      <c r="K2111">
        <v>0.48646406315778801</v>
      </c>
      <c r="L2111">
        <v>697.34290641811401</v>
      </c>
      <c r="M2111">
        <v>11.773565455108301</v>
      </c>
      <c r="O2111">
        <v>57.598285296981501</v>
      </c>
      <c r="P2111">
        <v>-2.6010915659361301E-2</v>
      </c>
      <c r="Q2111">
        <v>0.49113276305528403</v>
      </c>
      <c r="R2111">
        <v>0.91571467280059504</v>
      </c>
      <c r="S2111" t="s">
        <v>6407</v>
      </c>
      <c r="T2111" t="s">
        <v>8590</v>
      </c>
      <c r="U2111" t="s">
        <v>8590</v>
      </c>
      <c r="V2111" t="s">
        <v>8590</v>
      </c>
      <c r="W2111">
        <v>13</v>
      </c>
      <c r="X2111" t="s">
        <v>10701</v>
      </c>
      <c r="Y2111">
        <v>0.82051560860115735</v>
      </c>
      <c r="Z2111" t="str">
        <f>HYPERLINK("Melting_Curves/meltCurve_sp_Q6P587_FAHD1_HUMAN_.pdf", "Melting_Curves/meltCurve_sp_Q6P587_FAHD1_HUMAN_.pdf")</f>
        <v>Melting_Curves/meltCurve_sp_Q6P587_FAHD1_HUMAN_.pdf</v>
      </c>
      <c r="AA2111" t="s">
        <v>14957</v>
      </c>
      <c r="AB2111" t="s">
        <v>19195</v>
      </c>
    </row>
    <row r="2112" spans="1:28" x14ac:dyDescent="0.25">
      <c r="A2112" t="s">
        <v>2116</v>
      </c>
      <c r="B2112">
        <v>0.99876560204751996</v>
      </c>
      <c r="C2112">
        <v>0.98663179491081798</v>
      </c>
      <c r="D2112">
        <v>1.1074442854112301</v>
      </c>
      <c r="E2112">
        <v>0.98657293749904296</v>
      </c>
      <c r="F2112">
        <v>0.90350598595128595</v>
      </c>
      <c r="G2112">
        <v>0.71879455835731298</v>
      </c>
      <c r="H2112">
        <v>0.59308872584054895</v>
      </c>
      <c r="I2112">
        <v>0.51684663703758105</v>
      </c>
      <c r="J2112">
        <v>0.670088632982064</v>
      </c>
      <c r="K2112">
        <v>0.62803375854691501</v>
      </c>
      <c r="L2112">
        <v>1819.86264238271</v>
      </c>
      <c r="M2112">
        <v>33.014912672387297</v>
      </c>
      <c r="O2112">
        <v>54.921384635777102</v>
      </c>
      <c r="P2112">
        <v>-6.0143394385403101E-2</v>
      </c>
      <c r="Q2112">
        <v>0.599799784519227</v>
      </c>
      <c r="R2112">
        <v>0.93327694875831302</v>
      </c>
      <c r="S2112" t="s">
        <v>6408</v>
      </c>
      <c r="T2112" t="s">
        <v>8590</v>
      </c>
      <c r="U2112" t="s">
        <v>8590</v>
      </c>
      <c r="V2112" t="s">
        <v>8590</v>
      </c>
      <c r="W2112">
        <v>6</v>
      </c>
      <c r="X2112" t="s">
        <v>10702</v>
      </c>
      <c r="Y2112">
        <v>0.80374674037986371</v>
      </c>
      <c r="Z2112" t="str">
        <f>HYPERLINK("Melting_Curves/meltCurve_sp_Q6P6B1_CH047_HUMAN_.pdf", "Melting_Curves/meltCurve_sp_Q6P6B1_CH047_HUMAN_.pdf")</f>
        <v>Melting_Curves/meltCurve_sp_Q6P6B1_CH047_HUMAN_.pdf</v>
      </c>
      <c r="AA2112" t="s">
        <v>14958</v>
      </c>
      <c r="AB2112" t="s">
        <v>19196</v>
      </c>
    </row>
    <row r="2113" spans="1:28" x14ac:dyDescent="0.25">
      <c r="A2113" t="s">
        <v>2117</v>
      </c>
      <c r="B2113">
        <v>0.99876560204751996</v>
      </c>
      <c r="C2113">
        <v>1.0909993507882001</v>
      </c>
      <c r="D2113">
        <v>1.23275295890494</v>
      </c>
      <c r="E2113">
        <v>0.85874885100001896</v>
      </c>
      <c r="F2113">
        <v>0.74293771579511103</v>
      </c>
      <c r="G2113">
        <v>0.491696938240682</v>
      </c>
      <c r="H2113">
        <v>0.57320540521582997</v>
      </c>
      <c r="I2113">
        <v>0.52687764609958099</v>
      </c>
      <c r="J2113">
        <v>0.57307868250182703</v>
      </c>
      <c r="K2113">
        <v>0.70518609832460299</v>
      </c>
      <c r="L2113">
        <v>1967.7203777023699</v>
      </c>
      <c r="M2113">
        <v>38.0424865248199</v>
      </c>
      <c r="O2113">
        <v>51.5819766521034</v>
      </c>
      <c r="P2113">
        <v>-7.80800346211135E-2</v>
      </c>
      <c r="Q2113">
        <v>0.57652479237030096</v>
      </c>
      <c r="R2113">
        <v>0.83643791432604397</v>
      </c>
      <c r="S2113" t="s">
        <v>6409</v>
      </c>
      <c r="T2113" t="s">
        <v>8590</v>
      </c>
      <c r="U2113" t="s">
        <v>8590</v>
      </c>
      <c r="V2113" t="s">
        <v>8590</v>
      </c>
      <c r="W2113">
        <v>2</v>
      </c>
      <c r="X2113" t="s">
        <v>10703</v>
      </c>
      <c r="Y2113">
        <v>0.74369717640775834</v>
      </c>
      <c r="Z2113" t="str">
        <f>HYPERLINK("Melting_Curves/meltCurve_sp_Q6PCB5_RSBNL_HUMAN_.pdf", "Melting_Curves/meltCurve_sp_Q6PCB5_RSBNL_HUMAN_.pdf")</f>
        <v>Melting_Curves/meltCurve_sp_Q6PCB5_RSBNL_HUMAN_.pdf</v>
      </c>
      <c r="AA2113" t="s">
        <v>14959</v>
      </c>
      <c r="AB2113" t="s">
        <v>19197</v>
      </c>
    </row>
    <row r="2114" spans="1:28" x14ac:dyDescent="0.25">
      <c r="A2114" t="s">
        <v>2118</v>
      </c>
      <c r="B2114">
        <v>0.99876560204751996</v>
      </c>
      <c r="C2114">
        <v>1.0943218006129301</v>
      </c>
      <c r="D2114">
        <v>0.95093687680528405</v>
      </c>
      <c r="E2114">
        <v>0.52580056236805295</v>
      </c>
      <c r="F2114">
        <v>0.27571070925739799</v>
      </c>
      <c r="G2114">
        <v>0.10421912319886401</v>
      </c>
      <c r="H2114">
        <v>4.0599741386746803E-2</v>
      </c>
      <c r="I2114">
        <v>1.1549531956957799E-2</v>
      </c>
      <c r="J2114">
        <v>2.1704463800852902E-2</v>
      </c>
      <c r="K2114">
        <v>2.0077488039350801E-2</v>
      </c>
      <c r="L2114">
        <v>1266.3301298091801</v>
      </c>
      <c r="M2114">
        <v>25.114642345516</v>
      </c>
      <c r="N2114">
        <v>50.532599406847098</v>
      </c>
      <c r="O2114">
        <v>50.105566360544898</v>
      </c>
      <c r="P2114">
        <v>-0.121958828004119</v>
      </c>
      <c r="Q2114">
        <v>2.6745435995262301E-2</v>
      </c>
      <c r="R2114">
        <v>0.991429488456815</v>
      </c>
      <c r="S2114" t="s">
        <v>6410</v>
      </c>
      <c r="T2114" t="s">
        <v>8590</v>
      </c>
      <c r="U2114" t="s">
        <v>8590</v>
      </c>
      <c r="V2114" t="s">
        <v>8590</v>
      </c>
      <c r="W2114">
        <v>3</v>
      </c>
      <c r="X2114" t="s">
        <v>10704</v>
      </c>
      <c r="Y2114">
        <v>0.37351152835954071</v>
      </c>
      <c r="Z2114" t="str">
        <f>HYPERLINK("Melting_Curves/meltCurve_sp_Q6PD62_CTR9_HUMAN_.pdf", "Melting_Curves/meltCurve_sp_Q6PD62_CTR9_HUMAN_.pdf")</f>
        <v>Melting_Curves/meltCurve_sp_Q6PD62_CTR9_HUMAN_.pdf</v>
      </c>
      <c r="AA2114" t="s">
        <v>14960</v>
      </c>
      <c r="AB2114" t="s">
        <v>19198</v>
      </c>
    </row>
    <row r="2115" spans="1:28" x14ac:dyDescent="0.25">
      <c r="A2115" t="s">
        <v>2119</v>
      </c>
      <c r="B2115">
        <v>0.99876560204751996</v>
      </c>
      <c r="C2115">
        <v>0.99951400820157099</v>
      </c>
      <c r="D2115">
        <v>1.0627497574771501</v>
      </c>
      <c r="E2115">
        <v>0.96185314946515099</v>
      </c>
      <c r="F2115">
        <v>0.64091301143479895</v>
      </c>
      <c r="G2115">
        <v>0.27355003600281302</v>
      </c>
      <c r="H2115">
        <v>0.11052996806193501</v>
      </c>
      <c r="I2115">
        <v>0.10899554365154999</v>
      </c>
      <c r="J2115">
        <v>3.5734115522522002E-2</v>
      </c>
      <c r="K2115">
        <v>7.3804672857491205E-2</v>
      </c>
      <c r="L2115">
        <v>1535.9986725422</v>
      </c>
      <c r="M2115">
        <v>28.3680511849035</v>
      </c>
      <c r="N2115">
        <v>54.440319894632502</v>
      </c>
      <c r="O2115">
        <v>53.8784499551371</v>
      </c>
      <c r="P2115">
        <v>-0.12225451690650301</v>
      </c>
      <c r="Q2115">
        <v>7.1232603459038396E-2</v>
      </c>
      <c r="R2115">
        <v>0.99423543212963505</v>
      </c>
      <c r="S2115" t="s">
        <v>6411</v>
      </c>
      <c r="T2115" t="s">
        <v>8590</v>
      </c>
      <c r="U2115" t="s">
        <v>8590</v>
      </c>
      <c r="V2115" t="s">
        <v>8590</v>
      </c>
      <c r="W2115">
        <v>1</v>
      </c>
      <c r="X2115" t="s">
        <v>10705</v>
      </c>
      <c r="Y2115">
        <v>0.51595771452352623</v>
      </c>
      <c r="Z2115" t="str">
        <f>HYPERLINK("Melting_Curves/meltCurve_sp_Q6PD74_AAGAB_HUMAN_.pdf", "Melting_Curves/meltCurve_sp_Q6PD74_AAGAB_HUMAN_.pdf")</f>
        <v>Melting_Curves/meltCurve_sp_Q6PD74_AAGAB_HUMAN_.pdf</v>
      </c>
      <c r="AA2115" t="s">
        <v>14961</v>
      </c>
      <c r="AB2115" t="s">
        <v>19199</v>
      </c>
    </row>
    <row r="2116" spans="1:28" x14ac:dyDescent="0.25">
      <c r="A2116" t="s">
        <v>2120</v>
      </c>
      <c r="B2116">
        <v>0.99876560204751996</v>
      </c>
      <c r="C2116">
        <v>0.94227644782658404</v>
      </c>
      <c r="D2116">
        <v>0.58120692451200595</v>
      </c>
      <c r="E2116">
        <v>0.31374426495448698</v>
      </c>
      <c r="F2116">
        <v>0.14744163668780699</v>
      </c>
      <c r="G2116">
        <v>8.4671869397026395E-2</v>
      </c>
      <c r="H2116">
        <v>6.0469925728437901E-2</v>
      </c>
      <c r="I2116">
        <v>4.3920257615063699E-2</v>
      </c>
      <c r="J2116">
        <v>3.9543115516078198E-2</v>
      </c>
      <c r="K2116">
        <v>3.5146646313701603E-2</v>
      </c>
      <c r="L2116">
        <v>929.66761403993405</v>
      </c>
      <c r="M2116">
        <v>19.707403576805699</v>
      </c>
      <c r="N2116">
        <v>47.4015783528328</v>
      </c>
      <c r="O2116">
        <v>46.695852111187001</v>
      </c>
      <c r="P2116">
        <v>-0.1007408713726</v>
      </c>
      <c r="Q2116">
        <v>4.5228153025387602E-2</v>
      </c>
      <c r="R2116">
        <v>0.992991163961919</v>
      </c>
      <c r="S2116" t="s">
        <v>6412</v>
      </c>
      <c r="T2116" t="s">
        <v>8590</v>
      </c>
      <c r="U2116" t="s">
        <v>8590</v>
      </c>
      <c r="V2116" t="s">
        <v>8590</v>
      </c>
      <c r="W2116">
        <v>11</v>
      </c>
      <c r="X2116" t="s">
        <v>10706</v>
      </c>
      <c r="Y2116">
        <v>0.28787189280636272</v>
      </c>
      <c r="Z2116" t="str">
        <f>HYPERLINK("Melting_Curves/meltCurve_sp_Q6PGP7_TTC37_HUMAN_.pdf", "Melting_Curves/meltCurve_sp_Q6PGP7_TTC37_HUMAN_.pdf")</f>
        <v>Melting_Curves/meltCurve_sp_Q6PGP7_TTC37_HUMAN_.pdf</v>
      </c>
      <c r="AA2116" t="s">
        <v>14962</v>
      </c>
      <c r="AB2116" t="s">
        <v>19200</v>
      </c>
    </row>
    <row r="2117" spans="1:28" x14ac:dyDescent="0.25">
      <c r="A2117" t="s">
        <v>2121</v>
      </c>
      <c r="B2117">
        <v>0.99876560204751996</v>
      </c>
      <c r="C2117">
        <v>1.13187430842557</v>
      </c>
      <c r="D2117">
        <v>1.06824909960815</v>
      </c>
      <c r="E2117">
        <v>0.91371572351792096</v>
      </c>
      <c r="F2117">
        <v>0.79836966117331598</v>
      </c>
      <c r="G2117">
        <v>0.34196739888365102</v>
      </c>
      <c r="H2117">
        <v>0.258968205459847</v>
      </c>
      <c r="I2117">
        <v>0.22631769235150101</v>
      </c>
      <c r="J2117">
        <v>0.25093757930775101</v>
      </c>
      <c r="K2117">
        <v>0.19320338200163001</v>
      </c>
      <c r="L2117">
        <v>1872.8014362138999</v>
      </c>
      <c r="M2117">
        <v>34.416571198182602</v>
      </c>
      <c r="N2117">
        <v>55.369315237965502</v>
      </c>
      <c r="O2117">
        <v>54.232958017821801</v>
      </c>
      <c r="P2117">
        <v>-0.123177560225361</v>
      </c>
      <c r="Q2117">
        <v>0.22359979899382099</v>
      </c>
      <c r="R2117">
        <v>0.98048596258534704</v>
      </c>
      <c r="S2117" t="s">
        <v>6413</v>
      </c>
      <c r="T2117" t="s">
        <v>8590</v>
      </c>
      <c r="U2117" t="s">
        <v>8590</v>
      </c>
      <c r="V2117" t="s">
        <v>8590</v>
      </c>
      <c r="W2117">
        <v>1</v>
      </c>
      <c r="X2117" t="s">
        <v>10707</v>
      </c>
      <c r="Y2117">
        <v>0.60060177330647313</v>
      </c>
      <c r="Z2117" t="str">
        <f>HYPERLINK("Melting_Curves/meltCurve_sp_Q6PH81_CP087_HUMAN_.pdf", "Melting_Curves/meltCurve_sp_Q6PH81_CP087_HUMAN_.pdf")</f>
        <v>Melting_Curves/meltCurve_sp_Q6PH81_CP087_HUMAN_.pdf</v>
      </c>
      <c r="AA2117" t="s">
        <v>14963</v>
      </c>
      <c r="AB2117" t="s">
        <v>19201</v>
      </c>
    </row>
    <row r="2118" spans="1:28" x14ac:dyDescent="0.25">
      <c r="A2118" t="s">
        <v>2122</v>
      </c>
      <c r="B2118">
        <v>0.99876560204751996</v>
      </c>
      <c r="C2118">
        <v>0.80277565720371102</v>
      </c>
      <c r="D2118">
        <v>0.55612151785890895</v>
      </c>
      <c r="E2118">
        <v>0.33828252169138801</v>
      </c>
      <c r="F2118">
        <v>0.169681746448826</v>
      </c>
      <c r="G2118">
        <v>9.8093065889416797E-2</v>
      </c>
      <c r="H2118">
        <v>6.2924080820571798E-2</v>
      </c>
      <c r="I2118">
        <v>4.8898576957436803E-2</v>
      </c>
      <c r="J2118">
        <v>4.4993621958890298E-2</v>
      </c>
      <c r="K2118">
        <v>2.87895785143224E-2</v>
      </c>
      <c r="L2118">
        <v>717.72796482938304</v>
      </c>
      <c r="M2118">
        <v>15.2978026418442</v>
      </c>
      <c r="N2118">
        <v>47.133766500487901</v>
      </c>
      <c r="O2118">
        <v>46.1372608761314</v>
      </c>
      <c r="P2118">
        <v>-8.0085447288608197E-2</v>
      </c>
      <c r="Q2118">
        <v>3.3958640990352E-2</v>
      </c>
      <c r="R2118">
        <v>0.99417164636310995</v>
      </c>
      <c r="S2118" t="s">
        <v>6414</v>
      </c>
      <c r="T2118" t="s">
        <v>8590</v>
      </c>
      <c r="U2118" t="s">
        <v>8590</v>
      </c>
      <c r="V2118" t="s">
        <v>8590</v>
      </c>
      <c r="W2118">
        <v>16</v>
      </c>
      <c r="X2118" t="s">
        <v>10708</v>
      </c>
      <c r="Y2118">
        <v>0.28202956065356599</v>
      </c>
      <c r="Z2118" t="str">
        <f>HYPERLINK("Melting_Curves/meltCurve_sp_Q6PI48_SYDM_HUMAN_.pdf", "Melting_Curves/meltCurve_sp_Q6PI48_SYDM_HUMAN_.pdf")</f>
        <v>Melting_Curves/meltCurve_sp_Q6PI48_SYDM_HUMAN_.pdf</v>
      </c>
      <c r="AA2118" t="s">
        <v>14964</v>
      </c>
      <c r="AB2118" t="s">
        <v>19202</v>
      </c>
    </row>
    <row r="2119" spans="1:28" x14ac:dyDescent="0.25">
      <c r="A2119" t="s">
        <v>2123</v>
      </c>
      <c r="B2119">
        <v>0.99876560204751996</v>
      </c>
      <c r="C2119">
        <v>1.01475329218416</v>
      </c>
      <c r="D2119">
        <v>0.96788893782786101</v>
      </c>
      <c r="E2119">
        <v>0.79098024172438797</v>
      </c>
      <c r="F2119">
        <v>0.62456127751523705</v>
      </c>
      <c r="G2119">
        <v>0.52050211787226097</v>
      </c>
      <c r="H2119">
        <v>0.39065159581026598</v>
      </c>
      <c r="I2119">
        <v>0.39097195943889601</v>
      </c>
      <c r="J2119">
        <v>0.39511187648858198</v>
      </c>
      <c r="K2119">
        <v>0.43303342824428498</v>
      </c>
      <c r="L2119">
        <v>1030.9238300790801</v>
      </c>
      <c r="M2119">
        <v>19.9012990447962</v>
      </c>
      <c r="N2119">
        <v>56.261926906065398</v>
      </c>
      <c r="O2119">
        <v>51.287305559144301</v>
      </c>
      <c r="P2119">
        <v>-5.8520644977820703E-2</v>
      </c>
      <c r="Q2119">
        <v>0.39676971402423</v>
      </c>
      <c r="R2119">
        <v>0.99187113300265695</v>
      </c>
      <c r="S2119" t="s">
        <v>6415</v>
      </c>
      <c r="T2119" t="s">
        <v>8590</v>
      </c>
      <c r="U2119" t="s">
        <v>8590</v>
      </c>
      <c r="V2119" t="s">
        <v>8590</v>
      </c>
      <c r="W2119">
        <v>2</v>
      </c>
      <c r="X2119" t="s">
        <v>10709</v>
      </c>
      <c r="Y2119">
        <v>0.64250660060500075</v>
      </c>
      <c r="Z2119" t="str">
        <f>HYPERLINK("Melting_Curves/meltCurve_sp_Q6PIJ6_2_FBX38_HUMAN_.pdf", "Melting_Curves/meltCurve_sp_Q6PIJ6_2_FBX38_HUMAN_.pdf")</f>
        <v>Melting_Curves/meltCurve_sp_Q6PIJ6_2_FBX38_HUMAN_.pdf</v>
      </c>
      <c r="AA2119" t="s">
        <v>14965</v>
      </c>
      <c r="AB2119" t="s">
        <v>19203</v>
      </c>
    </row>
    <row r="2120" spans="1:28" x14ac:dyDescent="0.25">
      <c r="A2120" t="s">
        <v>2124</v>
      </c>
      <c r="B2120">
        <v>0.99876560204751996</v>
      </c>
      <c r="C2120">
        <v>0.94718868635950104</v>
      </c>
      <c r="D2120">
        <v>1.07094696980974</v>
      </c>
      <c r="E2120">
        <v>0.89909146118232197</v>
      </c>
      <c r="F2120">
        <v>0.92943760743565995</v>
      </c>
      <c r="G2120">
        <v>0.69569701859021105</v>
      </c>
      <c r="H2120">
        <v>0.69203339946750497</v>
      </c>
      <c r="I2120">
        <v>0.616926107128691</v>
      </c>
      <c r="J2120">
        <v>0.68061052308804004</v>
      </c>
      <c r="K2120">
        <v>0.78103930692242696</v>
      </c>
      <c r="L2120">
        <v>2340.7687598225202</v>
      </c>
      <c r="M2120">
        <v>43.3004003766751</v>
      </c>
      <c r="O2120">
        <v>53.943902502561301</v>
      </c>
      <c r="P2120">
        <v>-6.2629438136660304E-2</v>
      </c>
      <c r="Q2120">
        <v>0.68790392560840496</v>
      </c>
      <c r="R2120">
        <v>0.86001387996418299</v>
      </c>
      <c r="S2120" t="s">
        <v>6416</v>
      </c>
      <c r="T2120" t="s">
        <v>8590</v>
      </c>
      <c r="U2120" t="s">
        <v>8590</v>
      </c>
      <c r="V2120" t="s">
        <v>8590</v>
      </c>
      <c r="W2120">
        <v>5</v>
      </c>
      <c r="X2120" t="s">
        <v>10710</v>
      </c>
      <c r="Y2120">
        <v>0.83515371301026697</v>
      </c>
      <c r="Z2120" t="str">
        <f>HYPERLINK("Melting_Curves/meltCurve_sp_Q6PJT7_4_ZC3HE_HUMAN_.pdf", "Melting_Curves/meltCurve_sp_Q6PJT7_4_ZC3HE_HUMAN_.pdf")</f>
        <v>Melting_Curves/meltCurve_sp_Q6PJT7_4_ZC3HE_HUMAN_.pdf</v>
      </c>
      <c r="AA2120" t="s">
        <v>14966</v>
      </c>
      <c r="AB2120" t="s">
        <v>19204</v>
      </c>
    </row>
    <row r="2121" spans="1:28" x14ac:dyDescent="0.25">
      <c r="A2121" t="s">
        <v>2125</v>
      </c>
      <c r="B2121">
        <v>0.99876560204751996</v>
      </c>
      <c r="C2121">
        <v>1.13912001042462</v>
      </c>
      <c r="D2121">
        <v>1.0005106162753501</v>
      </c>
      <c r="E2121">
        <v>1.0654038170205</v>
      </c>
      <c r="F2121">
        <v>0.89195197936544801</v>
      </c>
      <c r="G2121">
        <v>0.66706731134671104</v>
      </c>
      <c r="H2121">
        <v>0.55528860566048199</v>
      </c>
      <c r="I2121">
        <v>0.39231067917712098</v>
      </c>
      <c r="J2121">
        <v>0.48120705294252503</v>
      </c>
      <c r="K2121">
        <v>0.34922796947951601</v>
      </c>
      <c r="L2121">
        <v>1312.90798776725</v>
      </c>
      <c r="M2121">
        <v>23.044778482617801</v>
      </c>
      <c r="N2121">
        <v>61.092984430953003</v>
      </c>
      <c r="O2121">
        <v>56.548244301434501</v>
      </c>
      <c r="P2121">
        <v>-6.1705625060289197E-2</v>
      </c>
      <c r="Q2121">
        <v>0.39434799695651801</v>
      </c>
      <c r="R2121">
        <v>0.94901378266080805</v>
      </c>
      <c r="S2121" t="s">
        <v>6417</v>
      </c>
      <c r="T2121" t="s">
        <v>8590</v>
      </c>
      <c r="U2121" t="s">
        <v>8590</v>
      </c>
      <c r="V2121" t="s">
        <v>8590</v>
      </c>
      <c r="W2121">
        <v>1</v>
      </c>
      <c r="X2121" t="s">
        <v>10711</v>
      </c>
      <c r="Y2121">
        <v>0.74315108606765634</v>
      </c>
      <c r="Z2121" t="str">
        <f>HYPERLINK("Melting_Curves/meltCurve_sp_Q6PJW8_2_CNST_HUMAN_.pdf", "Melting_Curves/meltCurve_sp_Q6PJW8_2_CNST_HUMAN_.pdf")</f>
        <v>Melting_Curves/meltCurve_sp_Q6PJW8_2_CNST_HUMAN_.pdf</v>
      </c>
      <c r="AA2121" t="s">
        <v>14967</v>
      </c>
      <c r="AB2121" t="s">
        <v>19205</v>
      </c>
    </row>
    <row r="2122" spans="1:28" x14ac:dyDescent="0.25">
      <c r="A2122" t="s">
        <v>2126</v>
      </c>
      <c r="B2122">
        <v>0.99876560204751996</v>
      </c>
      <c r="C2122">
        <v>0.96636916224856095</v>
      </c>
      <c r="D2122">
        <v>0.87768819809458998</v>
      </c>
      <c r="E2122">
        <v>0.93468942687859202</v>
      </c>
      <c r="F2122">
        <v>0.78029777898660702</v>
      </c>
      <c r="G2122">
        <v>0.45113028318380899</v>
      </c>
      <c r="H2122">
        <v>0.34175920160088502</v>
      </c>
      <c r="I2122">
        <v>0.427041903666108</v>
      </c>
      <c r="J2122">
        <v>0.36653741460210099</v>
      </c>
      <c r="K2122">
        <v>0.30862274537364198</v>
      </c>
      <c r="L2122">
        <v>1598.9733876950399</v>
      </c>
      <c r="M2122">
        <v>29.610306672252101</v>
      </c>
      <c r="N2122">
        <v>56.314032509542301</v>
      </c>
      <c r="O2122">
        <v>53.756064370213203</v>
      </c>
      <c r="P2122">
        <v>-8.9254229433015697E-2</v>
      </c>
      <c r="Q2122">
        <v>0.35185769012587198</v>
      </c>
      <c r="R2122">
        <v>0.96875226254739999</v>
      </c>
      <c r="S2122" t="s">
        <v>6418</v>
      </c>
      <c r="T2122" t="s">
        <v>8590</v>
      </c>
      <c r="U2122" t="s">
        <v>8590</v>
      </c>
      <c r="V2122" t="s">
        <v>8590</v>
      </c>
      <c r="W2122">
        <v>1</v>
      </c>
      <c r="X2122" t="s">
        <v>10712</v>
      </c>
      <c r="Y2122">
        <v>0.65870244648909759</v>
      </c>
      <c r="Z2122" t="str">
        <f>HYPERLINK("Melting_Curves/meltCurve_sp_Q6PK81_2_ZN773_HUMAN_.pdf", "Melting_Curves/meltCurve_sp_Q6PK81_2_ZN773_HUMAN_.pdf")</f>
        <v>Melting_Curves/meltCurve_sp_Q6PK81_2_ZN773_HUMAN_.pdf</v>
      </c>
      <c r="AA2122" t="s">
        <v>14968</v>
      </c>
      <c r="AB2122" t="s">
        <v>19206</v>
      </c>
    </row>
    <row r="2123" spans="1:28" x14ac:dyDescent="0.25">
      <c r="A2123" t="s">
        <v>2127</v>
      </c>
      <c r="B2123">
        <v>0.99876560204751996</v>
      </c>
      <c r="C2123">
        <v>0.96048547749236202</v>
      </c>
      <c r="D2123">
        <v>0.90611637858063498</v>
      </c>
      <c r="E2123">
        <v>0.60744597613234097</v>
      </c>
      <c r="F2123">
        <v>0.84677441491098604</v>
      </c>
      <c r="G2123">
        <v>0.58582851759204302</v>
      </c>
      <c r="H2123">
        <v>0.54593552065950901</v>
      </c>
      <c r="I2123">
        <v>0.50253674205765198</v>
      </c>
      <c r="J2123">
        <v>0.65568536224642004</v>
      </c>
      <c r="K2123">
        <v>0.61573916606212098</v>
      </c>
      <c r="L2123">
        <v>752.25081064413905</v>
      </c>
      <c r="M2123">
        <v>15.5068723088722</v>
      </c>
      <c r="O2123">
        <v>47.725526910685701</v>
      </c>
      <c r="P2123">
        <v>-3.4030622072055997E-2</v>
      </c>
      <c r="Q2123">
        <v>0.58109274146141299</v>
      </c>
      <c r="R2123">
        <v>0.77947744837135502</v>
      </c>
      <c r="S2123" t="s">
        <v>6419</v>
      </c>
      <c r="T2123" t="s">
        <v>8590</v>
      </c>
      <c r="U2123" t="s">
        <v>8590</v>
      </c>
      <c r="V2123" t="s">
        <v>8590</v>
      </c>
      <c r="W2123">
        <v>7</v>
      </c>
      <c r="X2123" t="s">
        <v>10713</v>
      </c>
      <c r="Y2123">
        <v>0.70981417700767246</v>
      </c>
      <c r="Z2123" t="str">
        <f>HYPERLINK("Melting_Curves/meltCurve_sp_Q6PKG0_LARP1_HUMAN_.pdf", "Melting_Curves/meltCurve_sp_Q6PKG0_LARP1_HUMAN_.pdf")</f>
        <v>Melting_Curves/meltCurve_sp_Q6PKG0_LARP1_HUMAN_.pdf</v>
      </c>
      <c r="AA2123" t="s">
        <v>14969</v>
      </c>
      <c r="AB2123" t="s">
        <v>19207</v>
      </c>
    </row>
    <row r="2124" spans="1:28" x14ac:dyDescent="0.25">
      <c r="A2124" t="s">
        <v>2128</v>
      </c>
      <c r="B2124">
        <v>0.99876560204751996</v>
      </c>
      <c r="C2124">
        <v>1.06616001533941</v>
      </c>
      <c r="D2124">
        <v>1.0703630982380701</v>
      </c>
      <c r="E2124">
        <v>0.83597471335379903</v>
      </c>
      <c r="F2124">
        <v>0.54577433975279299</v>
      </c>
      <c r="G2124">
        <v>0.29444580494991501</v>
      </c>
      <c r="H2124">
        <v>0.25245907253510902</v>
      </c>
      <c r="I2124">
        <v>0.23947935267737</v>
      </c>
      <c r="J2124">
        <v>0.16501870409123501</v>
      </c>
      <c r="K2124">
        <v>0.246772419748231</v>
      </c>
      <c r="L2124">
        <v>1573.8943677403099</v>
      </c>
      <c r="M2124">
        <v>30.042317195772299</v>
      </c>
      <c r="N2124">
        <v>53.442997116203202</v>
      </c>
      <c r="O2124">
        <v>52.158767790484703</v>
      </c>
      <c r="P2124">
        <v>-0.111814298380296</v>
      </c>
      <c r="Q2124">
        <v>0.22348765250244901</v>
      </c>
      <c r="R2124">
        <v>0.98767324757544495</v>
      </c>
      <c r="S2124" t="s">
        <v>6420</v>
      </c>
      <c r="T2124" t="s">
        <v>8590</v>
      </c>
      <c r="U2124" t="s">
        <v>8590</v>
      </c>
      <c r="V2124" t="s">
        <v>8590</v>
      </c>
      <c r="W2124">
        <v>1</v>
      </c>
      <c r="X2124" t="s">
        <v>10714</v>
      </c>
      <c r="Y2124">
        <v>0.54914500039275216</v>
      </c>
      <c r="Z2124" t="str">
        <f>HYPERLINK("Melting_Curves/meltCurve_sp_Q6PL24_TMED8_HUMAN_.pdf", "Melting_Curves/meltCurve_sp_Q6PL24_TMED8_HUMAN_.pdf")</f>
        <v>Melting_Curves/meltCurve_sp_Q6PL24_TMED8_HUMAN_.pdf</v>
      </c>
      <c r="AA2124" t="s">
        <v>14970</v>
      </c>
      <c r="AB2124" t="s">
        <v>19208</v>
      </c>
    </row>
    <row r="2125" spans="1:28" x14ac:dyDescent="0.25">
      <c r="A2125" t="s">
        <v>2129</v>
      </c>
      <c r="B2125">
        <v>0.99876560204751996</v>
      </c>
      <c r="C2125">
        <v>0.88820892615380198</v>
      </c>
      <c r="D2125">
        <v>1.0163707086473801</v>
      </c>
      <c r="E2125">
        <v>0.82864325461299204</v>
      </c>
      <c r="F2125">
        <v>0.46301674889099698</v>
      </c>
      <c r="G2125">
        <v>0.21352360334520401</v>
      </c>
      <c r="H2125">
        <v>0.15447596772436201</v>
      </c>
      <c r="I2125">
        <v>7.0909262109757606E-2</v>
      </c>
      <c r="J2125">
        <v>7.9009572444703705E-2</v>
      </c>
      <c r="K2125">
        <v>2.8251497311784599E-2</v>
      </c>
      <c r="L2125">
        <v>1305.62562694854</v>
      </c>
      <c r="M2125">
        <v>24.799501288520698</v>
      </c>
      <c r="N2125">
        <v>52.979482616974202</v>
      </c>
      <c r="O2125">
        <v>52.308499121658301</v>
      </c>
      <c r="P2125">
        <v>-0.109991008753173</v>
      </c>
      <c r="Q2125">
        <v>7.2015930025593602E-2</v>
      </c>
      <c r="R2125">
        <v>0.98665486432199401</v>
      </c>
      <c r="S2125" t="s">
        <v>6421</v>
      </c>
      <c r="T2125" t="s">
        <v>8590</v>
      </c>
      <c r="U2125" t="s">
        <v>8590</v>
      </c>
      <c r="V2125" t="s">
        <v>8590</v>
      </c>
      <c r="W2125">
        <v>2</v>
      </c>
      <c r="X2125" t="s">
        <v>10715</v>
      </c>
      <c r="Y2125">
        <v>0.47188295331711327</v>
      </c>
      <c r="Z2125" t="str">
        <f>HYPERLINK("Melting_Curves/meltCurve_sp_Q6QHF9_3_PAOX_HUMAN_.pdf", "Melting_Curves/meltCurve_sp_Q6QHF9_3_PAOX_HUMAN_.pdf")</f>
        <v>Melting_Curves/meltCurve_sp_Q6QHF9_3_PAOX_HUMAN_.pdf</v>
      </c>
      <c r="AA2125" t="s">
        <v>14971</v>
      </c>
      <c r="AB2125" t="s">
        <v>19209</v>
      </c>
    </row>
    <row r="2126" spans="1:28" x14ac:dyDescent="0.25">
      <c r="A2126" t="s">
        <v>2130</v>
      </c>
      <c r="B2126">
        <v>0.99876560204751996</v>
      </c>
      <c r="C2126">
        <v>1.02582611384607</v>
      </c>
      <c r="D2126">
        <v>0.95086579082029499</v>
      </c>
      <c r="E2126">
        <v>0.92375650739895199</v>
      </c>
      <c r="F2126">
        <v>0.76808641266105804</v>
      </c>
      <c r="G2126">
        <v>0.45796165808748401</v>
      </c>
      <c r="H2126">
        <v>0.27406177907517698</v>
      </c>
      <c r="I2126">
        <v>0.192780818783403</v>
      </c>
      <c r="J2126">
        <v>0.28552028073386299</v>
      </c>
      <c r="K2126">
        <v>0.21075223542793001</v>
      </c>
      <c r="L2126">
        <v>1292.3533563240201</v>
      </c>
      <c r="M2126">
        <v>23.530258937401801</v>
      </c>
      <c r="N2126">
        <v>56.266076667482501</v>
      </c>
      <c r="O2126">
        <v>54.530980642150503</v>
      </c>
      <c r="P2126">
        <v>-8.4698414340178801E-2</v>
      </c>
      <c r="Q2126">
        <v>0.214865071458332</v>
      </c>
      <c r="R2126">
        <v>0.99239938373001202</v>
      </c>
      <c r="S2126" t="s">
        <v>6422</v>
      </c>
      <c r="T2126" t="s">
        <v>8590</v>
      </c>
      <c r="U2126" t="s">
        <v>8590</v>
      </c>
      <c r="V2126" t="s">
        <v>8590</v>
      </c>
      <c r="W2126">
        <v>3</v>
      </c>
      <c r="X2126" t="s">
        <v>10716</v>
      </c>
      <c r="Y2126">
        <v>0.61348608533671767</v>
      </c>
      <c r="Z2126" t="str">
        <f>HYPERLINK("Melting_Curves/meltCurve_sp_Q6QNY0_BL1S3_HUMAN_.pdf", "Melting_Curves/meltCurve_sp_Q6QNY0_BL1S3_HUMAN_.pdf")</f>
        <v>Melting_Curves/meltCurve_sp_Q6QNY0_BL1S3_HUMAN_.pdf</v>
      </c>
      <c r="AA2126" t="s">
        <v>14972</v>
      </c>
      <c r="AB2126" t="s">
        <v>19210</v>
      </c>
    </row>
    <row r="2127" spans="1:28" x14ac:dyDescent="0.25">
      <c r="A2127" t="s">
        <v>2131</v>
      </c>
      <c r="B2127">
        <v>0.99876560204751996</v>
      </c>
      <c r="C2127">
        <v>0.96845550114216306</v>
      </c>
      <c r="D2127">
        <v>0.85875725907385203</v>
      </c>
      <c r="E2127">
        <v>0.73021781691600196</v>
      </c>
      <c r="F2127">
        <v>0.58770691065290503</v>
      </c>
      <c r="G2127">
        <v>0.41120972507086501</v>
      </c>
      <c r="H2127">
        <v>0.31351428691717298</v>
      </c>
      <c r="I2127">
        <v>0.26965457855318797</v>
      </c>
      <c r="J2127">
        <v>0.25204447132168001</v>
      </c>
      <c r="K2127">
        <v>0.30367030726828798</v>
      </c>
      <c r="L2127">
        <v>712.21209655272605</v>
      </c>
      <c r="M2127">
        <v>13.6909443970293</v>
      </c>
      <c r="N2127">
        <v>54.580836595969203</v>
      </c>
      <c r="O2127">
        <v>50.948484871527</v>
      </c>
      <c r="P2127">
        <v>-5.1270713927365298E-2</v>
      </c>
      <c r="Q2127">
        <v>0.23692974678152001</v>
      </c>
      <c r="R2127">
        <v>0.99425961674507102</v>
      </c>
      <c r="S2127" t="s">
        <v>6423</v>
      </c>
      <c r="T2127" t="s">
        <v>8590</v>
      </c>
      <c r="U2127" t="s">
        <v>8590</v>
      </c>
      <c r="V2127" t="s">
        <v>8590</v>
      </c>
      <c r="W2127">
        <v>2</v>
      </c>
      <c r="X2127" t="s">
        <v>10717</v>
      </c>
      <c r="Y2127">
        <v>0.5621916610955624</v>
      </c>
      <c r="Z2127" t="str">
        <f>HYPERLINK("Melting_Curves/meltCurve_sp_Q6SPF0_SAMD1_HUMAN_.pdf", "Melting_Curves/meltCurve_sp_Q6SPF0_SAMD1_HUMAN_.pdf")</f>
        <v>Melting_Curves/meltCurve_sp_Q6SPF0_SAMD1_HUMAN_.pdf</v>
      </c>
      <c r="AA2127" t="s">
        <v>14973</v>
      </c>
      <c r="AB2127" t="s">
        <v>19211</v>
      </c>
    </row>
    <row r="2128" spans="1:28" x14ac:dyDescent="0.25">
      <c r="A2128" t="s">
        <v>2132</v>
      </c>
      <c r="B2128">
        <v>0.99876560204751996</v>
      </c>
      <c r="C2128">
        <v>0.89425897664931298</v>
      </c>
      <c r="D2128">
        <v>0.99226941296547999</v>
      </c>
      <c r="E2128">
        <v>0.75186020260481701</v>
      </c>
      <c r="F2128">
        <v>0.58263098472848796</v>
      </c>
      <c r="G2128">
        <v>0.44998957346202101</v>
      </c>
      <c r="H2128">
        <v>0.18856056578358199</v>
      </c>
      <c r="I2128">
        <v>5.3522705495388199E-2</v>
      </c>
      <c r="J2128">
        <v>3.2932797187912102E-2</v>
      </c>
      <c r="K2128">
        <v>1.4923057267436099E-2</v>
      </c>
      <c r="L2128">
        <v>777.58452007473602</v>
      </c>
      <c r="M2128">
        <v>14.217305176776801</v>
      </c>
      <c r="N2128">
        <v>54.692820524508697</v>
      </c>
      <c r="O2128">
        <v>53.644893766192098</v>
      </c>
      <c r="P2128">
        <v>-6.6264818878060197E-2</v>
      </c>
      <c r="Q2128">
        <v>0</v>
      </c>
      <c r="R2128">
        <v>0.98191204051010905</v>
      </c>
      <c r="S2128" t="s">
        <v>6424</v>
      </c>
      <c r="T2128" t="s">
        <v>8590</v>
      </c>
      <c r="U2128" t="s">
        <v>8590</v>
      </c>
      <c r="V2128" t="s">
        <v>8590</v>
      </c>
      <c r="W2128">
        <v>4</v>
      </c>
      <c r="X2128" t="s">
        <v>10718</v>
      </c>
      <c r="Y2128">
        <v>0.5106233478788833</v>
      </c>
      <c r="Z2128" t="str">
        <f>HYPERLINK("Melting_Curves/meltCurve_sp_Q6UB28_AMP1D_HUMAN_.pdf", "Melting_Curves/meltCurve_sp_Q6UB28_AMP1D_HUMAN_.pdf")</f>
        <v>Melting_Curves/meltCurve_sp_Q6UB28_AMP1D_HUMAN_.pdf</v>
      </c>
      <c r="AA2128" t="s">
        <v>14974</v>
      </c>
      <c r="AB2128" t="s">
        <v>19212</v>
      </c>
    </row>
    <row r="2129" spans="1:28" x14ac:dyDescent="0.25">
      <c r="A2129" t="s">
        <v>2133</v>
      </c>
      <c r="B2129">
        <v>0.99876560204751996</v>
      </c>
      <c r="C2129">
        <v>0.89019890864611395</v>
      </c>
      <c r="D2129">
        <v>0.88992750818705302</v>
      </c>
      <c r="E2129">
        <v>0.75408792317446005</v>
      </c>
      <c r="F2129">
        <v>0.68902733099534696</v>
      </c>
      <c r="G2129">
        <v>0.44549245158387502</v>
      </c>
      <c r="H2129">
        <v>0.44775679252495099</v>
      </c>
      <c r="I2129">
        <v>0.40049442825093101</v>
      </c>
      <c r="J2129">
        <v>0.49681956738258098</v>
      </c>
      <c r="K2129">
        <v>0.53250942427363102</v>
      </c>
      <c r="L2129">
        <v>771.884477655875</v>
      </c>
      <c r="M2129">
        <v>15.309471313335999</v>
      </c>
      <c r="N2129">
        <v>58.906451649103502</v>
      </c>
      <c r="O2129">
        <v>49.581992630040197</v>
      </c>
      <c r="P2129">
        <v>-4.2851740218570598E-2</v>
      </c>
      <c r="Q2129">
        <v>0.444924910054664</v>
      </c>
      <c r="R2129">
        <v>0.930602569118125</v>
      </c>
      <c r="S2129" t="s">
        <v>6425</v>
      </c>
      <c r="T2129" t="s">
        <v>8590</v>
      </c>
      <c r="U2129" t="s">
        <v>8590</v>
      </c>
      <c r="V2129" t="s">
        <v>8590</v>
      </c>
      <c r="W2129">
        <v>4</v>
      </c>
      <c r="X2129" t="s">
        <v>10719</v>
      </c>
      <c r="Y2129">
        <v>0.65030547230840186</v>
      </c>
      <c r="Z2129" t="str">
        <f>HYPERLINK("Melting_Curves/meltCurve_sp_Q6ULP2_5_AFTIN_HUMAN_.pdf", "Melting_Curves/meltCurve_sp_Q6ULP2_5_AFTIN_HUMAN_.pdf")</f>
        <v>Melting_Curves/meltCurve_sp_Q6ULP2_5_AFTIN_HUMAN_.pdf</v>
      </c>
      <c r="AA2129" t="s">
        <v>14975</v>
      </c>
      <c r="AB2129" t="s">
        <v>19213</v>
      </c>
    </row>
    <row r="2130" spans="1:28" x14ac:dyDescent="0.25">
      <c r="A2130" t="s">
        <v>2134</v>
      </c>
      <c r="B2130">
        <v>0.99876560204751996</v>
      </c>
      <c r="C2130">
        <v>1.0269199962889</v>
      </c>
      <c r="D2130">
        <v>1.0494513885805401</v>
      </c>
      <c r="E2130">
        <v>0.95740006147835999</v>
      </c>
      <c r="F2130">
        <v>0.98161185007433405</v>
      </c>
      <c r="G2130">
        <v>0.83310283264446905</v>
      </c>
      <c r="H2130">
        <v>0.77504159858161203</v>
      </c>
      <c r="I2130">
        <v>0.67198292217996203</v>
      </c>
      <c r="J2130">
        <v>0.79444289880721697</v>
      </c>
      <c r="K2130">
        <v>0.77268621327403197</v>
      </c>
      <c r="L2130">
        <v>2243.3776962392499</v>
      </c>
      <c r="M2130">
        <v>40.049352555808298</v>
      </c>
      <c r="O2130">
        <v>55.876221106396102</v>
      </c>
      <c r="P2130">
        <v>-4.4685168722054601E-2</v>
      </c>
      <c r="Q2130">
        <v>0.75062439096080402</v>
      </c>
      <c r="R2130">
        <v>0.91067320104965699</v>
      </c>
      <c r="S2130" t="s">
        <v>6426</v>
      </c>
      <c r="T2130" t="s">
        <v>8590</v>
      </c>
      <c r="U2130" t="s">
        <v>8590</v>
      </c>
      <c r="V2130" t="s">
        <v>8590</v>
      </c>
      <c r="W2130">
        <v>5</v>
      </c>
      <c r="X2130" t="s">
        <v>10720</v>
      </c>
      <c r="Y2130">
        <v>0.88470908886943911</v>
      </c>
      <c r="Z2130" t="str">
        <f>HYPERLINK("Melting_Curves/meltCurve_sp_Q6UN15_4_FIP1_HUMAN_.pdf", "Melting_Curves/meltCurve_sp_Q6UN15_4_FIP1_HUMAN_.pdf")</f>
        <v>Melting_Curves/meltCurve_sp_Q6UN15_4_FIP1_HUMAN_.pdf</v>
      </c>
      <c r="AA2130" t="s">
        <v>14976</v>
      </c>
      <c r="AB2130" t="s">
        <v>19214</v>
      </c>
    </row>
    <row r="2131" spans="1:28" x14ac:dyDescent="0.25">
      <c r="A2131" t="s">
        <v>2135</v>
      </c>
      <c r="B2131">
        <v>0.99876560204751996</v>
      </c>
      <c r="C2131">
        <v>0.99261403737015297</v>
      </c>
      <c r="D2131">
        <v>0.93548617596008998</v>
      </c>
      <c r="E2131">
        <v>0.85316149994625601</v>
      </c>
      <c r="F2131">
        <v>0.58502312391617395</v>
      </c>
      <c r="G2131">
        <v>0.30495042412585299</v>
      </c>
      <c r="H2131">
        <v>9.3934154390769298E-2</v>
      </c>
      <c r="I2131">
        <v>5.43530520097728E-2</v>
      </c>
      <c r="J2131">
        <v>4.2895241461986498E-2</v>
      </c>
      <c r="K2131">
        <v>4.2526144666324102E-2</v>
      </c>
      <c r="L2131">
        <v>1043.32556088616</v>
      </c>
      <c r="M2131">
        <v>19.294739524060599</v>
      </c>
      <c r="N2131">
        <v>54.168025541264498</v>
      </c>
      <c r="O2131">
        <v>53.5022563727548</v>
      </c>
      <c r="P2131">
        <v>-8.8662419441163695E-2</v>
      </c>
      <c r="Q2131">
        <v>1.66308984969742E-2</v>
      </c>
      <c r="R2131">
        <v>0.99809437901610398</v>
      </c>
      <c r="S2131" t="s">
        <v>6427</v>
      </c>
      <c r="T2131" t="s">
        <v>8590</v>
      </c>
      <c r="U2131" t="s">
        <v>8590</v>
      </c>
      <c r="V2131" t="s">
        <v>8590</v>
      </c>
      <c r="W2131">
        <v>5</v>
      </c>
      <c r="X2131" t="s">
        <v>10721</v>
      </c>
      <c r="Y2131">
        <v>0.4920610233184447</v>
      </c>
      <c r="Z2131" t="str">
        <f>HYPERLINK("Melting_Curves/meltCurve_sp_Q6UWE0_LRSM1_HUMAN_.pdf", "Melting_Curves/meltCurve_sp_Q6UWE0_LRSM1_HUMAN_.pdf")</f>
        <v>Melting_Curves/meltCurve_sp_Q6UWE0_LRSM1_HUMAN_.pdf</v>
      </c>
      <c r="AA2131" t="s">
        <v>14977</v>
      </c>
      <c r="AB2131" t="s">
        <v>19215</v>
      </c>
    </row>
    <row r="2132" spans="1:28" x14ac:dyDescent="0.25">
      <c r="A2132" t="s">
        <v>2136</v>
      </c>
      <c r="B2132">
        <v>0.99876560204751996</v>
      </c>
      <c r="C2132">
        <v>0.93788127854708503</v>
      </c>
      <c r="D2132">
        <v>0.91022508466396201</v>
      </c>
      <c r="E2132">
        <v>0.57192847777331601</v>
      </c>
      <c r="F2132">
        <v>0.26653452143150302</v>
      </c>
      <c r="G2132">
        <v>0.18245521067470599</v>
      </c>
      <c r="H2132">
        <v>0.121921870384853</v>
      </c>
      <c r="I2132">
        <v>0.111239225590057</v>
      </c>
      <c r="J2132">
        <v>9.65411198892593E-2</v>
      </c>
      <c r="K2132">
        <v>6.98779080469005E-2</v>
      </c>
      <c r="L2132">
        <v>1160.76761796763</v>
      </c>
      <c r="M2132">
        <v>23.163972216234001</v>
      </c>
      <c r="N2132">
        <v>50.584044404342499</v>
      </c>
      <c r="O2132">
        <v>49.741915794866699</v>
      </c>
      <c r="P2132">
        <v>-0.105083424521644</v>
      </c>
      <c r="Q2132">
        <v>9.7399058864770002E-2</v>
      </c>
      <c r="R2132">
        <v>0.99615281302547398</v>
      </c>
      <c r="S2132" t="s">
        <v>6428</v>
      </c>
      <c r="T2132" t="s">
        <v>8590</v>
      </c>
      <c r="U2132" t="s">
        <v>8590</v>
      </c>
      <c r="V2132" t="s">
        <v>8590</v>
      </c>
      <c r="W2132">
        <v>8</v>
      </c>
      <c r="X2132" t="s">
        <v>10722</v>
      </c>
      <c r="Y2132">
        <v>0.41100938194552378</v>
      </c>
      <c r="Z2132" t="str">
        <f>HYPERLINK("Melting_Curves/meltCurve_sp_Q6UWP2_DHR11_HUMAN_.pdf", "Melting_Curves/meltCurve_sp_Q6UWP2_DHR11_HUMAN_.pdf")</f>
        <v>Melting_Curves/meltCurve_sp_Q6UWP2_DHR11_HUMAN_.pdf</v>
      </c>
      <c r="AA2132" t="s">
        <v>14978</v>
      </c>
      <c r="AB2132" t="s">
        <v>19216</v>
      </c>
    </row>
    <row r="2133" spans="1:28" x14ac:dyDescent="0.25">
      <c r="A2133" t="s">
        <v>2137</v>
      </c>
      <c r="B2133">
        <v>0.99876560204751996</v>
      </c>
      <c r="C2133">
        <v>0.790872681742252</v>
      </c>
      <c r="D2133">
        <v>0.94585964711861703</v>
      </c>
      <c r="E2133">
        <v>0.78211040445941105</v>
      </c>
      <c r="F2133">
        <v>0.41661297992308199</v>
      </c>
      <c r="G2133">
        <v>0.222483851067552</v>
      </c>
      <c r="H2133">
        <v>0.159537690370294</v>
      </c>
      <c r="I2133">
        <v>6.3927359139025502E-2</v>
      </c>
      <c r="J2133">
        <v>9.7338084273050504E-2</v>
      </c>
      <c r="K2133">
        <v>5.29406375947667E-2</v>
      </c>
      <c r="L2133">
        <v>997.317798106797</v>
      </c>
      <c r="M2133">
        <v>19.0939589007337</v>
      </c>
      <c r="N2133">
        <v>52.608625274667197</v>
      </c>
      <c r="O2133">
        <v>51.669307471885801</v>
      </c>
      <c r="P2133">
        <v>-8.6488723105285506E-2</v>
      </c>
      <c r="Q2133">
        <v>6.3863542982039098E-2</v>
      </c>
      <c r="R2133">
        <v>0.96463869000615898</v>
      </c>
      <c r="S2133" t="s">
        <v>6429</v>
      </c>
      <c r="T2133" t="s">
        <v>8590</v>
      </c>
      <c r="U2133" t="s">
        <v>8590</v>
      </c>
      <c r="V2133" t="s">
        <v>8590</v>
      </c>
      <c r="W2133">
        <v>3</v>
      </c>
      <c r="X2133" t="s">
        <v>10723</v>
      </c>
      <c r="Y2133">
        <v>0.45959868023835249</v>
      </c>
      <c r="Z2133" t="str">
        <f>HYPERLINK("Melting_Curves/meltCurve_sp_Q6UWW8_EST3_HUMAN_.pdf", "Melting_Curves/meltCurve_sp_Q6UWW8_EST3_HUMAN_.pdf")</f>
        <v>Melting_Curves/meltCurve_sp_Q6UWW8_EST3_HUMAN_.pdf</v>
      </c>
      <c r="AA2133" t="s">
        <v>14979</v>
      </c>
      <c r="AB2133" t="s">
        <v>19217</v>
      </c>
    </row>
    <row r="2134" spans="1:28" x14ac:dyDescent="0.25">
      <c r="A2134" t="s">
        <v>2138</v>
      </c>
      <c r="B2134">
        <v>0.99876560204751996</v>
      </c>
      <c r="C2134">
        <v>1.0149240130022099</v>
      </c>
      <c r="D2134">
        <v>0.62277588444724596</v>
      </c>
      <c r="E2134">
        <v>0.416085221217392</v>
      </c>
      <c r="F2134">
        <v>0.17614937700119301</v>
      </c>
      <c r="G2134">
        <v>0.104698836518978</v>
      </c>
      <c r="H2134">
        <v>6.7732517107654905E-2</v>
      </c>
      <c r="I2134">
        <v>5.63724306095124E-2</v>
      </c>
      <c r="J2134">
        <v>4.8554581212359699E-2</v>
      </c>
      <c r="K2134">
        <v>3.5522544496475301E-2</v>
      </c>
      <c r="L2134">
        <v>890.98517135753696</v>
      </c>
      <c r="M2134">
        <v>18.513415817918901</v>
      </c>
      <c r="N2134">
        <v>48.377404107076501</v>
      </c>
      <c r="O2134">
        <v>47.575489384405699</v>
      </c>
      <c r="P2134">
        <v>-9.2834134708835697E-2</v>
      </c>
      <c r="Q2134">
        <v>4.5787250420296598E-2</v>
      </c>
      <c r="R2134">
        <v>0.98313261571591404</v>
      </c>
      <c r="S2134" t="s">
        <v>6430</v>
      </c>
      <c r="T2134" t="s">
        <v>8590</v>
      </c>
      <c r="U2134" t="s">
        <v>8590</v>
      </c>
      <c r="V2134" t="s">
        <v>8590</v>
      </c>
      <c r="W2134">
        <v>4</v>
      </c>
      <c r="X2134" t="s">
        <v>10724</v>
      </c>
      <c r="Y2134">
        <v>0.32017422884168079</v>
      </c>
      <c r="Z2134" t="str">
        <f>HYPERLINK("Melting_Curves/meltCurve_sp_Q6UX53_MET7B_HUMAN_.pdf", "Melting_Curves/meltCurve_sp_Q6UX53_MET7B_HUMAN_.pdf")</f>
        <v>Melting_Curves/meltCurve_sp_Q6UX53_MET7B_HUMAN_.pdf</v>
      </c>
      <c r="AA2134" t="s">
        <v>14980</v>
      </c>
      <c r="AB2134" t="s">
        <v>19218</v>
      </c>
    </row>
    <row r="2135" spans="1:28" x14ac:dyDescent="0.25">
      <c r="A2135" t="s">
        <v>2139</v>
      </c>
      <c r="B2135">
        <v>0.99876560204751996</v>
      </c>
      <c r="C2135">
        <v>0.94009552135409102</v>
      </c>
      <c r="D2135">
        <v>1.0177100833813499</v>
      </c>
      <c r="E2135">
        <v>0.97933345280563999</v>
      </c>
      <c r="F2135">
        <v>1.00443864098297</v>
      </c>
      <c r="G2135">
        <v>0.85269356770284299</v>
      </c>
      <c r="H2135">
        <v>0.79816375228724301</v>
      </c>
      <c r="I2135">
        <v>0.82410071000709195</v>
      </c>
      <c r="J2135">
        <v>0.96716114828140298</v>
      </c>
      <c r="K2135">
        <v>0.93107323328301805</v>
      </c>
      <c r="L2135">
        <v>9341.2598341007506</v>
      </c>
      <c r="M2135">
        <v>170.80509171353</v>
      </c>
      <c r="O2135">
        <v>54.682089891268099</v>
      </c>
      <c r="P2135">
        <v>-9.7907557114712801E-2</v>
      </c>
      <c r="Q2135">
        <v>0.87462224336396099</v>
      </c>
      <c r="R2135">
        <v>0.55717596196762598</v>
      </c>
      <c r="S2135" t="s">
        <v>6431</v>
      </c>
      <c r="T2135" t="s">
        <v>8590</v>
      </c>
      <c r="U2135" t="s">
        <v>8590</v>
      </c>
      <c r="V2135" t="s">
        <v>8590</v>
      </c>
      <c r="W2135">
        <v>7</v>
      </c>
      <c r="X2135" t="s">
        <v>10725</v>
      </c>
      <c r="Y2135">
        <v>0.93603960946944986</v>
      </c>
      <c r="Z2135" t="str">
        <f>HYPERLINK("Melting_Curves/meltCurve_sp_Q6UXH1_4_CREL2_HUMAN_.pdf", "Melting_Curves/meltCurve_sp_Q6UXH1_4_CREL2_HUMAN_.pdf")</f>
        <v>Melting_Curves/meltCurve_sp_Q6UXH1_4_CREL2_HUMAN_.pdf</v>
      </c>
      <c r="AA2135" t="s">
        <v>14981</v>
      </c>
      <c r="AB2135" t="s">
        <v>19219</v>
      </c>
    </row>
    <row r="2136" spans="1:28" x14ac:dyDescent="0.25">
      <c r="A2136" t="s">
        <v>2140</v>
      </c>
      <c r="B2136">
        <v>0.99876560204751996</v>
      </c>
      <c r="C2136">
        <v>0.84034234460641499</v>
      </c>
      <c r="D2136">
        <v>0.87282838863790402</v>
      </c>
      <c r="E2136">
        <v>0.83546573241963495</v>
      </c>
      <c r="F2136">
        <v>0.76423678252058602</v>
      </c>
      <c r="G2136">
        <v>0.63262660419571004</v>
      </c>
      <c r="H2136">
        <v>0.31347528595832502</v>
      </c>
      <c r="I2136">
        <v>0.110980921090017</v>
      </c>
      <c r="J2136">
        <v>4.5818280881173297E-2</v>
      </c>
      <c r="K2136">
        <v>4.7037169048655798E-2</v>
      </c>
      <c r="L2136">
        <v>860.78004940079302</v>
      </c>
      <c r="M2136">
        <v>14.9749671574187</v>
      </c>
      <c r="N2136">
        <v>57.481264681715899</v>
      </c>
      <c r="O2136">
        <v>56.485430144433998</v>
      </c>
      <c r="P2136">
        <v>-6.6284747852640505E-2</v>
      </c>
      <c r="Q2136">
        <v>0</v>
      </c>
      <c r="R2136">
        <v>0.95440376877626198</v>
      </c>
      <c r="S2136" t="s">
        <v>6432</v>
      </c>
      <c r="T2136" t="s">
        <v>8590</v>
      </c>
      <c r="U2136" t="s">
        <v>8590</v>
      </c>
      <c r="V2136" t="s">
        <v>8590</v>
      </c>
      <c r="W2136">
        <v>7</v>
      </c>
      <c r="X2136" t="s">
        <v>10726</v>
      </c>
      <c r="Y2136">
        <v>0.59745262029710966</v>
      </c>
      <c r="Z2136" t="str">
        <f>HYPERLINK("Melting_Curves/meltCurve_sp_Q6UXN9_WDR82_HUMAN_.pdf", "Melting_Curves/meltCurve_sp_Q6UXN9_WDR82_HUMAN_.pdf")</f>
        <v>Melting_Curves/meltCurve_sp_Q6UXN9_WDR82_HUMAN_.pdf</v>
      </c>
      <c r="AA2136" t="s">
        <v>14982</v>
      </c>
      <c r="AB2136" t="s">
        <v>19220</v>
      </c>
    </row>
    <row r="2137" spans="1:28" x14ac:dyDescent="0.25">
      <c r="A2137" t="s">
        <v>2141</v>
      </c>
      <c r="B2137">
        <v>0.99876560204751996</v>
      </c>
      <c r="C2137">
        <v>0.96784084327412501</v>
      </c>
      <c r="D2137">
        <v>1.0606019501880499</v>
      </c>
      <c r="E2137">
        <v>0.94765195815093894</v>
      </c>
      <c r="F2137">
        <v>0.98159743299235902</v>
      </c>
      <c r="G2137">
        <v>0.77825173884514098</v>
      </c>
      <c r="H2137">
        <v>0.703016495820318</v>
      </c>
      <c r="I2137">
        <v>0.68251575867146397</v>
      </c>
      <c r="J2137">
        <v>0.890124154626038</v>
      </c>
      <c r="K2137">
        <v>0.88810944975202599</v>
      </c>
      <c r="L2137">
        <v>13374.6136916412</v>
      </c>
      <c r="M2137">
        <v>250</v>
      </c>
      <c r="O2137">
        <v>53.4950312417416</v>
      </c>
      <c r="P2137">
        <v>-0.24721511984074099</v>
      </c>
      <c r="Q2137">
        <v>0.78840351138382103</v>
      </c>
      <c r="R2137">
        <v>0.68941266429144898</v>
      </c>
      <c r="S2137" t="s">
        <v>6433</v>
      </c>
      <c r="T2137" t="s">
        <v>8590</v>
      </c>
      <c r="U2137" t="s">
        <v>8590</v>
      </c>
      <c r="V2137" t="s">
        <v>8590</v>
      </c>
      <c r="W2137">
        <v>6</v>
      </c>
      <c r="X2137" t="s">
        <v>10727</v>
      </c>
      <c r="Y2137">
        <v>0.88363089896877089</v>
      </c>
      <c r="Z2137" t="str">
        <f>HYPERLINK("Melting_Curves/meltCurve_sp_Q6UXV4_APOOL_HUMAN_.pdf", "Melting_Curves/meltCurve_sp_Q6UXV4_APOOL_HUMAN_.pdf")</f>
        <v>Melting_Curves/meltCurve_sp_Q6UXV4_APOOL_HUMAN_.pdf</v>
      </c>
      <c r="AA2137" t="s">
        <v>14983</v>
      </c>
      <c r="AB2137" t="s">
        <v>19221</v>
      </c>
    </row>
    <row r="2138" spans="1:28" x14ac:dyDescent="0.25">
      <c r="A2138" t="s">
        <v>2142</v>
      </c>
      <c r="B2138">
        <v>0.99876560204751996</v>
      </c>
      <c r="C2138">
        <v>1.0604132552099601</v>
      </c>
      <c r="D2138">
        <v>1.0450877595597401</v>
      </c>
      <c r="E2138">
        <v>0.93103369655186197</v>
      </c>
      <c r="F2138">
        <v>0.77143018971092003</v>
      </c>
      <c r="G2138">
        <v>0.54711522448709504</v>
      </c>
      <c r="H2138">
        <v>0.35297757396798501</v>
      </c>
      <c r="I2138">
        <v>0.29745531577429501</v>
      </c>
      <c r="J2138">
        <v>0.279139011472196</v>
      </c>
      <c r="K2138">
        <v>0.13028815908049601</v>
      </c>
      <c r="L2138">
        <v>934.17361827473496</v>
      </c>
      <c r="M2138">
        <v>16.5105276129296</v>
      </c>
      <c r="N2138">
        <v>57.9714136432911</v>
      </c>
      <c r="O2138">
        <v>55.769989573833499</v>
      </c>
      <c r="P2138">
        <v>-6.1911752664057199E-2</v>
      </c>
      <c r="Q2138">
        <v>0.16354497514788</v>
      </c>
      <c r="R2138">
        <v>0.98510936523082204</v>
      </c>
      <c r="S2138" t="s">
        <v>6434</v>
      </c>
      <c r="T2138" t="s">
        <v>8590</v>
      </c>
      <c r="U2138" t="s">
        <v>8590</v>
      </c>
      <c r="V2138" t="s">
        <v>8590</v>
      </c>
      <c r="W2138">
        <v>2</v>
      </c>
      <c r="X2138" t="s">
        <v>10728</v>
      </c>
      <c r="Y2138">
        <v>0.63875877157872418</v>
      </c>
      <c r="Z2138" t="str">
        <f>HYPERLINK("Melting_Curves/meltCurve_sp_Q6VY07_PACS1_HUMAN_.pdf", "Melting_Curves/meltCurve_sp_Q6VY07_PACS1_HUMAN_.pdf")</f>
        <v>Melting_Curves/meltCurve_sp_Q6VY07_PACS1_HUMAN_.pdf</v>
      </c>
      <c r="AA2138" t="s">
        <v>14984</v>
      </c>
      <c r="AB2138" t="s">
        <v>19222</v>
      </c>
    </row>
    <row r="2139" spans="1:28" x14ac:dyDescent="0.25">
      <c r="A2139" t="s">
        <v>2143</v>
      </c>
      <c r="B2139">
        <v>0.99876560204751996</v>
      </c>
      <c r="C2139">
        <v>1.0072101266457301</v>
      </c>
      <c r="D2139">
        <v>0.88743082529402795</v>
      </c>
      <c r="E2139">
        <v>0.89938602765622699</v>
      </c>
      <c r="F2139">
        <v>0.732795264232312</v>
      </c>
      <c r="G2139">
        <v>0.59834054735987097</v>
      </c>
      <c r="H2139">
        <v>0.47646552783192903</v>
      </c>
      <c r="I2139">
        <v>0.53871205066053696</v>
      </c>
      <c r="J2139">
        <v>0.44402923302937902</v>
      </c>
      <c r="K2139">
        <v>0.372911609416329</v>
      </c>
      <c r="L2139">
        <v>655.67342111535902</v>
      </c>
      <c r="M2139">
        <v>11.9612738581896</v>
      </c>
      <c r="N2139">
        <v>61.716016341691301</v>
      </c>
      <c r="O2139">
        <v>53.351587748927599</v>
      </c>
      <c r="P2139">
        <v>-3.5391738561704002E-2</v>
      </c>
      <c r="Q2139">
        <v>0.36871451790708398</v>
      </c>
      <c r="R2139">
        <v>0.970200943849299</v>
      </c>
      <c r="S2139" t="s">
        <v>6435</v>
      </c>
      <c r="T2139" t="s">
        <v>8590</v>
      </c>
      <c r="U2139" t="s">
        <v>8590</v>
      </c>
      <c r="V2139" t="s">
        <v>8590</v>
      </c>
      <c r="W2139">
        <v>8</v>
      </c>
      <c r="X2139" t="s">
        <v>10729</v>
      </c>
      <c r="Y2139">
        <v>0.6956596777264602</v>
      </c>
      <c r="Z2139" t="str">
        <f>HYPERLINK("Melting_Curves/meltCurve_sp_Q6WCQ1_MPRIP_HUMAN_.pdf", "Melting_Curves/meltCurve_sp_Q6WCQ1_MPRIP_HUMAN_.pdf")</f>
        <v>Melting_Curves/meltCurve_sp_Q6WCQ1_MPRIP_HUMAN_.pdf</v>
      </c>
      <c r="AA2139" t="s">
        <v>14985</v>
      </c>
      <c r="AB2139" t="s">
        <v>19223</v>
      </c>
    </row>
    <row r="2140" spans="1:28" x14ac:dyDescent="0.25">
      <c r="A2140" t="s">
        <v>2144</v>
      </c>
      <c r="B2140">
        <v>0.99876560204751996</v>
      </c>
      <c r="C2140">
        <v>0.73814027288379502</v>
      </c>
      <c r="D2140">
        <v>0.28415784594187199</v>
      </c>
      <c r="E2140">
        <v>0.23195517936982701</v>
      </c>
      <c r="F2140">
        <v>0.12200548096309501</v>
      </c>
      <c r="G2140">
        <v>8.7519480433765895E-2</v>
      </c>
      <c r="H2140">
        <v>5.4208973955768298E-2</v>
      </c>
      <c r="I2140">
        <v>2.5700464953051502E-2</v>
      </c>
      <c r="J2140">
        <v>2.80915015237579E-2</v>
      </c>
      <c r="K2140">
        <v>2.3648666937462301E-2</v>
      </c>
      <c r="L2140">
        <v>1131.98425080109</v>
      </c>
      <c r="M2140">
        <v>25.493488579649402</v>
      </c>
      <c r="N2140">
        <v>44.651189646192599</v>
      </c>
      <c r="O2140">
        <v>44.132374333727398</v>
      </c>
      <c r="P2140">
        <v>-0.13487121869298799</v>
      </c>
      <c r="Q2140">
        <v>6.6096931320183003E-2</v>
      </c>
      <c r="R2140">
        <v>0.97467015045505501</v>
      </c>
      <c r="S2140" t="s">
        <v>6436</v>
      </c>
      <c r="T2140" t="s">
        <v>8590</v>
      </c>
      <c r="U2140" t="s">
        <v>8590</v>
      </c>
      <c r="V2140" t="s">
        <v>8590</v>
      </c>
      <c r="W2140">
        <v>1</v>
      </c>
      <c r="X2140" t="s">
        <v>10730</v>
      </c>
      <c r="Y2140">
        <v>0.21271298111931031</v>
      </c>
      <c r="Z2140" t="str">
        <f>HYPERLINK("Melting_Curves/meltCurve_sp_Q6WKZ4_3_RFIP1_HUMAN_.pdf", "Melting_Curves/meltCurve_sp_Q6WKZ4_3_RFIP1_HUMAN_.pdf")</f>
        <v>Melting_Curves/meltCurve_sp_Q6WKZ4_3_RFIP1_HUMAN_.pdf</v>
      </c>
      <c r="AA2140" t="s">
        <v>14986</v>
      </c>
      <c r="AB2140" t="s">
        <v>19224</v>
      </c>
    </row>
    <row r="2141" spans="1:28" x14ac:dyDescent="0.25">
      <c r="A2141" t="s">
        <v>2145</v>
      </c>
      <c r="B2141">
        <v>0.99876560204751996</v>
      </c>
      <c r="C2141">
        <v>0.988871405575804</v>
      </c>
      <c r="D2141">
        <v>0.96996067976345801</v>
      </c>
      <c r="E2141">
        <v>0.98192342084180995</v>
      </c>
      <c r="F2141">
        <v>0.93794966001929303</v>
      </c>
      <c r="G2141">
        <v>0.63463101308215297</v>
      </c>
      <c r="H2141">
        <v>0.175924560652754</v>
      </c>
      <c r="I2141">
        <v>8.4371985879987399E-2</v>
      </c>
      <c r="J2141">
        <v>6.2747114765613302E-2</v>
      </c>
      <c r="K2141">
        <v>5.0796456363087397E-2</v>
      </c>
      <c r="L2141">
        <v>1925.58893200905</v>
      </c>
      <c r="M2141">
        <v>33.345097056777298</v>
      </c>
      <c r="N2141">
        <v>57.923044067133198</v>
      </c>
      <c r="O2141">
        <v>57.540786514193201</v>
      </c>
      <c r="P2141">
        <v>-0.137905908557062</v>
      </c>
      <c r="Q2141">
        <v>4.8114350228166597E-2</v>
      </c>
      <c r="R2141">
        <v>0.99906254668569505</v>
      </c>
      <c r="S2141" t="s">
        <v>6437</v>
      </c>
      <c r="T2141" t="s">
        <v>8590</v>
      </c>
      <c r="U2141" t="s">
        <v>8590</v>
      </c>
      <c r="V2141" t="s">
        <v>8590</v>
      </c>
      <c r="W2141">
        <v>27</v>
      </c>
      <c r="X2141" t="s">
        <v>10731</v>
      </c>
      <c r="Y2141">
        <v>0.61646344816669796</v>
      </c>
      <c r="Z2141" t="str">
        <f>HYPERLINK("Melting_Curves/meltCurve_sp_Q6XQN6_PNCB_HUMAN_.pdf", "Melting_Curves/meltCurve_sp_Q6XQN6_PNCB_HUMAN_.pdf")</f>
        <v>Melting_Curves/meltCurve_sp_Q6XQN6_PNCB_HUMAN_.pdf</v>
      </c>
      <c r="AA2141" t="s">
        <v>14987</v>
      </c>
      <c r="AB2141" t="s">
        <v>19225</v>
      </c>
    </row>
    <row r="2142" spans="1:28" x14ac:dyDescent="0.25">
      <c r="A2142" t="s">
        <v>2146</v>
      </c>
      <c r="B2142">
        <v>0.99876560204751996</v>
      </c>
      <c r="C2142">
        <v>0.91347729543669298</v>
      </c>
      <c r="D2142">
        <v>1.1977665142807801</v>
      </c>
      <c r="E2142">
        <v>0.97786824506186398</v>
      </c>
      <c r="F2142">
        <v>1.2053168043359199</v>
      </c>
      <c r="G2142">
        <v>1.1483616520056801</v>
      </c>
      <c r="H2142">
        <v>1.0525172487944501</v>
      </c>
      <c r="I2142">
        <v>1.1092420375101899</v>
      </c>
      <c r="J2142">
        <v>1.45700856340173</v>
      </c>
      <c r="K2142">
        <v>1.5795770690795099</v>
      </c>
      <c r="L2142">
        <v>5267.3756201793904</v>
      </c>
      <c r="M2142">
        <v>81.048547842918694</v>
      </c>
      <c r="O2142">
        <v>64.950821126300795</v>
      </c>
      <c r="P2142">
        <v>0.155980576690637</v>
      </c>
      <c r="Q2142">
        <v>1.5</v>
      </c>
      <c r="R2142">
        <v>0.70048245233124995</v>
      </c>
      <c r="S2142" t="s">
        <v>6438</v>
      </c>
      <c r="T2142" t="s">
        <v>8590</v>
      </c>
      <c r="U2142" t="s">
        <v>8590</v>
      </c>
      <c r="V2142" t="s">
        <v>8590</v>
      </c>
      <c r="W2142">
        <v>2</v>
      </c>
      <c r="X2142" t="s">
        <v>10732</v>
      </c>
      <c r="Y2142">
        <v>1.08299825234463</v>
      </c>
      <c r="Z2142" t="str">
        <f>HYPERLINK("Melting_Curves/meltCurve_sp_Q6XZF7_DNMBP_HUMAN_.pdf", "Melting_Curves/meltCurve_sp_Q6XZF7_DNMBP_HUMAN_.pdf")</f>
        <v>Melting_Curves/meltCurve_sp_Q6XZF7_DNMBP_HUMAN_.pdf</v>
      </c>
      <c r="AA2142" t="s">
        <v>14988</v>
      </c>
      <c r="AB2142" t="s">
        <v>19226</v>
      </c>
    </row>
    <row r="2143" spans="1:28" x14ac:dyDescent="0.25">
      <c r="A2143" t="s">
        <v>2147</v>
      </c>
      <c r="B2143">
        <v>0.99876560204751996</v>
      </c>
      <c r="C2143">
        <v>0.91058130919205105</v>
      </c>
      <c r="D2143">
        <v>0.97536972006754497</v>
      </c>
      <c r="E2143">
        <v>0.86330678682559703</v>
      </c>
      <c r="F2143">
        <v>0.87436148577220396</v>
      </c>
      <c r="G2143">
        <v>0.69207916542529002</v>
      </c>
      <c r="H2143">
        <v>0.58341246420369097</v>
      </c>
      <c r="I2143">
        <v>0.51106774371917296</v>
      </c>
      <c r="J2143">
        <v>0.59731955599225395</v>
      </c>
      <c r="K2143">
        <v>0.60298941551756702</v>
      </c>
      <c r="L2143">
        <v>888.80410810224805</v>
      </c>
      <c r="M2143">
        <v>16.380353611639901</v>
      </c>
      <c r="O2143">
        <v>53.471011051239302</v>
      </c>
      <c r="P2143">
        <v>-3.46968198344174E-2</v>
      </c>
      <c r="Q2143">
        <v>0.54698380502275901</v>
      </c>
      <c r="R2143">
        <v>0.92912555749627601</v>
      </c>
      <c r="S2143" t="s">
        <v>6439</v>
      </c>
      <c r="T2143" t="s">
        <v>8590</v>
      </c>
      <c r="U2143" t="s">
        <v>8590</v>
      </c>
      <c r="V2143" t="s">
        <v>8590</v>
      </c>
      <c r="W2143">
        <v>6</v>
      </c>
      <c r="X2143" t="s">
        <v>10733</v>
      </c>
      <c r="Y2143">
        <v>0.77052205288065545</v>
      </c>
      <c r="Z2143" t="str">
        <f>HYPERLINK("Melting_Curves/meltCurve_sp_Q6Y7W6_4_PERQ2_HUMAN_.pdf", "Melting_Curves/meltCurve_sp_Q6Y7W6_4_PERQ2_HUMAN_.pdf")</f>
        <v>Melting_Curves/meltCurve_sp_Q6Y7W6_4_PERQ2_HUMAN_.pdf</v>
      </c>
      <c r="AA2143" t="s">
        <v>14989</v>
      </c>
      <c r="AB2143" t="s">
        <v>19227</v>
      </c>
    </row>
    <row r="2144" spans="1:28" x14ac:dyDescent="0.25">
      <c r="A2144" t="s">
        <v>2148</v>
      </c>
      <c r="B2144">
        <v>0.99876560204751996</v>
      </c>
      <c r="C2144">
        <v>1.1934821348409399</v>
      </c>
      <c r="D2144">
        <v>0.43237404822435999</v>
      </c>
      <c r="E2144">
        <v>0.61427613183963004</v>
      </c>
      <c r="F2144">
        <v>0.22986982476089701</v>
      </c>
      <c r="G2144">
        <v>0.120019533959832</v>
      </c>
      <c r="H2144">
        <v>6.6051656883612697E-2</v>
      </c>
      <c r="I2144">
        <v>4.4010833925061603E-2</v>
      </c>
      <c r="J2144">
        <v>3.8330042908232498E-2</v>
      </c>
      <c r="K2144">
        <v>2.8821715511535201E-2</v>
      </c>
      <c r="L2144">
        <v>733.97462612050504</v>
      </c>
      <c r="M2144">
        <v>14.9258053412486</v>
      </c>
      <c r="N2144">
        <v>49.295310412130597</v>
      </c>
      <c r="O2144">
        <v>48.317485865060597</v>
      </c>
      <c r="P2144">
        <v>-7.5852859758437502E-2</v>
      </c>
      <c r="Q2144">
        <v>1.7904380903693101E-2</v>
      </c>
      <c r="R2144">
        <v>0.87146381915947202</v>
      </c>
      <c r="S2144" t="s">
        <v>6440</v>
      </c>
      <c r="T2144" t="s">
        <v>8590</v>
      </c>
      <c r="U2144" t="s">
        <v>8590</v>
      </c>
      <c r="V2144" t="s">
        <v>8590</v>
      </c>
      <c r="W2144">
        <v>29</v>
      </c>
      <c r="X2144" t="s">
        <v>10734</v>
      </c>
      <c r="Y2144">
        <v>0.34256483842378499</v>
      </c>
      <c r="Z2144" t="str">
        <f>HYPERLINK("Melting_Curves/meltCurve_sp_Q6YN16_HSDL2_HUMAN_.pdf", "Melting_Curves/meltCurve_sp_Q6YN16_HSDL2_HUMAN_.pdf")</f>
        <v>Melting_Curves/meltCurve_sp_Q6YN16_HSDL2_HUMAN_.pdf</v>
      </c>
      <c r="AA2144" t="s">
        <v>14990</v>
      </c>
      <c r="AB2144" t="s">
        <v>19228</v>
      </c>
    </row>
    <row r="2145" spans="1:28" x14ac:dyDescent="0.25">
      <c r="A2145" t="s">
        <v>2149</v>
      </c>
      <c r="B2145">
        <v>0.99876560204751996</v>
      </c>
      <c r="C2145">
        <v>0.97014013366426699</v>
      </c>
      <c r="D2145">
        <v>0.95837332171171197</v>
      </c>
      <c r="E2145">
        <v>0.84929649287306397</v>
      </c>
      <c r="F2145">
        <v>0.86365926265971205</v>
      </c>
      <c r="G2145">
        <v>0.72227214768223602</v>
      </c>
      <c r="H2145">
        <v>0.54194422636089201</v>
      </c>
      <c r="I2145">
        <v>0.46123361754200498</v>
      </c>
      <c r="J2145">
        <v>0.42133148844528401</v>
      </c>
      <c r="K2145">
        <v>0.26329864958889099</v>
      </c>
      <c r="L2145">
        <v>530.00104499920405</v>
      </c>
      <c r="M2145">
        <v>8.4213209849731694</v>
      </c>
      <c r="N2145">
        <v>62.935614321377301</v>
      </c>
      <c r="O2145">
        <v>59.687173803124097</v>
      </c>
      <c r="P2145">
        <v>-3.5305655971703903E-2</v>
      </c>
      <c r="Q2145">
        <v>0</v>
      </c>
      <c r="R2145">
        <v>0.987130952539373</v>
      </c>
      <c r="S2145" t="s">
        <v>6441</v>
      </c>
      <c r="T2145" t="s">
        <v>8590</v>
      </c>
      <c r="U2145" t="s">
        <v>8590</v>
      </c>
      <c r="V2145" t="s">
        <v>8590</v>
      </c>
      <c r="W2145">
        <v>18</v>
      </c>
      <c r="X2145" t="s">
        <v>10735</v>
      </c>
      <c r="Y2145">
        <v>0.7208475353730478</v>
      </c>
      <c r="Z2145" t="str">
        <f>HYPERLINK("Melting_Curves/meltCurve_sp_Q6YP21_3_KAT3_HUMAN_.pdf", "Melting_Curves/meltCurve_sp_Q6YP21_3_KAT3_HUMAN_.pdf")</f>
        <v>Melting_Curves/meltCurve_sp_Q6YP21_3_KAT3_HUMAN_.pdf</v>
      </c>
      <c r="AA2145" t="s">
        <v>14991</v>
      </c>
      <c r="AB2145" t="s">
        <v>19229</v>
      </c>
    </row>
    <row r="2146" spans="1:28" x14ac:dyDescent="0.25">
      <c r="A2146" t="s">
        <v>2150</v>
      </c>
      <c r="B2146">
        <v>0.99876560204751996</v>
      </c>
      <c r="C2146">
        <v>1.0765641757587401</v>
      </c>
      <c r="D2146">
        <v>0.93686037167422997</v>
      </c>
      <c r="E2146">
        <v>0.78977052736312303</v>
      </c>
      <c r="F2146">
        <v>0.467872772755975</v>
      </c>
      <c r="G2146">
        <v>0.20147640755888899</v>
      </c>
      <c r="H2146">
        <v>0.15958313160353699</v>
      </c>
      <c r="I2146">
        <v>0.12512072284332801</v>
      </c>
      <c r="J2146">
        <v>0.13808143378685001</v>
      </c>
      <c r="K2146">
        <v>4.8437830083402703E-2</v>
      </c>
      <c r="L2146">
        <v>1277.3156492066901</v>
      </c>
      <c r="M2146">
        <v>24.445101426716199</v>
      </c>
      <c r="N2146">
        <v>52.761098666221997</v>
      </c>
      <c r="O2146">
        <v>51.9065094383717</v>
      </c>
      <c r="P2146">
        <v>-0.10537689430474</v>
      </c>
      <c r="Q2146">
        <v>0.10498790025378101</v>
      </c>
      <c r="R2146">
        <v>0.99153310103745596</v>
      </c>
      <c r="S2146" t="s">
        <v>6442</v>
      </c>
      <c r="T2146" t="s">
        <v>8590</v>
      </c>
      <c r="U2146" t="s">
        <v>8590</v>
      </c>
      <c r="V2146" t="s">
        <v>8590</v>
      </c>
      <c r="W2146">
        <v>7</v>
      </c>
      <c r="X2146" t="s">
        <v>10736</v>
      </c>
      <c r="Y2146">
        <v>0.47907185456831319</v>
      </c>
      <c r="Z2146" t="str">
        <f>HYPERLINK("Melting_Curves/meltCurve_sp_Q6ZMI0_PPR21_HUMAN_.pdf", "Melting_Curves/meltCurve_sp_Q6ZMI0_PPR21_HUMAN_.pdf")</f>
        <v>Melting_Curves/meltCurve_sp_Q6ZMI0_PPR21_HUMAN_.pdf</v>
      </c>
      <c r="AA2146" t="s">
        <v>14992</v>
      </c>
      <c r="AB2146" t="s">
        <v>19230</v>
      </c>
    </row>
    <row r="2147" spans="1:28" x14ac:dyDescent="0.25">
      <c r="A2147" t="s">
        <v>2151</v>
      </c>
      <c r="B2147">
        <v>0.99876560204751996</v>
      </c>
      <c r="C2147">
        <v>0.94414336692577405</v>
      </c>
      <c r="D2147">
        <v>0.80438000218910199</v>
      </c>
      <c r="E2147">
        <v>0.485746376131234</v>
      </c>
      <c r="F2147">
        <v>0.22592920848075501</v>
      </c>
      <c r="G2147">
        <v>0.176617721866906</v>
      </c>
      <c r="H2147">
        <v>0.105521985791248</v>
      </c>
      <c r="I2147">
        <v>8.9581416388693602E-2</v>
      </c>
      <c r="J2147">
        <v>8.16590208620179E-2</v>
      </c>
      <c r="K2147">
        <v>7.5353823578546295E-2</v>
      </c>
      <c r="L2147">
        <v>953.46148442552499</v>
      </c>
      <c r="M2147">
        <v>19.392914470260799</v>
      </c>
      <c r="N2147">
        <v>49.621137883509398</v>
      </c>
      <c r="O2147">
        <v>48.651624419766399</v>
      </c>
      <c r="P2147">
        <v>-9.1527088327458997E-2</v>
      </c>
      <c r="Q2147">
        <v>8.1566086628226397E-2</v>
      </c>
      <c r="R2147">
        <v>0.99752478200575201</v>
      </c>
      <c r="S2147" t="s">
        <v>6443</v>
      </c>
      <c r="T2147" t="s">
        <v>8590</v>
      </c>
      <c r="U2147" t="s">
        <v>8590</v>
      </c>
      <c r="V2147" t="s">
        <v>8590</v>
      </c>
      <c r="W2147">
        <v>2</v>
      </c>
      <c r="X2147" t="s">
        <v>10737</v>
      </c>
      <c r="Y2147">
        <v>0.37583108629303891</v>
      </c>
      <c r="Z2147" t="str">
        <f>HYPERLINK("Melting_Curves/meltCurve_sp_Q6ZNW5_GDPP1_HUMAN_.pdf", "Melting_Curves/meltCurve_sp_Q6ZNW5_GDPP1_HUMAN_.pdf")</f>
        <v>Melting_Curves/meltCurve_sp_Q6ZNW5_GDPP1_HUMAN_.pdf</v>
      </c>
      <c r="AA2147" t="s">
        <v>14993</v>
      </c>
      <c r="AB2147" t="s">
        <v>19231</v>
      </c>
    </row>
    <row r="2148" spans="1:28" x14ac:dyDescent="0.25">
      <c r="A2148" t="s">
        <v>2152</v>
      </c>
      <c r="B2148">
        <v>0.99876560204751996</v>
      </c>
      <c r="C2148">
        <v>1.24733813960502</v>
      </c>
      <c r="D2148">
        <v>1.2458627143871099</v>
      </c>
      <c r="E2148">
        <v>1.0046981693880599</v>
      </c>
      <c r="F2148">
        <v>0.40375253451702198</v>
      </c>
      <c r="G2148">
        <v>0.2002094535425</v>
      </c>
      <c r="H2148">
        <v>0.16616718737682101</v>
      </c>
      <c r="I2148">
        <v>0.15321088079731199</v>
      </c>
      <c r="J2148">
        <v>0.17888650289448699</v>
      </c>
      <c r="K2148">
        <v>0.17417819260541001</v>
      </c>
      <c r="L2148">
        <v>13199.333893342</v>
      </c>
      <c r="M2148">
        <v>250</v>
      </c>
      <c r="N2148">
        <v>52.888165690645202</v>
      </c>
      <c r="O2148">
        <v>52.793956904604798</v>
      </c>
      <c r="P2148">
        <v>-0.97723017245233201</v>
      </c>
      <c r="Q2148">
        <v>0.174530439366747</v>
      </c>
      <c r="R2148">
        <v>0.94146229203738496</v>
      </c>
      <c r="S2148" t="s">
        <v>6444</v>
      </c>
      <c r="T2148" t="s">
        <v>8590</v>
      </c>
      <c r="U2148" t="s">
        <v>8590</v>
      </c>
      <c r="V2148" t="s">
        <v>8590</v>
      </c>
      <c r="W2148">
        <v>3</v>
      </c>
      <c r="X2148" t="s">
        <v>10738</v>
      </c>
      <c r="Y2148">
        <v>0.52673395857401206</v>
      </c>
      <c r="Z2148" t="str">
        <f>HYPERLINK("Melting_Curves/meltCurve_sp_Q6ZS30_NBEL1_HUMAN_.pdf", "Melting_Curves/meltCurve_sp_Q6ZS30_NBEL1_HUMAN_.pdf")</f>
        <v>Melting_Curves/meltCurve_sp_Q6ZS30_NBEL1_HUMAN_.pdf</v>
      </c>
      <c r="AA2148" t="s">
        <v>14994</v>
      </c>
      <c r="AB2148" t="s">
        <v>19232</v>
      </c>
    </row>
    <row r="2149" spans="1:28" x14ac:dyDescent="0.25">
      <c r="A2149" t="s">
        <v>2153</v>
      </c>
      <c r="B2149">
        <v>0.99876560204751996</v>
      </c>
      <c r="C2149">
        <v>0.92893606911836402</v>
      </c>
      <c r="D2149">
        <v>0.875804538811636</v>
      </c>
      <c r="E2149">
        <v>0.76929990693651096</v>
      </c>
      <c r="F2149">
        <v>0.63687092788502897</v>
      </c>
      <c r="G2149">
        <v>0.432247664697259</v>
      </c>
      <c r="H2149">
        <v>0.33555431873235297</v>
      </c>
      <c r="I2149">
        <v>0.31072540262066201</v>
      </c>
      <c r="J2149">
        <v>0.27890283383815201</v>
      </c>
      <c r="K2149">
        <v>0.28052443884155098</v>
      </c>
      <c r="L2149">
        <v>659.13123470989399</v>
      </c>
      <c r="M2149">
        <v>12.4408836354947</v>
      </c>
      <c r="N2149">
        <v>55.696380302319902</v>
      </c>
      <c r="O2149">
        <v>51.6680248898328</v>
      </c>
      <c r="P2149">
        <v>-4.65187241981889E-2</v>
      </c>
      <c r="Q2149">
        <v>0.22737740464647899</v>
      </c>
      <c r="R2149">
        <v>0.99511880709109302</v>
      </c>
      <c r="S2149" t="s">
        <v>6445</v>
      </c>
      <c r="T2149" t="s">
        <v>8590</v>
      </c>
      <c r="U2149" t="s">
        <v>8590</v>
      </c>
      <c r="V2149" t="s">
        <v>8590</v>
      </c>
      <c r="W2149">
        <v>5</v>
      </c>
      <c r="X2149" t="s">
        <v>10739</v>
      </c>
      <c r="Y2149">
        <v>0.58283314894793281</v>
      </c>
      <c r="Z2149" t="str">
        <f>HYPERLINK("Melting_Curves/meltCurve_sp_Q6ZSZ5_2_ARHGI_HUMAN_.pdf", "Melting_Curves/meltCurve_sp_Q6ZSZ5_2_ARHGI_HUMAN_.pdf")</f>
        <v>Melting_Curves/meltCurve_sp_Q6ZSZ5_2_ARHGI_HUMAN_.pdf</v>
      </c>
      <c r="AA2149" t="s">
        <v>14995</v>
      </c>
      <c r="AB2149" t="s">
        <v>19233</v>
      </c>
    </row>
    <row r="2150" spans="1:28" x14ac:dyDescent="0.25">
      <c r="A2150" t="s">
        <v>2154</v>
      </c>
      <c r="B2150">
        <v>0.99876560204751996</v>
      </c>
      <c r="C2150">
        <v>1.0453776899545899</v>
      </c>
      <c r="D2150">
        <v>0.86473446168808898</v>
      </c>
      <c r="E2150">
        <v>0.60196610238000803</v>
      </c>
      <c r="F2150">
        <v>0.26115760771893498</v>
      </c>
      <c r="G2150">
        <v>0.15221887267033599</v>
      </c>
      <c r="H2150">
        <v>0.13790953351163401</v>
      </c>
      <c r="I2150">
        <v>0.113422309611471</v>
      </c>
      <c r="J2150">
        <v>0.133444589935165</v>
      </c>
      <c r="K2150">
        <v>0.11557200910944899</v>
      </c>
      <c r="L2150">
        <v>1283.25177101536</v>
      </c>
      <c r="M2150">
        <v>25.622848996383901</v>
      </c>
      <c r="N2150">
        <v>50.613187497563999</v>
      </c>
      <c r="O2150">
        <v>49.7802502073528</v>
      </c>
      <c r="P2150">
        <v>-0.11351797916784501</v>
      </c>
      <c r="Q2150">
        <v>0.117836644919028</v>
      </c>
      <c r="R2150">
        <v>0.99390444994155402</v>
      </c>
      <c r="S2150" t="s">
        <v>6446</v>
      </c>
      <c r="T2150" t="s">
        <v>8590</v>
      </c>
      <c r="U2150" t="s">
        <v>8590</v>
      </c>
      <c r="V2150" t="s">
        <v>8590</v>
      </c>
      <c r="W2150">
        <v>5</v>
      </c>
      <c r="X2150" t="s">
        <v>10740</v>
      </c>
      <c r="Y2150">
        <v>0.42182236314770127</v>
      </c>
      <c r="Z2150" t="str">
        <f>HYPERLINK("Melting_Curves/meltCurve_sp_Q6ZT12_UBR3_HUMAN_.pdf", "Melting_Curves/meltCurve_sp_Q6ZT12_UBR3_HUMAN_.pdf")</f>
        <v>Melting_Curves/meltCurve_sp_Q6ZT12_UBR3_HUMAN_.pdf</v>
      </c>
      <c r="AA2150" t="s">
        <v>14996</v>
      </c>
      <c r="AB2150" t="s">
        <v>19234</v>
      </c>
    </row>
    <row r="2151" spans="1:28" x14ac:dyDescent="0.25">
      <c r="A2151" t="s">
        <v>2155</v>
      </c>
      <c r="B2151">
        <v>0.99876560204751996</v>
      </c>
      <c r="C2151">
        <v>1.0350447281128401</v>
      </c>
      <c r="D2151">
        <v>0.95128319852951604</v>
      </c>
      <c r="E2151">
        <v>0.86413194905878798</v>
      </c>
      <c r="F2151">
        <v>0.47045316493885903</v>
      </c>
      <c r="G2151">
        <v>0.201567667530866</v>
      </c>
      <c r="H2151">
        <v>0.13306512389651701</v>
      </c>
      <c r="I2151">
        <v>0.113085233177151</v>
      </c>
      <c r="J2151">
        <v>0.13490733614742501</v>
      </c>
      <c r="K2151">
        <v>0.12442651255590299</v>
      </c>
      <c r="L2151">
        <v>1720.73571850331</v>
      </c>
      <c r="M2151">
        <v>32.844362918736699</v>
      </c>
      <c r="N2151">
        <v>52.860034504848798</v>
      </c>
      <c r="O2151">
        <v>52.197541328412498</v>
      </c>
      <c r="P2151">
        <v>-0.13740954744011799</v>
      </c>
      <c r="Q2151">
        <v>0.12649783926201</v>
      </c>
      <c r="R2151">
        <v>0.99748924505230396</v>
      </c>
      <c r="S2151" t="s">
        <v>6447</v>
      </c>
      <c r="T2151" t="s">
        <v>8590</v>
      </c>
      <c r="U2151" t="s">
        <v>8590</v>
      </c>
      <c r="V2151" t="s">
        <v>8590</v>
      </c>
      <c r="W2151">
        <v>19</v>
      </c>
      <c r="X2151" t="s">
        <v>10741</v>
      </c>
      <c r="Y2151">
        <v>0.49196271052016832</v>
      </c>
      <c r="Z2151" t="str">
        <f>HYPERLINK("Melting_Curves/meltCurve_sp_Q6ZUJ8_BCAP_HUMAN_.pdf", "Melting_Curves/meltCurve_sp_Q6ZUJ8_BCAP_HUMAN_.pdf")</f>
        <v>Melting_Curves/meltCurve_sp_Q6ZUJ8_BCAP_HUMAN_.pdf</v>
      </c>
      <c r="AA2151" t="s">
        <v>14997</v>
      </c>
      <c r="AB2151" t="s">
        <v>19235</v>
      </c>
    </row>
    <row r="2152" spans="1:28" x14ac:dyDescent="0.25">
      <c r="A2152" t="s">
        <v>2156</v>
      </c>
      <c r="B2152">
        <v>0.99876560204751996</v>
      </c>
      <c r="C2152">
        <v>0.91586790707760002</v>
      </c>
      <c r="D2152">
        <v>0.93066231349205397</v>
      </c>
      <c r="E2152">
        <v>1.1330148807304301</v>
      </c>
      <c r="F2152">
        <v>0.44321529368312601</v>
      </c>
      <c r="G2152">
        <v>0.24852634120334299</v>
      </c>
      <c r="H2152">
        <v>0.26836306626843798</v>
      </c>
      <c r="I2152">
        <v>0</v>
      </c>
      <c r="J2152">
        <v>0</v>
      </c>
      <c r="K2152">
        <v>9.9882316850875605E-2</v>
      </c>
      <c r="L2152">
        <v>13220.622603960999</v>
      </c>
      <c r="M2152">
        <v>250</v>
      </c>
      <c r="N2152">
        <v>52.942492221001501</v>
      </c>
      <c r="O2152">
        <v>52.879106696402197</v>
      </c>
      <c r="P2152">
        <v>-1.0361437503475399</v>
      </c>
      <c r="Q2152">
        <v>0.123354312971322</v>
      </c>
      <c r="R2152">
        <v>0.94560295790848803</v>
      </c>
      <c r="S2152" t="s">
        <v>6448</v>
      </c>
      <c r="T2152" t="s">
        <v>8590</v>
      </c>
      <c r="U2152" t="s">
        <v>8590</v>
      </c>
      <c r="V2152" t="s">
        <v>8590</v>
      </c>
      <c r="W2152">
        <v>1</v>
      </c>
      <c r="X2152" t="s">
        <v>10742</v>
      </c>
      <c r="Y2152">
        <v>0.49988166136627871</v>
      </c>
      <c r="Z2152" t="str">
        <f>HYPERLINK("Melting_Curves/meltCurve_sp_Q6ZVK8_2_NUD18_HUMAN_.pdf", "Melting_Curves/meltCurve_sp_Q6ZVK8_2_NUD18_HUMAN_.pdf")</f>
        <v>Melting_Curves/meltCurve_sp_Q6ZVK8_2_NUD18_HUMAN_.pdf</v>
      </c>
      <c r="AA2152" t="s">
        <v>14998</v>
      </c>
      <c r="AB2152" t="s">
        <v>19236</v>
      </c>
    </row>
    <row r="2153" spans="1:28" x14ac:dyDescent="0.25">
      <c r="A2153" t="s">
        <v>2157</v>
      </c>
      <c r="B2153">
        <v>0.99876560204751996</v>
      </c>
      <c r="C2153">
        <v>0.90790697710637103</v>
      </c>
      <c r="D2153">
        <v>0.90028251504597701</v>
      </c>
      <c r="E2153">
        <v>0.75976103282416296</v>
      </c>
      <c r="F2153">
        <v>0.63689605127433402</v>
      </c>
      <c r="G2153">
        <v>0.492730921277311</v>
      </c>
      <c r="H2153">
        <v>0.36132386715075099</v>
      </c>
      <c r="I2153">
        <v>0.31069596831146301</v>
      </c>
      <c r="J2153">
        <v>0.35631441821154097</v>
      </c>
      <c r="K2153">
        <v>0.318063644828044</v>
      </c>
      <c r="L2153">
        <v>637.77295207207897</v>
      </c>
      <c r="M2153">
        <v>12.0829740271171</v>
      </c>
      <c r="N2153">
        <v>56.406653275115197</v>
      </c>
      <c r="O2153">
        <v>51.399422196570399</v>
      </c>
      <c r="P2153">
        <v>-4.2915585889055897E-2</v>
      </c>
      <c r="Q2153">
        <v>0.26994202764252201</v>
      </c>
      <c r="R2153">
        <v>0.99015869455460903</v>
      </c>
      <c r="S2153" t="s">
        <v>6449</v>
      </c>
      <c r="T2153" t="s">
        <v>8590</v>
      </c>
      <c r="U2153" t="s">
        <v>8590</v>
      </c>
      <c r="V2153" t="s">
        <v>8590</v>
      </c>
      <c r="W2153">
        <v>3</v>
      </c>
      <c r="X2153" t="s">
        <v>10743</v>
      </c>
      <c r="Y2153">
        <v>0.60198115593459578</v>
      </c>
      <c r="Z2153" t="str">
        <f>HYPERLINK("Melting_Curves/meltCurve_sp_Q6ZVM7_TM1L2_HUMAN_.pdf", "Melting_Curves/meltCurve_sp_Q6ZVM7_TM1L2_HUMAN_.pdf")</f>
        <v>Melting_Curves/meltCurve_sp_Q6ZVM7_TM1L2_HUMAN_.pdf</v>
      </c>
      <c r="AA2153" t="s">
        <v>14999</v>
      </c>
      <c r="AB2153" t="s">
        <v>19237</v>
      </c>
    </row>
    <row r="2154" spans="1:28" x14ac:dyDescent="0.25">
      <c r="A2154" t="s">
        <v>2158</v>
      </c>
      <c r="B2154">
        <v>0.99876560204751996</v>
      </c>
      <c r="C2154">
        <v>1.12327820000797</v>
      </c>
      <c r="D2154">
        <v>1.0215685652308699</v>
      </c>
      <c r="E2154">
        <v>1.0167591119996</v>
      </c>
      <c r="F2154">
        <v>0.87825576128317795</v>
      </c>
      <c r="G2154">
        <v>0.72143494577210698</v>
      </c>
      <c r="H2154">
        <v>0.49075230669807401</v>
      </c>
      <c r="I2154">
        <v>0.28910022426380899</v>
      </c>
      <c r="J2154">
        <v>0.10498262407476699</v>
      </c>
      <c r="K2154">
        <v>6.3583381385930601E-2</v>
      </c>
      <c r="L2154">
        <v>1071.1097201448099</v>
      </c>
      <c r="M2154">
        <v>17.7359321172523</v>
      </c>
      <c r="N2154">
        <v>60.392073967780703</v>
      </c>
      <c r="O2154">
        <v>59.640014497602401</v>
      </c>
      <c r="P2154">
        <v>-7.4349663067651006E-2</v>
      </c>
      <c r="Q2154">
        <v>0</v>
      </c>
      <c r="R2154">
        <v>0.98375094435903498</v>
      </c>
      <c r="S2154" t="s">
        <v>6450</v>
      </c>
      <c r="T2154" t="s">
        <v>8590</v>
      </c>
      <c r="U2154" t="s">
        <v>8590</v>
      </c>
      <c r="V2154" t="s">
        <v>8590</v>
      </c>
      <c r="W2154">
        <v>31</v>
      </c>
      <c r="X2154" t="s">
        <v>10744</v>
      </c>
      <c r="Y2154">
        <v>0.68683256102818646</v>
      </c>
      <c r="Z2154" t="str">
        <f>HYPERLINK("Melting_Curves/meltCurve_sp_Q709C8_3_VP13C_HUMAN_.pdf", "Melting_Curves/meltCurve_sp_Q709C8_3_VP13C_HUMAN_.pdf")</f>
        <v>Melting_Curves/meltCurve_sp_Q709C8_3_VP13C_HUMAN_.pdf</v>
      </c>
      <c r="AA2154" t="s">
        <v>15000</v>
      </c>
      <c r="AB2154" t="s">
        <v>19238</v>
      </c>
    </row>
    <row r="2155" spans="1:28" x14ac:dyDescent="0.25">
      <c r="A2155" t="s">
        <v>2159</v>
      </c>
      <c r="B2155">
        <v>0.99876560204751996</v>
      </c>
      <c r="C2155">
        <v>1.00994563715883</v>
      </c>
      <c r="D2155">
        <v>0.91951670545460096</v>
      </c>
      <c r="E2155">
        <v>0.73553190342325103</v>
      </c>
      <c r="F2155">
        <v>0.42838833820952299</v>
      </c>
      <c r="G2155">
        <v>0.140484463949473</v>
      </c>
      <c r="H2155">
        <v>7.1114595178911402E-2</v>
      </c>
      <c r="I2155">
        <v>5.7524575895533697E-2</v>
      </c>
      <c r="J2155">
        <v>5.30522759926337E-2</v>
      </c>
      <c r="K2155">
        <v>4.1416839541744598E-2</v>
      </c>
      <c r="L2155">
        <v>1180.76133177324</v>
      </c>
      <c r="M2155">
        <v>22.689478702753799</v>
      </c>
      <c r="N2155">
        <v>52.229152022873102</v>
      </c>
      <c r="O2155">
        <v>51.6408554407069</v>
      </c>
      <c r="P2155">
        <v>-0.105513054927314</v>
      </c>
      <c r="Q2155">
        <v>3.9435529193770302E-2</v>
      </c>
      <c r="R2155">
        <v>0.99883489303436401</v>
      </c>
      <c r="S2155" t="s">
        <v>6451</v>
      </c>
      <c r="T2155" t="s">
        <v>8590</v>
      </c>
      <c r="U2155" t="s">
        <v>8590</v>
      </c>
      <c r="V2155" t="s">
        <v>8590</v>
      </c>
      <c r="W2155">
        <v>30</v>
      </c>
      <c r="X2155" t="s">
        <v>10745</v>
      </c>
      <c r="Y2155">
        <v>0.43548983935790803</v>
      </c>
      <c r="Z2155" t="str">
        <f>HYPERLINK("Melting_Curves/meltCurve_sp_Q709F0_ACD11_HUMAN_.pdf", "Melting_Curves/meltCurve_sp_Q709F0_ACD11_HUMAN_.pdf")</f>
        <v>Melting_Curves/meltCurve_sp_Q709F0_ACD11_HUMAN_.pdf</v>
      </c>
      <c r="AA2155" t="s">
        <v>15001</v>
      </c>
      <c r="AB2155" t="s">
        <v>19239</v>
      </c>
    </row>
    <row r="2156" spans="1:28" x14ac:dyDescent="0.25">
      <c r="A2156" t="s">
        <v>2160</v>
      </c>
      <c r="B2156">
        <v>0.99876560204751996</v>
      </c>
      <c r="C2156">
        <v>0.95971418848341195</v>
      </c>
      <c r="D2156">
        <v>0.98238578595083104</v>
      </c>
      <c r="E2156">
        <v>0.81943451100500597</v>
      </c>
      <c r="F2156">
        <v>0.68759918959460198</v>
      </c>
      <c r="G2156">
        <v>0.41049925016946798</v>
      </c>
      <c r="H2156">
        <v>0.26648725303381698</v>
      </c>
      <c r="I2156">
        <v>0.233125578708269</v>
      </c>
      <c r="J2156">
        <v>0.27544860561959</v>
      </c>
      <c r="K2156">
        <v>0.24034010168452599</v>
      </c>
      <c r="L2156">
        <v>1049.7155776362299</v>
      </c>
      <c r="M2156">
        <v>19.567053526219301</v>
      </c>
      <c r="N2156">
        <v>55.343960298919697</v>
      </c>
      <c r="O2156">
        <v>53.096200494142103</v>
      </c>
      <c r="P2156">
        <v>-7.1350407519957207E-2</v>
      </c>
      <c r="Q2156">
        <v>0.225575738949921</v>
      </c>
      <c r="R2156">
        <v>0.99445722859963104</v>
      </c>
      <c r="S2156" t="s">
        <v>6452</v>
      </c>
      <c r="T2156" t="s">
        <v>8590</v>
      </c>
      <c r="U2156" t="s">
        <v>8590</v>
      </c>
      <c r="V2156" t="s">
        <v>8590</v>
      </c>
      <c r="W2156">
        <v>8</v>
      </c>
      <c r="X2156" t="s">
        <v>10746</v>
      </c>
      <c r="Y2156">
        <v>0.58882744705027734</v>
      </c>
      <c r="Z2156" t="str">
        <f>HYPERLINK("Melting_Curves/meltCurve_sp_Q70E73_RAPH1_HUMAN_.pdf", "Melting_Curves/meltCurve_sp_Q70E73_RAPH1_HUMAN_.pdf")</f>
        <v>Melting_Curves/meltCurve_sp_Q70E73_RAPH1_HUMAN_.pdf</v>
      </c>
      <c r="AA2156" t="s">
        <v>15002</v>
      </c>
      <c r="AB2156" t="s">
        <v>19240</v>
      </c>
    </row>
    <row r="2157" spans="1:28" x14ac:dyDescent="0.25">
      <c r="A2157" t="s">
        <v>2161</v>
      </c>
      <c r="B2157">
        <v>0.99876560204751996</v>
      </c>
      <c r="C2157">
        <v>0.89245931338464202</v>
      </c>
      <c r="D2157">
        <v>1.0213951218305499</v>
      </c>
      <c r="E2157">
        <v>0.89018361934815504</v>
      </c>
      <c r="F2157">
        <v>0.874420554025505</v>
      </c>
      <c r="G2157">
        <v>0.79675391336838897</v>
      </c>
      <c r="H2157">
        <v>0.60614953413834904</v>
      </c>
      <c r="I2157">
        <v>0.372932064690917</v>
      </c>
      <c r="J2157">
        <v>0.21161149823839701</v>
      </c>
      <c r="K2157">
        <v>0.13709258735312099</v>
      </c>
      <c r="L2157">
        <v>920.58262654106397</v>
      </c>
      <c r="M2157">
        <v>14.872442137273501</v>
      </c>
      <c r="N2157">
        <v>61.898548971634398</v>
      </c>
      <c r="O2157">
        <v>60.811802815759997</v>
      </c>
      <c r="P2157">
        <v>-6.11476705048433E-2</v>
      </c>
      <c r="Q2157">
        <v>0</v>
      </c>
      <c r="R2157">
        <v>0.97399522045553799</v>
      </c>
      <c r="S2157" t="s">
        <v>6453</v>
      </c>
      <c r="T2157" t="s">
        <v>8590</v>
      </c>
      <c r="U2157" t="s">
        <v>8590</v>
      </c>
      <c r="V2157" t="s">
        <v>8590</v>
      </c>
      <c r="W2157">
        <v>4</v>
      </c>
      <c r="X2157" t="s">
        <v>10747</v>
      </c>
      <c r="Y2157">
        <v>0.72746808260376039</v>
      </c>
      <c r="Z2157" t="str">
        <f>HYPERLINK("Melting_Curves/meltCurve_sp_Q712K3_UB2R2_HUMAN_.pdf", "Melting_Curves/meltCurve_sp_Q712K3_UB2R2_HUMAN_.pdf")</f>
        <v>Melting_Curves/meltCurve_sp_Q712K3_UB2R2_HUMAN_.pdf</v>
      </c>
      <c r="AA2157" t="s">
        <v>15003</v>
      </c>
      <c r="AB2157" t="s">
        <v>19241</v>
      </c>
    </row>
    <row r="2158" spans="1:28" x14ac:dyDescent="0.25">
      <c r="A2158" t="s">
        <v>2162</v>
      </c>
      <c r="B2158">
        <v>0.99876560204751996</v>
      </c>
      <c r="C2158">
        <v>1.0071617166361699</v>
      </c>
      <c r="D2158">
        <v>1.08981750056353</v>
      </c>
      <c r="E2158">
        <v>0.81874694050576602</v>
      </c>
      <c r="F2158">
        <v>0.69700644374827603</v>
      </c>
      <c r="G2158">
        <v>0.53391512462733903</v>
      </c>
      <c r="H2158">
        <v>0.42166184413499502</v>
      </c>
      <c r="I2158">
        <v>0.39810029663987201</v>
      </c>
      <c r="J2158">
        <v>0.43893135259218202</v>
      </c>
      <c r="K2158">
        <v>0.45052013069536001</v>
      </c>
      <c r="L2158">
        <v>1221.5075850978999</v>
      </c>
      <c r="M2158">
        <v>23.228491912253901</v>
      </c>
      <c r="N2158">
        <v>57.230164382087501</v>
      </c>
      <c r="O2158">
        <v>52.201510879615697</v>
      </c>
      <c r="P2158">
        <v>-6.4070752875180007E-2</v>
      </c>
      <c r="Q2158">
        <v>0.42406422178583097</v>
      </c>
      <c r="R2158">
        <v>0.97336905091122194</v>
      </c>
      <c r="S2158" t="s">
        <v>6454</v>
      </c>
      <c r="T2158" t="s">
        <v>8590</v>
      </c>
      <c r="U2158" t="s">
        <v>8590</v>
      </c>
      <c r="V2158" t="s">
        <v>8590</v>
      </c>
      <c r="W2158">
        <v>7</v>
      </c>
      <c r="X2158" t="s">
        <v>10748</v>
      </c>
      <c r="Y2158">
        <v>0.67176797250777676</v>
      </c>
      <c r="Z2158" t="str">
        <f>HYPERLINK("Melting_Curves/meltCurve_sp_Q71RC2_6_LARP4_HUMAN_.pdf", "Melting_Curves/meltCurve_sp_Q71RC2_6_LARP4_HUMAN_.pdf")</f>
        <v>Melting_Curves/meltCurve_sp_Q71RC2_6_LARP4_HUMAN_.pdf</v>
      </c>
      <c r="AA2158" t="s">
        <v>15004</v>
      </c>
      <c r="AB2158" t="s">
        <v>19242</v>
      </c>
    </row>
    <row r="2159" spans="1:28" x14ac:dyDescent="0.25">
      <c r="A2159" t="s">
        <v>2163</v>
      </c>
      <c r="B2159">
        <v>0.99876560204751996</v>
      </c>
      <c r="C2159">
        <v>0.92123269994641799</v>
      </c>
      <c r="D2159">
        <v>0.79809172615136503</v>
      </c>
      <c r="E2159">
        <v>0.51983941379501297</v>
      </c>
      <c r="F2159">
        <v>0.33344134449123503</v>
      </c>
      <c r="G2159">
        <v>0.17635980005651999</v>
      </c>
      <c r="H2159">
        <v>0.108084428335848</v>
      </c>
      <c r="I2159">
        <v>9.5761678929993196E-2</v>
      </c>
      <c r="J2159">
        <v>8.3804458077665706E-2</v>
      </c>
      <c r="K2159">
        <v>4.9715773080089898E-2</v>
      </c>
      <c r="L2159">
        <v>760.292483181595</v>
      </c>
      <c r="M2159">
        <v>15.2277739454201</v>
      </c>
      <c r="N2159">
        <v>50.307287362067797</v>
      </c>
      <c r="O2159">
        <v>49.090733205787899</v>
      </c>
      <c r="P2159">
        <v>-7.3350640286557994E-2</v>
      </c>
      <c r="Q2159">
        <v>5.4229893557840303E-2</v>
      </c>
      <c r="R2159">
        <v>0.99926395395226097</v>
      </c>
      <c r="S2159" t="s">
        <v>6455</v>
      </c>
      <c r="T2159" t="s">
        <v>8590</v>
      </c>
      <c r="U2159" t="s">
        <v>8590</v>
      </c>
      <c r="V2159" t="s">
        <v>8590</v>
      </c>
      <c r="W2159">
        <v>15</v>
      </c>
      <c r="X2159" t="s">
        <v>10749</v>
      </c>
      <c r="Y2159">
        <v>0.38922265118814559</v>
      </c>
      <c r="Z2159" t="str">
        <f>HYPERLINK("Melting_Curves/meltCurve_sp_Q71U36_2_TBA1A_HUMAN_.pdf", "Melting_Curves/meltCurve_sp_Q71U36_2_TBA1A_HUMAN_.pdf")</f>
        <v>Melting_Curves/meltCurve_sp_Q71U36_2_TBA1A_HUMAN_.pdf</v>
      </c>
      <c r="AA2159" t="s">
        <v>15005</v>
      </c>
      <c r="AB2159" t="s">
        <v>19243</v>
      </c>
    </row>
    <row r="2160" spans="1:28" x14ac:dyDescent="0.25">
      <c r="A2160" t="s">
        <v>2164</v>
      </c>
      <c r="B2160">
        <v>0.99876560204751996</v>
      </c>
      <c r="C2160">
        <v>0.87954473972341096</v>
      </c>
      <c r="D2160">
        <v>0.97847410394231504</v>
      </c>
      <c r="E2160">
        <v>0.843342893506696</v>
      </c>
      <c r="F2160">
        <v>0.79543562041951099</v>
      </c>
      <c r="G2160">
        <v>0.70405295764341302</v>
      </c>
      <c r="H2160">
        <v>0.65389463196676201</v>
      </c>
      <c r="I2160">
        <v>0.66762147333794397</v>
      </c>
      <c r="J2160">
        <v>0.92681242424978105</v>
      </c>
      <c r="K2160">
        <v>0.83296800834693896</v>
      </c>
      <c r="L2160">
        <v>1129.51372343038</v>
      </c>
      <c r="M2160">
        <v>23.289416058422599</v>
      </c>
      <c r="O2160">
        <v>48.145708305163801</v>
      </c>
      <c r="P2160">
        <v>-2.92718067597998E-2</v>
      </c>
      <c r="Q2160">
        <v>0.75795252700409499</v>
      </c>
      <c r="R2160">
        <v>0.48619790304481503</v>
      </c>
      <c r="S2160" t="s">
        <v>6456</v>
      </c>
      <c r="T2160" t="s">
        <v>8590</v>
      </c>
      <c r="U2160" t="s">
        <v>8590</v>
      </c>
      <c r="V2160" t="s">
        <v>8590</v>
      </c>
      <c r="W2160">
        <v>8</v>
      </c>
      <c r="X2160" t="s">
        <v>10750</v>
      </c>
      <c r="Y2160">
        <v>0.82900646825064861</v>
      </c>
      <c r="Z2160" t="str">
        <f>HYPERLINK("Melting_Curves/meltCurve_sp_Q765P7_MTSSL_HUMAN_.pdf", "Melting_Curves/meltCurve_sp_Q765P7_MTSSL_HUMAN_.pdf")</f>
        <v>Melting_Curves/meltCurve_sp_Q765P7_MTSSL_HUMAN_.pdf</v>
      </c>
      <c r="AA2160" t="s">
        <v>15006</v>
      </c>
      <c r="AB2160" t="s">
        <v>19244</v>
      </c>
    </row>
    <row r="2161" spans="1:28" x14ac:dyDescent="0.25">
      <c r="A2161" t="s">
        <v>2165</v>
      </c>
      <c r="B2161">
        <v>0.99876560204751996</v>
      </c>
      <c r="C2161">
        <v>0.96924154868069301</v>
      </c>
      <c r="D2161">
        <v>1.05281992812406</v>
      </c>
      <c r="E2161">
        <v>0.92581316530939495</v>
      </c>
      <c r="F2161">
        <v>0.80801940755417001</v>
      </c>
      <c r="G2161">
        <v>0.39092012096636097</v>
      </c>
      <c r="H2161">
        <v>0.21591794984465401</v>
      </c>
      <c r="I2161">
        <v>0.29183140810395802</v>
      </c>
      <c r="J2161">
        <v>0.28653974303519297</v>
      </c>
      <c r="K2161">
        <v>0.29776338478652897</v>
      </c>
      <c r="L2161">
        <v>1990.39155222472</v>
      </c>
      <c r="M2161">
        <v>36.595748371633903</v>
      </c>
      <c r="N2161">
        <v>55.570285026896997</v>
      </c>
      <c r="O2161">
        <v>54.226959766298698</v>
      </c>
      <c r="P2161">
        <v>-0.123097666139447</v>
      </c>
      <c r="Q2161">
        <v>0.27038601103138599</v>
      </c>
      <c r="R2161">
        <v>0.989264143960364</v>
      </c>
      <c r="S2161" t="s">
        <v>6457</v>
      </c>
      <c r="T2161" t="s">
        <v>8590</v>
      </c>
      <c r="U2161" t="s">
        <v>8590</v>
      </c>
      <c r="V2161" t="s">
        <v>8590</v>
      </c>
      <c r="W2161">
        <v>1</v>
      </c>
      <c r="X2161" t="s">
        <v>10751</v>
      </c>
      <c r="Y2161">
        <v>0.62358878906868709</v>
      </c>
      <c r="Z2161" t="str">
        <f>HYPERLINK("Melting_Curves/meltCurve_sp_Q76FK4_3_NOL8_HUMAN_.pdf", "Melting_Curves/meltCurve_sp_Q76FK4_3_NOL8_HUMAN_.pdf")</f>
        <v>Melting_Curves/meltCurve_sp_Q76FK4_3_NOL8_HUMAN_.pdf</v>
      </c>
      <c r="AA2161" t="s">
        <v>15007</v>
      </c>
      <c r="AB2161" t="s">
        <v>19245</v>
      </c>
    </row>
    <row r="2162" spans="1:28" x14ac:dyDescent="0.25">
      <c r="A2162" t="s">
        <v>2166</v>
      </c>
      <c r="B2162">
        <v>0.99876560204751996</v>
      </c>
      <c r="C2162">
        <v>1.03332421801994</v>
      </c>
      <c r="D2162">
        <v>0.93025531105494297</v>
      </c>
      <c r="E2162">
        <v>0.69763653745083098</v>
      </c>
      <c r="F2162">
        <v>0.34135137182974601</v>
      </c>
      <c r="G2162">
        <v>0.209109243495855</v>
      </c>
      <c r="H2162">
        <v>0.14082410579061</v>
      </c>
      <c r="I2162">
        <v>0.13879516383691801</v>
      </c>
      <c r="J2162">
        <v>0.13956169071073701</v>
      </c>
      <c r="K2162">
        <v>0.111536298914981</v>
      </c>
      <c r="L2162">
        <v>1372.42754349902</v>
      </c>
      <c r="M2162">
        <v>26.907304482120701</v>
      </c>
      <c r="N2162">
        <v>51.596174189584197</v>
      </c>
      <c r="O2162">
        <v>50.7265321376955</v>
      </c>
      <c r="P2162">
        <v>-0.115038809536817</v>
      </c>
      <c r="Q2162">
        <v>0.13250901231253001</v>
      </c>
      <c r="R2162">
        <v>0.99697150930033396</v>
      </c>
      <c r="S2162" t="s">
        <v>6458</v>
      </c>
      <c r="T2162" t="s">
        <v>8590</v>
      </c>
      <c r="U2162" t="s">
        <v>8590</v>
      </c>
      <c r="V2162" t="s">
        <v>8590</v>
      </c>
      <c r="W2162">
        <v>15</v>
      </c>
      <c r="X2162" t="s">
        <v>10752</v>
      </c>
      <c r="Y2162">
        <v>0.45753279008200393</v>
      </c>
      <c r="Z2162" t="str">
        <f>HYPERLINK("Melting_Curves/meltCurve_sp_Q7KZ85_SPT6H_HUMAN_.pdf", "Melting_Curves/meltCurve_sp_Q7KZ85_SPT6H_HUMAN_.pdf")</f>
        <v>Melting_Curves/meltCurve_sp_Q7KZ85_SPT6H_HUMAN_.pdf</v>
      </c>
      <c r="AA2162" t="s">
        <v>15008</v>
      </c>
      <c r="AB2162" t="s">
        <v>19246</v>
      </c>
    </row>
    <row r="2163" spans="1:28" x14ac:dyDescent="0.25">
      <c r="A2163" t="s">
        <v>2167</v>
      </c>
      <c r="B2163">
        <v>0.99876560204751996</v>
      </c>
      <c r="C2163">
        <v>0.84487918094645598</v>
      </c>
      <c r="D2163">
        <v>0.54824287633475899</v>
      </c>
      <c r="E2163">
        <v>0.23220118956820199</v>
      </c>
      <c r="F2163">
        <v>0.103864133841893</v>
      </c>
      <c r="G2163">
        <v>6.6721735389804998E-2</v>
      </c>
      <c r="H2163">
        <v>4.9698753305342097E-2</v>
      </c>
      <c r="I2163">
        <v>3.7360396003739901E-2</v>
      </c>
      <c r="J2163">
        <v>3.8370901997400599E-2</v>
      </c>
      <c r="K2163">
        <v>3.1117859343737699E-2</v>
      </c>
      <c r="L2163">
        <v>946.96441893062899</v>
      </c>
      <c r="M2163">
        <v>20.413063824330099</v>
      </c>
      <c r="N2163">
        <v>46.572181601947499</v>
      </c>
      <c r="O2163">
        <v>45.951793952854899</v>
      </c>
      <c r="P2163">
        <v>-0.10680112702738701</v>
      </c>
      <c r="Q2163">
        <v>3.8349890859035701E-2</v>
      </c>
      <c r="R2163">
        <v>0.99857969161473303</v>
      </c>
      <c r="S2163" t="s">
        <v>6459</v>
      </c>
      <c r="T2163" t="s">
        <v>8590</v>
      </c>
      <c r="U2163" t="s">
        <v>8590</v>
      </c>
      <c r="V2163" t="s">
        <v>8590</v>
      </c>
      <c r="W2163">
        <v>34</v>
      </c>
      <c r="X2163" t="s">
        <v>10753</v>
      </c>
      <c r="Y2163">
        <v>0.25702953523234179</v>
      </c>
      <c r="Z2163" t="str">
        <f>HYPERLINK("Melting_Curves/meltCurve_sp_Q7KZF4_SND1_HUMAN_.pdf", "Melting_Curves/meltCurve_sp_Q7KZF4_SND1_HUMAN_.pdf")</f>
        <v>Melting_Curves/meltCurve_sp_Q7KZF4_SND1_HUMAN_.pdf</v>
      </c>
      <c r="AA2163" t="s">
        <v>15009</v>
      </c>
      <c r="AB2163" t="s">
        <v>19247</v>
      </c>
    </row>
    <row r="2164" spans="1:28" x14ac:dyDescent="0.25">
      <c r="A2164" t="s">
        <v>2168</v>
      </c>
      <c r="B2164">
        <v>0.99876560204751996</v>
      </c>
      <c r="C2164">
        <v>0.94580417824775798</v>
      </c>
      <c r="D2164">
        <v>0.98739163981435896</v>
      </c>
      <c r="E2164">
        <v>0.66686700897949502</v>
      </c>
      <c r="F2164">
        <v>0.82824715376993396</v>
      </c>
      <c r="G2164">
        <v>0.19264975444434501</v>
      </c>
      <c r="H2164">
        <v>0.25276539037316897</v>
      </c>
      <c r="I2164">
        <v>0.43512198267487201</v>
      </c>
      <c r="J2164">
        <v>0.210157515764996</v>
      </c>
      <c r="K2164">
        <v>0.24787268952507699</v>
      </c>
      <c r="L2164">
        <v>1090.91389697768</v>
      </c>
      <c r="M2164">
        <v>20.644902558821901</v>
      </c>
      <c r="N2164">
        <v>54.636629173634297</v>
      </c>
      <c r="O2164">
        <v>52.353511008630903</v>
      </c>
      <c r="P2164">
        <v>-7.4311664798906996E-2</v>
      </c>
      <c r="Q2164">
        <v>0.24623246796023099</v>
      </c>
      <c r="R2164">
        <v>0.86715810199385002</v>
      </c>
      <c r="S2164" t="s">
        <v>6460</v>
      </c>
      <c r="T2164" t="s">
        <v>8590</v>
      </c>
      <c r="U2164" t="s">
        <v>8590</v>
      </c>
      <c r="V2164" t="s">
        <v>8590</v>
      </c>
      <c r="W2164">
        <v>1</v>
      </c>
      <c r="X2164" t="s">
        <v>10754</v>
      </c>
      <c r="Y2164">
        <v>0.57871473844636567</v>
      </c>
      <c r="Z2164" t="str">
        <f>HYPERLINK("Melting_Curves/meltCurve_sp_Q7KZI7_12_MARK2_HUMAN_.pdf", "Melting_Curves/meltCurve_sp_Q7KZI7_12_MARK2_HUMAN_.pdf")</f>
        <v>Melting_Curves/meltCurve_sp_Q7KZI7_12_MARK2_HUMAN_.pdf</v>
      </c>
      <c r="AA2164" t="s">
        <v>15010</v>
      </c>
      <c r="AB2164" t="s">
        <v>19248</v>
      </c>
    </row>
    <row r="2165" spans="1:28" x14ac:dyDescent="0.25">
      <c r="A2165" t="s">
        <v>2169</v>
      </c>
      <c r="B2165">
        <v>0.99876560204751996</v>
      </c>
      <c r="C2165">
        <v>0.93040918019308405</v>
      </c>
      <c r="D2165">
        <v>0.77635734763965902</v>
      </c>
      <c r="E2165">
        <v>0.54107591014399803</v>
      </c>
      <c r="F2165">
        <v>0.429854224869199</v>
      </c>
      <c r="G2165">
        <v>0.29451793684226102</v>
      </c>
      <c r="H2165">
        <v>0.22680659860107799</v>
      </c>
      <c r="I2165">
        <v>0.19678752506967201</v>
      </c>
      <c r="J2165">
        <v>0.22380160177470201</v>
      </c>
      <c r="K2165">
        <v>0.18737004621140901</v>
      </c>
      <c r="L2165">
        <v>707.97397179886195</v>
      </c>
      <c r="M2165">
        <v>14.3326407102724</v>
      </c>
      <c r="N2165">
        <v>51.030697634937198</v>
      </c>
      <c r="O2165">
        <v>48.464180549653101</v>
      </c>
      <c r="P2165">
        <v>-6.03310102461573E-2</v>
      </c>
      <c r="Q2165">
        <v>0.184088925807286</v>
      </c>
      <c r="R2165">
        <v>0.99699128889747102</v>
      </c>
      <c r="S2165" t="s">
        <v>6461</v>
      </c>
      <c r="T2165" t="s">
        <v>8590</v>
      </c>
      <c r="U2165" t="s">
        <v>8590</v>
      </c>
      <c r="V2165" t="s">
        <v>8590</v>
      </c>
      <c r="W2165">
        <v>27</v>
      </c>
      <c r="X2165" t="s">
        <v>10755</v>
      </c>
      <c r="Y2165">
        <v>0.46119722767801802</v>
      </c>
      <c r="Z2165" t="str">
        <f>HYPERLINK("Melting_Curves/meltCurve_sp_Q7L014_DDX46_HUMAN_.pdf", "Melting_Curves/meltCurve_sp_Q7L014_DDX46_HUMAN_.pdf")</f>
        <v>Melting_Curves/meltCurve_sp_Q7L014_DDX46_HUMAN_.pdf</v>
      </c>
      <c r="AA2165" t="s">
        <v>15011</v>
      </c>
      <c r="AB2165" t="s">
        <v>19249</v>
      </c>
    </row>
    <row r="2166" spans="1:28" x14ac:dyDescent="0.25">
      <c r="A2166" t="s">
        <v>2170</v>
      </c>
      <c r="B2166">
        <v>0.99876560204751996</v>
      </c>
      <c r="C2166">
        <v>0.95570438962025095</v>
      </c>
      <c r="D2166">
        <v>0.97548361421373597</v>
      </c>
      <c r="E2166">
        <v>1.0942370931643099</v>
      </c>
      <c r="F2166">
        <v>1.0102831841758699</v>
      </c>
      <c r="G2166">
        <v>0.66270667737078004</v>
      </c>
      <c r="H2166">
        <v>0.57998808017033199</v>
      </c>
      <c r="I2166">
        <v>0.467116434123726</v>
      </c>
      <c r="J2166">
        <v>0.54272684598395604</v>
      </c>
      <c r="K2166">
        <v>0.80036601881272096</v>
      </c>
      <c r="L2166">
        <v>14156.283560980801</v>
      </c>
      <c r="M2166">
        <v>250</v>
      </c>
      <c r="O2166">
        <v>56.621526598183799</v>
      </c>
      <c r="P2166">
        <v>-0.44423339795150801</v>
      </c>
      <c r="Q2166">
        <v>0.59754934307765895</v>
      </c>
      <c r="R2166">
        <v>0.84426795787153797</v>
      </c>
      <c r="S2166" t="s">
        <v>6462</v>
      </c>
      <c r="T2166" t="s">
        <v>8590</v>
      </c>
      <c r="U2166" t="s">
        <v>8590</v>
      </c>
      <c r="V2166" t="s">
        <v>8590</v>
      </c>
      <c r="W2166">
        <v>9</v>
      </c>
      <c r="X2166" t="s">
        <v>10756</v>
      </c>
      <c r="Y2166">
        <v>0.82061587703606276</v>
      </c>
      <c r="Z2166" t="str">
        <f>HYPERLINK("Melting_Curves/meltCurve_sp_Q7L099_2_RUFY3_HUMAN_.pdf", "Melting_Curves/meltCurve_sp_Q7L099_2_RUFY3_HUMAN_.pdf")</f>
        <v>Melting_Curves/meltCurve_sp_Q7L099_2_RUFY3_HUMAN_.pdf</v>
      </c>
      <c r="AA2166" t="s">
        <v>15012</v>
      </c>
      <c r="AB2166" t="s">
        <v>19250</v>
      </c>
    </row>
    <row r="2167" spans="1:28" x14ac:dyDescent="0.25">
      <c r="A2167" t="s">
        <v>2171</v>
      </c>
      <c r="B2167">
        <v>0.99876560204751996</v>
      </c>
      <c r="C2167">
        <v>0.96640783416141296</v>
      </c>
      <c r="D2167">
        <v>0.89560549964863001</v>
      </c>
      <c r="E2167">
        <v>0.84018457572967897</v>
      </c>
      <c r="F2167">
        <v>0.73858853126588497</v>
      </c>
      <c r="G2167">
        <v>0.44078575985156998</v>
      </c>
      <c r="H2167">
        <v>0.149918596825072</v>
      </c>
      <c r="I2167">
        <v>0.13306266238756401</v>
      </c>
      <c r="J2167">
        <v>0.14374771823284499</v>
      </c>
      <c r="K2167">
        <v>9.4654229383103E-2</v>
      </c>
      <c r="L2167">
        <v>944.64109419101999</v>
      </c>
      <c r="M2167">
        <v>17.069374173827001</v>
      </c>
      <c r="N2167">
        <v>55.754040609695899</v>
      </c>
      <c r="O2167">
        <v>54.598467090340399</v>
      </c>
      <c r="P2167">
        <v>-7.3524076292844201E-2</v>
      </c>
      <c r="Q2167">
        <v>5.9354445492286398E-2</v>
      </c>
      <c r="R2167">
        <v>0.98790435165992896</v>
      </c>
      <c r="S2167" t="s">
        <v>6463</v>
      </c>
      <c r="T2167" t="s">
        <v>8590</v>
      </c>
      <c r="U2167" t="s">
        <v>8590</v>
      </c>
      <c r="V2167" t="s">
        <v>8590</v>
      </c>
      <c r="W2167">
        <v>8</v>
      </c>
      <c r="X2167" t="s">
        <v>10757</v>
      </c>
      <c r="Y2167">
        <v>0.5557052775283946</v>
      </c>
      <c r="Z2167" t="str">
        <f>HYPERLINK("Melting_Curves/meltCurve_sp_Q7L099_4_RUFY3_HUMAN_.pdf", "Melting_Curves/meltCurve_sp_Q7L099_4_RUFY3_HUMAN_.pdf")</f>
        <v>Melting_Curves/meltCurve_sp_Q7L099_4_RUFY3_HUMAN_.pdf</v>
      </c>
      <c r="AA2167" t="s">
        <v>15012</v>
      </c>
      <c r="AB2167" t="s">
        <v>19251</v>
      </c>
    </row>
    <row r="2168" spans="1:28" x14ac:dyDescent="0.25">
      <c r="A2168" t="s">
        <v>2172</v>
      </c>
      <c r="B2168">
        <v>0.99876560204751996</v>
      </c>
      <c r="C2168">
        <v>1.0294614724553699</v>
      </c>
      <c r="D2168">
        <v>0.79148776381300501</v>
      </c>
      <c r="E2168">
        <v>0.46255567928278501</v>
      </c>
      <c r="F2168">
        <v>0.17158206380220301</v>
      </c>
      <c r="G2168">
        <v>0.10767479557472601</v>
      </c>
      <c r="H2168">
        <v>8.1535320887192203E-2</v>
      </c>
      <c r="I2168">
        <v>6.0462066969483003E-2</v>
      </c>
      <c r="J2168">
        <v>6.4710595549912403E-2</v>
      </c>
      <c r="K2168">
        <v>4.87040131805472E-2</v>
      </c>
      <c r="L2168">
        <v>1126.3551940075499</v>
      </c>
      <c r="M2168">
        <v>22.952160275674501</v>
      </c>
      <c r="N2168">
        <v>49.342943749667199</v>
      </c>
      <c r="O2168">
        <v>48.706071278039097</v>
      </c>
      <c r="P2168">
        <v>-0.110885858377021</v>
      </c>
      <c r="Q2168">
        <v>5.8788000333883102E-2</v>
      </c>
      <c r="R2168">
        <v>0.99453816799425598</v>
      </c>
      <c r="S2168" t="s">
        <v>6464</v>
      </c>
      <c r="T2168" t="s">
        <v>8590</v>
      </c>
      <c r="U2168" t="s">
        <v>8590</v>
      </c>
      <c r="V2168" t="s">
        <v>8590</v>
      </c>
      <c r="W2168">
        <v>15</v>
      </c>
      <c r="X2168" t="s">
        <v>10758</v>
      </c>
      <c r="Y2168">
        <v>0.35342120017078982</v>
      </c>
      <c r="Z2168" t="str">
        <f>HYPERLINK("Melting_Curves/meltCurve_sp_Q7L0Y3_MRRP1_HUMAN_.pdf", "Melting_Curves/meltCurve_sp_Q7L0Y3_MRRP1_HUMAN_.pdf")</f>
        <v>Melting_Curves/meltCurve_sp_Q7L0Y3_MRRP1_HUMAN_.pdf</v>
      </c>
      <c r="AA2168" t="s">
        <v>15013</v>
      </c>
      <c r="AB2168" t="s">
        <v>19252</v>
      </c>
    </row>
    <row r="2169" spans="1:28" x14ac:dyDescent="0.25">
      <c r="A2169" t="s">
        <v>2173</v>
      </c>
      <c r="B2169">
        <v>0.99876560204751996</v>
      </c>
      <c r="C2169">
        <v>0.88350860919187901</v>
      </c>
      <c r="D2169">
        <v>0.97037412348569396</v>
      </c>
      <c r="E2169">
        <v>0.76368096564277799</v>
      </c>
      <c r="F2169">
        <v>0.27028337645639999</v>
      </c>
      <c r="G2169">
        <v>0.116816904141903</v>
      </c>
      <c r="H2169">
        <v>6.7267234946744595E-2</v>
      </c>
      <c r="I2169">
        <v>5.12091175481292E-2</v>
      </c>
      <c r="J2169">
        <v>5.7311954900349599E-2</v>
      </c>
      <c r="K2169">
        <v>4.2524495810824098E-2</v>
      </c>
      <c r="L2169">
        <v>1956.02880833783</v>
      </c>
      <c r="M2169">
        <v>38.079534807104402</v>
      </c>
      <c r="N2169">
        <v>51.541648114876999</v>
      </c>
      <c r="O2169">
        <v>51.225882104235502</v>
      </c>
      <c r="P2169">
        <v>-0.174589089504784</v>
      </c>
      <c r="Q2169">
        <v>6.0549715357379401E-2</v>
      </c>
      <c r="R2169">
        <v>0.99030232706432897</v>
      </c>
      <c r="S2169" t="s">
        <v>6465</v>
      </c>
      <c r="T2169" t="s">
        <v>8590</v>
      </c>
      <c r="U2169" t="s">
        <v>8590</v>
      </c>
      <c r="V2169" t="s">
        <v>8590</v>
      </c>
      <c r="W2169">
        <v>15</v>
      </c>
      <c r="X2169" t="s">
        <v>10759</v>
      </c>
      <c r="Y2169">
        <v>0.4201874165462619</v>
      </c>
      <c r="Z2169" t="str">
        <f>HYPERLINK("Melting_Curves/meltCurve_sp_Q7L1Q6_BZW1_HUMAN_.pdf", "Melting_Curves/meltCurve_sp_Q7L1Q6_BZW1_HUMAN_.pdf")</f>
        <v>Melting_Curves/meltCurve_sp_Q7L1Q6_BZW1_HUMAN_.pdf</v>
      </c>
      <c r="AA2169" t="s">
        <v>15014</v>
      </c>
      <c r="AB2169" t="s">
        <v>19253</v>
      </c>
    </row>
    <row r="2170" spans="1:28" x14ac:dyDescent="0.25">
      <c r="A2170" t="s">
        <v>2174</v>
      </c>
      <c r="B2170">
        <v>0.99876560204751996</v>
      </c>
      <c r="C2170">
        <v>0.90788087415741703</v>
      </c>
      <c r="D2170">
        <v>0.94637617839772104</v>
      </c>
      <c r="E2170">
        <v>0.84343026894159101</v>
      </c>
      <c r="F2170">
        <v>0.63105796822003501</v>
      </c>
      <c r="G2170">
        <v>0.43289363430065902</v>
      </c>
      <c r="H2170">
        <v>0.37020022394798102</v>
      </c>
      <c r="I2170">
        <v>0.27495153198756001</v>
      </c>
      <c r="J2170">
        <v>0.29739218837311499</v>
      </c>
      <c r="K2170">
        <v>0.26800539082851599</v>
      </c>
      <c r="L2170">
        <v>874.04953524819905</v>
      </c>
      <c r="M2170">
        <v>16.402897485633002</v>
      </c>
      <c r="N2170">
        <v>55.746507932784297</v>
      </c>
      <c r="O2170">
        <v>52.513175351276402</v>
      </c>
      <c r="P2170">
        <v>-5.7980032321743903E-2</v>
      </c>
      <c r="Q2170">
        <v>0.25757042685453801</v>
      </c>
      <c r="R2170">
        <v>0.98850058016213704</v>
      </c>
      <c r="S2170" t="s">
        <v>6466</v>
      </c>
      <c r="T2170" t="s">
        <v>8590</v>
      </c>
      <c r="U2170" t="s">
        <v>8590</v>
      </c>
      <c r="V2170" t="s">
        <v>8590</v>
      </c>
      <c r="W2170">
        <v>1</v>
      </c>
      <c r="X2170" t="s">
        <v>10760</v>
      </c>
      <c r="Y2170">
        <v>0.60028926327856913</v>
      </c>
      <c r="Z2170" t="str">
        <f>HYPERLINK("Melting_Curves/meltCurve_sp_Q7L266_ASGL1_HUMAN_.pdf", "Melting_Curves/meltCurve_sp_Q7L266_ASGL1_HUMAN_.pdf")</f>
        <v>Melting_Curves/meltCurve_sp_Q7L266_ASGL1_HUMAN_.pdf</v>
      </c>
      <c r="AA2170" t="s">
        <v>15015</v>
      </c>
      <c r="AB2170" t="s">
        <v>19254</v>
      </c>
    </row>
    <row r="2171" spans="1:28" x14ac:dyDescent="0.25">
      <c r="A2171" t="s">
        <v>2175</v>
      </c>
      <c r="B2171">
        <v>0.99876560204751996</v>
      </c>
      <c r="C2171">
        <v>0.96519805631556999</v>
      </c>
      <c r="D2171">
        <v>0.94937577492632297</v>
      </c>
      <c r="E2171">
        <v>0.87418797129075998</v>
      </c>
      <c r="F2171">
        <v>0.70067809229105504</v>
      </c>
      <c r="G2171">
        <v>0.50327868607439796</v>
      </c>
      <c r="H2171">
        <v>0.44820873529154898</v>
      </c>
      <c r="I2171">
        <v>0.39205372166700497</v>
      </c>
      <c r="J2171">
        <v>0.48464657311760601</v>
      </c>
      <c r="K2171">
        <v>0.54621674062052605</v>
      </c>
      <c r="L2171">
        <v>1401.9862160535699</v>
      </c>
      <c r="M2171">
        <v>26.8038191135105</v>
      </c>
      <c r="N2171">
        <v>57.9083558601478</v>
      </c>
      <c r="O2171">
        <v>52.016939656254898</v>
      </c>
      <c r="P2171">
        <v>-6.9227828334532601E-2</v>
      </c>
      <c r="Q2171">
        <v>0.46261658929380201</v>
      </c>
      <c r="R2171">
        <v>0.96813333610343599</v>
      </c>
      <c r="S2171" t="s">
        <v>6467</v>
      </c>
      <c r="T2171" t="s">
        <v>8590</v>
      </c>
      <c r="U2171" t="s">
        <v>8590</v>
      </c>
      <c r="V2171" t="s">
        <v>8590</v>
      </c>
      <c r="W2171">
        <v>6</v>
      </c>
      <c r="X2171" t="s">
        <v>10761</v>
      </c>
      <c r="Y2171">
        <v>0.68734364126191216</v>
      </c>
      <c r="Z2171" t="str">
        <f>HYPERLINK("Melting_Curves/meltCurve_sp_Q7L2J0_MEPCE_HUMAN_.pdf", "Melting_Curves/meltCurve_sp_Q7L2J0_MEPCE_HUMAN_.pdf")</f>
        <v>Melting_Curves/meltCurve_sp_Q7L2J0_MEPCE_HUMAN_.pdf</v>
      </c>
      <c r="AA2171" t="s">
        <v>15016</v>
      </c>
      <c r="AB2171" t="s">
        <v>19255</v>
      </c>
    </row>
    <row r="2172" spans="1:28" x14ac:dyDescent="0.25">
      <c r="A2172" t="s">
        <v>2176</v>
      </c>
      <c r="B2172">
        <v>0.99876560204751996</v>
      </c>
      <c r="C2172">
        <v>0.97524157401135403</v>
      </c>
      <c r="D2172">
        <v>0.80608401414882103</v>
      </c>
      <c r="E2172">
        <v>0.71179208202113897</v>
      </c>
      <c r="F2172">
        <v>0.45856321492091201</v>
      </c>
      <c r="G2172">
        <v>0.33506982317280298</v>
      </c>
      <c r="H2172">
        <v>0.21903426216233499</v>
      </c>
      <c r="I2172">
        <v>0.17026485713477499</v>
      </c>
      <c r="J2172">
        <v>0.122462527815402</v>
      </c>
      <c r="K2172">
        <v>9.2423237500790595E-2</v>
      </c>
      <c r="L2172">
        <v>629.61644728144904</v>
      </c>
      <c r="M2172">
        <v>11.999868069279801</v>
      </c>
      <c r="N2172">
        <v>53.049501937853201</v>
      </c>
      <c r="O2172">
        <v>51.075209742768898</v>
      </c>
      <c r="P2172">
        <v>-5.51334448339863E-2</v>
      </c>
      <c r="Q2172">
        <v>6.1565463653265803E-2</v>
      </c>
      <c r="R2172">
        <v>0.99245622855304005</v>
      </c>
      <c r="S2172" t="s">
        <v>6468</v>
      </c>
      <c r="T2172" t="s">
        <v>8590</v>
      </c>
      <c r="U2172" t="s">
        <v>8590</v>
      </c>
      <c r="V2172" t="s">
        <v>8590</v>
      </c>
      <c r="W2172">
        <v>5</v>
      </c>
      <c r="X2172" t="s">
        <v>10762</v>
      </c>
      <c r="Y2172">
        <v>0.47940004113476359</v>
      </c>
      <c r="Z2172" t="str">
        <f>HYPERLINK("Melting_Curves/meltCurve_sp_Q7L3T8_SYPM_HUMAN_.pdf", "Melting_Curves/meltCurve_sp_Q7L3T8_SYPM_HUMAN_.pdf")</f>
        <v>Melting_Curves/meltCurve_sp_Q7L3T8_SYPM_HUMAN_.pdf</v>
      </c>
      <c r="AA2172" t="s">
        <v>15017</v>
      </c>
      <c r="AB2172" t="s">
        <v>19256</v>
      </c>
    </row>
    <row r="2173" spans="1:28" x14ac:dyDescent="0.25">
      <c r="A2173" t="s">
        <v>2177</v>
      </c>
      <c r="B2173">
        <v>0.99876560204751996</v>
      </c>
      <c r="C2173">
        <v>0.95765205706160705</v>
      </c>
      <c r="D2173">
        <v>1.07476872834532</v>
      </c>
      <c r="E2173">
        <v>0.98012902845725502</v>
      </c>
      <c r="F2173">
        <v>1.1418901747311201</v>
      </c>
      <c r="G2173">
        <v>0.85487082225545696</v>
      </c>
      <c r="H2173">
        <v>0.84898673263904501</v>
      </c>
      <c r="I2173">
        <v>0.80768032457282801</v>
      </c>
      <c r="J2173">
        <v>0.94273250277239495</v>
      </c>
      <c r="K2173">
        <v>0.91251232155895101</v>
      </c>
      <c r="L2173">
        <v>6454.7970670694503</v>
      </c>
      <c r="M2173">
        <v>116.537973056534</v>
      </c>
      <c r="O2173">
        <v>55.371624548748102</v>
      </c>
      <c r="P2173">
        <v>-6.6948783727691405E-2</v>
      </c>
      <c r="Q2173">
        <v>0.87276034716685402</v>
      </c>
      <c r="R2173">
        <v>0.58739810560139205</v>
      </c>
      <c r="S2173" t="s">
        <v>6469</v>
      </c>
      <c r="T2173" t="s">
        <v>8590</v>
      </c>
      <c r="U2173" t="s">
        <v>8590</v>
      </c>
      <c r="V2173" t="s">
        <v>8590</v>
      </c>
      <c r="W2173">
        <v>3</v>
      </c>
      <c r="X2173" t="s">
        <v>10763</v>
      </c>
      <c r="Y2173">
        <v>0.93808247282863289</v>
      </c>
      <c r="Z2173" t="str">
        <f>HYPERLINK("Melting_Curves/meltCurve_sp_Q7L4I2_RSRC2_HUMAN_.pdf", "Melting_Curves/meltCurve_sp_Q7L4I2_RSRC2_HUMAN_.pdf")</f>
        <v>Melting_Curves/meltCurve_sp_Q7L4I2_RSRC2_HUMAN_.pdf</v>
      </c>
      <c r="AA2173" t="s">
        <v>15018</v>
      </c>
      <c r="AB2173" t="s">
        <v>19257</v>
      </c>
    </row>
    <row r="2174" spans="1:28" x14ac:dyDescent="0.25">
      <c r="A2174" t="s">
        <v>2178</v>
      </c>
      <c r="B2174">
        <v>0.99876560204751996</v>
      </c>
      <c r="C2174">
        <v>1.1256775678053501</v>
      </c>
      <c r="D2174">
        <v>1.0660548718184</v>
      </c>
      <c r="E2174">
        <v>0.96956211856901497</v>
      </c>
      <c r="F2174">
        <v>0.40100154172027003</v>
      </c>
      <c r="G2174">
        <v>0.117204788057236</v>
      </c>
      <c r="H2174">
        <v>7.1237372042612906E-2</v>
      </c>
      <c r="I2174">
        <v>5.1393742708592101E-2</v>
      </c>
      <c r="J2174">
        <v>3.8888093785272901E-2</v>
      </c>
      <c r="K2174">
        <v>3.5810231274736398E-2</v>
      </c>
      <c r="L2174">
        <v>3215.4519947788099</v>
      </c>
      <c r="M2174">
        <v>61.218313099795097</v>
      </c>
      <c r="N2174">
        <v>52.636017678757902</v>
      </c>
      <c r="O2174">
        <v>52.468387193614902</v>
      </c>
      <c r="P2174">
        <v>-0.27392800097127101</v>
      </c>
      <c r="Q2174">
        <v>6.08983341499841E-2</v>
      </c>
      <c r="R2174">
        <v>0.98884152156625904</v>
      </c>
      <c r="S2174" t="s">
        <v>6470</v>
      </c>
      <c r="T2174" t="s">
        <v>8590</v>
      </c>
      <c r="U2174" t="s">
        <v>8590</v>
      </c>
      <c r="V2174" t="s">
        <v>8590</v>
      </c>
      <c r="W2174">
        <v>18</v>
      </c>
      <c r="X2174" t="s">
        <v>10764</v>
      </c>
      <c r="Y2174">
        <v>0.45440156902235029</v>
      </c>
      <c r="Z2174" t="str">
        <f>HYPERLINK("Melting_Curves/meltCurve_sp_Q7L576_CYFP1_HUMAN_.pdf", "Melting_Curves/meltCurve_sp_Q7L576_CYFP1_HUMAN_.pdf")</f>
        <v>Melting_Curves/meltCurve_sp_Q7L576_CYFP1_HUMAN_.pdf</v>
      </c>
      <c r="AA2174" t="s">
        <v>15019</v>
      </c>
      <c r="AB2174" t="s">
        <v>19258</v>
      </c>
    </row>
    <row r="2175" spans="1:28" x14ac:dyDescent="0.25">
      <c r="A2175" t="s">
        <v>2179</v>
      </c>
      <c r="B2175">
        <v>0.99876560204751996</v>
      </c>
      <c r="C2175">
        <v>0.91551720530431702</v>
      </c>
      <c r="D2175">
        <v>0.91771816762727099</v>
      </c>
      <c r="E2175">
        <v>0.65184116797963398</v>
      </c>
      <c r="F2175">
        <v>0.17473429807047899</v>
      </c>
      <c r="G2175">
        <v>0.11337410500110499</v>
      </c>
      <c r="H2175">
        <v>5.8339908991403198E-2</v>
      </c>
      <c r="I2175">
        <v>5.08464492021918E-2</v>
      </c>
      <c r="J2175">
        <v>4.1879338526176903E-2</v>
      </c>
      <c r="K2175">
        <v>2.8291460022097401E-2</v>
      </c>
      <c r="L2175">
        <v>1842.3035950461101</v>
      </c>
      <c r="M2175">
        <v>36.394703454490099</v>
      </c>
      <c r="N2175">
        <v>50.76961556493</v>
      </c>
      <c r="O2175">
        <v>50.468002686243899</v>
      </c>
      <c r="P2175">
        <v>-0.171123335154272</v>
      </c>
      <c r="Q2175">
        <v>5.0825973548139898E-2</v>
      </c>
      <c r="R2175">
        <v>0.99088291182642196</v>
      </c>
      <c r="S2175" t="s">
        <v>6471</v>
      </c>
      <c r="T2175" t="s">
        <v>8590</v>
      </c>
      <c r="U2175" t="s">
        <v>8590</v>
      </c>
      <c r="V2175" t="s">
        <v>8590</v>
      </c>
      <c r="W2175">
        <v>5</v>
      </c>
      <c r="X2175" t="s">
        <v>10765</v>
      </c>
      <c r="Y2175">
        <v>0.39085501165984371</v>
      </c>
      <c r="Z2175" t="str">
        <f>HYPERLINK("Melting_Curves/meltCurve_sp_Q7L592_NDUF7_HUMAN_.pdf", "Melting_Curves/meltCurve_sp_Q7L592_NDUF7_HUMAN_.pdf")</f>
        <v>Melting_Curves/meltCurve_sp_Q7L592_NDUF7_HUMAN_.pdf</v>
      </c>
      <c r="AA2175" t="s">
        <v>15020</v>
      </c>
      <c r="AB2175" t="s">
        <v>19259</v>
      </c>
    </row>
    <row r="2176" spans="1:28" x14ac:dyDescent="0.25">
      <c r="A2176" t="s">
        <v>2180</v>
      </c>
      <c r="B2176">
        <v>0.99876560204751996</v>
      </c>
      <c r="C2176">
        <v>0.788572593331067</v>
      </c>
      <c r="D2176">
        <v>0.78778199909412905</v>
      </c>
      <c r="E2176">
        <v>0.54367211523485204</v>
      </c>
      <c r="F2176">
        <v>0.41167914378273701</v>
      </c>
      <c r="G2176">
        <v>0.23071043289545301</v>
      </c>
      <c r="H2176">
        <v>0.15936822271496001</v>
      </c>
      <c r="I2176">
        <v>0.11826206098752901</v>
      </c>
      <c r="J2176">
        <v>0.13758773413999001</v>
      </c>
      <c r="K2176">
        <v>8.18128850718437E-2</v>
      </c>
      <c r="L2176">
        <v>548.33385816718101</v>
      </c>
      <c r="M2176">
        <v>10.885901148607299</v>
      </c>
      <c r="N2176">
        <v>50.805668302762598</v>
      </c>
      <c r="O2176">
        <v>48.760619423655598</v>
      </c>
      <c r="P2176">
        <v>-5.3350077817125197E-2</v>
      </c>
      <c r="Q2176">
        <v>4.4463302555225202E-2</v>
      </c>
      <c r="R2176">
        <v>0.98623967300151005</v>
      </c>
      <c r="S2176" t="s">
        <v>6472</v>
      </c>
      <c r="T2176" t="s">
        <v>8590</v>
      </c>
      <c r="U2176" t="s">
        <v>8590</v>
      </c>
      <c r="V2176" t="s">
        <v>8590</v>
      </c>
      <c r="W2176">
        <v>2</v>
      </c>
      <c r="X2176" t="s">
        <v>10766</v>
      </c>
      <c r="Y2176">
        <v>0.41211367729179588</v>
      </c>
      <c r="Z2176" t="str">
        <f>HYPERLINK("Melting_Curves/meltCurve_sp_Q7L5D6_GET4_HUMAN_.pdf", "Melting_Curves/meltCurve_sp_Q7L5D6_GET4_HUMAN_.pdf")</f>
        <v>Melting_Curves/meltCurve_sp_Q7L5D6_GET4_HUMAN_.pdf</v>
      </c>
      <c r="AA2176" t="s">
        <v>15021</v>
      </c>
      <c r="AB2176" t="s">
        <v>19260</v>
      </c>
    </row>
    <row r="2177" spans="1:28" x14ac:dyDescent="0.25">
      <c r="A2177" t="s">
        <v>2181</v>
      </c>
      <c r="B2177">
        <v>0.99876560204751996</v>
      </c>
      <c r="C2177">
        <v>0.94768609696736195</v>
      </c>
      <c r="D2177">
        <v>0.93948624609883802</v>
      </c>
      <c r="E2177">
        <v>0.90590993908633399</v>
      </c>
      <c r="F2177">
        <v>0.60546479356444305</v>
      </c>
      <c r="G2177">
        <v>0.27549957852447599</v>
      </c>
      <c r="H2177">
        <v>9.5987973613759894E-2</v>
      </c>
      <c r="I2177">
        <v>6.2358058067122503E-2</v>
      </c>
      <c r="J2177">
        <v>4.8223171329957598E-2</v>
      </c>
      <c r="K2177">
        <v>3.5658364780127301E-2</v>
      </c>
      <c r="L2177">
        <v>1228.9588914753499</v>
      </c>
      <c r="M2177">
        <v>22.7222088058958</v>
      </c>
      <c r="N2177">
        <v>54.2511559189048</v>
      </c>
      <c r="O2177">
        <v>53.672543302642502</v>
      </c>
      <c r="P2177">
        <v>-0.102307435489693</v>
      </c>
      <c r="Q2177">
        <v>3.3369960526049403E-2</v>
      </c>
      <c r="R2177">
        <v>0.99615226887618502</v>
      </c>
      <c r="S2177" t="s">
        <v>6473</v>
      </c>
      <c r="T2177" t="s">
        <v>8590</v>
      </c>
      <c r="U2177" t="s">
        <v>8590</v>
      </c>
      <c r="V2177" t="s">
        <v>8590</v>
      </c>
      <c r="W2177">
        <v>21</v>
      </c>
      <c r="X2177" t="s">
        <v>10767</v>
      </c>
      <c r="Y2177">
        <v>0.49784438589356622</v>
      </c>
      <c r="Z2177" t="str">
        <f>HYPERLINK("Melting_Curves/meltCurve_sp_Q7L5Y1_ENOF1_HUMAN_.pdf", "Melting_Curves/meltCurve_sp_Q7L5Y1_ENOF1_HUMAN_.pdf")</f>
        <v>Melting_Curves/meltCurve_sp_Q7L5Y1_ENOF1_HUMAN_.pdf</v>
      </c>
      <c r="AA2177" t="s">
        <v>15022</v>
      </c>
      <c r="AB2177" t="s">
        <v>19261</v>
      </c>
    </row>
    <row r="2178" spans="1:28" x14ac:dyDescent="0.25">
      <c r="A2178" t="s">
        <v>2182</v>
      </c>
      <c r="B2178">
        <v>0.99876560204751996</v>
      </c>
      <c r="C2178">
        <v>0.91429016195922197</v>
      </c>
      <c r="D2178">
        <v>0.744118863798926</v>
      </c>
      <c r="E2178">
        <v>0.79942227584109504</v>
      </c>
      <c r="F2178">
        <v>0.46509077457477299</v>
      </c>
      <c r="G2178">
        <v>0.20222670231382001</v>
      </c>
      <c r="H2178">
        <v>9.6558283828894795E-2</v>
      </c>
      <c r="I2178">
        <v>9.1055548144893805E-2</v>
      </c>
      <c r="J2178">
        <v>9.1012726421756202E-2</v>
      </c>
      <c r="K2178">
        <v>7.7813590850881006E-2</v>
      </c>
      <c r="L2178">
        <v>742.345810858498</v>
      </c>
      <c r="M2178">
        <v>14.181218510745</v>
      </c>
      <c r="N2178">
        <v>52.5171924500616</v>
      </c>
      <c r="O2178">
        <v>51.339200915816399</v>
      </c>
      <c r="P2178">
        <v>-6.7515083044772495E-2</v>
      </c>
      <c r="Q2178">
        <v>2.2444281548716201E-2</v>
      </c>
      <c r="R2178">
        <v>0.96662110997090001</v>
      </c>
      <c r="S2178" t="s">
        <v>6474</v>
      </c>
      <c r="T2178" t="s">
        <v>8590</v>
      </c>
      <c r="U2178" t="s">
        <v>8590</v>
      </c>
      <c r="V2178" t="s">
        <v>8590</v>
      </c>
      <c r="W2178">
        <v>11</v>
      </c>
      <c r="X2178" t="s">
        <v>10768</v>
      </c>
      <c r="Y2178">
        <v>0.44819305067458559</v>
      </c>
      <c r="Z2178" t="str">
        <f>HYPERLINK("Melting_Curves/meltCurve_sp_Q7L775_EPMIP_HUMAN_.pdf", "Melting_Curves/meltCurve_sp_Q7L775_EPMIP_HUMAN_.pdf")</f>
        <v>Melting_Curves/meltCurve_sp_Q7L775_EPMIP_HUMAN_.pdf</v>
      </c>
      <c r="AA2178" t="s">
        <v>15023</v>
      </c>
      <c r="AB2178" t="s">
        <v>19262</v>
      </c>
    </row>
    <row r="2179" spans="1:28" x14ac:dyDescent="0.25">
      <c r="A2179" t="s">
        <v>2183</v>
      </c>
      <c r="B2179">
        <v>0.99876560204751996</v>
      </c>
      <c r="C2179">
        <v>0.89602360287153304</v>
      </c>
      <c r="D2179">
        <v>0.83464313141525603</v>
      </c>
      <c r="E2179">
        <v>0.59343442766520604</v>
      </c>
      <c r="F2179">
        <v>0.25529577808979598</v>
      </c>
      <c r="G2179">
        <v>0.16946828494503499</v>
      </c>
      <c r="H2179">
        <v>0.11058552994779</v>
      </c>
      <c r="I2179">
        <v>7.7182827036854806E-2</v>
      </c>
      <c r="J2179">
        <v>5.5238342937856198E-2</v>
      </c>
      <c r="K2179">
        <v>8.3524822076321698E-2</v>
      </c>
      <c r="L2179">
        <v>895.27402078468106</v>
      </c>
      <c r="M2179">
        <v>17.877295000719599</v>
      </c>
      <c r="N2179">
        <v>50.4475906528317</v>
      </c>
      <c r="O2179">
        <v>49.464813678689303</v>
      </c>
      <c r="P2179">
        <v>-8.4823695315552505E-2</v>
      </c>
      <c r="Q2179">
        <v>6.1250250950392798E-2</v>
      </c>
      <c r="R2179">
        <v>0.99134538118078996</v>
      </c>
      <c r="S2179" t="s">
        <v>6475</v>
      </c>
      <c r="T2179" t="s">
        <v>8590</v>
      </c>
      <c r="U2179" t="s">
        <v>8590</v>
      </c>
      <c r="V2179" t="s">
        <v>8590</v>
      </c>
      <c r="W2179">
        <v>3</v>
      </c>
      <c r="X2179" t="s">
        <v>10769</v>
      </c>
      <c r="Y2179">
        <v>0.39283427907617358</v>
      </c>
      <c r="Z2179" t="str">
        <f>HYPERLINK("Melting_Curves/meltCurve_sp_Q7L8L6_FAKD5_HUMAN_.pdf", "Melting_Curves/meltCurve_sp_Q7L8L6_FAKD5_HUMAN_.pdf")</f>
        <v>Melting_Curves/meltCurve_sp_Q7L8L6_FAKD5_HUMAN_.pdf</v>
      </c>
      <c r="AA2179" t="s">
        <v>15024</v>
      </c>
      <c r="AB2179" t="s">
        <v>19263</v>
      </c>
    </row>
    <row r="2180" spans="1:28" x14ac:dyDescent="0.25">
      <c r="A2180" t="s">
        <v>2184</v>
      </c>
      <c r="B2180">
        <v>0.99876560204751996</v>
      </c>
      <c r="C2180">
        <v>0.93569981541070202</v>
      </c>
      <c r="D2180">
        <v>0.72605613038991601</v>
      </c>
      <c r="E2180">
        <v>0.474977888365687</v>
      </c>
      <c r="F2180">
        <v>0.30076225958172198</v>
      </c>
      <c r="G2180">
        <v>0.15958438701932001</v>
      </c>
      <c r="H2180">
        <v>7.86844782970572E-2</v>
      </c>
      <c r="I2180">
        <v>7.2031835750008294E-2</v>
      </c>
      <c r="J2180">
        <v>7.3244811772494603E-2</v>
      </c>
      <c r="K2180">
        <v>6.3191273222521605E-2</v>
      </c>
      <c r="L2180">
        <v>750.68287338091898</v>
      </c>
      <c r="M2180">
        <v>15.2461093669829</v>
      </c>
      <c r="N2180">
        <v>49.5741095685948</v>
      </c>
      <c r="O2180">
        <v>48.4138882339887</v>
      </c>
      <c r="P2180">
        <v>-7.4865716784807898E-2</v>
      </c>
      <c r="Q2180">
        <v>4.91483599906734E-2</v>
      </c>
      <c r="R2180">
        <v>0.99763880202896804</v>
      </c>
      <c r="S2180" t="s">
        <v>6476</v>
      </c>
      <c r="T2180" t="s">
        <v>8590</v>
      </c>
      <c r="U2180" t="s">
        <v>8590</v>
      </c>
      <c r="V2180" t="s">
        <v>8590</v>
      </c>
      <c r="W2180">
        <v>6</v>
      </c>
      <c r="X2180" t="s">
        <v>10770</v>
      </c>
      <c r="Y2180">
        <v>0.36450745549063662</v>
      </c>
      <c r="Z2180" t="str">
        <f>HYPERLINK("Melting_Curves/meltCurve_sp_Q7LBC6_KDM3B_HUMAN_.pdf", "Melting_Curves/meltCurve_sp_Q7LBC6_KDM3B_HUMAN_.pdf")</f>
        <v>Melting_Curves/meltCurve_sp_Q7LBC6_KDM3B_HUMAN_.pdf</v>
      </c>
      <c r="AA2180" t="s">
        <v>15025</v>
      </c>
      <c r="AB2180" t="s">
        <v>19264</v>
      </c>
    </row>
    <row r="2181" spans="1:28" x14ac:dyDescent="0.25">
      <c r="A2181" t="s">
        <v>2185</v>
      </c>
      <c r="B2181">
        <v>0.99876560204751996</v>
      </c>
      <c r="C2181">
        <v>1.0510254822077001</v>
      </c>
      <c r="D2181">
        <v>1.05132063737096</v>
      </c>
      <c r="E2181">
        <v>0.89295201973351401</v>
      </c>
      <c r="F2181">
        <v>0.72362432629635998</v>
      </c>
      <c r="G2181">
        <v>0.50262177614076897</v>
      </c>
      <c r="H2181">
        <v>0.244708300047174</v>
      </c>
      <c r="I2181">
        <v>0.20392589276963799</v>
      </c>
      <c r="J2181">
        <v>0.234031379615217</v>
      </c>
      <c r="K2181">
        <v>0.17415159058794799</v>
      </c>
      <c r="L2181">
        <v>1094.4038698612501</v>
      </c>
      <c r="M2181">
        <v>19.817946171586598</v>
      </c>
      <c r="N2181">
        <v>56.410728621734997</v>
      </c>
      <c r="O2181">
        <v>54.669828012707598</v>
      </c>
      <c r="P2181">
        <v>-7.5168115379131095E-2</v>
      </c>
      <c r="Q2181">
        <v>0.17059253620894399</v>
      </c>
      <c r="R2181">
        <v>0.98974431042648703</v>
      </c>
      <c r="S2181" t="s">
        <v>6477</v>
      </c>
      <c r="T2181" t="s">
        <v>8590</v>
      </c>
      <c r="U2181" t="s">
        <v>8590</v>
      </c>
      <c r="V2181" t="s">
        <v>8590</v>
      </c>
      <c r="W2181">
        <v>2</v>
      </c>
      <c r="X2181" t="s">
        <v>10771</v>
      </c>
      <c r="Y2181">
        <v>0.60258147008722007</v>
      </c>
      <c r="Z2181" t="str">
        <f>HYPERLINK("Melting_Curves/meltCurve_sp_Q7LBR1_CHM1B_HUMAN_.pdf", "Melting_Curves/meltCurve_sp_Q7LBR1_CHM1B_HUMAN_.pdf")</f>
        <v>Melting_Curves/meltCurve_sp_Q7LBR1_CHM1B_HUMAN_.pdf</v>
      </c>
      <c r="AA2181" t="s">
        <v>15026</v>
      </c>
      <c r="AB2181" t="s">
        <v>19265</v>
      </c>
    </row>
    <row r="2182" spans="1:28" x14ac:dyDescent="0.25">
      <c r="A2182" t="s">
        <v>2186</v>
      </c>
      <c r="B2182">
        <v>0.99876560204751996</v>
      </c>
      <c r="C2182">
        <v>0.99918465629628295</v>
      </c>
      <c r="D2182">
        <v>0.98724715371060801</v>
      </c>
      <c r="E2182">
        <v>0.96841448795798402</v>
      </c>
      <c r="F2182">
        <v>1.0044928113893601</v>
      </c>
      <c r="G2182">
        <v>0.75494023916078801</v>
      </c>
      <c r="H2182">
        <v>0.66210801693527199</v>
      </c>
      <c r="I2182">
        <v>0.60960462067568</v>
      </c>
      <c r="J2182">
        <v>0.68708174691010204</v>
      </c>
      <c r="K2182">
        <v>0.470382111761392</v>
      </c>
      <c r="L2182">
        <v>1540.7326701301299</v>
      </c>
      <c r="M2182">
        <v>27.028728653769502</v>
      </c>
      <c r="O2182">
        <v>56.694226623013499</v>
      </c>
      <c r="P2182">
        <v>-5.0037959230567003E-2</v>
      </c>
      <c r="Q2182">
        <v>0.58017479146539697</v>
      </c>
      <c r="R2182">
        <v>0.92309524290837497</v>
      </c>
      <c r="S2182" t="s">
        <v>6478</v>
      </c>
      <c r="T2182" t="s">
        <v>8590</v>
      </c>
      <c r="U2182" t="s">
        <v>8590</v>
      </c>
      <c r="V2182" t="s">
        <v>8590</v>
      </c>
      <c r="W2182">
        <v>8</v>
      </c>
      <c r="X2182" t="s">
        <v>10772</v>
      </c>
      <c r="Y2182">
        <v>0.82146386739469779</v>
      </c>
      <c r="Z2182" t="str">
        <f>HYPERLINK("Melting_Curves/meltCurve_sp_Q7LG56_RIR2B_HUMAN_.pdf", "Melting_Curves/meltCurve_sp_Q7LG56_RIR2B_HUMAN_.pdf")</f>
        <v>Melting_Curves/meltCurve_sp_Q7LG56_RIR2B_HUMAN_.pdf</v>
      </c>
      <c r="AA2182" t="s">
        <v>15027</v>
      </c>
      <c r="AB2182" t="s">
        <v>19266</v>
      </c>
    </row>
    <row r="2183" spans="1:28" x14ac:dyDescent="0.25">
      <c r="A2183" t="s">
        <v>2187</v>
      </c>
      <c r="B2183">
        <v>0.99876560204751996</v>
      </c>
      <c r="C2183">
        <v>0.93862666935254202</v>
      </c>
      <c r="D2183">
        <v>0.98536206475392896</v>
      </c>
      <c r="E2183">
        <v>0.85184279367632698</v>
      </c>
      <c r="F2183">
        <v>0.81728038478209797</v>
      </c>
      <c r="G2183">
        <v>0.64054856363961099</v>
      </c>
      <c r="H2183">
        <v>0.53415224713807097</v>
      </c>
      <c r="I2183">
        <v>0.53454463820214004</v>
      </c>
      <c r="J2183">
        <v>0.66005817126557198</v>
      </c>
      <c r="K2183">
        <v>0.63064013696296195</v>
      </c>
      <c r="L2183">
        <v>1104.15310248735</v>
      </c>
      <c r="M2183">
        <v>21.070633660258501</v>
      </c>
      <c r="O2183">
        <v>51.937321293032703</v>
      </c>
      <c r="P2183">
        <v>-4.2135153917576398E-2</v>
      </c>
      <c r="Q2183">
        <v>0.584572817315829</v>
      </c>
      <c r="R2183">
        <v>0.922621080771441</v>
      </c>
      <c r="S2183" t="s">
        <v>6479</v>
      </c>
      <c r="T2183" t="s">
        <v>8590</v>
      </c>
      <c r="U2183" t="s">
        <v>8590</v>
      </c>
      <c r="V2183" t="s">
        <v>8590</v>
      </c>
      <c r="W2183">
        <v>14</v>
      </c>
      <c r="X2183" t="s">
        <v>10773</v>
      </c>
      <c r="Y2183">
        <v>0.76154605971219058</v>
      </c>
      <c r="Z2183" t="str">
        <f>HYPERLINK("Melting_Curves/meltCurve_sp_Q7RTP6_MICA3_HUMAN_.pdf", "Melting_Curves/meltCurve_sp_Q7RTP6_MICA3_HUMAN_.pdf")</f>
        <v>Melting_Curves/meltCurve_sp_Q7RTP6_MICA3_HUMAN_.pdf</v>
      </c>
      <c r="AA2183" t="s">
        <v>15028</v>
      </c>
      <c r="AB2183" t="s">
        <v>19267</v>
      </c>
    </row>
    <row r="2184" spans="1:28" x14ac:dyDescent="0.25">
      <c r="A2184" t="s">
        <v>2188</v>
      </c>
      <c r="B2184">
        <v>0.99876560204751996</v>
      </c>
      <c r="C2184">
        <v>0.90604861666861602</v>
      </c>
      <c r="D2184">
        <v>0.93595361235163299</v>
      </c>
      <c r="E2184">
        <v>0.81106046428363399</v>
      </c>
      <c r="F2184">
        <v>0.89767192049003697</v>
      </c>
      <c r="G2184">
        <v>0.71960021040655997</v>
      </c>
      <c r="H2184">
        <v>0.66909000270686603</v>
      </c>
      <c r="I2184">
        <v>0.80393786235404097</v>
      </c>
      <c r="J2184">
        <v>1.05658194603904</v>
      </c>
      <c r="K2184">
        <v>1.05995158142609</v>
      </c>
      <c r="L2184">
        <v>1040.70351522639</v>
      </c>
      <c r="M2184">
        <v>24.173988141832201</v>
      </c>
      <c r="O2184">
        <v>42.7591999793868</v>
      </c>
      <c r="P2184">
        <v>-1.9335728376871999E-2</v>
      </c>
      <c r="Q2184">
        <v>0.86319717290194797</v>
      </c>
      <c r="R2184">
        <v>0.100685621194607</v>
      </c>
      <c r="S2184" t="s">
        <v>6480</v>
      </c>
      <c r="T2184" t="s">
        <v>8590</v>
      </c>
      <c r="U2184" t="s">
        <v>8590</v>
      </c>
      <c r="V2184" t="s">
        <v>8590</v>
      </c>
      <c r="W2184">
        <v>7</v>
      </c>
      <c r="X2184" t="s">
        <v>10774</v>
      </c>
      <c r="Y2184">
        <v>0.8791947566671533</v>
      </c>
      <c r="Z2184" t="str">
        <f>HYPERLINK("Melting_Curves/meltCurve_sp_Q7RTV0_PHF5A_HUMAN_.pdf", "Melting_Curves/meltCurve_sp_Q7RTV0_PHF5A_HUMAN_.pdf")</f>
        <v>Melting_Curves/meltCurve_sp_Q7RTV0_PHF5A_HUMAN_.pdf</v>
      </c>
      <c r="AA2184" t="s">
        <v>15029</v>
      </c>
      <c r="AB2184" t="s">
        <v>19268</v>
      </c>
    </row>
    <row r="2185" spans="1:28" x14ac:dyDescent="0.25">
      <c r="A2185" t="s">
        <v>2189</v>
      </c>
      <c r="B2185">
        <v>0.99876560204751996</v>
      </c>
      <c r="C2185">
        <v>0.83957475104128898</v>
      </c>
      <c r="D2185">
        <v>0.58293056647730701</v>
      </c>
      <c r="E2185">
        <v>0.34771394404605699</v>
      </c>
      <c r="F2185">
        <v>0.227309802982533</v>
      </c>
      <c r="G2185">
        <v>0.172124648831601</v>
      </c>
      <c r="H2185">
        <v>0.131453310006129</v>
      </c>
      <c r="I2185">
        <v>0.129380723572771</v>
      </c>
      <c r="J2185">
        <v>0.142966232788689</v>
      </c>
      <c r="K2185">
        <v>0.140132581182073</v>
      </c>
      <c r="L2185">
        <v>826.89131922106299</v>
      </c>
      <c r="M2185">
        <v>17.788140070004999</v>
      </c>
      <c r="N2185">
        <v>47.318100665739102</v>
      </c>
      <c r="O2185">
        <v>45.909986339596898</v>
      </c>
      <c r="P2185">
        <v>-8.38530781208328E-2</v>
      </c>
      <c r="Q2185">
        <v>0.13436833782920901</v>
      </c>
      <c r="R2185">
        <v>0.99627332923113299</v>
      </c>
      <c r="S2185" t="s">
        <v>6481</v>
      </c>
      <c r="T2185" t="s">
        <v>8590</v>
      </c>
      <c r="U2185" t="s">
        <v>8590</v>
      </c>
      <c r="V2185" t="s">
        <v>8590</v>
      </c>
      <c r="W2185">
        <v>16</v>
      </c>
      <c r="X2185" t="s">
        <v>10775</v>
      </c>
      <c r="Y2185">
        <v>0.33837327180987842</v>
      </c>
      <c r="Z2185" t="str">
        <f>HYPERLINK("Melting_Curves/meltCurve_sp_Q7Z2W4_ZCCHV_HUMAN_.pdf", "Melting_Curves/meltCurve_sp_Q7Z2W4_ZCCHV_HUMAN_.pdf")</f>
        <v>Melting_Curves/meltCurve_sp_Q7Z2W4_ZCCHV_HUMAN_.pdf</v>
      </c>
      <c r="AA2185" t="s">
        <v>15030</v>
      </c>
      <c r="AB2185" t="s">
        <v>19269</v>
      </c>
    </row>
    <row r="2186" spans="1:28" x14ac:dyDescent="0.25">
      <c r="A2186" t="s">
        <v>2190</v>
      </c>
      <c r="B2186">
        <v>0.99876560204751996</v>
      </c>
      <c r="C2186">
        <v>0.96239940247679201</v>
      </c>
      <c r="D2186">
        <v>0.87017777735259005</v>
      </c>
      <c r="E2186">
        <v>0.66190129144056298</v>
      </c>
      <c r="F2186">
        <v>0.34199513076302901</v>
      </c>
      <c r="G2186">
        <v>0.16292258149838901</v>
      </c>
      <c r="H2186">
        <v>9.4531741950399595E-2</v>
      </c>
      <c r="I2186">
        <v>9.1183378594495407E-2</v>
      </c>
      <c r="J2186">
        <v>9.0159728413388707E-2</v>
      </c>
      <c r="K2186">
        <v>8.78683500126409E-2</v>
      </c>
      <c r="L2186">
        <v>1041.9600051314801</v>
      </c>
      <c r="M2186">
        <v>20.4563844157984</v>
      </c>
      <c r="N2186">
        <v>51.343812427561502</v>
      </c>
      <c r="O2186">
        <v>50.456421887869098</v>
      </c>
      <c r="P2186">
        <v>-9.3754026882290203E-2</v>
      </c>
      <c r="Q2186">
        <v>7.5036566230284193E-2</v>
      </c>
      <c r="R2186">
        <v>0.99726276550256898</v>
      </c>
      <c r="S2186" t="s">
        <v>6482</v>
      </c>
      <c r="T2186" t="s">
        <v>8590</v>
      </c>
      <c r="U2186" t="s">
        <v>8590</v>
      </c>
      <c r="V2186" t="s">
        <v>8590</v>
      </c>
      <c r="W2186">
        <v>12</v>
      </c>
      <c r="X2186" t="s">
        <v>10776</v>
      </c>
      <c r="Y2186">
        <v>0.42451468086184879</v>
      </c>
      <c r="Z2186" t="str">
        <f>HYPERLINK("Melting_Curves/meltCurve_sp_Q7Z2Z2_ETUD1_HUMAN_.pdf", "Melting_Curves/meltCurve_sp_Q7Z2Z2_ETUD1_HUMAN_.pdf")</f>
        <v>Melting_Curves/meltCurve_sp_Q7Z2Z2_ETUD1_HUMAN_.pdf</v>
      </c>
      <c r="AA2186" t="s">
        <v>15031</v>
      </c>
      <c r="AB2186" t="s">
        <v>19270</v>
      </c>
    </row>
    <row r="2187" spans="1:28" x14ac:dyDescent="0.25">
      <c r="A2187" t="s">
        <v>2191</v>
      </c>
      <c r="B2187">
        <v>0.99876560204751996</v>
      </c>
      <c r="C2187">
        <v>1.0853851708691</v>
      </c>
      <c r="D2187">
        <v>0.95049417195708397</v>
      </c>
      <c r="E2187">
        <v>0.68840337402127905</v>
      </c>
      <c r="F2187">
        <v>0.27548579209906598</v>
      </c>
      <c r="G2187">
        <v>0.13108465587596599</v>
      </c>
      <c r="H2187">
        <v>9.3460484009457404E-2</v>
      </c>
      <c r="I2187">
        <v>9.1694126084923305E-2</v>
      </c>
      <c r="J2187">
        <v>8.8674694720751193E-2</v>
      </c>
      <c r="K2187">
        <v>9.8743641194995596E-2</v>
      </c>
      <c r="L2187">
        <v>1723.02242469775</v>
      </c>
      <c r="M2187">
        <v>33.844881291552802</v>
      </c>
      <c r="N2187">
        <v>51.225205268461799</v>
      </c>
      <c r="O2187">
        <v>50.732652418809899</v>
      </c>
      <c r="P2187">
        <v>-0.151076377002336</v>
      </c>
      <c r="Q2187">
        <v>9.4164514053489398E-2</v>
      </c>
      <c r="R2187">
        <v>0.99481118392409895</v>
      </c>
      <c r="S2187" t="s">
        <v>6483</v>
      </c>
      <c r="T2187" t="s">
        <v>8590</v>
      </c>
      <c r="U2187" t="s">
        <v>8590</v>
      </c>
      <c r="V2187" t="s">
        <v>8590</v>
      </c>
      <c r="W2187">
        <v>6</v>
      </c>
      <c r="X2187" t="s">
        <v>10777</v>
      </c>
      <c r="Y2187">
        <v>0.42803150002723039</v>
      </c>
      <c r="Z2187" t="str">
        <f>HYPERLINK("Melting_Curves/meltCurve_sp_Q7Z392_3_TPC11_HUMAN_.pdf", "Melting_Curves/meltCurve_sp_Q7Z392_3_TPC11_HUMAN_.pdf")</f>
        <v>Melting_Curves/meltCurve_sp_Q7Z392_3_TPC11_HUMAN_.pdf</v>
      </c>
      <c r="AA2187" t="s">
        <v>15032</v>
      </c>
      <c r="AB2187" t="s">
        <v>19271</v>
      </c>
    </row>
    <row r="2188" spans="1:28" x14ac:dyDescent="0.25">
      <c r="A2188" t="s">
        <v>2192</v>
      </c>
      <c r="B2188">
        <v>0.99876560204751996</v>
      </c>
      <c r="C2188">
        <v>0.89251795328282701</v>
      </c>
      <c r="D2188">
        <v>0.914287807600767</v>
      </c>
      <c r="E2188">
        <v>0.989576157621328</v>
      </c>
      <c r="F2188">
        <v>0.80379142494079503</v>
      </c>
      <c r="G2188">
        <v>0.80631736823774602</v>
      </c>
      <c r="H2188">
        <v>0.60312180606214505</v>
      </c>
      <c r="I2188">
        <v>0.53581124848831096</v>
      </c>
      <c r="J2188">
        <v>0.60961145518553295</v>
      </c>
      <c r="K2188">
        <v>0.58992755500621397</v>
      </c>
      <c r="L2188">
        <v>781.05591889046502</v>
      </c>
      <c r="M2188">
        <v>13.9784651294692</v>
      </c>
      <c r="O2188">
        <v>54.769374861414597</v>
      </c>
      <c r="P2188">
        <v>-2.9683937501468999E-2</v>
      </c>
      <c r="Q2188">
        <v>0.53484040649700304</v>
      </c>
      <c r="R2188">
        <v>0.87901684709864503</v>
      </c>
      <c r="S2188" t="s">
        <v>6484</v>
      </c>
      <c r="T2188" t="s">
        <v>8590</v>
      </c>
      <c r="U2188" t="s">
        <v>8590</v>
      </c>
      <c r="V2188" t="s">
        <v>8590</v>
      </c>
      <c r="W2188">
        <v>1</v>
      </c>
      <c r="X2188" t="s">
        <v>10778</v>
      </c>
      <c r="Y2188">
        <v>0.78983915312102437</v>
      </c>
      <c r="Z2188" t="str">
        <f>HYPERLINK("Melting_Curves/meltCurve_sp_Q7Z3E2_CJ118_HUMAN_.pdf", "Melting_Curves/meltCurve_sp_Q7Z3E2_CJ118_HUMAN_.pdf")</f>
        <v>Melting_Curves/meltCurve_sp_Q7Z3E2_CJ118_HUMAN_.pdf</v>
      </c>
      <c r="AA2188" t="s">
        <v>15033</v>
      </c>
      <c r="AB2188" t="s">
        <v>19272</v>
      </c>
    </row>
    <row r="2189" spans="1:28" x14ac:dyDescent="0.25">
      <c r="A2189" t="s">
        <v>2193</v>
      </c>
      <c r="B2189">
        <v>0.99876560204751996</v>
      </c>
      <c r="C2189">
        <v>1.0398920115415</v>
      </c>
      <c r="D2189">
        <v>0.91576982306947996</v>
      </c>
      <c r="E2189">
        <v>0.72547376475980796</v>
      </c>
      <c r="F2189">
        <v>0.20626711827293601</v>
      </c>
      <c r="G2189">
        <v>0.12245432838440801</v>
      </c>
      <c r="H2189">
        <v>9.2433346466840705E-2</v>
      </c>
      <c r="I2189">
        <v>7.3706384065008804E-2</v>
      </c>
      <c r="J2189">
        <v>7.7335952999708704E-2</v>
      </c>
      <c r="K2189">
        <v>5.1921976754886301E-2</v>
      </c>
      <c r="L2189">
        <v>2229.7414049158001</v>
      </c>
      <c r="M2189">
        <v>43.789802453618101</v>
      </c>
      <c r="N2189">
        <v>51.122267018164898</v>
      </c>
      <c r="O2189">
        <v>50.8133435197254</v>
      </c>
      <c r="P2189">
        <v>-0.19824574834543701</v>
      </c>
      <c r="Q2189">
        <v>7.9830078749038594E-2</v>
      </c>
      <c r="R2189">
        <v>0.99415970822918298</v>
      </c>
      <c r="S2189" t="s">
        <v>6485</v>
      </c>
      <c r="T2189" t="s">
        <v>8590</v>
      </c>
      <c r="U2189" t="s">
        <v>8590</v>
      </c>
      <c r="V2189" t="s">
        <v>8590</v>
      </c>
      <c r="W2189">
        <v>12</v>
      </c>
      <c r="X2189" t="s">
        <v>10779</v>
      </c>
      <c r="Y2189">
        <v>0.41744601972711481</v>
      </c>
      <c r="Z2189" t="str">
        <f>HYPERLINK("Melting_Curves/meltCurve_sp_Q7Z3J2_CP062_HUMAN_.pdf", "Melting_Curves/meltCurve_sp_Q7Z3J2_CP062_HUMAN_.pdf")</f>
        <v>Melting_Curves/meltCurve_sp_Q7Z3J2_CP062_HUMAN_.pdf</v>
      </c>
      <c r="AA2189" t="s">
        <v>15034</v>
      </c>
      <c r="AB2189" t="s">
        <v>19273</v>
      </c>
    </row>
    <row r="2190" spans="1:28" x14ac:dyDescent="0.25">
      <c r="A2190" t="s">
        <v>2194</v>
      </c>
      <c r="B2190">
        <v>0.99876560204751996</v>
      </c>
      <c r="C2190">
        <v>0.96120153156668997</v>
      </c>
      <c r="D2190">
        <v>0.973479642114083</v>
      </c>
      <c r="E2190">
        <v>0.90737593286842899</v>
      </c>
      <c r="F2190">
        <v>0.84628150575295702</v>
      </c>
      <c r="G2190">
        <v>0.57898081951913505</v>
      </c>
      <c r="H2190">
        <v>0.45992253905764902</v>
      </c>
      <c r="I2190">
        <v>0.418980239948467</v>
      </c>
      <c r="J2190">
        <v>0.41673434845221702</v>
      </c>
      <c r="K2190">
        <v>0.49710097627091498</v>
      </c>
      <c r="L2190">
        <v>1368.7401495926299</v>
      </c>
      <c r="M2190">
        <v>25.058458797897099</v>
      </c>
      <c r="N2190">
        <v>59.429303378159901</v>
      </c>
      <c r="O2190">
        <v>54.277580007472402</v>
      </c>
      <c r="P2190">
        <v>-6.5311520308305004E-2</v>
      </c>
      <c r="Q2190">
        <v>0.434138541694019</v>
      </c>
      <c r="R2190">
        <v>0.98321320392007605</v>
      </c>
      <c r="S2190" t="s">
        <v>6486</v>
      </c>
      <c r="T2190" t="s">
        <v>8590</v>
      </c>
      <c r="U2190" t="s">
        <v>8590</v>
      </c>
      <c r="V2190" t="s">
        <v>8590</v>
      </c>
      <c r="W2190">
        <v>8</v>
      </c>
      <c r="X2190" t="s">
        <v>10780</v>
      </c>
      <c r="Y2190">
        <v>0.71515498431474334</v>
      </c>
      <c r="Z2190" t="str">
        <f>HYPERLINK("Melting_Curves/meltCurve_sp_Q7Z3T8_ZFY16_HUMAN_.pdf", "Melting_Curves/meltCurve_sp_Q7Z3T8_ZFY16_HUMAN_.pdf")</f>
        <v>Melting_Curves/meltCurve_sp_Q7Z3T8_ZFY16_HUMAN_.pdf</v>
      </c>
      <c r="AA2190" t="s">
        <v>15035</v>
      </c>
      <c r="AB2190" t="s">
        <v>19274</v>
      </c>
    </row>
    <row r="2191" spans="1:28" x14ac:dyDescent="0.25">
      <c r="A2191" t="s">
        <v>2195</v>
      </c>
      <c r="B2191">
        <v>0.99876560204751996</v>
      </c>
      <c r="C2191">
        <v>1.04615528812195</v>
      </c>
      <c r="D2191">
        <v>0.71399189072963598</v>
      </c>
      <c r="E2191">
        <v>0.49702295729590301</v>
      </c>
      <c r="F2191">
        <v>0.214102791042728</v>
      </c>
      <c r="G2191">
        <v>0.14985892492295599</v>
      </c>
      <c r="H2191">
        <v>8.6596171953363804E-2</v>
      </c>
      <c r="I2191">
        <v>8.5606547031982103E-2</v>
      </c>
      <c r="J2191">
        <v>8.7375856553684197E-2</v>
      </c>
      <c r="K2191">
        <v>7.6304464793024607E-2</v>
      </c>
      <c r="L2191">
        <v>949.21457229576299</v>
      </c>
      <c r="M2191">
        <v>19.388756707352901</v>
      </c>
      <c r="N2191">
        <v>49.380697246175998</v>
      </c>
      <c r="O2191">
        <v>48.445088938920101</v>
      </c>
      <c r="P2191">
        <v>-9.2390892078772394E-2</v>
      </c>
      <c r="Q2191">
        <v>7.6635946995228896E-2</v>
      </c>
      <c r="R2191">
        <v>0.98471593430107296</v>
      </c>
      <c r="S2191" t="s">
        <v>6487</v>
      </c>
      <c r="T2191" t="s">
        <v>8590</v>
      </c>
      <c r="U2191" t="s">
        <v>8590</v>
      </c>
      <c r="V2191" t="s">
        <v>8590</v>
      </c>
      <c r="W2191">
        <v>14</v>
      </c>
      <c r="X2191" t="s">
        <v>10781</v>
      </c>
      <c r="Y2191">
        <v>0.36610232766889272</v>
      </c>
      <c r="Z2191" t="str">
        <f>HYPERLINK("Melting_Curves/meltCurve_sp_Q7Z406_MYH14_HUMAN_.pdf", "Melting_Curves/meltCurve_sp_Q7Z406_MYH14_HUMAN_.pdf")</f>
        <v>Melting_Curves/meltCurve_sp_Q7Z406_MYH14_HUMAN_.pdf</v>
      </c>
      <c r="AA2191" t="s">
        <v>15036</v>
      </c>
      <c r="AB2191" t="s">
        <v>19275</v>
      </c>
    </row>
    <row r="2192" spans="1:28" x14ac:dyDescent="0.25">
      <c r="A2192" t="s">
        <v>2196</v>
      </c>
      <c r="B2192">
        <v>0.99876560204751996</v>
      </c>
      <c r="C2192">
        <v>0.91848613150569103</v>
      </c>
      <c r="D2192">
        <v>0.94607343532680199</v>
      </c>
      <c r="E2192">
        <v>0.83229797125119198</v>
      </c>
      <c r="F2192">
        <v>0.75023957542303898</v>
      </c>
      <c r="G2192">
        <v>0.59709385853963204</v>
      </c>
      <c r="H2192">
        <v>0.49746934746432803</v>
      </c>
      <c r="I2192">
        <v>0.52643513517323404</v>
      </c>
      <c r="J2192">
        <v>0.62708908598788704</v>
      </c>
      <c r="K2192">
        <v>0.572234832427167</v>
      </c>
      <c r="L2192">
        <v>937.602087788875</v>
      </c>
      <c r="M2192">
        <v>18.207895692146501</v>
      </c>
      <c r="O2192">
        <v>50.885172441811498</v>
      </c>
      <c r="P2192">
        <v>-4.0606991747629197E-2</v>
      </c>
      <c r="Q2192">
        <v>0.54608783206950995</v>
      </c>
      <c r="R2192">
        <v>0.93972277313459096</v>
      </c>
      <c r="S2192" t="s">
        <v>6488</v>
      </c>
      <c r="T2192" t="s">
        <v>8590</v>
      </c>
      <c r="U2192" t="s">
        <v>8590</v>
      </c>
      <c r="V2192" t="s">
        <v>8590</v>
      </c>
      <c r="W2192">
        <v>8</v>
      </c>
      <c r="X2192" t="s">
        <v>10782</v>
      </c>
      <c r="Y2192">
        <v>0.72745169357789086</v>
      </c>
      <c r="Z2192" t="str">
        <f>HYPERLINK("Melting_Curves/meltCurve_sp_Q7Z417_NUFP2_HUMAN_.pdf", "Melting_Curves/meltCurve_sp_Q7Z417_NUFP2_HUMAN_.pdf")</f>
        <v>Melting_Curves/meltCurve_sp_Q7Z417_NUFP2_HUMAN_.pdf</v>
      </c>
      <c r="AA2192" t="s">
        <v>15037</v>
      </c>
      <c r="AB2192" t="s">
        <v>19276</v>
      </c>
    </row>
    <row r="2193" spans="1:28" x14ac:dyDescent="0.25">
      <c r="A2193" t="s">
        <v>2197</v>
      </c>
      <c r="B2193">
        <v>0.99876560204751996</v>
      </c>
      <c r="C2193">
        <v>0.88448899658130997</v>
      </c>
      <c r="D2193">
        <v>1.0887199575552999</v>
      </c>
      <c r="E2193">
        <v>0.91364122957445304</v>
      </c>
      <c r="F2193">
        <v>0.89307713530433097</v>
      </c>
      <c r="G2193">
        <v>0.78611701152161595</v>
      </c>
      <c r="H2193">
        <v>0.68609577355284901</v>
      </c>
      <c r="I2193">
        <v>0.62462308542882405</v>
      </c>
      <c r="J2193">
        <v>0.77881643727202299</v>
      </c>
      <c r="K2193">
        <v>0.79416037868227796</v>
      </c>
      <c r="L2193">
        <v>1385.49280749485</v>
      </c>
      <c r="M2193">
        <v>25.946098592639501</v>
      </c>
      <c r="O2193">
        <v>53.084711219374398</v>
      </c>
      <c r="P2193">
        <v>-3.3948758744640699E-2</v>
      </c>
      <c r="Q2193">
        <v>0.72217185349048896</v>
      </c>
      <c r="R2193">
        <v>0.74283306502086499</v>
      </c>
      <c r="S2193" t="s">
        <v>6489</v>
      </c>
      <c r="T2193" t="s">
        <v>8590</v>
      </c>
      <c r="U2193" t="s">
        <v>8590</v>
      </c>
      <c r="V2193" t="s">
        <v>8590</v>
      </c>
      <c r="W2193">
        <v>3</v>
      </c>
      <c r="X2193" t="s">
        <v>10783</v>
      </c>
      <c r="Y2193">
        <v>0.84865068314081193</v>
      </c>
      <c r="Z2193" t="str">
        <f>HYPERLINK("Melting_Curves/meltCurve_sp_Q7Z422_2_SZRD1_HUMAN_.pdf", "Melting_Curves/meltCurve_sp_Q7Z422_2_SZRD1_HUMAN_.pdf")</f>
        <v>Melting_Curves/meltCurve_sp_Q7Z422_2_SZRD1_HUMAN_.pdf</v>
      </c>
      <c r="AA2193" t="s">
        <v>15038</v>
      </c>
      <c r="AB2193" t="s">
        <v>19277</v>
      </c>
    </row>
    <row r="2194" spans="1:28" x14ac:dyDescent="0.25">
      <c r="A2194" t="s">
        <v>2198</v>
      </c>
      <c r="B2194">
        <v>0.99876560204751996</v>
      </c>
      <c r="C2194">
        <v>0.969256338791599</v>
      </c>
      <c r="D2194">
        <v>1.1348163963433799</v>
      </c>
      <c r="E2194">
        <v>0.93480676876218904</v>
      </c>
      <c r="F2194">
        <v>1.07292786394797</v>
      </c>
      <c r="G2194">
        <v>0.76597665228723799</v>
      </c>
      <c r="H2194">
        <v>0.48470172213305501</v>
      </c>
      <c r="I2194">
        <v>0.562838640848903</v>
      </c>
      <c r="J2194">
        <v>0.60855719187984403</v>
      </c>
      <c r="K2194">
        <v>0.62445630691995402</v>
      </c>
      <c r="L2194">
        <v>14239.8464587219</v>
      </c>
      <c r="M2194">
        <v>250</v>
      </c>
      <c r="O2194">
        <v>56.955740436532203</v>
      </c>
      <c r="P2194">
        <v>-0.47170567413206699</v>
      </c>
      <c r="Q2194">
        <v>0.57013846265691503</v>
      </c>
      <c r="R2194">
        <v>0.91819855688362395</v>
      </c>
      <c r="S2194" t="s">
        <v>6490</v>
      </c>
      <c r="T2194" t="s">
        <v>8590</v>
      </c>
      <c r="U2194" t="s">
        <v>8590</v>
      </c>
      <c r="V2194" t="s">
        <v>8590</v>
      </c>
      <c r="W2194">
        <v>6</v>
      </c>
      <c r="X2194" t="s">
        <v>10784</v>
      </c>
      <c r="Y2194">
        <v>0.81318768841443811</v>
      </c>
      <c r="Z2194" t="str">
        <f>HYPERLINK("Melting_Curves/meltCurve_sp_Q7Z434_MAVS_HUMAN_.pdf", "Melting_Curves/meltCurve_sp_Q7Z434_MAVS_HUMAN_.pdf")</f>
        <v>Melting_Curves/meltCurve_sp_Q7Z434_MAVS_HUMAN_.pdf</v>
      </c>
      <c r="AA2194" t="s">
        <v>15039</v>
      </c>
      <c r="AB2194" t="s">
        <v>19278</v>
      </c>
    </row>
    <row r="2195" spans="1:28" x14ac:dyDescent="0.25">
      <c r="A2195" t="s">
        <v>2199</v>
      </c>
      <c r="B2195">
        <v>0.99876560204751996</v>
      </c>
      <c r="C2195">
        <v>0.92111504429863</v>
      </c>
      <c r="D2195">
        <v>0.99317229015193298</v>
      </c>
      <c r="E2195">
        <v>0.80081192009634605</v>
      </c>
      <c r="F2195">
        <v>0.51629411608881004</v>
      </c>
      <c r="G2195">
        <v>0.305406213211452</v>
      </c>
      <c r="H2195">
        <v>0.19157670360969201</v>
      </c>
      <c r="I2195">
        <v>0.19042086547047901</v>
      </c>
      <c r="J2195">
        <v>0.18295195061697</v>
      </c>
      <c r="K2195">
        <v>0.17487406485863799</v>
      </c>
      <c r="L2195">
        <v>1215.7776746760201</v>
      </c>
      <c r="M2195">
        <v>23.215123616967201</v>
      </c>
      <c r="N2195">
        <v>53.365544992129699</v>
      </c>
      <c r="O2195">
        <v>51.986123653420101</v>
      </c>
      <c r="P2195">
        <v>-9.2023218517101296E-2</v>
      </c>
      <c r="Q2195">
        <v>0.17573661140764399</v>
      </c>
      <c r="R2195">
        <v>0.99407660409945298</v>
      </c>
      <c r="S2195" t="s">
        <v>6491</v>
      </c>
      <c r="T2195" t="s">
        <v>8590</v>
      </c>
      <c r="U2195" t="s">
        <v>8590</v>
      </c>
      <c r="V2195" t="s">
        <v>8590</v>
      </c>
      <c r="W2195">
        <v>12</v>
      </c>
      <c r="X2195" t="s">
        <v>10785</v>
      </c>
      <c r="Y2195">
        <v>0.52429431988654984</v>
      </c>
      <c r="Z2195" t="str">
        <f>HYPERLINK("Melting_Curves/meltCurve_sp_Q7Z460_2_CLAP1_HUMAN_.pdf", "Melting_Curves/meltCurve_sp_Q7Z460_2_CLAP1_HUMAN_.pdf")</f>
        <v>Melting_Curves/meltCurve_sp_Q7Z460_2_CLAP1_HUMAN_.pdf</v>
      </c>
      <c r="AA2195" t="s">
        <v>15040</v>
      </c>
      <c r="AB2195" t="s">
        <v>19279</v>
      </c>
    </row>
    <row r="2196" spans="1:28" x14ac:dyDescent="0.25">
      <c r="A2196" t="s">
        <v>2200</v>
      </c>
      <c r="B2196">
        <v>0.99876560204751996</v>
      </c>
      <c r="C2196">
        <v>1.0204035071564399</v>
      </c>
      <c r="D2196">
        <v>0.90664058816277204</v>
      </c>
      <c r="E2196">
        <v>0.70916685211546804</v>
      </c>
      <c r="F2196">
        <v>0.43887236821881098</v>
      </c>
      <c r="G2196">
        <v>0.20017897138246399</v>
      </c>
      <c r="H2196">
        <v>0.14437623706810701</v>
      </c>
      <c r="I2196">
        <v>0.138006889123096</v>
      </c>
      <c r="J2196">
        <v>0.17201837115819099</v>
      </c>
      <c r="K2196">
        <v>0.142918506101642</v>
      </c>
      <c r="L2196">
        <v>1163.5797530110201</v>
      </c>
      <c r="M2196">
        <v>22.6311043093575</v>
      </c>
      <c r="N2196">
        <v>52.149881687985001</v>
      </c>
      <c r="O2196">
        <v>51.018682991426601</v>
      </c>
      <c r="P2196">
        <v>-9.5758628405182594E-2</v>
      </c>
      <c r="Q2196">
        <v>0.13651935363267301</v>
      </c>
      <c r="R2196">
        <v>0.99678806983268797</v>
      </c>
      <c r="S2196" t="s">
        <v>6492</v>
      </c>
      <c r="T2196" t="s">
        <v>8590</v>
      </c>
      <c r="U2196" t="s">
        <v>8590</v>
      </c>
      <c r="V2196" t="s">
        <v>8590</v>
      </c>
      <c r="W2196">
        <v>10</v>
      </c>
      <c r="X2196" t="s">
        <v>10786</v>
      </c>
      <c r="Y2196">
        <v>0.47457167519325721</v>
      </c>
      <c r="Z2196" t="str">
        <f>HYPERLINK("Melting_Curves/meltCurve_sp_Q7Z478_DHX29_HUMAN_.pdf", "Melting_Curves/meltCurve_sp_Q7Z478_DHX29_HUMAN_.pdf")</f>
        <v>Melting_Curves/meltCurve_sp_Q7Z478_DHX29_HUMAN_.pdf</v>
      </c>
      <c r="AA2196" t="s">
        <v>15041</v>
      </c>
      <c r="AB2196" t="s">
        <v>19280</v>
      </c>
    </row>
    <row r="2197" spans="1:28" x14ac:dyDescent="0.25">
      <c r="A2197" t="s">
        <v>2201</v>
      </c>
      <c r="B2197">
        <v>0.99876560204751996</v>
      </c>
      <c r="C2197">
        <v>1.07906324024306</v>
      </c>
      <c r="D2197">
        <v>1.0194517908963101</v>
      </c>
      <c r="E2197">
        <v>0.81995029412784104</v>
      </c>
      <c r="F2197">
        <v>0.50031227869247197</v>
      </c>
      <c r="G2197">
        <v>0.34946480547829201</v>
      </c>
      <c r="H2197">
        <v>0.23339833601749099</v>
      </c>
      <c r="I2197">
        <v>0.17432717272623299</v>
      </c>
      <c r="J2197">
        <v>0.169537810415016</v>
      </c>
      <c r="K2197">
        <v>0.172720036784762</v>
      </c>
      <c r="L2197">
        <v>1234.87439891636</v>
      </c>
      <c r="M2197">
        <v>23.521789249440701</v>
      </c>
      <c r="N2197">
        <v>53.532086956608303</v>
      </c>
      <c r="O2197">
        <v>52.124127663758301</v>
      </c>
      <c r="P2197">
        <v>-9.2238522258340394E-2</v>
      </c>
      <c r="Q2197">
        <v>0.182414204043335</v>
      </c>
      <c r="R2197">
        <v>0.98811325094179003</v>
      </c>
      <c r="S2197" t="s">
        <v>6493</v>
      </c>
      <c r="T2197" t="s">
        <v>8590</v>
      </c>
      <c r="U2197" t="s">
        <v>8590</v>
      </c>
      <c r="V2197" t="s">
        <v>8590</v>
      </c>
      <c r="W2197">
        <v>1</v>
      </c>
      <c r="X2197" t="s">
        <v>10787</v>
      </c>
      <c r="Y2197">
        <v>0.53146357267716171</v>
      </c>
      <c r="Z2197" t="str">
        <f>HYPERLINK("Melting_Curves/meltCurve_sp_Q7Z4G1_COMD6_HUMAN_.pdf", "Melting_Curves/meltCurve_sp_Q7Z4G1_COMD6_HUMAN_.pdf")</f>
        <v>Melting_Curves/meltCurve_sp_Q7Z4G1_COMD6_HUMAN_.pdf</v>
      </c>
      <c r="AA2197" t="s">
        <v>15042</v>
      </c>
      <c r="AB2197" t="s">
        <v>19281</v>
      </c>
    </row>
    <row r="2198" spans="1:28" x14ac:dyDescent="0.25">
      <c r="A2198" t="s">
        <v>2202</v>
      </c>
      <c r="B2198">
        <v>0.99876560204751996</v>
      </c>
      <c r="C2198">
        <v>1.0484880692993299</v>
      </c>
      <c r="D2198">
        <v>0.94035422804833502</v>
      </c>
      <c r="E2198">
        <v>0.93729995612881101</v>
      </c>
      <c r="F2198">
        <v>0.64643576429725502</v>
      </c>
      <c r="G2198">
        <v>0.20946797569470299</v>
      </c>
      <c r="H2198">
        <v>0.102220687793537</v>
      </c>
      <c r="I2198">
        <v>6.9794202810708403E-2</v>
      </c>
      <c r="J2198">
        <v>5.7625273671125202E-2</v>
      </c>
      <c r="K2198">
        <v>3.6986141991476797E-2</v>
      </c>
      <c r="L2198">
        <v>1623.2474303573099</v>
      </c>
      <c r="M2198">
        <v>30.090165604958202</v>
      </c>
      <c r="N2198">
        <v>54.158408451760899</v>
      </c>
      <c r="O2198">
        <v>53.709538648604202</v>
      </c>
      <c r="P2198">
        <v>-0.13226898616197999</v>
      </c>
      <c r="Q2198">
        <v>5.5630481637844301E-2</v>
      </c>
      <c r="R2198">
        <v>0.99639670154932802</v>
      </c>
      <c r="S2198" t="s">
        <v>6494</v>
      </c>
      <c r="T2198" t="s">
        <v>8590</v>
      </c>
      <c r="U2198" t="s">
        <v>8590</v>
      </c>
      <c r="V2198" t="s">
        <v>8590</v>
      </c>
      <c r="W2198">
        <v>5</v>
      </c>
      <c r="X2198" t="s">
        <v>10788</v>
      </c>
      <c r="Y2198">
        <v>0.50080353633312857</v>
      </c>
      <c r="Z2198" t="str">
        <f>HYPERLINK("Melting_Curves/meltCurve_sp_Q7Z4G4_2_TRM11_HUMAN_.pdf", "Melting_Curves/meltCurve_sp_Q7Z4G4_2_TRM11_HUMAN_.pdf")</f>
        <v>Melting_Curves/meltCurve_sp_Q7Z4G4_2_TRM11_HUMAN_.pdf</v>
      </c>
      <c r="AA2198" t="s">
        <v>15043</v>
      </c>
      <c r="AB2198" t="s">
        <v>19282</v>
      </c>
    </row>
    <row r="2199" spans="1:28" x14ac:dyDescent="0.25">
      <c r="A2199" t="s">
        <v>2203</v>
      </c>
      <c r="B2199">
        <v>0.99876560204751996</v>
      </c>
      <c r="C2199">
        <v>1.0015260971653399</v>
      </c>
      <c r="D2199">
        <v>1.0710821924985201</v>
      </c>
      <c r="E2199">
        <v>0.86655456994115798</v>
      </c>
      <c r="F2199">
        <v>0.301943214544865</v>
      </c>
      <c r="G2199">
        <v>0.199041017692694</v>
      </c>
      <c r="H2199">
        <v>0.13052056236770601</v>
      </c>
      <c r="I2199">
        <v>0.10216222254143301</v>
      </c>
      <c r="J2199">
        <v>0.103213090111615</v>
      </c>
      <c r="K2199">
        <v>8.2402181154739407E-2</v>
      </c>
      <c r="L2199">
        <v>2655.8175869382499</v>
      </c>
      <c r="M2199">
        <v>51.417998052331498</v>
      </c>
      <c r="N2199">
        <v>51.931382480392898</v>
      </c>
      <c r="O2199">
        <v>51.573571927879897</v>
      </c>
      <c r="P2199">
        <v>-0.21908241825996</v>
      </c>
      <c r="Q2199">
        <v>0.12101960969605501</v>
      </c>
      <c r="R2199">
        <v>0.99264109404711198</v>
      </c>
      <c r="S2199" t="s">
        <v>6495</v>
      </c>
      <c r="T2199" t="s">
        <v>8590</v>
      </c>
      <c r="U2199" t="s">
        <v>8590</v>
      </c>
      <c r="V2199" t="s">
        <v>8590</v>
      </c>
      <c r="W2199">
        <v>7</v>
      </c>
      <c r="X2199" t="s">
        <v>10789</v>
      </c>
      <c r="Y2199">
        <v>0.46429448855623062</v>
      </c>
      <c r="Z2199" t="str">
        <f>HYPERLINK("Melting_Curves/meltCurve_sp_Q7Z4H8_KDEL2_HUMAN_.pdf", "Melting_Curves/meltCurve_sp_Q7Z4H8_KDEL2_HUMAN_.pdf")</f>
        <v>Melting_Curves/meltCurve_sp_Q7Z4H8_KDEL2_HUMAN_.pdf</v>
      </c>
      <c r="AA2199" t="s">
        <v>15044</v>
      </c>
      <c r="AB2199" t="s">
        <v>19283</v>
      </c>
    </row>
    <row r="2200" spans="1:28" x14ac:dyDescent="0.25">
      <c r="A2200" t="s">
        <v>2204</v>
      </c>
      <c r="B2200">
        <v>0.99876560204751996</v>
      </c>
      <c r="C2200">
        <v>1.00215044677193</v>
      </c>
      <c r="D2200">
        <v>1.0013369453023999</v>
      </c>
      <c r="E2200">
        <v>0.92859876890086002</v>
      </c>
      <c r="F2200">
        <v>0.86815481273067696</v>
      </c>
      <c r="G2200">
        <v>0.57056897892166403</v>
      </c>
      <c r="H2200">
        <v>0.36886997868042598</v>
      </c>
      <c r="I2200">
        <v>0.27216438556183697</v>
      </c>
      <c r="J2200">
        <v>0.31729235308169701</v>
      </c>
      <c r="K2200">
        <v>0.24480089465690899</v>
      </c>
      <c r="L2200">
        <v>1274.5553100426</v>
      </c>
      <c r="M2200">
        <v>22.6514975501136</v>
      </c>
      <c r="N2200">
        <v>58.098137944371402</v>
      </c>
      <c r="O2200">
        <v>55.834988104905797</v>
      </c>
      <c r="P2200">
        <v>-7.5556265756843197E-2</v>
      </c>
      <c r="Q2200">
        <v>0.255042687800969</v>
      </c>
      <c r="R2200">
        <v>0.99574416065034999</v>
      </c>
      <c r="S2200" t="s">
        <v>6496</v>
      </c>
      <c r="T2200" t="s">
        <v>8590</v>
      </c>
      <c r="U2200" t="s">
        <v>8590</v>
      </c>
      <c r="V2200" t="s">
        <v>8590</v>
      </c>
      <c r="W2200">
        <v>15</v>
      </c>
      <c r="X2200" t="s">
        <v>10790</v>
      </c>
      <c r="Y2200">
        <v>0.66696384969345357</v>
      </c>
      <c r="Z2200" t="str">
        <f>HYPERLINK("Melting_Curves/meltCurve_sp_Q7Z4I7_3_LIMS2_HUMAN_.pdf", "Melting_Curves/meltCurve_sp_Q7Z4I7_3_LIMS2_HUMAN_.pdf")</f>
        <v>Melting_Curves/meltCurve_sp_Q7Z4I7_3_LIMS2_HUMAN_.pdf</v>
      </c>
      <c r="AA2200" t="s">
        <v>15045</v>
      </c>
      <c r="AB2200" t="s">
        <v>19284</v>
      </c>
    </row>
    <row r="2201" spans="1:28" x14ac:dyDescent="0.25">
      <c r="A2201" t="s">
        <v>2205</v>
      </c>
      <c r="B2201">
        <v>0.99876560204751996</v>
      </c>
      <c r="C2201">
        <v>1.02752948444862</v>
      </c>
      <c r="D2201">
        <v>0.85655454090689898</v>
      </c>
      <c r="E2201">
        <v>0.51864980927585402</v>
      </c>
      <c r="F2201">
        <v>0.18762425873322799</v>
      </c>
      <c r="G2201">
        <v>0.109285150279227</v>
      </c>
      <c r="H2201">
        <v>7.4378367140917195E-2</v>
      </c>
      <c r="I2201">
        <v>4.56782249034366E-2</v>
      </c>
      <c r="J2201">
        <v>2.7517078141380501E-2</v>
      </c>
      <c r="K2201">
        <v>3.3680239594063702E-2</v>
      </c>
      <c r="L2201">
        <v>1212.7153019570401</v>
      </c>
      <c r="M2201">
        <v>24.363299081247401</v>
      </c>
      <c r="N2201">
        <v>49.959228205345099</v>
      </c>
      <c r="O2201">
        <v>49.444600834536899</v>
      </c>
      <c r="P2201">
        <v>-0.117930509110593</v>
      </c>
      <c r="Q2201">
        <v>4.2668244269524203E-2</v>
      </c>
      <c r="R2201">
        <v>0.99623511928394703</v>
      </c>
      <c r="S2201" t="s">
        <v>6497</v>
      </c>
      <c r="T2201" t="s">
        <v>8590</v>
      </c>
      <c r="U2201" t="s">
        <v>8590</v>
      </c>
      <c r="V2201" t="s">
        <v>8590</v>
      </c>
      <c r="W2201">
        <v>3</v>
      </c>
      <c r="X2201" t="s">
        <v>10791</v>
      </c>
      <c r="Y2201">
        <v>0.36363499642437158</v>
      </c>
      <c r="Z2201" t="str">
        <f>HYPERLINK("Melting_Curves/meltCurve_sp_Q7Z4Q2_HEAT3_HUMAN_.pdf", "Melting_Curves/meltCurve_sp_Q7Z4Q2_HEAT3_HUMAN_.pdf")</f>
        <v>Melting_Curves/meltCurve_sp_Q7Z4Q2_HEAT3_HUMAN_.pdf</v>
      </c>
      <c r="AA2201" t="s">
        <v>15046</v>
      </c>
      <c r="AB2201" t="s">
        <v>19285</v>
      </c>
    </row>
    <row r="2202" spans="1:28" x14ac:dyDescent="0.25">
      <c r="A2202" t="s">
        <v>2206</v>
      </c>
      <c r="B2202">
        <v>0.99876560204751996</v>
      </c>
      <c r="C2202">
        <v>0.88001273309210004</v>
      </c>
      <c r="D2202">
        <v>0.81549971931816101</v>
      </c>
      <c r="E2202">
        <v>0.64607357789075104</v>
      </c>
      <c r="F2202">
        <v>0.51078591761590497</v>
      </c>
      <c r="G2202">
        <v>0.36401900088884298</v>
      </c>
      <c r="H2202">
        <v>0.25469672898113799</v>
      </c>
      <c r="I2202">
        <v>0.214472165616094</v>
      </c>
      <c r="J2202">
        <v>0.213113648653045</v>
      </c>
      <c r="K2202">
        <v>0.19016853225609401</v>
      </c>
      <c r="L2202">
        <v>561.24378942470901</v>
      </c>
      <c r="M2202">
        <v>10.8906678680127</v>
      </c>
      <c r="N2202">
        <v>53.082293548766998</v>
      </c>
      <c r="O2202">
        <v>49.888157365859698</v>
      </c>
      <c r="P2202">
        <v>-4.71672176760339E-2</v>
      </c>
      <c r="Q2202">
        <v>0.136045333827544</v>
      </c>
      <c r="R2202">
        <v>0.99639488794610998</v>
      </c>
      <c r="S2202" t="s">
        <v>6498</v>
      </c>
      <c r="T2202" t="s">
        <v>8590</v>
      </c>
      <c r="U2202" t="s">
        <v>8590</v>
      </c>
      <c r="V2202" t="s">
        <v>8590</v>
      </c>
      <c r="W2202">
        <v>10</v>
      </c>
      <c r="X2202" t="s">
        <v>10792</v>
      </c>
      <c r="Y2202">
        <v>0.49914281453406528</v>
      </c>
      <c r="Z2202" t="str">
        <f>HYPERLINK("Melting_Curves/meltCurve_sp_Q7Z4S6_3_KI21A_HUMAN_.pdf", "Melting_Curves/meltCurve_sp_Q7Z4S6_3_KI21A_HUMAN_.pdf")</f>
        <v>Melting_Curves/meltCurve_sp_Q7Z4S6_3_KI21A_HUMAN_.pdf</v>
      </c>
      <c r="AA2202" t="s">
        <v>15047</v>
      </c>
      <c r="AB2202" t="s">
        <v>19286</v>
      </c>
    </row>
    <row r="2203" spans="1:28" x14ac:dyDescent="0.25">
      <c r="A2203" t="s">
        <v>2207</v>
      </c>
      <c r="B2203">
        <v>0.99876560204751996</v>
      </c>
      <c r="C2203">
        <v>0.92550813549045996</v>
      </c>
      <c r="D2203">
        <v>1.12070206250487</v>
      </c>
      <c r="E2203">
        <v>0.89690012869149505</v>
      </c>
      <c r="F2203">
        <v>0.90760888794767602</v>
      </c>
      <c r="G2203">
        <v>0.66972510547947595</v>
      </c>
      <c r="H2203">
        <v>0.66343472191211506</v>
      </c>
      <c r="I2203">
        <v>0.71664371430930895</v>
      </c>
      <c r="J2203">
        <v>0.82461364282488403</v>
      </c>
      <c r="K2203">
        <v>0.79277568312214997</v>
      </c>
      <c r="L2203">
        <v>2105.0100837599698</v>
      </c>
      <c r="M2203">
        <v>39.749439353442902</v>
      </c>
      <c r="O2203">
        <v>52.823481820268803</v>
      </c>
      <c r="P2203">
        <v>-5.0029536834190098E-2</v>
      </c>
      <c r="Q2203">
        <v>0.73406133519024397</v>
      </c>
      <c r="R2203">
        <v>0.73459505780017698</v>
      </c>
      <c r="S2203" t="s">
        <v>6499</v>
      </c>
      <c r="T2203" t="s">
        <v>8590</v>
      </c>
      <c r="U2203" t="s">
        <v>8590</v>
      </c>
      <c r="V2203" t="s">
        <v>8590</v>
      </c>
      <c r="W2203">
        <v>6</v>
      </c>
      <c r="X2203" t="s">
        <v>10793</v>
      </c>
      <c r="Y2203">
        <v>0.84990484002831268</v>
      </c>
      <c r="Z2203" t="str">
        <f>HYPERLINK("Melting_Curves/meltCurve_sp_Q7Z4V5_HDGR2_HUMAN_.pdf", "Melting_Curves/meltCurve_sp_Q7Z4V5_HDGR2_HUMAN_.pdf")</f>
        <v>Melting_Curves/meltCurve_sp_Q7Z4V5_HDGR2_HUMAN_.pdf</v>
      </c>
      <c r="AA2203" t="s">
        <v>15048</v>
      </c>
      <c r="AB2203" t="s">
        <v>19287</v>
      </c>
    </row>
    <row r="2204" spans="1:28" x14ac:dyDescent="0.25">
      <c r="A2204" t="s">
        <v>2208</v>
      </c>
      <c r="B2204">
        <v>0.99876560204751996</v>
      </c>
      <c r="C2204">
        <v>0.99858093184804098</v>
      </c>
      <c r="D2204">
        <v>0.96709108286608902</v>
      </c>
      <c r="E2204">
        <v>0.92683366954615498</v>
      </c>
      <c r="F2204">
        <v>0.58130365921904703</v>
      </c>
      <c r="G2204">
        <v>0.22501082180432999</v>
      </c>
      <c r="H2204">
        <v>0.109518178265884</v>
      </c>
      <c r="I2204">
        <v>7.7887678692800805E-2</v>
      </c>
      <c r="J2204">
        <v>6.2274480791852001E-2</v>
      </c>
      <c r="K2204">
        <v>3.9789548986529102E-2</v>
      </c>
      <c r="L2204">
        <v>1498.2480640761</v>
      </c>
      <c r="M2204">
        <v>27.947923408124598</v>
      </c>
      <c r="N2204">
        <v>53.864343945715397</v>
      </c>
      <c r="O2204">
        <v>53.3363706341813</v>
      </c>
      <c r="P2204">
        <v>-0.12285904533750799</v>
      </c>
      <c r="Q2204">
        <v>6.2141885697678499E-2</v>
      </c>
      <c r="R2204">
        <v>0.99790415886358996</v>
      </c>
      <c r="S2204" t="s">
        <v>6500</v>
      </c>
      <c r="T2204" t="s">
        <v>8590</v>
      </c>
      <c r="U2204" t="s">
        <v>8590</v>
      </c>
      <c r="V2204" t="s">
        <v>8590</v>
      </c>
      <c r="W2204">
        <v>24</v>
      </c>
      <c r="X2204" t="s">
        <v>10794</v>
      </c>
      <c r="Y2204">
        <v>0.49460031394887982</v>
      </c>
      <c r="Z2204" t="str">
        <f>HYPERLINK("Melting_Curves/meltCurve_sp_Q7Z4W1_DCXR_HUMAN_.pdf", "Melting_Curves/meltCurve_sp_Q7Z4W1_DCXR_HUMAN_.pdf")</f>
        <v>Melting_Curves/meltCurve_sp_Q7Z4W1_DCXR_HUMAN_.pdf</v>
      </c>
      <c r="AA2204" t="s">
        <v>15049</v>
      </c>
      <c r="AB2204" t="s">
        <v>19288</v>
      </c>
    </row>
    <row r="2205" spans="1:28" x14ac:dyDescent="0.25">
      <c r="A2205" t="s">
        <v>2209</v>
      </c>
      <c r="B2205">
        <v>0.99876560204751996</v>
      </c>
      <c r="C2205">
        <v>1.04274823008611</v>
      </c>
      <c r="D2205">
        <v>0.88329221353995702</v>
      </c>
      <c r="E2205">
        <v>0.82198363076770198</v>
      </c>
      <c r="F2205">
        <v>0.50375231440997403</v>
      </c>
      <c r="G2205">
        <v>0.28275320275448401</v>
      </c>
      <c r="H2205">
        <v>0.23191082977101801</v>
      </c>
      <c r="I2205">
        <v>0.18648723245235399</v>
      </c>
      <c r="J2205">
        <v>0.18634801618720301</v>
      </c>
      <c r="K2205">
        <v>0.156519891555329</v>
      </c>
      <c r="L2205">
        <v>1149.09232231136</v>
      </c>
      <c r="M2205">
        <v>21.973289653308299</v>
      </c>
      <c r="N2205">
        <v>53.324532123396502</v>
      </c>
      <c r="O2205">
        <v>51.867614217743203</v>
      </c>
      <c r="P2205">
        <v>-8.7603613092170907E-2</v>
      </c>
      <c r="Q2205">
        <v>0.17287069337779201</v>
      </c>
      <c r="R2205">
        <v>0.990218632357871</v>
      </c>
      <c r="S2205" t="s">
        <v>6501</v>
      </c>
      <c r="T2205" t="s">
        <v>8590</v>
      </c>
      <c r="U2205" t="s">
        <v>8590</v>
      </c>
      <c r="V2205" t="s">
        <v>8590</v>
      </c>
      <c r="W2205">
        <v>8</v>
      </c>
      <c r="X2205" t="s">
        <v>10795</v>
      </c>
      <c r="Y2205">
        <v>0.52150129253338295</v>
      </c>
      <c r="Z2205" t="str">
        <f>HYPERLINK("Melting_Curves/meltCurve_sp_Q7Z5K2_WAPL_HUMAN_.pdf", "Melting_Curves/meltCurve_sp_Q7Z5K2_WAPL_HUMAN_.pdf")</f>
        <v>Melting_Curves/meltCurve_sp_Q7Z5K2_WAPL_HUMAN_.pdf</v>
      </c>
      <c r="AA2205" t="s">
        <v>15050</v>
      </c>
      <c r="AB2205" t="s">
        <v>19289</v>
      </c>
    </row>
    <row r="2206" spans="1:28" x14ac:dyDescent="0.25">
      <c r="A2206" t="s">
        <v>2210</v>
      </c>
      <c r="B2206">
        <v>0.99876560204751996</v>
      </c>
      <c r="C2206">
        <v>0.94975036486252096</v>
      </c>
      <c r="D2206">
        <v>1.0222229592968901</v>
      </c>
      <c r="E2206">
        <v>0.87749451807777001</v>
      </c>
      <c r="F2206">
        <v>0.86764499486114899</v>
      </c>
      <c r="G2206">
        <v>0.63183019310463495</v>
      </c>
      <c r="H2206">
        <v>0.53374415816037402</v>
      </c>
      <c r="I2206">
        <v>0.57506008065703995</v>
      </c>
      <c r="J2206">
        <v>0.65974544118016198</v>
      </c>
      <c r="K2206">
        <v>0.65436917552171003</v>
      </c>
      <c r="L2206">
        <v>1522.6285448214901</v>
      </c>
      <c r="M2206">
        <v>28.5610728362294</v>
      </c>
      <c r="O2206">
        <v>53.052034687645602</v>
      </c>
      <c r="P2206">
        <v>-5.3720741299365E-2</v>
      </c>
      <c r="Q2206">
        <v>0.60085932862248603</v>
      </c>
      <c r="R2206">
        <v>0.92108322658567199</v>
      </c>
      <c r="S2206" t="s">
        <v>6502</v>
      </c>
      <c r="T2206" t="s">
        <v>8590</v>
      </c>
      <c r="U2206" t="s">
        <v>8590</v>
      </c>
      <c r="V2206" t="s">
        <v>8590</v>
      </c>
      <c r="W2206">
        <v>7</v>
      </c>
      <c r="X2206" t="s">
        <v>10796</v>
      </c>
      <c r="Y2206">
        <v>0.78082203691861962</v>
      </c>
      <c r="Z2206" t="str">
        <f>HYPERLINK("Melting_Curves/meltCurve_sp_Q7Z5L9_2_I2BP2_HUMAN_.pdf", "Melting_Curves/meltCurve_sp_Q7Z5L9_2_I2BP2_HUMAN_.pdf")</f>
        <v>Melting_Curves/meltCurve_sp_Q7Z5L9_2_I2BP2_HUMAN_.pdf</v>
      </c>
      <c r="AA2206" t="s">
        <v>15051</v>
      </c>
      <c r="AB2206" t="s">
        <v>19290</v>
      </c>
    </row>
    <row r="2207" spans="1:28" x14ac:dyDescent="0.25">
      <c r="A2207" t="s">
        <v>2211</v>
      </c>
      <c r="B2207">
        <v>0.99876560204751996</v>
      </c>
      <c r="C2207">
        <v>1.02338152369653</v>
      </c>
      <c r="D2207">
        <v>0.71235719740735004</v>
      </c>
      <c r="E2207">
        <v>0.44810969356387098</v>
      </c>
      <c r="F2207">
        <v>0.21886227362989299</v>
      </c>
      <c r="G2207">
        <v>0.146618335313353</v>
      </c>
      <c r="H2207">
        <v>7.2030767158267797E-2</v>
      </c>
      <c r="I2207">
        <v>7.4515769242539998E-2</v>
      </c>
      <c r="J2207">
        <v>5.0685757800874698E-2</v>
      </c>
      <c r="K2207">
        <v>3.3639913219629801E-2</v>
      </c>
      <c r="L2207">
        <v>905.19885545780403</v>
      </c>
      <c r="M2207">
        <v>18.527915949876199</v>
      </c>
      <c r="N2207">
        <v>49.149633659975599</v>
      </c>
      <c r="O2207">
        <v>48.297483440832401</v>
      </c>
      <c r="P2207">
        <v>-9.0883615358417005E-2</v>
      </c>
      <c r="Q2207">
        <v>5.24014597775848E-2</v>
      </c>
      <c r="R2207">
        <v>0.98985929169310305</v>
      </c>
      <c r="S2207" t="s">
        <v>6503</v>
      </c>
      <c r="T2207" t="s">
        <v>8590</v>
      </c>
      <c r="U2207" t="s">
        <v>8590</v>
      </c>
      <c r="V2207" t="s">
        <v>8590</v>
      </c>
      <c r="W2207">
        <v>11</v>
      </c>
      <c r="X2207" t="s">
        <v>10797</v>
      </c>
      <c r="Y2207">
        <v>0.34765929363467268</v>
      </c>
      <c r="Z2207" t="str">
        <f>HYPERLINK("Melting_Curves/meltCurve_sp_Q7Z5P4_DHB13_HUMAN_.pdf", "Melting_Curves/meltCurve_sp_Q7Z5P4_DHB13_HUMAN_.pdf")</f>
        <v>Melting_Curves/meltCurve_sp_Q7Z5P4_DHB13_HUMAN_.pdf</v>
      </c>
      <c r="AA2207" t="s">
        <v>15052</v>
      </c>
      <c r="AB2207" t="s">
        <v>19291</v>
      </c>
    </row>
    <row r="2208" spans="1:28" x14ac:dyDescent="0.25">
      <c r="A2208" t="s">
        <v>2212</v>
      </c>
      <c r="B2208">
        <v>0.99876560204751996</v>
      </c>
      <c r="C2208">
        <v>0.80061104528305704</v>
      </c>
      <c r="D2208">
        <v>0.83022164041241497</v>
      </c>
      <c r="E2208">
        <v>0.72914357317121004</v>
      </c>
      <c r="F2208">
        <v>0.51336834284406596</v>
      </c>
      <c r="G2208">
        <v>0.35756638370962301</v>
      </c>
      <c r="H2208">
        <v>7.2189371584221895E-2</v>
      </c>
      <c r="I2208">
        <v>2.77482843968891E-2</v>
      </c>
      <c r="J2208">
        <v>1.4388291174052501E-2</v>
      </c>
      <c r="K2208">
        <v>2.99407347259628E-2</v>
      </c>
      <c r="L2208">
        <v>699.42369375044404</v>
      </c>
      <c r="M2208">
        <v>13.212310773228999</v>
      </c>
      <c r="N2208">
        <v>52.937280228523797</v>
      </c>
      <c r="O2208">
        <v>51.768641821641097</v>
      </c>
      <c r="P2208">
        <v>-6.3815187274665203E-2</v>
      </c>
      <c r="Q2208">
        <v>0</v>
      </c>
      <c r="R2208">
        <v>0.96490488043795497</v>
      </c>
      <c r="S2208" t="s">
        <v>6504</v>
      </c>
      <c r="T2208" t="s">
        <v>8590</v>
      </c>
      <c r="U2208" t="s">
        <v>8590</v>
      </c>
      <c r="V2208" t="s">
        <v>8590</v>
      </c>
      <c r="W2208">
        <v>2</v>
      </c>
      <c r="X2208" t="s">
        <v>10798</v>
      </c>
      <c r="Y2208">
        <v>0.4567642954845027</v>
      </c>
      <c r="Z2208" t="str">
        <f>HYPERLINK("Melting_Curves/meltCurve_sp_Q7Z5Q1_7_CPEB2_HUMAN_.pdf", "Melting_Curves/meltCurve_sp_Q7Z5Q1_7_CPEB2_HUMAN_.pdf")</f>
        <v>Melting_Curves/meltCurve_sp_Q7Z5Q1_7_CPEB2_HUMAN_.pdf</v>
      </c>
      <c r="AA2208" t="s">
        <v>15053</v>
      </c>
      <c r="AB2208" t="s">
        <v>19292</v>
      </c>
    </row>
    <row r="2209" spans="1:28" x14ac:dyDescent="0.25">
      <c r="A2209" t="s">
        <v>2213</v>
      </c>
      <c r="B2209">
        <v>0.99876560204751996</v>
      </c>
      <c r="C2209">
        <v>1.0196752768236299</v>
      </c>
      <c r="D2209">
        <v>1.00008094920996</v>
      </c>
      <c r="E2209">
        <v>0.88590952162155401</v>
      </c>
      <c r="F2209">
        <v>0.61299909841127398</v>
      </c>
      <c r="G2209">
        <v>0.25910585298966898</v>
      </c>
      <c r="H2209">
        <v>0.16953777695412101</v>
      </c>
      <c r="I2209">
        <v>0.14937752442556801</v>
      </c>
      <c r="J2209">
        <v>0.16242643551187899</v>
      </c>
      <c r="K2209">
        <v>0.15222385655232301</v>
      </c>
      <c r="L2209">
        <v>1559.32526545577</v>
      </c>
      <c r="M2209">
        <v>29.260196638792198</v>
      </c>
      <c r="N2209">
        <v>53.953599980295998</v>
      </c>
      <c r="O2209">
        <v>53.044626659487101</v>
      </c>
      <c r="P2209">
        <v>-0.117108357159382</v>
      </c>
      <c r="Q2209">
        <v>0.150802061218475</v>
      </c>
      <c r="R2209">
        <v>0.99951988348319798</v>
      </c>
      <c r="S2209" t="s">
        <v>6505</v>
      </c>
      <c r="T2209" t="s">
        <v>8590</v>
      </c>
      <c r="U2209" t="s">
        <v>8590</v>
      </c>
      <c r="V2209" t="s">
        <v>8590</v>
      </c>
      <c r="W2209">
        <v>10</v>
      </c>
      <c r="X2209" t="s">
        <v>10799</v>
      </c>
      <c r="Y2209">
        <v>0.53284896707021578</v>
      </c>
      <c r="Z2209" t="str">
        <f>HYPERLINK("Melting_Curves/meltCurve_sp_Q7Z5R6_AB1IP_HUMAN_.pdf", "Melting_Curves/meltCurve_sp_Q7Z5R6_AB1IP_HUMAN_.pdf")</f>
        <v>Melting_Curves/meltCurve_sp_Q7Z5R6_AB1IP_HUMAN_.pdf</v>
      </c>
      <c r="AA2209" t="s">
        <v>15054</v>
      </c>
      <c r="AB2209" t="s">
        <v>19293</v>
      </c>
    </row>
    <row r="2210" spans="1:28" x14ac:dyDescent="0.25">
      <c r="A2210" t="s">
        <v>2214</v>
      </c>
      <c r="B2210">
        <v>0.99876560204751996</v>
      </c>
      <c r="C2210">
        <v>0.95540025414200402</v>
      </c>
      <c r="D2210">
        <v>1.0927405289543399</v>
      </c>
      <c r="E2210">
        <v>0.93148416862912697</v>
      </c>
      <c r="F2210">
        <v>1.0981143979352199</v>
      </c>
      <c r="G2210">
        <v>0.87651571160153596</v>
      </c>
      <c r="H2210">
        <v>0.78512598340623896</v>
      </c>
      <c r="I2210">
        <v>0.77985244674407295</v>
      </c>
      <c r="J2210">
        <v>0.91299715417626404</v>
      </c>
      <c r="K2210">
        <v>0.919028752871064</v>
      </c>
      <c r="L2210">
        <v>14163.9001909688</v>
      </c>
      <c r="M2210">
        <v>250</v>
      </c>
      <c r="O2210">
        <v>56.651975319086098</v>
      </c>
      <c r="P2210">
        <v>-0.166310307544841</v>
      </c>
      <c r="Q2210">
        <v>0.84925108153011897</v>
      </c>
      <c r="R2210">
        <v>0.59903652217099002</v>
      </c>
      <c r="S2210" t="s">
        <v>6506</v>
      </c>
      <c r="T2210" t="s">
        <v>8590</v>
      </c>
      <c r="U2210" t="s">
        <v>8590</v>
      </c>
      <c r="V2210" t="s">
        <v>8590</v>
      </c>
      <c r="W2210">
        <v>3</v>
      </c>
      <c r="X2210" t="s">
        <v>10800</v>
      </c>
      <c r="Y2210">
        <v>0.93295986383683727</v>
      </c>
      <c r="Z2210" t="str">
        <f>HYPERLINK("Melting_Curves/meltCurve_sp_Q7Z6E9_4_RBBP6_HUMAN_.pdf", "Melting_Curves/meltCurve_sp_Q7Z6E9_4_RBBP6_HUMAN_.pdf")</f>
        <v>Melting_Curves/meltCurve_sp_Q7Z6E9_4_RBBP6_HUMAN_.pdf</v>
      </c>
      <c r="AA2210" t="s">
        <v>15055</v>
      </c>
      <c r="AB2210" t="s">
        <v>19294</v>
      </c>
    </row>
    <row r="2211" spans="1:28" x14ac:dyDescent="0.25">
      <c r="A2211" t="s">
        <v>2215</v>
      </c>
      <c r="B2211">
        <v>0.99876560204751996</v>
      </c>
      <c r="C2211">
        <v>0.98314395957859901</v>
      </c>
      <c r="D2211">
        <v>0.82476554713082795</v>
      </c>
      <c r="E2211">
        <v>0.65043554554152005</v>
      </c>
      <c r="F2211">
        <v>0.45564158385056602</v>
      </c>
      <c r="G2211">
        <v>0.20136341548801601</v>
      </c>
      <c r="H2211">
        <v>9.5690683662457199E-2</v>
      </c>
      <c r="I2211">
        <v>8.8211851899002297E-2</v>
      </c>
      <c r="J2211">
        <v>8.7869348616965395E-2</v>
      </c>
      <c r="K2211">
        <v>3.7523436710200198E-2</v>
      </c>
      <c r="L2211">
        <v>769.19918736494401</v>
      </c>
      <c r="M2211">
        <v>14.856060613529801</v>
      </c>
      <c r="N2211">
        <v>51.968155200542199</v>
      </c>
      <c r="O2211">
        <v>50.865790889836902</v>
      </c>
      <c r="P2211">
        <v>-7.1079935249996201E-2</v>
      </c>
      <c r="Q2211">
        <v>2.6617408394071701E-2</v>
      </c>
      <c r="R2211">
        <v>0.99588743333895602</v>
      </c>
      <c r="S2211" t="s">
        <v>6507</v>
      </c>
      <c r="T2211" t="s">
        <v>8590</v>
      </c>
      <c r="U2211" t="s">
        <v>8590</v>
      </c>
      <c r="V2211" t="s">
        <v>8590</v>
      </c>
      <c r="W2211">
        <v>3</v>
      </c>
      <c r="X2211" t="s">
        <v>10801</v>
      </c>
      <c r="Y2211">
        <v>0.43098788417054762</v>
      </c>
      <c r="Z2211" t="str">
        <f>HYPERLINK("Melting_Curves/meltCurve_sp_Q7Z6K3_PTAR1_HUMAN_.pdf", "Melting_Curves/meltCurve_sp_Q7Z6K3_PTAR1_HUMAN_.pdf")</f>
        <v>Melting_Curves/meltCurve_sp_Q7Z6K3_PTAR1_HUMAN_.pdf</v>
      </c>
      <c r="AA2211" t="s">
        <v>15056</v>
      </c>
      <c r="AB2211" t="s">
        <v>19295</v>
      </c>
    </row>
    <row r="2212" spans="1:28" x14ac:dyDescent="0.25">
      <c r="A2212" t="s">
        <v>2216</v>
      </c>
      <c r="B2212">
        <v>0.99876560204751996</v>
      </c>
      <c r="C2212">
        <v>0.97188433463326496</v>
      </c>
      <c r="D2212">
        <v>1.01617087648884</v>
      </c>
      <c r="E2212">
        <v>0.96037158986988702</v>
      </c>
      <c r="F2212">
        <v>0.86696416218073402</v>
      </c>
      <c r="G2212">
        <v>0.62713993573550497</v>
      </c>
      <c r="H2212">
        <v>0.37518668594592097</v>
      </c>
      <c r="I2212">
        <v>0.196422809461786</v>
      </c>
      <c r="J2212">
        <v>0.124008745667558</v>
      </c>
      <c r="K2212">
        <v>7.8438471546727701E-2</v>
      </c>
      <c r="L2212">
        <v>1012.84762541409</v>
      </c>
      <c r="M2212">
        <v>17.239297064880201</v>
      </c>
      <c r="N2212">
        <v>58.878033653271601</v>
      </c>
      <c r="O2212">
        <v>57.9787890283365</v>
      </c>
      <c r="P2212">
        <v>-7.2994931976272298E-2</v>
      </c>
      <c r="Q2212">
        <v>1.8078243382554201E-2</v>
      </c>
      <c r="R2212">
        <v>0.99861987842282696</v>
      </c>
      <c r="S2212" t="s">
        <v>6508</v>
      </c>
      <c r="T2212" t="s">
        <v>8590</v>
      </c>
      <c r="U2212" t="s">
        <v>8590</v>
      </c>
      <c r="V2212" t="s">
        <v>8590</v>
      </c>
      <c r="W2212">
        <v>9</v>
      </c>
      <c r="X2212" t="s">
        <v>10802</v>
      </c>
      <c r="Y2212">
        <v>0.64289306421988313</v>
      </c>
      <c r="Z2212" t="str">
        <f>HYPERLINK("Melting_Curves/meltCurve_sp_Q7Z6M1_RABEK_HUMAN_.pdf", "Melting_Curves/meltCurve_sp_Q7Z6M1_RABEK_HUMAN_.pdf")</f>
        <v>Melting_Curves/meltCurve_sp_Q7Z6M1_RABEK_HUMAN_.pdf</v>
      </c>
      <c r="AA2212" t="s">
        <v>15057</v>
      </c>
      <c r="AB2212" t="s">
        <v>19296</v>
      </c>
    </row>
    <row r="2213" spans="1:28" x14ac:dyDescent="0.25">
      <c r="A2213" t="s">
        <v>2217</v>
      </c>
      <c r="B2213">
        <v>0.99876560204751996</v>
      </c>
      <c r="C2213">
        <v>1.0493883890112701</v>
      </c>
      <c r="D2213">
        <v>0.88175473084000799</v>
      </c>
      <c r="E2213">
        <v>0.78793095617989595</v>
      </c>
      <c r="F2213">
        <v>0.51205436959014805</v>
      </c>
      <c r="G2213">
        <v>0.25476764624440301</v>
      </c>
      <c r="H2213">
        <v>0.11965388153734501</v>
      </c>
      <c r="I2213">
        <v>0.10187841202452699</v>
      </c>
      <c r="J2213">
        <v>9.1824901321156296E-2</v>
      </c>
      <c r="K2213">
        <v>8.1102827279305095E-2</v>
      </c>
      <c r="L2213">
        <v>1006.7624486851</v>
      </c>
      <c r="M2213">
        <v>19.063324537055699</v>
      </c>
      <c r="N2213">
        <v>53.222277191013703</v>
      </c>
      <c r="O2213">
        <v>52.240640640356297</v>
      </c>
      <c r="P2213">
        <v>-8.4990540855419697E-2</v>
      </c>
      <c r="Q2213">
        <v>6.8413175306532098E-2</v>
      </c>
      <c r="R2213">
        <v>0.99390227050517599</v>
      </c>
      <c r="S2213" t="s">
        <v>6509</v>
      </c>
      <c r="T2213" t="s">
        <v>8590</v>
      </c>
      <c r="U2213" t="s">
        <v>8590</v>
      </c>
      <c r="V2213" t="s">
        <v>8590</v>
      </c>
      <c r="W2213">
        <v>56</v>
      </c>
      <c r="X2213" t="s">
        <v>10803</v>
      </c>
      <c r="Y2213">
        <v>0.48017027808556112</v>
      </c>
      <c r="Z2213" t="str">
        <f>HYPERLINK("Melting_Curves/meltCurve_sp_Q7Z6Z7_2_HUWE1_HUMAN_.pdf", "Melting_Curves/meltCurve_sp_Q7Z6Z7_2_HUWE1_HUMAN_.pdf")</f>
        <v>Melting_Curves/meltCurve_sp_Q7Z6Z7_2_HUWE1_HUMAN_.pdf</v>
      </c>
      <c r="AA2213" t="s">
        <v>15058</v>
      </c>
      <c r="AB2213" t="s">
        <v>19297</v>
      </c>
    </row>
    <row r="2214" spans="1:28" x14ac:dyDescent="0.25">
      <c r="A2214" t="s">
        <v>2218</v>
      </c>
      <c r="B2214">
        <v>0.99876560204751996</v>
      </c>
      <c r="C2214">
        <v>1.06672989981816</v>
      </c>
      <c r="D2214">
        <v>0.95345585252912401</v>
      </c>
      <c r="E2214">
        <v>1.0073568014224099</v>
      </c>
      <c r="F2214">
        <v>0.77036776663302298</v>
      </c>
      <c r="G2214">
        <v>0.70049278644031798</v>
      </c>
      <c r="H2214">
        <v>0.78014204746958804</v>
      </c>
      <c r="I2214">
        <v>0.47902380501087899</v>
      </c>
      <c r="J2214">
        <v>0.67010423221765303</v>
      </c>
      <c r="K2214">
        <v>0.56844998633849897</v>
      </c>
      <c r="L2214">
        <v>980.5743721069</v>
      </c>
      <c r="M2214">
        <v>18.0741549917363</v>
      </c>
      <c r="O2214">
        <v>53.601787671896901</v>
      </c>
      <c r="P2214">
        <v>-3.4293336772373E-2</v>
      </c>
      <c r="Q2214">
        <v>0.59321030568800304</v>
      </c>
      <c r="R2214">
        <v>0.83255184921769398</v>
      </c>
      <c r="S2214" t="s">
        <v>6510</v>
      </c>
      <c r="T2214" t="s">
        <v>8590</v>
      </c>
      <c r="U2214" t="s">
        <v>8590</v>
      </c>
      <c r="V2214" t="s">
        <v>8590</v>
      </c>
      <c r="W2214">
        <v>3</v>
      </c>
      <c r="X2214" t="s">
        <v>10804</v>
      </c>
      <c r="Y2214">
        <v>0.7928963882890121</v>
      </c>
      <c r="Z2214" t="str">
        <f>HYPERLINK("Melting_Curves/meltCurve_sp_Q7Z7G8_2_VP13B_HUMAN_.pdf", "Melting_Curves/meltCurve_sp_Q7Z7G8_2_VP13B_HUMAN_.pdf")</f>
        <v>Melting_Curves/meltCurve_sp_Q7Z7G8_2_VP13B_HUMAN_.pdf</v>
      </c>
      <c r="AA2214" t="s">
        <v>15059</v>
      </c>
      <c r="AB2214" t="s">
        <v>19298</v>
      </c>
    </row>
    <row r="2215" spans="1:28" x14ac:dyDescent="0.25">
      <c r="A2215" t="s">
        <v>2219</v>
      </c>
      <c r="B2215">
        <v>0.99876560204751996</v>
      </c>
      <c r="C2215">
        <v>1.05868976829726</v>
      </c>
      <c r="D2215">
        <v>1.2994319275625299</v>
      </c>
      <c r="E2215">
        <v>1.0116693690637999</v>
      </c>
      <c r="F2215">
        <v>1.09587825433366</v>
      </c>
      <c r="G2215">
        <v>0.830893430250079</v>
      </c>
      <c r="H2215">
        <v>0.82938706594589295</v>
      </c>
      <c r="I2215">
        <v>0.75923132820114503</v>
      </c>
      <c r="J2215">
        <v>1.05917000154122</v>
      </c>
      <c r="K2215">
        <v>0.85191649620501997</v>
      </c>
      <c r="L2215">
        <v>5165.2718775585099</v>
      </c>
      <c r="M2215">
        <v>93.545948547934501</v>
      </c>
      <c r="O2215">
        <v>55.191201444894403</v>
      </c>
      <c r="P2215">
        <v>-5.7197752687042303E-2</v>
      </c>
      <c r="Q2215">
        <v>0.86501555141196396</v>
      </c>
      <c r="R2215">
        <v>0.35255965259294197</v>
      </c>
      <c r="S2215" t="s">
        <v>6511</v>
      </c>
      <c r="T2215" t="s">
        <v>8590</v>
      </c>
      <c r="U2215" t="s">
        <v>8590</v>
      </c>
      <c r="V2215" t="s">
        <v>8590</v>
      </c>
      <c r="W2215">
        <v>2</v>
      </c>
      <c r="X2215" t="s">
        <v>10805</v>
      </c>
      <c r="Y2215">
        <v>0.93357507979504817</v>
      </c>
      <c r="Z2215" t="str">
        <f>HYPERLINK("Melting_Curves/meltCurve_sp_Q7Z7K0_COXM1_HUMAN_.pdf", "Melting_Curves/meltCurve_sp_Q7Z7K0_COXM1_HUMAN_.pdf")</f>
        <v>Melting_Curves/meltCurve_sp_Q7Z7K0_COXM1_HUMAN_.pdf</v>
      </c>
      <c r="AA2215" t="s">
        <v>15060</v>
      </c>
      <c r="AB2215" t="s">
        <v>19299</v>
      </c>
    </row>
    <row r="2216" spans="1:28" x14ac:dyDescent="0.25">
      <c r="A2216" t="s">
        <v>2220</v>
      </c>
      <c r="B2216">
        <v>0.99876560204751996</v>
      </c>
      <c r="C2216">
        <v>0.89073302412545097</v>
      </c>
      <c r="D2216">
        <v>0.77223504137902199</v>
      </c>
      <c r="E2216">
        <v>0.73169716036674104</v>
      </c>
      <c r="F2216">
        <v>0.48469310314689801</v>
      </c>
      <c r="G2216">
        <v>0.31310300891526999</v>
      </c>
      <c r="H2216">
        <v>0.25497605398902601</v>
      </c>
      <c r="I2216">
        <v>0.242225441735509</v>
      </c>
      <c r="J2216">
        <v>0.29696368579069099</v>
      </c>
      <c r="K2216">
        <v>0.29058092697296301</v>
      </c>
      <c r="L2216">
        <v>677.07088226666303</v>
      </c>
      <c r="M2216">
        <v>13.4388790111375</v>
      </c>
      <c r="N2216">
        <v>52.796029101070502</v>
      </c>
      <c r="O2216">
        <v>49.305166632802297</v>
      </c>
      <c r="P2216">
        <v>-5.2506137422606201E-2</v>
      </c>
      <c r="Q2216">
        <v>0.229572044980726</v>
      </c>
      <c r="R2216">
        <v>0.96869855714923703</v>
      </c>
      <c r="S2216" t="s">
        <v>6512</v>
      </c>
      <c r="T2216" t="s">
        <v>8590</v>
      </c>
      <c r="U2216" t="s">
        <v>8590</v>
      </c>
      <c r="V2216" t="s">
        <v>8590</v>
      </c>
      <c r="W2216">
        <v>6</v>
      </c>
      <c r="X2216" t="s">
        <v>10806</v>
      </c>
      <c r="Y2216">
        <v>0.51800459333014248</v>
      </c>
      <c r="Z2216" t="str">
        <f>HYPERLINK("Melting_Curves/meltCurve_sp_Q7Z7K6_3_CENPV_HUMAN_.pdf", "Melting_Curves/meltCurve_sp_Q7Z7K6_3_CENPV_HUMAN_.pdf")</f>
        <v>Melting_Curves/meltCurve_sp_Q7Z7K6_3_CENPV_HUMAN_.pdf</v>
      </c>
      <c r="AA2216" t="s">
        <v>15061</v>
      </c>
      <c r="AB2216" t="s">
        <v>19300</v>
      </c>
    </row>
    <row r="2217" spans="1:28" x14ac:dyDescent="0.25">
      <c r="A2217" t="s">
        <v>2221</v>
      </c>
      <c r="B2217">
        <v>0.99876560204751996</v>
      </c>
      <c r="C2217">
        <v>0.98799650235084202</v>
      </c>
      <c r="D2217">
        <v>1.0009436924511499</v>
      </c>
      <c r="E2217">
        <v>0.93866705660101002</v>
      </c>
      <c r="F2217">
        <v>0.90217881876008099</v>
      </c>
      <c r="G2217">
        <v>0.66109422626784098</v>
      </c>
      <c r="H2217">
        <v>0.55763697369260701</v>
      </c>
      <c r="I2217">
        <v>0.57125549199671499</v>
      </c>
      <c r="J2217">
        <v>0.66938875256293795</v>
      </c>
      <c r="K2217">
        <v>0.68430218199276804</v>
      </c>
      <c r="L2217">
        <v>2287.1673641153402</v>
      </c>
      <c r="M2217">
        <v>42.230299532192497</v>
      </c>
      <c r="O2217">
        <v>54.038367937206402</v>
      </c>
      <c r="P2217">
        <v>-7.4223446786026007E-2</v>
      </c>
      <c r="Q2217">
        <v>0.62009197827903895</v>
      </c>
      <c r="R2217">
        <v>0.947361542207526</v>
      </c>
      <c r="S2217" t="s">
        <v>6513</v>
      </c>
      <c r="T2217" t="s">
        <v>8590</v>
      </c>
      <c r="U2217" t="s">
        <v>8590</v>
      </c>
      <c r="V2217" t="s">
        <v>8590</v>
      </c>
      <c r="W2217">
        <v>30</v>
      </c>
      <c r="X2217" t="s">
        <v>10807</v>
      </c>
      <c r="Y2217">
        <v>0.80067400974816605</v>
      </c>
      <c r="Z2217" t="str">
        <f>HYPERLINK("Melting_Curves/meltCurve_sp_Q86SQ0_3_PHLB2_HUMAN_.pdf", "Melting_Curves/meltCurve_sp_Q86SQ0_3_PHLB2_HUMAN_.pdf")</f>
        <v>Melting_Curves/meltCurve_sp_Q86SQ0_3_PHLB2_HUMAN_.pdf</v>
      </c>
      <c r="AA2217" t="s">
        <v>15062</v>
      </c>
      <c r="AB2217" t="s">
        <v>19301</v>
      </c>
    </row>
    <row r="2218" spans="1:28" x14ac:dyDescent="0.25">
      <c r="A2218" t="s">
        <v>2222</v>
      </c>
      <c r="B2218">
        <v>0.99876560204751996</v>
      </c>
      <c r="C2218">
        <v>0.96252935032696596</v>
      </c>
      <c r="D2218">
        <v>0.93166927480217998</v>
      </c>
      <c r="E2218">
        <v>0.89535669102209903</v>
      </c>
      <c r="F2218">
        <v>0.83491025425709098</v>
      </c>
      <c r="G2218">
        <v>0.65187396518122898</v>
      </c>
      <c r="H2218">
        <v>0.58103353065576002</v>
      </c>
      <c r="I2218">
        <v>0.55908372435230203</v>
      </c>
      <c r="J2218">
        <v>0.68270997857996796</v>
      </c>
      <c r="K2218">
        <v>0.64523220799111203</v>
      </c>
      <c r="L2218">
        <v>1164.67023987025</v>
      </c>
      <c r="M2218">
        <v>22.0812710414266</v>
      </c>
      <c r="O2218">
        <v>52.317838786554901</v>
      </c>
      <c r="P2218">
        <v>-4.1220623122627101E-2</v>
      </c>
      <c r="Q2218">
        <v>0.609347461362162</v>
      </c>
      <c r="R2218">
        <v>0.92860754819049995</v>
      </c>
      <c r="S2218" t="s">
        <v>6514</v>
      </c>
      <c r="T2218" t="s">
        <v>8590</v>
      </c>
      <c r="U2218" t="s">
        <v>8590</v>
      </c>
      <c r="V2218" t="s">
        <v>8590</v>
      </c>
      <c r="W2218">
        <v>32</v>
      </c>
      <c r="X2218" t="s">
        <v>10808</v>
      </c>
      <c r="Y2218">
        <v>0.77982393993770827</v>
      </c>
      <c r="Z2218" t="str">
        <f>HYPERLINK("Melting_Curves/meltCurve_sp_Q86SQ0_PHLB2_HUMAN_.pdf", "Melting_Curves/meltCurve_sp_Q86SQ0_PHLB2_HUMAN_.pdf")</f>
        <v>Melting_Curves/meltCurve_sp_Q86SQ0_PHLB2_HUMAN_.pdf</v>
      </c>
      <c r="AA2218" t="s">
        <v>15062</v>
      </c>
      <c r="AB2218" t="s">
        <v>19302</v>
      </c>
    </row>
    <row r="2219" spans="1:28" x14ac:dyDescent="0.25">
      <c r="A2219" t="s">
        <v>2223</v>
      </c>
      <c r="B2219">
        <v>0.99876560204751996</v>
      </c>
      <c r="C2219">
        <v>1.0103096190992</v>
      </c>
      <c r="D2219">
        <v>1.3046129485503399</v>
      </c>
      <c r="E2219">
        <v>0.95596028814290701</v>
      </c>
      <c r="F2219">
        <v>0.94163893478285199</v>
      </c>
      <c r="G2219">
        <v>0.68106384131903097</v>
      </c>
      <c r="H2219">
        <v>0.56780321670989298</v>
      </c>
      <c r="I2219">
        <v>0.552891629330729</v>
      </c>
      <c r="J2219">
        <v>0.682935340429357</v>
      </c>
      <c r="K2219">
        <v>0.66419143835216299</v>
      </c>
      <c r="L2219">
        <v>2586.7111390222899</v>
      </c>
      <c r="M2219">
        <v>47.108996131018003</v>
      </c>
      <c r="O2219">
        <v>54.810399652664799</v>
      </c>
      <c r="P2219">
        <v>-8.2228561470104294E-2</v>
      </c>
      <c r="Q2219">
        <v>0.61731510858005301</v>
      </c>
      <c r="R2219">
        <v>0.79645749387141196</v>
      </c>
      <c r="S2219" t="s">
        <v>6515</v>
      </c>
      <c r="T2219" t="s">
        <v>8590</v>
      </c>
      <c r="U2219" t="s">
        <v>8590</v>
      </c>
      <c r="V2219" t="s">
        <v>8590</v>
      </c>
      <c r="W2219">
        <v>7</v>
      </c>
      <c r="X2219" t="s">
        <v>10809</v>
      </c>
      <c r="Y2219">
        <v>0.80854152223332465</v>
      </c>
      <c r="Z2219" t="str">
        <f>HYPERLINK("Melting_Curves/meltCurve_sp_Q86SX6_GLRX5_HUMAN_.pdf", "Melting_Curves/meltCurve_sp_Q86SX6_GLRX5_HUMAN_.pdf")</f>
        <v>Melting_Curves/meltCurve_sp_Q86SX6_GLRX5_HUMAN_.pdf</v>
      </c>
      <c r="AA2219" t="s">
        <v>15063</v>
      </c>
      <c r="AB2219" t="s">
        <v>19303</v>
      </c>
    </row>
    <row r="2220" spans="1:28" x14ac:dyDescent="0.25">
      <c r="A2220" t="s">
        <v>2224</v>
      </c>
      <c r="B2220">
        <v>0.99876560204751996</v>
      </c>
      <c r="C2220">
        <v>1.1114345810844299</v>
      </c>
      <c r="D2220">
        <v>0.73030558879284002</v>
      </c>
      <c r="E2220">
        <v>0.84916130746501495</v>
      </c>
      <c r="F2220">
        <v>0.65892345764594396</v>
      </c>
      <c r="G2220">
        <v>0.41449460144244799</v>
      </c>
      <c r="H2220">
        <v>0.16823787006157601</v>
      </c>
      <c r="I2220">
        <v>5.12202261304694E-2</v>
      </c>
      <c r="J2220">
        <v>2.7124604400302101E-2</v>
      </c>
      <c r="K2220">
        <v>3.2000060993931198E-2</v>
      </c>
      <c r="L2220">
        <v>839.44000735992302</v>
      </c>
      <c r="M2220">
        <v>15.2551372178894</v>
      </c>
      <c r="N2220">
        <v>55.026699792113597</v>
      </c>
      <c r="O2220">
        <v>54.107142690156898</v>
      </c>
      <c r="P2220">
        <v>-7.0492457109591095E-2</v>
      </c>
      <c r="Q2220">
        <v>0</v>
      </c>
      <c r="R2220">
        <v>0.95449912585169805</v>
      </c>
      <c r="S2220" t="s">
        <v>6516</v>
      </c>
      <c r="T2220" t="s">
        <v>8590</v>
      </c>
      <c r="U2220" t="s">
        <v>8590</v>
      </c>
      <c r="V2220" t="s">
        <v>8590</v>
      </c>
      <c r="W2220">
        <v>4</v>
      </c>
      <c r="X2220" t="s">
        <v>10810</v>
      </c>
      <c r="Y2220">
        <v>0.51979135070204308</v>
      </c>
      <c r="Z2220" t="str">
        <f>HYPERLINK("Melting_Curves/meltCurve_sp_Q86SZ2_TPC6B_HUMAN_.pdf", "Melting_Curves/meltCurve_sp_Q86SZ2_TPC6B_HUMAN_.pdf")</f>
        <v>Melting_Curves/meltCurve_sp_Q86SZ2_TPC6B_HUMAN_.pdf</v>
      </c>
      <c r="AA2220" t="s">
        <v>15064</v>
      </c>
      <c r="AB2220" t="s">
        <v>19304</v>
      </c>
    </row>
    <row r="2221" spans="1:28" x14ac:dyDescent="0.25">
      <c r="A2221" t="s">
        <v>2225</v>
      </c>
      <c r="B2221">
        <v>0.99876560204751996</v>
      </c>
      <c r="C2221">
        <v>0.95939647248740301</v>
      </c>
      <c r="D2221">
        <v>1.0063952551637301</v>
      </c>
      <c r="E2221">
        <v>0.82396586484674295</v>
      </c>
      <c r="F2221">
        <v>0.82010251280666402</v>
      </c>
      <c r="G2221">
        <v>0.56128283328778095</v>
      </c>
      <c r="H2221">
        <v>0.489812266499844</v>
      </c>
      <c r="I2221">
        <v>0.46210108641606801</v>
      </c>
      <c r="J2221">
        <v>0.58560878540113703</v>
      </c>
      <c r="K2221">
        <v>0.48582690778063398</v>
      </c>
      <c r="L2221">
        <v>1096.32125150204</v>
      </c>
      <c r="M2221">
        <v>20.6424075670291</v>
      </c>
      <c r="N2221">
        <v>65.948917422750895</v>
      </c>
      <c r="O2221">
        <v>52.619247733107798</v>
      </c>
      <c r="P2221">
        <v>-4.9920226354219097E-2</v>
      </c>
      <c r="Q2221">
        <v>0.491011057525018</v>
      </c>
      <c r="R2221">
        <v>0.94979448123434196</v>
      </c>
      <c r="S2221" t="s">
        <v>6517</v>
      </c>
      <c r="T2221" t="s">
        <v>8590</v>
      </c>
      <c r="U2221" t="s">
        <v>8590</v>
      </c>
      <c r="V2221" t="s">
        <v>8590</v>
      </c>
      <c r="W2221">
        <v>5</v>
      </c>
      <c r="X2221" t="s">
        <v>10811</v>
      </c>
      <c r="Y2221">
        <v>0.72006700050708605</v>
      </c>
      <c r="Z2221" t="str">
        <f>HYPERLINK("Melting_Curves/meltCurve_sp_Q86TB9_4_PATL1_HUMAN_.pdf", "Melting_Curves/meltCurve_sp_Q86TB9_4_PATL1_HUMAN_.pdf")</f>
        <v>Melting_Curves/meltCurve_sp_Q86TB9_4_PATL1_HUMAN_.pdf</v>
      </c>
      <c r="AA2221" t="s">
        <v>15065</v>
      </c>
      <c r="AB2221" t="s">
        <v>19305</v>
      </c>
    </row>
    <row r="2222" spans="1:28" x14ac:dyDescent="0.25">
      <c r="A2222" t="s">
        <v>2226</v>
      </c>
      <c r="B2222">
        <v>0.99876560204751996</v>
      </c>
      <c r="C2222">
        <v>0.99890789234288302</v>
      </c>
      <c r="D2222">
        <v>0.87424699816394402</v>
      </c>
      <c r="E2222">
        <v>0.93522242690485802</v>
      </c>
      <c r="F2222">
        <v>0.64991588555255497</v>
      </c>
      <c r="G2222">
        <v>0.383742165198385</v>
      </c>
      <c r="H2222">
        <v>0.14879126534269899</v>
      </c>
      <c r="I2222">
        <v>9.5345276116433703E-2</v>
      </c>
      <c r="J2222">
        <v>9.2495384197570904E-2</v>
      </c>
      <c r="K2222">
        <v>8.1898553265986995E-2</v>
      </c>
      <c r="L2222">
        <v>1079.9318145861801</v>
      </c>
      <c r="M2222">
        <v>19.700926311908098</v>
      </c>
      <c r="N2222">
        <v>55.156878413181197</v>
      </c>
      <c r="O2222">
        <v>54.260879941860402</v>
      </c>
      <c r="P2222">
        <v>-8.5574029439809005E-2</v>
      </c>
      <c r="Q2222">
        <v>5.7270379865778799E-2</v>
      </c>
      <c r="R2222">
        <v>0.98862928127245397</v>
      </c>
      <c r="S2222" t="s">
        <v>6518</v>
      </c>
      <c r="T2222" t="s">
        <v>8590</v>
      </c>
      <c r="U2222" t="s">
        <v>8590</v>
      </c>
      <c r="V2222" t="s">
        <v>8590</v>
      </c>
      <c r="W2222">
        <v>17</v>
      </c>
      <c r="X2222" t="s">
        <v>10812</v>
      </c>
      <c r="Y2222">
        <v>0.53576231875519964</v>
      </c>
      <c r="Z2222" t="str">
        <f>HYPERLINK("Melting_Curves/meltCurve_sp_Q86TI2_DPP9_HUMAN_.pdf", "Melting_Curves/meltCurve_sp_Q86TI2_DPP9_HUMAN_.pdf")</f>
        <v>Melting_Curves/meltCurve_sp_Q86TI2_DPP9_HUMAN_.pdf</v>
      </c>
      <c r="AA2222" t="s">
        <v>15066</v>
      </c>
      <c r="AB2222" t="s">
        <v>19306</v>
      </c>
    </row>
    <row r="2223" spans="1:28" x14ac:dyDescent="0.25">
      <c r="A2223" t="s">
        <v>2227</v>
      </c>
      <c r="B2223">
        <v>0.99876560204751996</v>
      </c>
      <c r="C2223">
        <v>0.95792076251973401</v>
      </c>
      <c r="D2223">
        <v>0.88147461164437402</v>
      </c>
      <c r="E2223">
        <v>0.66806976275122598</v>
      </c>
      <c r="F2223">
        <v>0.35004130543687401</v>
      </c>
      <c r="G2223">
        <v>0.19017031748673999</v>
      </c>
      <c r="H2223">
        <v>9.8032933548911003E-2</v>
      </c>
      <c r="I2223">
        <v>4.4643833402632303E-2</v>
      </c>
      <c r="J2223">
        <v>3.97007267190949E-2</v>
      </c>
      <c r="K2223">
        <v>2.6462775199818898E-2</v>
      </c>
      <c r="L2223">
        <v>909.70579648311195</v>
      </c>
      <c r="M2223">
        <v>17.6806218687111</v>
      </c>
      <c r="N2223">
        <v>51.598275886980701</v>
      </c>
      <c r="O2223">
        <v>50.807474877228898</v>
      </c>
      <c r="P2223">
        <v>-8.4878032884241006E-2</v>
      </c>
      <c r="Q2223">
        <v>2.4421146094959E-2</v>
      </c>
      <c r="R2223">
        <v>0.99754084002127796</v>
      </c>
      <c r="S2223" t="s">
        <v>6519</v>
      </c>
      <c r="T2223" t="s">
        <v>8590</v>
      </c>
      <c r="U2223" t="s">
        <v>8590</v>
      </c>
      <c r="V2223" t="s">
        <v>8590</v>
      </c>
      <c r="W2223">
        <v>3</v>
      </c>
      <c r="X2223" t="s">
        <v>10813</v>
      </c>
      <c r="Y2223">
        <v>0.41370759040390032</v>
      </c>
      <c r="Z2223" t="str">
        <f>HYPERLINK("Melting_Curves/meltCurve_sp_Q86TP1_PRUNE_HUMAN_.pdf", "Melting_Curves/meltCurve_sp_Q86TP1_PRUNE_HUMAN_.pdf")</f>
        <v>Melting_Curves/meltCurve_sp_Q86TP1_PRUNE_HUMAN_.pdf</v>
      </c>
      <c r="AA2223" t="s">
        <v>15067</v>
      </c>
      <c r="AB2223" t="s">
        <v>19307</v>
      </c>
    </row>
    <row r="2224" spans="1:28" x14ac:dyDescent="0.25">
      <c r="A2224" t="s">
        <v>2228</v>
      </c>
      <c r="B2224">
        <v>0.99876560204751996</v>
      </c>
      <c r="C2224">
        <v>0.99764846369851001</v>
      </c>
      <c r="D2224">
        <v>0.99833447669089903</v>
      </c>
      <c r="E2224">
        <v>0.74152356474501202</v>
      </c>
      <c r="F2224">
        <v>0.29551736733198303</v>
      </c>
      <c r="G2224">
        <v>0.188207418975364</v>
      </c>
      <c r="H2224">
        <v>0.120749180680713</v>
      </c>
      <c r="I2224">
        <v>9.12146286033505E-2</v>
      </c>
      <c r="J2224">
        <v>5.2877504016519798E-2</v>
      </c>
      <c r="K2224">
        <v>3.9358196836729302E-2</v>
      </c>
      <c r="L2224">
        <v>1716.4263525972899</v>
      </c>
      <c r="M2224">
        <v>33.453002682920499</v>
      </c>
      <c r="N2224">
        <v>51.604911643540603</v>
      </c>
      <c r="O2224">
        <v>51.126277588347797</v>
      </c>
      <c r="P2224">
        <v>-0.14928648796336699</v>
      </c>
      <c r="Q2224">
        <v>8.7384661718222706E-2</v>
      </c>
      <c r="R2224">
        <v>0.99375438527453197</v>
      </c>
      <c r="S2224" t="s">
        <v>6520</v>
      </c>
      <c r="T2224" t="s">
        <v>8590</v>
      </c>
      <c r="U2224" t="s">
        <v>8590</v>
      </c>
      <c r="V2224" t="s">
        <v>8590</v>
      </c>
      <c r="W2224">
        <v>7</v>
      </c>
      <c r="X2224" t="s">
        <v>10814</v>
      </c>
      <c r="Y2224">
        <v>0.43603404872239698</v>
      </c>
      <c r="Z2224" t="str">
        <f>HYPERLINK("Melting_Curves/meltCurve_sp_Q86TU7_SETD3_HUMAN_.pdf", "Melting_Curves/meltCurve_sp_Q86TU7_SETD3_HUMAN_.pdf")</f>
        <v>Melting_Curves/meltCurve_sp_Q86TU7_SETD3_HUMAN_.pdf</v>
      </c>
      <c r="AA2224" t="s">
        <v>15068</v>
      </c>
      <c r="AB2224" t="s">
        <v>19308</v>
      </c>
    </row>
    <row r="2225" spans="1:28" x14ac:dyDescent="0.25">
      <c r="A2225" t="s">
        <v>2229</v>
      </c>
      <c r="B2225">
        <v>0.99876560204751996</v>
      </c>
      <c r="C2225">
        <v>0.90276495423215797</v>
      </c>
      <c r="D2225">
        <v>0.98898219408158095</v>
      </c>
      <c r="E2225">
        <v>0.79593608032415397</v>
      </c>
      <c r="F2225">
        <v>0.386714180457495</v>
      </c>
      <c r="G2225">
        <v>0.126562903658998</v>
      </c>
      <c r="H2225">
        <v>7.6051133507673202E-2</v>
      </c>
      <c r="I2225">
        <v>5.7501419847393903E-2</v>
      </c>
      <c r="J2225">
        <v>5.5559192975042998E-2</v>
      </c>
      <c r="K2225">
        <v>4.7289694324333102E-2</v>
      </c>
      <c r="L2225">
        <v>1614.1496870424601</v>
      </c>
      <c r="M2225">
        <v>31.0394459883553</v>
      </c>
      <c r="N2225">
        <v>52.208024263585401</v>
      </c>
      <c r="O2225">
        <v>51.788767419718198</v>
      </c>
      <c r="P2225">
        <v>-0.14124705066555401</v>
      </c>
      <c r="Q2225">
        <v>5.73328279306759E-2</v>
      </c>
      <c r="R2225">
        <v>0.99408854807978697</v>
      </c>
      <c r="S2225" t="s">
        <v>6521</v>
      </c>
      <c r="T2225" t="s">
        <v>8590</v>
      </c>
      <c r="U2225" t="s">
        <v>8590</v>
      </c>
      <c r="V2225" t="s">
        <v>8590</v>
      </c>
      <c r="W2225">
        <v>28</v>
      </c>
      <c r="X2225" t="s">
        <v>10815</v>
      </c>
      <c r="Y2225">
        <v>0.44012873978468953</v>
      </c>
      <c r="Z2225" t="str">
        <f>HYPERLINK("Melting_Curves/meltCurve_sp_Q86TX2_ACOT1_HUMAN_.pdf", "Melting_Curves/meltCurve_sp_Q86TX2_ACOT1_HUMAN_.pdf")</f>
        <v>Melting_Curves/meltCurve_sp_Q86TX2_ACOT1_HUMAN_.pdf</v>
      </c>
      <c r="AA2225" t="s">
        <v>15069</v>
      </c>
      <c r="AB2225" t="s">
        <v>19309</v>
      </c>
    </row>
    <row r="2226" spans="1:28" x14ac:dyDescent="0.25">
      <c r="A2226" t="s">
        <v>2230</v>
      </c>
      <c r="B2226">
        <v>0.99876560204751996</v>
      </c>
      <c r="C2226">
        <v>0.93685403349352503</v>
      </c>
      <c r="D2226">
        <v>0.95845659392641203</v>
      </c>
      <c r="E2226">
        <v>0.88837900639557699</v>
      </c>
      <c r="F2226">
        <v>0.79347278797267495</v>
      </c>
      <c r="G2226">
        <v>0.64180189596498105</v>
      </c>
      <c r="H2226">
        <v>0.51209142786287698</v>
      </c>
      <c r="I2226">
        <v>0.55427549098628504</v>
      </c>
      <c r="J2226">
        <v>0.66845533797219703</v>
      </c>
      <c r="K2226">
        <v>0.672113478892432</v>
      </c>
      <c r="L2226">
        <v>1313.17649595989</v>
      </c>
      <c r="M2226">
        <v>25.127285653819602</v>
      </c>
      <c r="O2226">
        <v>51.933340755977198</v>
      </c>
      <c r="P2226">
        <v>-4.8321966175012998E-2</v>
      </c>
      <c r="Q2226">
        <v>0.60051585434358801</v>
      </c>
      <c r="R2226">
        <v>0.90191287421688204</v>
      </c>
      <c r="S2226" t="s">
        <v>6522</v>
      </c>
      <c r="T2226" t="s">
        <v>8590</v>
      </c>
      <c r="U2226" t="s">
        <v>8590</v>
      </c>
      <c r="V2226" t="s">
        <v>8590</v>
      </c>
      <c r="W2226">
        <v>9</v>
      </c>
      <c r="X2226" t="s">
        <v>10816</v>
      </c>
      <c r="Y2226">
        <v>0.76740528081714199</v>
      </c>
      <c r="Z2226" t="str">
        <f>HYPERLINK("Melting_Curves/meltCurve_sp_Q86U17_SPA11_HUMAN_.pdf", "Melting_Curves/meltCurve_sp_Q86U17_SPA11_HUMAN_.pdf")</f>
        <v>Melting_Curves/meltCurve_sp_Q86U17_SPA11_HUMAN_.pdf</v>
      </c>
      <c r="AA2226" t="s">
        <v>15070</v>
      </c>
      <c r="AB2226" t="s">
        <v>19310</v>
      </c>
    </row>
    <row r="2227" spans="1:28" x14ac:dyDescent="0.25">
      <c r="A2227" t="s">
        <v>2231</v>
      </c>
      <c r="B2227">
        <v>0.99876560204751996</v>
      </c>
      <c r="C2227">
        <v>0.91278044975559602</v>
      </c>
      <c r="D2227">
        <v>0.98565225884238505</v>
      </c>
      <c r="E2227">
        <v>0.86312706200052103</v>
      </c>
      <c r="F2227">
        <v>0.89971068518908104</v>
      </c>
      <c r="G2227">
        <v>0.69400746325926799</v>
      </c>
      <c r="H2227">
        <v>0.59204769207177099</v>
      </c>
      <c r="I2227">
        <v>0.60906195574839594</v>
      </c>
      <c r="J2227">
        <v>0.64758547241369802</v>
      </c>
      <c r="K2227">
        <v>0.72915319893169195</v>
      </c>
      <c r="L2227">
        <v>1126.0157173054399</v>
      </c>
      <c r="M2227">
        <v>21.144760290457199</v>
      </c>
      <c r="O2227">
        <v>52.7832640388729</v>
      </c>
      <c r="P2227">
        <v>-3.6294385346189402E-2</v>
      </c>
      <c r="Q2227">
        <v>0.63760552252433</v>
      </c>
      <c r="R2227">
        <v>0.85906482139597096</v>
      </c>
      <c r="S2227" t="s">
        <v>6523</v>
      </c>
      <c r="T2227" t="s">
        <v>8590</v>
      </c>
      <c r="U2227" t="s">
        <v>8590</v>
      </c>
      <c r="V2227" t="s">
        <v>8590</v>
      </c>
      <c r="W2227">
        <v>5</v>
      </c>
      <c r="X2227" t="s">
        <v>10817</v>
      </c>
      <c r="Y2227">
        <v>0.8022168805264791</v>
      </c>
      <c r="Z2227" t="str">
        <f>HYPERLINK("Melting_Curves/meltCurve_sp_Q86U28_ISCA2_HUMAN_.pdf", "Melting_Curves/meltCurve_sp_Q86U28_ISCA2_HUMAN_.pdf")</f>
        <v>Melting_Curves/meltCurve_sp_Q86U28_ISCA2_HUMAN_.pdf</v>
      </c>
      <c r="AA2227" t="s">
        <v>15071</v>
      </c>
      <c r="AB2227" t="s">
        <v>19311</v>
      </c>
    </row>
    <row r="2228" spans="1:28" x14ac:dyDescent="0.25">
      <c r="A2228" t="s">
        <v>2232</v>
      </c>
      <c r="B2228">
        <v>0.99876560204751996</v>
      </c>
      <c r="C2228">
        <v>1.0011298670753299</v>
      </c>
      <c r="D2228">
        <v>1.00319180989072</v>
      </c>
      <c r="E2228">
        <v>0.94294302686378595</v>
      </c>
      <c r="F2228">
        <v>0.96284700355294095</v>
      </c>
      <c r="G2228">
        <v>0.66914551295854297</v>
      </c>
      <c r="H2228">
        <v>0.46843289823887702</v>
      </c>
      <c r="I2228">
        <v>0.447147404257493</v>
      </c>
      <c r="J2228">
        <v>0.51143555239743899</v>
      </c>
      <c r="K2228">
        <v>0.52653803595620896</v>
      </c>
      <c r="L2228">
        <v>2649.1788851890601</v>
      </c>
      <c r="M2228">
        <v>47.122810482510502</v>
      </c>
      <c r="N2228">
        <v>60.822549428551298</v>
      </c>
      <c r="O2228">
        <v>56.117643746123797</v>
      </c>
      <c r="P2228">
        <v>-0.107928871873476</v>
      </c>
      <c r="Q2228">
        <v>0.485878932244942</v>
      </c>
      <c r="R2228">
        <v>0.98551856005814897</v>
      </c>
      <c r="S2228" t="s">
        <v>6524</v>
      </c>
      <c r="T2228" t="s">
        <v>8590</v>
      </c>
      <c r="U2228" t="s">
        <v>8590</v>
      </c>
      <c r="V2228" t="s">
        <v>8590</v>
      </c>
      <c r="W2228">
        <v>2</v>
      </c>
      <c r="X2228" t="s">
        <v>10818</v>
      </c>
      <c r="Y2228">
        <v>0.76525648621383879</v>
      </c>
      <c r="Z2228" t="str">
        <f>HYPERLINK("Melting_Curves/meltCurve_sp_Q86U42_2_PABP2_HUMAN_.pdf", "Melting_Curves/meltCurve_sp_Q86U42_2_PABP2_HUMAN_.pdf")</f>
        <v>Melting_Curves/meltCurve_sp_Q86U42_2_PABP2_HUMAN_.pdf</v>
      </c>
      <c r="AA2228" t="s">
        <v>15072</v>
      </c>
      <c r="AB2228" t="s">
        <v>19312</v>
      </c>
    </row>
    <row r="2229" spans="1:28" x14ac:dyDescent="0.25">
      <c r="A2229" t="s">
        <v>2233</v>
      </c>
      <c r="B2229">
        <v>0.99876560204751996</v>
      </c>
      <c r="C2229">
        <v>1.05452667102901</v>
      </c>
      <c r="D2229">
        <v>1.0217410169408201</v>
      </c>
      <c r="E2229">
        <v>0.93983650608098901</v>
      </c>
      <c r="F2229">
        <v>0.54794669571154897</v>
      </c>
      <c r="G2229">
        <v>0.28599385659975002</v>
      </c>
      <c r="H2229">
        <v>0.194746100773451</v>
      </c>
      <c r="I2229">
        <v>0.15548440112203701</v>
      </c>
      <c r="J2229">
        <v>0.20101362008726201</v>
      </c>
      <c r="K2229">
        <v>0.179001965737245</v>
      </c>
      <c r="L2229">
        <v>1967.7054278028099</v>
      </c>
      <c r="M2229">
        <v>37.2500859573816</v>
      </c>
      <c r="N2229">
        <v>53.509239759813902</v>
      </c>
      <c r="O2229">
        <v>52.672634501031098</v>
      </c>
      <c r="P2229">
        <v>-0.14327090525969499</v>
      </c>
      <c r="Q2229">
        <v>0.18964641090551501</v>
      </c>
      <c r="R2229">
        <v>0.99407273959777998</v>
      </c>
      <c r="S2229" t="s">
        <v>6525</v>
      </c>
      <c r="T2229" t="s">
        <v>8590</v>
      </c>
      <c r="U2229" t="s">
        <v>8590</v>
      </c>
      <c r="V2229" t="s">
        <v>8590</v>
      </c>
      <c r="W2229">
        <v>6</v>
      </c>
      <c r="X2229" t="s">
        <v>10819</v>
      </c>
      <c r="Y2229">
        <v>0.5394604385012236</v>
      </c>
      <c r="Z2229" t="str">
        <f>HYPERLINK("Melting_Curves/meltCurve_sp_Q86U44_MTA70_HUMAN_.pdf", "Melting_Curves/meltCurve_sp_Q86U44_MTA70_HUMAN_.pdf")</f>
        <v>Melting_Curves/meltCurve_sp_Q86U44_MTA70_HUMAN_.pdf</v>
      </c>
      <c r="AA2229" t="s">
        <v>15073</v>
      </c>
      <c r="AB2229" t="s">
        <v>19313</v>
      </c>
    </row>
    <row r="2230" spans="1:28" x14ac:dyDescent="0.25">
      <c r="A2230" t="s">
        <v>2234</v>
      </c>
      <c r="B2230">
        <v>0.99876560204751996</v>
      </c>
      <c r="C2230">
        <v>0.83351087387814304</v>
      </c>
      <c r="D2230">
        <v>0.966186482982901</v>
      </c>
      <c r="E2230">
        <v>0.73740231556636604</v>
      </c>
      <c r="F2230">
        <v>0.42437399488857103</v>
      </c>
      <c r="G2230">
        <v>0.18204416562757</v>
      </c>
      <c r="H2230">
        <v>0.141817556957612</v>
      </c>
      <c r="I2230">
        <v>0.110736468324452</v>
      </c>
      <c r="J2230">
        <v>0.14091657191731999</v>
      </c>
      <c r="K2230">
        <v>4.6856859640077901E-2</v>
      </c>
      <c r="L2230">
        <v>1165.27160522807</v>
      </c>
      <c r="M2230">
        <v>22.4965456632243</v>
      </c>
      <c r="N2230">
        <v>52.280774361352798</v>
      </c>
      <c r="O2230">
        <v>51.393721468028502</v>
      </c>
      <c r="P2230">
        <v>-9.9166429313009993E-2</v>
      </c>
      <c r="Q2230">
        <v>9.3829287542111506E-2</v>
      </c>
      <c r="R2230">
        <v>0.97727543763832103</v>
      </c>
      <c r="S2230" t="s">
        <v>6526</v>
      </c>
      <c r="T2230" t="s">
        <v>8590</v>
      </c>
      <c r="U2230" t="s">
        <v>8590</v>
      </c>
      <c r="V2230" t="s">
        <v>8590</v>
      </c>
      <c r="W2230">
        <v>1</v>
      </c>
      <c r="X2230" t="s">
        <v>10820</v>
      </c>
      <c r="Y2230">
        <v>0.46028883181936192</v>
      </c>
      <c r="Z2230" t="str">
        <f>HYPERLINK("Melting_Curves/meltCurve_sp_Q86U90_YRDC_HUMAN_.pdf", "Melting_Curves/meltCurve_sp_Q86U90_YRDC_HUMAN_.pdf")</f>
        <v>Melting_Curves/meltCurve_sp_Q86U90_YRDC_HUMAN_.pdf</v>
      </c>
      <c r="AA2230" t="s">
        <v>15074</v>
      </c>
      <c r="AB2230" t="s">
        <v>19314</v>
      </c>
    </row>
    <row r="2231" spans="1:28" x14ac:dyDescent="0.25">
      <c r="A2231" t="s">
        <v>2235</v>
      </c>
      <c r="B2231">
        <v>0.99876560204751996</v>
      </c>
      <c r="C2231">
        <v>0.96208945468391105</v>
      </c>
      <c r="D2231">
        <v>0.91694159068168002</v>
      </c>
      <c r="E2231">
        <v>0.57752590721343899</v>
      </c>
      <c r="F2231">
        <v>0.24891351721687599</v>
      </c>
      <c r="G2231">
        <v>0.119823854556386</v>
      </c>
      <c r="H2231">
        <v>7.4682055552991997E-2</v>
      </c>
      <c r="I2231">
        <v>6.8332748551804698E-2</v>
      </c>
      <c r="J2231">
        <v>6.9261605669342294E-2</v>
      </c>
      <c r="K2231">
        <v>4.3612996705421299E-2</v>
      </c>
      <c r="L2231">
        <v>1269.6354453193901</v>
      </c>
      <c r="M2231">
        <v>25.2352906369149</v>
      </c>
      <c r="N2231">
        <v>50.570454601748601</v>
      </c>
      <c r="O2231">
        <v>49.999153227511698</v>
      </c>
      <c r="P2231">
        <v>-0.118544152285903</v>
      </c>
      <c r="Q2231">
        <v>6.0517243989284299E-2</v>
      </c>
      <c r="R2231">
        <v>0.99894990744064005</v>
      </c>
      <c r="S2231" t="s">
        <v>6527</v>
      </c>
      <c r="T2231" t="s">
        <v>8590</v>
      </c>
      <c r="U2231" t="s">
        <v>8590</v>
      </c>
      <c r="V2231" t="s">
        <v>8590</v>
      </c>
      <c r="W2231">
        <v>7</v>
      </c>
      <c r="X2231" t="s">
        <v>10821</v>
      </c>
      <c r="Y2231">
        <v>0.39171362592609782</v>
      </c>
      <c r="Z2231" t="str">
        <f>HYPERLINK("Melting_Curves/meltCurve_sp_Q86UA1_PRP39_HUMAN_.pdf", "Melting_Curves/meltCurve_sp_Q86UA1_PRP39_HUMAN_.pdf")</f>
        <v>Melting_Curves/meltCurve_sp_Q86UA1_PRP39_HUMAN_.pdf</v>
      </c>
      <c r="AA2231" t="s">
        <v>15075</v>
      </c>
      <c r="AB2231" t="s">
        <v>19315</v>
      </c>
    </row>
    <row r="2232" spans="1:28" x14ac:dyDescent="0.25">
      <c r="A2232" t="s">
        <v>2236</v>
      </c>
      <c r="B2232">
        <v>0.99876560204751996</v>
      </c>
      <c r="C2232">
        <v>0.91225152715597602</v>
      </c>
      <c r="D2232">
        <v>1.05354975325356</v>
      </c>
      <c r="E2232">
        <v>0.92009451428285405</v>
      </c>
      <c r="F2232">
        <v>0.92895644480247197</v>
      </c>
      <c r="G2232">
        <v>0.79363643482317803</v>
      </c>
      <c r="H2232">
        <v>0.75995768796172303</v>
      </c>
      <c r="I2232">
        <v>0.75149024983151202</v>
      </c>
      <c r="J2232">
        <v>0.95279020490565403</v>
      </c>
      <c r="K2232">
        <v>0.94879512879877903</v>
      </c>
      <c r="L2232">
        <v>1628.8587142327499</v>
      </c>
      <c r="M2232">
        <v>31.772840999421799</v>
      </c>
      <c r="O2232">
        <v>51.063956816621001</v>
      </c>
      <c r="P2232">
        <v>-2.4093809206230801E-2</v>
      </c>
      <c r="Q2232">
        <v>0.84511062718711605</v>
      </c>
      <c r="R2232">
        <v>0.399666733646033</v>
      </c>
      <c r="S2232" t="s">
        <v>6528</v>
      </c>
      <c r="T2232" t="s">
        <v>8590</v>
      </c>
      <c r="U2232" t="s">
        <v>8590</v>
      </c>
      <c r="V2232" t="s">
        <v>8590</v>
      </c>
      <c r="W2232">
        <v>19</v>
      </c>
      <c r="X2232" t="s">
        <v>10822</v>
      </c>
      <c r="Y2232">
        <v>0.90414741964408241</v>
      </c>
      <c r="Z2232" t="str">
        <f>HYPERLINK("Melting_Curves/meltCurve_sp_Q86UE4_LYRIC_HUMAN_.pdf", "Melting_Curves/meltCurve_sp_Q86UE4_LYRIC_HUMAN_.pdf")</f>
        <v>Melting_Curves/meltCurve_sp_Q86UE4_LYRIC_HUMAN_.pdf</v>
      </c>
      <c r="AA2232" t="s">
        <v>15076</v>
      </c>
      <c r="AB2232" t="s">
        <v>19316</v>
      </c>
    </row>
    <row r="2233" spans="1:28" x14ac:dyDescent="0.25">
      <c r="A2233" t="s">
        <v>2237</v>
      </c>
      <c r="B2233">
        <v>0.99876560204751996</v>
      </c>
      <c r="C2233">
        <v>1.1257561507165501</v>
      </c>
      <c r="D2233">
        <v>1.01933931768926</v>
      </c>
      <c r="E2233">
        <v>1.0091895355893601</v>
      </c>
      <c r="F2233">
        <v>0.61062738143813999</v>
      </c>
      <c r="G2233">
        <v>0.14760205431880899</v>
      </c>
      <c r="H2233">
        <v>9.5339704783879195E-2</v>
      </c>
      <c r="I2233">
        <v>6.6641493554487397E-2</v>
      </c>
      <c r="J2233">
        <v>7.9575477818690593E-2</v>
      </c>
      <c r="K2233">
        <v>6.2513455556028996E-2</v>
      </c>
      <c r="L2233">
        <v>2646.2993512992398</v>
      </c>
      <c r="M2233">
        <v>49.578050239337102</v>
      </c>
      <c r="N2233">
        <v>53.568854827257397</v>
      </c>
      <c r="O2233">
        <v>53.289803498152203</v>
      </c>
      <c r="P2233">
        <v>-0.21361594170960599</v>
      </c>
      <c r="Q2233">
        <v>8.1566021925826293E-2</v>
      </c>
      <c r="R2233">
        <v>0.99035934523510705</v>
      </c>
      <c r="S2233" t="s">
        <v>6529</v>
      </c>
      <c r="T2233" t="s">
        <v>8590</v>
      </c>
      <c r="U2233" t="s">
        <v>8590</v>
      </c>
      <c r="V2233" t="s">
        <v>8590</v>
      </c>
      <c r="W2233">
        <v>5</v>
      </c>
      <c r="X2233" t="s">
        <v>10823</v>
      </c>
      <c r="Y2233">
        <v>0.49327742700622462</v>
      </c>
      <c r="Z2233" t="str">
        <f>HYPERLINK("Melting_Curves/meltCurve_sp_Q86UK7_2_ZN598_HUMAN_.pdf", "Melting_Curves/meltCurve_sp_Q86UK7_2_ZN598_HUMAN_.pdf")</f>
        <v>Melting_Curves/meltCurve_sp_Q86UK7_2_ZN598_HUMAN_.pdf</v>
      </c>
      <c r="AA2233" t="s">
        <v>15077</v>
      </c>
      <c r="AB2233" t="s">
        <v>19317</v>
      </c>
    </row>
    <row r="2234" spans="1:28" x14ac:dyDescent="0.25">
      <c r="A2234" t="s">
        <v>2238</v>
      </c>
      <c r="B2234">
        <v>0.99876560204751996</v>
      </c>
      <c r="C2234">
        <v>1.0201470806573301</v>
      </c>
      <c r="D2234">
        <v>0.94871342980706097</v>
      </c>
      <c r="E2234">
        <v>0.960278425527056</v>
      </c>
      <c r="F2234">
        <v>0.90080991827662005</v>
      </c>
      <c r="G2234">
        <v>0.72151875820992994</v>
      </c>
      <c r="H2234">
        <v>0.63867996564273999</v>
      </c>
      <c r="I2234">
        <v>0.60768166123043099</v>
      </c>
      <c r="J2234">
        <v>0.79502662878256602</v>
      </c>
      <c r="K2234">
        <v>0.739876255230144</v>
      </c>
      <c r="L2234">
        <v>2238.0096261427898</v>
      </c>
      <c r="M2234">
        <v>41.603125986761597</v>
      </c>
      <c r="O2234">
        <v>53.670429473105798</v>
      </c>
      <c r="P2234">
        <v>-5.9099565411054801E-2</v>
      </c>
      <c r="Q2234">
        <v>0.69503320559178505</v>
      </c>
      <c r="R2234">
        <v>0.87037968074875505</v>
      </c>
      <c r="S2234" t="s">
        <v>6530</v>
      </c>
      <c r="T2234" t="s">
        <v>8590</v>
      </c>
      <c r="U2234" t="s">
        <v>8590</v>
      </c>
      <c r="V2234" t="s">
        <v>8590</v>
      </c>
      <c r="W2234">
        <v>99</v>
      </c>
      <c r="X2234" t="s">
        <v>10824</v>
      </c>
      <c r="Y2234">
        <v>0.83630596357218145</v>
      </c>
      <c r="Z2234" t="str">
        <f>HYPERLINK("Melting_Curves/meltCurve_sp_Q86UP2_KTN1_HUMAN_.pdf", "Melting_Curves/meltCurve_sp_Q86UP2_KTN1_HUMAN_.pdf")</f>
        <v>Melting_Curves/meltCurve_sp_Q86UP2_KTN1_HUMAN_.pdf</v>
      </c>
      <c r="AA2234" t="s">
        <v>15078</v>
      </c>
      <c r="AB2234" t="s">
        <v>19318</v>
      </c>
    </row>
    <row r="2235" spans="1:28" x14ac:dyDescent="0.25">
      <c r="A2235" t="s">
        <v>2239</v>
      </c>
      <c r="B2235">
        <v>0.99876560204751996</v>
      </c>
      <c r="C2235">
        <v>1.0958754498777099</v>
      </c>
      <c r="D2235">
        <v>0.91490846889729605</v>
      </c>
      <c r="E2235">
        <v>0.69705286706839698</v>
      </c>
      <c r="F2235">
        <v>0.387121081917847</v>
      </c>
      <c r="G2235">
        <v>0.16663616170177301</v>
      </c>
      <c r="H2235">
        <v>0.14639575857315801</v>
      </c>
      <c r="I2235">
        <v>0.116823044977672</v>
      </c>
      <c r="J2235">
        <v>9.7582973536701201E-2</v>
      </c>
      <c r="K2235">
        <v>0.115329703681274</v>
      </c>
      <c r="L2235">
        <v>1267.63705214179</v>
      </c>
      <c r="M2235">
        <v>24.718592061617201</v>
      </c>
      <c r="N2235">
        <v>51.802275271460402</v>
      </c>
      <c r="O2235">
        <v>50.950629547297297</v>
      </c>
      <c r="P2235">
        <v>-0.107973058099803</v>
      </c>
      <c r="Q2235">
        <v>0.109784588275391</v>
      </c>
      <c r="R2235">
        <v>0.99161931744685905</v>
      </c>
      <c r="S2235" t="s">
        <v>6531</v>
      </c>
      <c r="T2235" t="s">
        <v>8590</v>
      </c>
      <c r="U2235" t="s">
        <v>8590</v>
      </c>
      <c r="V2235" t="s">
        <v>8590</v>
      </c>
      <c r="W2235">
        <v>1</v>
      </c>
      <c r="X2235" t="s">
        <v>10825</v>
      </c>
      <c r="Y2235">
        <v>0.4528340461589509</v>
      </c>
      <c r="Z2235" t="str">
        <f>HYPERLINK("Melting_Curves/meltCurve_sp_Q86US8_EST1A_HUMAN_.pdf", "Melting_Curves/meltCurve_sp_Q86US8_EST1A_HUMAN_.pdf")</f>
        <v>Melting_Curves/meltCurve_sp_Q86US8_EST1A_HUMAN_.pdf</v>
      </c>
      <c r="AA2235" t="s">
        <v>15079</v>
      </c>
      <c r="AB2235" t="s">
        <v>19319</v>
      </c>
    </row>
    <row r="2236" spans="1:28" x14ac:dyDescent="0.25">
      <c r="A2236" t="s">
        <v>2240</v>
      </c>
      <c r="B2236">
        <v>0.99876560204751996</v>
      </c>
      <c r="C2236">
        <v>0.96979916820381795</v>
      </c>
      <c r="D2236">
        <v>1.0326186240164701</v>
      </c>
      <c r="E2236">
        <v>0.82534363890713103</v>
      </c>
      <c r="F2236">
        <v>0.82899957435606897</v>
      </c>
      <c r="G2236">
        <v>0.66850824116321805</v>
      </c>
      <c r="H2236">
        <v>0.57307951208624197</v>
      </c>
      <c r="I2236">
        <v>0.52576727408823098</v>
      </c>
      <c r="J2236">
        <v>0.66264798503498201</v>
      </c>
      <c r="K2236">
        <v>0.59676064521810301</v>
      </c>
      <c r="L2236">
        <v>1003.84655706767</v>
      </c>
      <c r="M2236">
        <v>19.037326162627899</v>
      </c>
      <c r="O2236">
        <v>52.15894034587</v>
      </c>
      <c r="P2236">
        <v>-3.8237146611678902E-2</v>
      </c>
      <c r="Q2236">
        <v>0.58096422918374702</v>
      </c>
      <c r="R2236">
        <v>0.92945070992177803</v>
      </c>
      <c r="S2236" t="s">
        <v>6532</v>
      </c>
      <c r="T2236" t="s">
        <v>8590</v>
      </c>
      <c r="U2236" t="s">
        <v>8590</v>
      </c>
      <c r="V2236" t="s">
        <v>8590</v>
      </c>
      <c r="W2236">
        <v>4</v>
      </c>
      <c r="X2236" t="s">
        <v>10826</v>
      </c>
      <c r="Y2236">
        <v>0.76506449893659212</v>
      </c>
      <c r="Z2236" t="str">
        <f>HYPERLINK("Melting_Curves/meltCurve_sp_Q86UU0_4_BCL9L_HUMAN_.pdf", "Melting_Curves/meltCurve_sp_Q86UU0_4_BCL9L_HUMAN_.pdf")</f>
        <v>Melting_Curves/meltCurve_sp_Q86UU0_4_BCL9L_HUMAN_.pdf</v>
      </c>
      <c r="AA2236" t="s">
        <v>15080</v>
      </c>
      <c r="AB2236" t="s">
        <v>19320</v>
      </c>
    </row>
    <row r="2237" spans="1:28" x14ac:dyDescent="0.25">
      <c r="A2237" t="s">
        <v>2241</v>
      </c>
      <c r="B2237">
        <v>0.99876560204751996</v>
      </c>
      <c r="C2237">
        <v>1.1028075649301801</v>
      </c>
      <c r="D2237">
        <v>1.02329891546876</v>
      </c>
      <c r="E2237">
        <v>0.83626277635885304</v>
      </c>
      <c r="F2237">
        <v>0.51740203507037896</v>
      </c>
      <c r="G2237">
        <v>0.20757262800221599</v>
      </c>
      <c r="H2237">
        <v>0.18300684900089301</v>
      </c>
      <c r="I2237">
        <v>0.13039463226241799</v>
      </c>
      <c r="J2237">
        <v>0.14004368959514399</v>
      </c>
      <c r="K2237">
        <v>0.104863847753199</v>
      </c>
      <c r="L2237">
        <v>1551.4498608149499</v>
      </c>
      <c r="M2237">
        <v>29.508888878549499</v>
      </c>
      <c r="N2237">
        <v>53.132836610891502</v>
      </c>
      <c r="O2237">
        <v>52.336009787147397</v>
      </c>
      <c r="P2237">
        <v>-0.12220245546194</v>
      </c>
      <c r="Q2237">
        <v>0.13306893262706099</v>
      </c>
      <c r="R2237">
        <v>0.99104042988403596</v>
      </c>
      <c r="S2237" t="s">
        <v>6533</v>
      </c>
      <c r="T2237" t="s">
        <v>8590</v>
      </c>
      <c r="U2237" t="s">
        <v>8590</v>
      </c>
      <c r="V2237" t="s">
        <v>8590</v>
      </c>
      <c r="W2237">
        <v>1</v>
      </c>
      <c r="X2237" t="s">
        <v>10827</v>
      </c>
      <c r="Y2237">
        <v>0.50224940152796471</v>
      </c>
      <c r="Z2237" t="str">
        <f>HYPERLINK("Melting_Curves/meltCurve_sp_Q86UW7_3_CAPS2_HUMAN_.pdf", "Melting_Curves/meltCurve_sp_Q86UW7_3_CAPS2_HUMAN_.pdf")</f>
        <v>Melting_Curves/meltCurve_sp_Q86UW7_3_CAPS2_HUMAN_.pdf</v>
      </c>
      <c r="AA2237" t="s">
        <v>15081</v>
      </c>
      <c r="AB2237" t="s">
        <v>19321</v>
      </c>
    </row>
    <row r="2238" spans="1:28" x14ac:dyDescent="0.25">
      <c r="A2238" t="s">
        <v>2242</v>
      </c>
      <c r="B2238">
        <v>0.99876560204751996</v>
      </c>
      <c r="C2238">
        <v>1.0817822915736299</v>
      </c>
      <c r="D2238">
        <v>1.1213272335028199</v>
      </c>
      <c r="E2238">
        <v>0.93718363677586602</v>
      </c>
      <c r="F2238">
        <v>0.75293620372422698</v>
      </c>
      <c r="G2238">
        <v>0.189257747581529</v>
      </c>
      <c r="H2238">
        <v>0.220314104166487</v>
      </c>
      <c r="I2238">
        <v>8.3839082103894902E-2</v>
      </c>
      <c r="J2238">
        <v>0</v>
      </c>
      <c r="K2238">
        <v>0</v>
      </c>
      <c r="L2238">
        <v>1822.6679220188601</v>
      </c>
      <c r="M2238">
        <v>33.453933149740202</v>
      </c>
      <c r="N2238">
        <v>54.686697294701197</v>
      </c>
      <c r="O2238">
        <v>54.289344267783598</v>
      </c>
      <c r="P2238">
        <v>-0.14502674839349999</v>
      </c>
      <c r="Q2238">
        <v>5.8601122643255101E-2</v>
      </c>
      <c r="R2238">
        <v>0.97548492096068995</v>
      </c>
      <c r="S2238" t="s">
        <v>6534</v>
      </c>
      <c r="T2238" t="s">
        <v>8590</v>
      </c>
      <c r="U2238" t="s">
        <v>8590</v>
      </c>
      <c r="V2238" t="s">
        <v>8590</v>
      </c>
      <c r="W2238">
        <v>3</v>
      </c>
      <c r="X2238" t="s">
        <v>10828</v>
      </c>
      <c r="Y2238">
        <v>0.51810912033846102</v>
      </c>
      <c r="Z2238" t="str">
        <f>HYPERLINK("Melting_Curves/meltCurve_sp_Q86UX7_2_URP2_HUMAN_.pdf", "Melting_Curves/meltCurve_sp_Q86UX7_2_URP2_HUMAN_.pdf")</f>
        <v>Melting_Curves/meltCurve_sp_Q86UX7_2_URP2_HUMAN_.pdf</v>
      </c>
      <c r="AA2238" t="s">
        <v>15082</v>
      </c>
      <c r="AB2238" t="s">
        <v>19322</v>
      </c>
    </row>
    <row r="2239" spans="1:28" x14ac:dyDescent="0.25">
      <c r="A2239" t="s">
        <v>2243</v>
      </c>
      <c r="B2239">
        <v>0.99876560204751996</v>
      </c>
      <c r="C2239">
        <v>1.11087689908943</v>
      </c>
      <c r="D2239">
        <v>1.0021627235750601</v>
      </c>
      <c r="E2239">
        <v>0.94011223593622295</v>
      </c>
      <c r="F2239">
        <v>0.73450054369246898</v>
      </c>
      <c r="G2239">
        <v>0.36994698540804799</v>
      </c>
      <c r="H2239">
        <v>0.13133986495835501</v>
      </c>
      <c r="I2239">
        <v>8.8222085399400005E-2</v>
      </c>
      <c r="J2239">
        <v>8.1936276285793294E-2</v>
      </c>
      <c r="K2239">
        <v>6.5228792493429194E-2</v>
      </c>
      <c r="L2239">
        <v>1345.6682811847199</v>
      </c>
      <c r="M2239">
        <v>24.384196276809199</v>
      </c>
      <c r="N2239">
        <v>55.478156025439901</v>
      </c>
      <c r="O2239">
        <v>54.818933620228002</v>
      </c>
      <c r="P2239">
        <v>-0.104506239671153</v>
      </c>
      <c r="Q2239">
        <v>6.0237887158019601E-2</v>
      </c>
      <c r="R2239">
        <v>0.99253679939316797</v>
      </c>
      <c r="S2239" t="s">
        <v>6535</v>
      </c>
      <c r="T2239" t="s">
        <v>8590</v>
      </c>
      <c r="U2239" t="s">
        <v>8590</v>
      </c>
      <c r="V2239" t="s">
        <v>8590</v>
      </c>
      <c r="W2239">
        <v>4</v>
      </c>
      <c r="X2239" t="s">
        <v>10829</v>
      </c>
      <c r="Y2239">
        <v>0.54501723471870045</v>
      </c>
      <c r="Z2239" t="str">
        <f>HYPERLINK("Melting_Curves/meltCurve_sp_Q86UY8_2_NT5D3_HUMAN_.pdf", "Melting_Curves/meltCurve_sp_Q86UY8_2_NT5D3_HUMAN_.pdf")</f>
        <v>Melting_Curves/meltCurve_sp_Q86UY8_2_NT5D3_HUMAN_.pdf</v>
      </c>
      <c r="AA2239" t="s">
        <v>15083</v>
      </c>
      <c r="AB2239" t="s">
        <v>19323</v>
      </c>
    </row>
    <row r="2240" spans="1:28" x14ac:dyDescent="0.25">
      <c r="A2240" t="s">
        <v>2244</v>
      </c>
      <c r="B2240">
        <v>0.99876560204751996</v>
      </c>
      <c r="C2240">
        <v>0.89743563148344996</v>
      </c>
      <c r="D2240">
        <v>0.84852931467688697</v>
      </c>
      <c r="E2240">
        <v>0.69895437361937696</v>
      </c>
      <c r="F2240">
        <v>0.75257091847098101</v>
      </c>
      <c r="G2240">
        <v>0.52014398877590495</v>
      </c>
      <c r="H2240">
        <v>0.495366476598258</v>
      </c>
      <c r="I2240">
        <v>0.50693258071909897</v>
      </c>
      <c r="J2240">
        <v>0.54221452312906104</v>
      </c>
      <c r="K2240">
        <v>0.58233452884150905</v>
      </c>
      <c r="L2240">
        <v>605.82795279723405</v>
      </c>
      <c r="M2240">
        <v>12.3498885544217</v>
      </c>
      <c r="O2240">
        <v>47.822353563209298</v>
      </c>
      <c r="P2240">
        <v>-3.1692879664279902E-2</v>
      </c>
      <c r="Q2240">
        <v>0.50920971115167402</v>
      </c>
      <c r="R2240">
        <v>0.91728497498208095</v>
      </c>
      <c r="S2240" t="s">
        <v>6536</v>
      </c>
      <c r="T2240" t="s">
        <v>8590</v>
      </c>
      <c r="U2240" t="s">
        <v>8590</v>
      </c>
      <c r="V2240" t="s">
        <v>8590</v>
      </c>
      <c r="W2240">
        <v>4</v>
      </c>
      <c r="X2240" t="s">
        <v>10830</v>
      </c>
      <c r="Y2240">
        <v>0.67447371211477536</v>
      </c>
      <c r="Z2240" t="str">
        <f>HYPERLINK("Melting_Curves/meltCurve_sp_Q86V48_2_LUZP1_HUMAN_.pdf", "Melting_Curves/meltCurve_sp_Q86V48_2_LUZP1_HUMAN_.pdf")</f>
        <v>Melting_Curves/meltCurve_sp_Q86V48_2_LUZP1_HUMAN_.pdf</v>
      </c>
      <c r="AA2240" t="s">
        <v>15084</v>
      </c>
      <c r="AB2240" t="s">
        <v>19324</v>
      </c>
    </row>
    <row r="2241" spans="1:28" x14ac:dyDescent="0.25">
      <c r="A2241" t="s">
        <v>2245</v>
      </c>
      <c r="B2241">
        <v>0.99876560204751996</v>
      </c>
      <c r="C2241">
        <v>0.97444820458682002</v>
      </c>
      <c r="D2241">
        <v>0.89733111799393706</v>
      </c>
      <c r="E2241">
        <v>0.84442036364767004</v>
      </c>
      <c r="F2241">
        <v>0.72587707969155202</v>
      </c>
      <c r="G2241">
        <v>0.64364795792188201</v>
      </c>
      <c r="H2241">
        <v>0.511569725101788</v>
      </c>
      <c r="I2241">
        <v>0.44340161972436998</v>
      </c>
      <c r="J2241">
        <v>0.52171320460807902</v>
      </c>
      <c r="K2241">
        <v>0.46747701190780799</v>
      </c>
      <c r="L2241">
        <v>640.26931966304801</v>
      </c>
      <c r="M2241">
        <v>11.967083324090201</v>
      </c>
      <c r="N2241">
        <v>63.893538955681599</v>
      </c>
      <c r="O2241">
        <v>52.074204699659902</v>
      </c>
      <c r="P2241">
        <v>-3.2836541607902898E-2</v>
      </c>
      <c r="Q2241">
        <v>0.42859250798569498</v>
      </c>
      <c r="R2241">
        <v>0.98050985784568401</v>
      </c>
      <c r="S2241" t="s">
        <v>6537</v>
      </c>
      <c r="T2241" t="s">
        <v>8590</v>
      </c>
      <c r="U2241" t="s">
        <v>8590</v>
      </c>
      <c r="V2241" t="s">
        <v>8590</v>
      </c>
      <c r="W2241">
        <v>4</v>
      </c>
      <c r="X2241" t="s">
        <v>10831</v>
      </c>
      <c r="Y2241">
        <v>0.70142994476782561</v>
      </c>
      <c r="Z2241" t="str">
        <f>HYPERLINK("Melting_Curves/meltCurve_sp_Q86V81_THOC4_HUMAN_.pdf", "Melting_Curves/meltCurve_sp_Q86V81_THOC4_HUMAN_.pdf")</f>
        <v>Melting_Curves/meltCurve_sp_Q86V81_THOC4_HUMAN_.pdf</v>
      </c>
      <c r="AA2241" t="s">
        <v>15085</v>
      </c>
      <c r="AB2241" t="s">
        <v>19325</v>
      </c>
    </row>
    <row r="2242" spans="1:28" x14ac:dyDescent="0.25">
      <c r="A2242" t="s">
        <v>2246</v>
      </c>
      <c r="B2242">
        <v>0.99876560204751996</v>
      </c>
      <c r="C2242">
        <v>0.96344880354139795</v>
      </c>
      <c r="D2242">
        <v>1.09412509254928</v>
      </c>
      <c r="E2242">
        <v>0.95832137582475196</v>
      </c>
      <c r="F2242">
        <v>0.99472037979696204</v>
      </c>
      <c r="G2242">
        <v>0.75883267145919298</v>
      </c>
      <c r="H2242">
        <v>0.67423026309311695</v>
      </c>
      <c r="I2242">
        <v>0.69500811090079695</v>
      </c>
      <c r="J2242">
        <v>0.887630357765686</v>
      </c>
      <c r="K2242">
        <v>0.86277924443582599</v>
      </c>
      <c r="L2242">
        <v>13447.4369088284</v>
      </c>
      <c r="M2242">
        <v>250</v>
      </c>
      <c r="O2242">
        <v>53.786283574374004</v>
      </c>
      <c r="P2242">
        <v>-0.26064243686912902</v>
      </c>
      <c r="Q2242">
        <v>0.77569610012715695</v>
      </c>
      <c r="R2242">
        <v>0.72245330777736305</v>
      </c>
      <c r="S2242" t="s">
        <v>6538</v>
      </c>
      <c r="T2242" t="s">
        <v>8590</v>
      </c>
      <c r="U2242" t="s">
        <v>8590</v>
      </c>
      <c r="V2242" t="s">
        <v>8590</v>
      </c>
      <c r="W2242">
        <v>4</v>
      </c>
      <c r="X2242" t="s">
        <v>10832</v>
      </c>
      <c r="Y2242">
        <v>0.87882041354886264</v>
      </c>
      <c r="Z2242" t="str">
        <f>HYPERLINK("Melting_Curves/meltCurve_sp_Q86VM9_ZCH18_HUMAN_.pdf", "Melting_Curves/meltCurve_sp_Q86VM9_ZCH18_HUMAN_.pdf")</f>
        <v>Melting_Curves/meltCurve_sp_Q86VM9_ZCH18_HUMAN_.pdf</v>
      </c>
      <c r="AA2242" t="s">
        <v>15086</v>
      </c>
      <c r="AB2242" t="s">
        <v>19326</v>
      </c>
    </row>
    <row r="2243" spans="1:28" x14ac:dyDescent="0.25">
      <c r="A2243" t="s">
        <v>2247</v>
      </c>
      <c r="B2243">
        <v>0.99876560204751996</v>
      </c>
      <c r="C2243">
        <v>0.89750749296601295</v>
      </c>
      <c r="D2243">
        <v>0.86749414293897098</v>
      </c>
      <c r="E2243">
        <v>0.70964043368958596</v>
      </c>
      <c r="F2243">
        <v>0.40942161058763799</v>
      </c>
      <c r="G2243">
        <v>0.16750244781106699</v>
      </c>
      <c r="H2243">
        <v>0.108229086861789</v>
      </c>
      <c r="I2243">
        <v>8.6195621879869705E-2</v>
      </c>
      <c r="J2243">
        <v>6.9723172847419301E-2</v>
      </c>
      <c r="K2243">
        <v>6.6312899299026798E-2</v>
      </c>
      <c r="L2243">
        <v>906.64202327536702</v>
      </c>
      <c r="M2243">
        <v>17.550854164228401</v>
      </c>
      <c r="N2243">
        <v>51.953168532565797</v>
      </c>
      <c r="O2243">
        <v>51.001353147352802</v>
      </c>
      <c r="P2243">
        <v>-8.1953441342954306E-2</v>
      </c>
      <c r="Q2243">
        <v>4.74518094541522E-2</v>
      </c>
      <c r="R2243">
        <v>0.99185696892933495</v>
      </c>
      <c r="S2243" t="s">
        <v>6539</v>
      </c>
      <c r="T2243" t="s">
        <v>8590</v>
      </c>
      <c r="U2243" t="s">
        <v>8590</v>
      </c>
      <c r="V2243" t="s">
        <v>8590</v>
      </c>
      <c r="W2243">
        <v>11</v>
      </c>
      <c r="X2243" t="s">
        <v>10833</v>
      </c>
      <c r="Y2243">
        <v>0.43424621874684077</v>
      </c>
      <c r="Z2243" t="str">
        <f>HYPERLINK("Melting_Curves/meltCurve_sp_Q86VN1_2_VPS36_HUMAN_.pdf", "Melting_Curves/meltCurve_sp_Q86VN1_2_VPS36_HUMAN_.pdf")</f>
        <v>Melting_Curves/meltCurve_sp_Q86VN1_2_VPS36_HUMAN_.pdf</v>
      </c>
      <c r="AA2243" t="s">
        <v>15087</v>
      </c>
      <c r="AB2243" t="s">
        <v>19327</v>
      </c>
    </row>
    <row r="2244" spans="1:28" x14ac:dyDescent="0.25">
      <c r="A2244" t="s">
        <v>2248</v>
      </c>
      <c r="B2244">
        <v>0.99876560204751996</v>
      </c>
      <c r="C2244">
        <v>1.04085336878845</v>
      </c>
      <c r="D2244">
        <v>0.91668082796968098</v>
      </c>
      <c r="E2244">
        <v>1.0569939645139499</v>
      </c>
      <c r="F2244">
        <v>0.95408021967343504</v>
      </c>
      <c r="G2244">
        <v>0.84060608730600594</v>
      </c>
      <c r="H2244">
        <v>0.29733842212516898</v>
      </c>
      <c r="I2244">
        <v>8.0683362021151395E-2</v>
      </c>
      <c r="J2244">
        <v>5.0064481516014302E-2</v>
      </c>
      <c r="K2244">
        <v>4.8176284398186102E-2</v>
      </c>
      <c r="L2244">
        <v>2278.76731651616</v>
      </c>
      <c r="M2244">
        <v>38.371144040048499</v>
      </c>
      <c r="N2244">
        <v>59.5062904257653</v>
      </c>
      <c r="O2244">
        <v>59.226889242283299</v>
      </c>
      <c r="P2244">
        <v>-0.155996705535563</v>
      </c>
      <c r="Q2244">
        <v>3.6861609170776397E-2</v>
      </c>
      <c r="R2244">
        <v>0.99250004423185501</v>
      </c>
      <c r="S2244" t="s">
        <v>6540</v>
      </c>
      <c r="T2244" t="s">
        <v>8590</v>
      </c>
      <c r="U2244" t="s">
        <v>8590</v>
      </c>
      <c r="V2244" t="s">
        <v>8590</v>
      </c>
      <c r="W2244">
        <v>51</v>
      </c>
      <c r="X2244" t="s">
        <v>10834</v>
      </c>
      <c r="Y2244">
        <v>0.66337265787129707</v>
      </c>
      <c r="Z2244" t="str">
        <f>HYPERLINK("Melting_Curves/meltCurve_sp_Q86VP6_CAND1_HUMAN_.pdf", "Melting_Curves/meltCurve_sp_Q86VP6_CAND1_HUMAN_.pdf")</f>
        <v>Melting_Curves/meltCurve_sp_Q86VP6_CAND1_HUMAN_.pdf</v>
      </c>
      <c r="AA2244" t="s">
        <v>15088</v>
      </c>
      <c r="AB2244" t="s">
        <v>19328</v>
      </c>
    </row>
    <row r="2245" spans="1:28" x14ac:dyDescent="0.25">
      <c r="A2245" t="s">
        <v>2249</v>
      </c>
      <c r="B2245">
        <v>0.99876560204751996</v>
      </c>
      <c r="C2245">
        <v>1.0249057539359401</v>
      </c>
      <c r="D2245">
        <v>0.93477126060106397</v>
      </c>
      <c r="E2245">
        <v>0.98842381804567703</v>
      </c>
      <c r="F2245">
        <v>0.86317945160916498</v>
      </c>
      <c r="G2245">
        <v>0.64963216988390904</v>
      </c>
      <c r="H2245">
        <v>0.42117956441158599</v>
      </c>
      <c r="I2245">
        <v>0.26565243729641203</v>
      </c>
      <c r="J2245">
        <v>0.12702315466578401</v>
      </c>
      <c r="K2245">
        <v>9.6141916504052696E-2</v>
      </c>
      <c r="L2245">
        <v>919.56931729016605</v>
      </c>
      <c r="M2245">
        <v>15.447865905271399</v>
      </c>
      <c r="N2245">
        <v>59.527272398250297</v>
      </c>
      <c r="O2245">
        <v>58.5564896891239</v>
      </c>
      <c r="P2245">
        <v>-6.5958771613511893E-2</v>
      </c>
      <c r="Q2245">
        <v>0</v>
      </c>
      <c r="R2245">
        <v>0.99495954657929797</v>
      </c>
      <c r="S2245" t="s">
        <v>6541</v>
      </c>
      <c r="T2245" t="s">
        <v>8590</v>
      </c>
      <c r="U2245" t="s">
        <v>8590</v>
      </c>
      <c r="V2245" t="s">
        <v>8590</v>
      </c>
      <c r="W2245">
        <v>9</v>
      </c>
      <c r="X2245" t="s">
        <v>10835</v>
      </c>
      <c r="Y2245">
        <v>0.65981785108354818</v>
      </c>
      <c r="Z2245" t="str">
        <f>HYPERLINK("Melting_Curves/meltCurve_sp_Q86VQ6_TRXR3_HUMAN_.pdf", "Melting_Curves/meltCurve_sp_Q86VQ6_TRXR3_HUMAN_.pdf")</f>
        <v>Melting_Curves/meltCurve_sp_Q86VQ6_TRXR3_HUMAN_.pdf</v>
      </c>
      <c r="AA2245" t="s">
        <v>15089</v>
      </c>
      <c r="AB2245" t="s">
        <v>19329</v>
      </c>
    </row>
    <row r="2246" spans="1:28" x14ac:dyDescent="0.25">
      <c r="A2246" t="s">
        <v>2250</v>
      </c>
      <c r="B2246">
        <v>0.99876560204751996</v>
      </c>
      <c r="C2246">
        <v>0.93999942659304603</v>
      </c>
      <c r="D2246">
        <v>0.82236664897857703</v>
      </c>
      <c r="E2246">
        <v>0.73688024543247099</v>
      </c>
      <c r="F2246">
        <v>0.43571628197346601</v>
      </c>
      <c r="G2246">
        <v>0.28982144831944101</v>
      </c>
      <c r="H2246">
        <v>0.22610013695901299</v>
      </c>
      <c r="I2246">
        <v>0.13836886941791199</v>
      </c>
      <c r="J2246">
        <v>0.134325441323321</v>
      </c>
      <c r="K2246">
        <v>0.14241952546470901</v>
      </c>
      <c r="L2246">
        <v>730.14390861614299</v>
      </c>
      <c r="M2246">
        <v>14.0994112643164</v>
      </c>
      <c r="N2246">
        <v>52.662424195127699</v>
      </c>
      <c r="O2246">
        <v>50.777069970885002</v>
      </c>
      <c r="P2246">
        <v>-6.21625449047346E-2</v>
      </c>
      <c r="Q2246">
        <v>0.10463617595902901</v>
      </c>
      <c r="R2246">
        <v>0.98950253756824502</v>
      </c>
      <c r="S2246" t="s">
        <v>6542</v>
      </c>
      <c r="T2246" t="s">
        <v>8590</v>
      </c>
      <c r="U2246" t="s">
        <v>8590</v>
      </c>
      <c r="V2246" t="s">
        <v>8590</v>
      </c>
      <c r="W2246">
        <v>2</v>
      </c>
      <c r="X2246" t="s">
        <v>10836</v>
      </c>
      <c r="Y2246">
        <v>0.47853818234053852</v>
      </c>
      <c r="Z2246" t="str">
        <f>HYPERLINK("Melting_Curves/meltCurve_sp_Q86VR2_F134C_HUMAN_.pdf", "Melting_Curves/meltCurve_sp_Q86VR2_F134C_HUMAN_.pdf")</f>
        <v>Melting_Curves/meltCurve_sp_Q86VR2_F134C_HUMAN_.pdf</v>
      </c>
      <c r="AA2246" t="s">
        <v>15090</v>
      </c>
      <c r="AB2246" t="s">
        <v>19330</v>
      </c>
    </row>
    <row r="2247" spans="1:28" x14ac:dyDescent="0.25">
      <c r="A2247" t="s">
        <v>2251</v>
      </c>
      <c r="B2247">
        <v>0.99876560204751996</v>
      </c>
      <c r="C2247">
        <v>1.09131524453974</v>
      </c>
      <c r="D2247">
        <v>0.99799766763855002</v>
      </c>
      <c r="E2247">
        <v>0.98656546610129303</v>
      </c>
      <c r="F2247">
        <v>0.822583035929906</v>
      </c>
      <c r="G2247">
        <v>0.57158517243610896</v>
      </c>
      <c r="H2247">
        <v>0.39586017197779999</v>
      </c>
      <c r="I2247">
        <v>0.31488767060557699</v>
      </c>
      <c r="J2247">
        <v>0.355095828416016</v>
      </c>
      <c r="K2247">
        <v>0.32435809423398898</v>
      </c>
      <c r="L2247">
        <v>1368.45978900006</v>
      </c>
      <c r="M2247">
        <v>24.6140850048807</v>
      </c>
      <c r="N2247">
        <v>58.022068040988202</v>
      </c>
      <c r="O2247">
        <v>55.233514568931199</v>
      </c>
      <c r="P2247">
        <v>-7.5614037616062696E-2</v>
      </c>
      <c r="Q2247">
        <v>0.32130384704173298</v>
      </c>
      <c r="R2247">
        <v>0.987970072999375</v>
      </c>
      <c r="S2247" t="s">
        <v>6543</v>
      </c>
      <c r="T2247" t="s">
        <v>8590</v>
      </c>
      <c r="U2247" t="s">
        <v>8590</v>
      </c>
      <c r="V2247" t="s">
        <v>8590</v>
      </c>
      <c r="W2247">
        <v>17</v>
      </c>
      <c r="X2247" t="s">
        <v>10837</v>
      </c>
      <c r="Y2247">
        <v>0.68057293404153429</v>
      </c>
      <c r="Z2247" t="str">
        <f>HYPERLINK("Melting_Curves/meltCurve_sp_Q86VS8_HOOK3_HUMAN_.pdf", "Melting_Curves/meltCurve_sp_Q86VS8_HOOK3_HUMAN_.pdf")</f>
        <v>Melting_Curves/meltCurve_sp_Q86VS8_HOOK3_HUMAN_.pdf</v>
      </c>
      <c r="AA2247" t="s">
        <v>15091</v>
      </c>
      <c r="AB2247" t="s">
        <v>19331</v>
      </c>
    </row>
    <row r="2248" spans="1:28" x14ac:dyDescent="0.25">
      <c r="A2248" t="s">
        <v>2252</v>
      </c>
      <c r="B2248">
        <v>0.99876560204751996</v>
      </c>
      <c r="C2248">
        <v>0.95558362889190795</v>
      </c>
      <c r="D2248">
        <v>0.95059522855773604</v>
      </c>
      <c r="E2248">
        <v>0.90652976678123998</v>
      </c>
      <c r="F2248">
        <v>0.80983121199469499</v>
      </c>
      <c r="G2248">
        <v>0.44267064339675999</v>
      </c>
      <c r="H2248">
        <v>0.13918548786493101</v>
      </c>
      <c r="I2248">
        <v>0.10429532661277199</v>
      </c>
      <c r="J2248">
        <v>9.7065971462185596E-2</v>
      </c>
      <c r="K2248">
        <v>8.0791737743863806E-2</v>
      </c>
      <c r="L2248">
        <v>1321.55247131225</v>
      </c>
      <c r="M2248">
        <v>23.646239040546099</v>
      </c>
      <c r="N2248">
        <v>56.208788358460502</v>
      </c>
      <c r="O2248">
        <v>55.493375676534299</v>
      </c>
      <c r="P2248">
        <v>-9.9814411323411803E-2</v>
      </c>
      <c r="Q2248">
        <v>6.3031467172618302E-2</v>
      </c>
      <c r="R2248">
        <v>0.99505713121751205</v>
      </c>
      <c r="S2248" t="s">
        <v>6544</v>
      </c>
      <c r="T2248" t="s">
        <v>8590</v>
      </c>
      <c r="U2248" t="s">
        <v>8590</v>
      </c>
      <c r="V2248" t="s">
        <v>8590</v>
      </c>
      <c r="W2248">
        <v>4</v>
      </c>
      <c r="X2248" t="s">
        <v>10838</v>
      </c>
      <c r="Y2248">
        <v>0.56870152133491703</v>
      </c>
      <c r="Z2248" t="str">
        <f>HYPERLINK("Melting_Curves/meltCurve_sp_Q86VX2_2_COMD7_HUMAN_.pdf", "Melting_Curves/meltCurve_sp_Q86VX2_2_COMD7_HUMAN_.pdf")</f>
        <v>Melting_Curves/meltCurve_sp_Q86VX2_2_COMD7_HUMAN_.pdf</v>
      </c>
      <c r="AA2248" t="s">
        <v>15092</v>
      </c>
      <c r="AB2248" t="s">
        <v>19332</v>
      </c>
    </row>
    <row r="2249" spans="1:28" x14ac:dyDescent="0.25">
      <c r="A2249" t="s">
        <v>2253</v>
      </c>
      <c r="B2249">
        <v>0.99876560204751996</v>
      </c>
      <c r="C2249">
        <v>0.97798406750533096</v>
      </c>
      <c r="D2249">
        <v>0.95793172798785997</v>
      </c>
      <c r="E2249">
        <v>0.78311438384356502</v>
      </c>
      <c r="F2249">
        <v>0.66562270830082504</v>
      </c>
      <c r="G2249">
        <v>0.49379202356141599</v>
      </c>
      <c r="H2249">
        <v>0.38132818599567198</v>
      </c>
      <c r="I2249">
        <v>0.37852682255969899</v>
      </c>
      <c r="J2249">
        <v>0.465795513276129</v>
      </c>
      <c r="K2249">
        <v>0.41916554017050101</v>
      </c>
      <c r="L2249">
        <v>1007.24194281172</v>
      </c>
      <c r="M2249">
        <v>19.424630961828701</v>
      </c>
      <c r="N2249">
        <v>56.572031962597698</v>
      </c>
      <c r="O2249">
        <v>51.313659057997903</v>
      </c>
      <c r="P2249">
        <v>-5.6684326298841202E-2</v>
      </c>
      <c r="Q2249">
        <v>0.40105447626274598</v>
      </c>
      <c r="R2249">
        <v>0.98534098366419598</v>
      </c>
      <c r="S2249" t="s">
        <v>6545</v>
      </c>
      <c r="T2249" t="s">
        <v>8590</v>
      </c>
      <c r="U2249" t="s">
        <v>8590</v>
      </c>
      <c r="V2249" t="s">
        <v>8590</v>
      </c>
      <c r="W2249">
        <v>13</v>
      </c>
      <c r="X2249" t="s">
        <v>10839</v>
      </c>
      <c r="Y2249">
        <v>0.64645400406956433</v>
      </c>
      <c r="Z2249" t="str">
        <f>HYPERLINK("Melting_Curves/meltCurve_sp_Q86W92_4_LIPB1_HUMAN_.pdf", "Melting_Curves/meltCurve_sp_Q86W92_4_LIPB1_HUMAN_.pdf")</f>
        <v>Melting_Curves/meltCurve_sp_Q86W92_4_LIPB1_HUMAN_.pdf</v>
      </c>
      <c r="AA2249" t="s">
        <v>15093</v>
      </c>
      <c r="AB2249" t="s">
        <v>19333</v>
      </c>
    </row>
    <row r="2250" spans="1:28" x14ac:dyDescent="0.25">
      <c r="A2250" t="s">
        <v>2254</v>
      </c>
      <c r="B2250">
        <v>0.99876560204751996</v>
      </c>
      <c r="C2250">
        <v>0.90920279086683997</v>
      </c>
      <c r="D2250">
        <v>1.0636434337109399</v>
      </c>
      <c r="E2250">
        <v>0.86596546489377102</v>
      </c>
      <c r="F2250">
        <v>0.651651894124048</v>
      </c>
      <c r="G2250">
        <v>0.11287132186547</v>
      </c>
      <c r="H2250">
        <v>5.9456575442035003E-2</v>
      </c>
      <c r="I2250">
        <v>3.70809521313928E-2</v>
      </c>
      <c r="J2250">
        <v>3.3826372301632601E-2</v>
      </c>
      <c r="K2250">
        <v>2.63909761921182E-2</v>
      </c>
      <c r="L2250">
        <v>1820.73096651899</v>
      </c>
      <c r="M2250">
        <v>33.908787411973996</v>
      </c>
      <c r="N2250">
        <v>53.786366098683303</v>
      </c>
      <c r="O2250">
        <v>53.509242481763501</v>
      </c>
      <c r="P2250">
        <v>-0.153989861778728</v>
      </c>
      <c r="Q2250">
        <v>2.7998587467375598E-2</v>
      </c>
      <c r="R2250">
        <v>0.99001078025965195</v>
      </c>
      <c r="S2250" t="s">
        <v>6546</v>
      </c>
      <c r="T2250" t="s">
        <v>8590</v>
      </c>
      <c r="U2250" t="s">
        <v>8590</v>
      </c>
      <c r="V2250" t="s">
        <v>8590</v>
      </c>
      <c r="W2250">
        <v>17</v>
      </c>
      <c r="X2250" t="s">
        <v>10840</v>
      </c>
      <c r="Y2250">
        <v>0.47672024122336099</v>
      </c>
      <c r="Z2250" t="str">
        <f>HYPERLINK("Melting_Curves/meltCurve_sp_Q86WA6_BPHL_HUMAN_.pdf", "Melting_Curves/meltCurve_sp_Q86WA6_BPHL_HUMAN_.pdf")</f>
        <v>Melting_Curves/meltCurve_sp_Q86WA6_BPHL_HUMAN_.pdf</v>
      </c>
      <c r="AA2250" t="s">
        <v>15094</v>
      </c>
      <c r="AB2250" t="s">
        <v>19334</v>
      </c>
    </row>
    <row r="2251" spans="1:28" x14ac:dyDescent="0.25">
      <c r="A2251" t="s">
        <v>2255</v>
      </c>
      <c r="B2251">
        <v>0.99876560204751996</v>
      </c>
      <c r="C2251">
        <v>0.84609519808179501</v>
      </c>
      <c r="D2251">
        <v>0.66420609361466298</v>
      </c>
      <c r="E2251">
        <v>0.344672354251503</v>
      </c>
      <c r="F2251">
        <v>0.16328106379195501</v>
      </c>
      <c r="G2251">
        <v>7.2933638011007398E-2</v>
      </c>
      <c r="H2251">
        <v>8.0070498332159901E-2</v>
      </c>
      <c r="I2251">
        <v>6.23009046799936E-2</v>
      </c>
      <c r="J2251">
        <v>3.2059031472743603E-2</v>
      </c>
      <c r="K2251">
        <v>3.7307191262104203E-2</v>
      </c>
      <c r="L2251">
        <v>821.10315350865005</v>
      </c>
      <c r="M2251">
        <v>17.248937149892701</v>
      </c>
      <c r="N2251">
        <v>47.816588146540703</v>
      </c>
      <c r="O2251">
        <v>46.977122219656302</v>
      </c>
      <c r="P2251">
        <v>-8.83978141471784E-2</v>
      </c>
      <c r="Q2251">
        <v>3.7058014196162101E-2</v>
      </c>
      <c r="R2251">
        <v>0.99716529569439605</v>
      </c>
      <c r="S2251" t="s">
        <v>6547</v>
      </c>
      <c r="T2251" t="s">
        <v>8590</v>
      </c>
      <c r="U2251" t="s">
        <v>8590</v>
      </c>
      <c r="V2251" t="s">
        <v>8590</v>
      </c>
      <c r="W2251">
        <v>7</v>
      </c>
      <c r="X2251" t="s">
        <v>10841</v>
      </c>
      <c r="Y2251">
        <v>0.30005035655907097</v>
      </c>
      <c r="Z2251" t="str">
        <f>HYPERLINK("Melting_Curves/meltCurve_sp_Q86WA8_LONP2_HUMAN_.pdf", "Melting_Curves/meltCurve_sp_Q86WA8_LONP2_HUMAN_.pdf")</f>
        <v>Melting_Curves/meltCurve_sp_Q86WA8_LONP2_HUMAN_.pdf</v>
      </c>
      <c r="AA2251" t="s">
        <v>15095</v>
      </c>
      <c r="AB2251" t="s">
        <v>19335</v>
      </c>
    </row>
    <row r="2252" spans="1:28" x14ac:dyDescent="0.25">
      <c r="A2252" t="s">
        <v>2256</v>
      </c>
      <c r="B2252">
        <v>0.99876560204751996</v>
      </c>
      <c r="C2252">
        <v>0.82223320117244802</v>
      </c>
      <c r="D2252">
        <v>0.870807032423627</v>
      </c>
      <c r="E2252">
        <v>0.76324817224326302</v>
      </c>
      <c r="F2252">
        <v>0.427879742468179</v>
      </c>
      <c r="G2252">
        <v>0.19317113851446499</v>
      </c>
      <c r="H2252">
        <v>0.12855935327902401</v>
      </c>
      <c r="I2252">
        <v>0.10306875601906999</v>
      </c>
      <c r="J2252">
        <v>0.11793772247978999</v>
      </c>
      <c r="K2252">
        <v>0.103704869932625</v>
      </c>
      <c r="L2252">
        <v>930.54806466482603</v>
      </c>
      <c r="M2252">
        <v>17.955939323900001</v>
      </c>
      <c r="N2252">
        <v>52.327738349805898</v>
      </c>
      <c r="O2252">
        <v>51.194009852743498</v>
      </c>
      <c r="P2252">
        <v>-8.0729802885711494E-2</v>
      </c>
      <c r="Q2252">
        <v>7.9373936054679003E-2</v>
      </c>
      <c r="R2252">
        <v>0.971583489198799</v>
      </c>
      <c r="S2252" t="s">
        <v>6548</v>
      </c>
      <c r="T2252" t="s">
        <v>8590</v>
      </c>
      <c r="U2252" t="s">
        <v>8590</v>
      </c>
      <c r="V2252" t="s">
        <v>8590</v>
      </c>
      <c r="W2252">
        <v>10</v>
      </c>
      <c r="X2252" t="s">
        <v>10842</v>
      </c>
      <c r="Y2252">
        <v>0.45764379376052872</v>
      </c>
      <c r="Z2252" t="str">
        <f>HYPERLINK("Melting_Curves/meltCurve_sp_Q86WR0_CCD25_HUMAN_.pdf", "Melting_Curves/meltCurve_sp_Q86WR0_CCD25_HUMAN_.pdf")</f>
        <v>Melting_Curves/meltCurve_sp_Q86WR0_CCD25_HUMAN_.pdf</v>
      </c>
      <c r="AA2252" t="s">
        <v>15096</v>
      </c>
      <c r="AB2252" t="s">
        <v>19336</v>
      </c>
    </row>
    <row r="2253" spans="1:28" x14ac:dyDescent="0.25">
      <c r="A2253" t="s">
        <v>2257</v>
      </c>
      <c r="B2253">
        <v>0.99876560204751996</v>
      </c>
      <c r="C2253">
        <v>1.0416142015285199</v>
      </c>
      <c r="D2253">
        <v>0.80087885149084304</v>
      </c>
      <c r="E2253">
        <v>0.86346461621016102</v>
      </c>
      <c r="F2253">
        <v>0.72139034578376005</v>
      </c>
      <c r="G2253">
        <v>0.57268837242788795</v>
      </c>
      <c r="H2253">
        <v>0.54026171738478301</v>
      </c>
      <c r="I2253">
        <v>0.52036857152621196</v>
      </c>
      <c r="J2253">
        <v>0.63368499267627698</v>
      </c>
      <c r="K2253">
        <v>0.48628170452446601</v>
      </c>
      <c r="L2253">
        <v>697.92165822622997</v>
      </c>
      <c r="M2253">
        <v>13.606248388435199</v>
      </c>
      <c r="O2253">
        <v>50.224264480891698</v>
      </c>
      <c r="P2253">
        <v>-3.2879582405927497E-2</v>
      </c>
      <c r="Q2253">
        <v>0.51460304838808602</v>
      </c>
      <c r="R2253">
        <v>0.89676217414097503</v>
      </c>
      <c r="S2253" t="s">
        <v>6549</v>
      </c>
      <c r="T2253" t="s">
        <v>8590</v>
      </c>
      <c r="U2253" t="s">
        <v>8590</v>
      </c>
      <c r="V2253" t="s">
        <v>8590</v>
      </c>
      <c r="W2253">
        <v>3</v>
      </c>
      <c r="X2253" t="s">
        <v>10843</v>
      </c>
      <c r="Y2253">
        <v>0.71029064337995229</v>
      </c>
      <c r="Z2253" t="str">
        <f>HYPERLINK("Melting_Curves/meltCurve_sp_Q86WR7_PRSR2_HUMAN_.pdf", "Melting_Curves/meltCurve_sp_Q86WR7_PRSR2_HUMAN_.pdf")</f>
        <v>Melting_Curves/meltCurve_sp_Q86WR7_PRSR2_HUMAN_.pdf</v>
      </c>
      <c r="AA2253" t="s">
        <v>15097</v>
      </c>
      <c r="AB2253" t="s">
        <v>19337</v>
      </c>
    </row>
    <row r="2254" spans="1:28" x14ac:dyDescent="0.25">
      <c r="A2254" t="s">
        <v>2258</v>
      </c>
      <c r="B2254">
        <v>0.99876560204751996</v>
      </c>
      <c r="C2254">
        <v>0.98535105369778997</v>
      </c>
      <c r="D2254">
        <v>0.90301948843380297</v>
      </c>
      <c r="E2254">
        <v>1.01951777903537</v>
      </c>
      <c r="F2254">
        <v>0.84487120965492402</v>
      </c>
      <c r="G2254">
        <v>0.75664738659748498</v>
      </c>
      <c r="H2254">
        <v>0.57638069862080399</v>
      </c>
      <c r="I2254">
        <v>0.40274284538967198</v>
      </c>
      <c r="J2254">
        <v>0.27948032501165299</v>
      </c>
      <c r="K2254">
        <v>0.183204094559928</v>
      </c>
      <c r="L2254">
        <v>776.37008752902398</v>
      </c>
      <c r="M2254">
        <v>12.51090714205</v>
      </c>
      <c r="N2254">
        <v>62.055459220915502</v>
      </c>
      <c r="O2254">
        <v>60.534002221017097</v>
      </c>
      <c r="P2254">
        <v>-5.16795187549575E-2</v>
      </c>
      <c r="Q2254">
        <v>0</v>
      </c>
      <c r="R2254">
        <v>0.98329897552557999</v>
      </c>
      <c r="S2254" t="s">
        <v>6550</v>
      </c>
      <c r="T2254" t="s">
        <v>8590</v>
      </c>
      <c r="U2254" t="s">
        <v>8590</v>
      </c>
      <c r="V2254" t="s">
        <v>8590</v>
      </c>
      <c r="W2254">
        <v>25</v>
      </c>
      <c r="X2254" t="s">
        <v>10844</v>
      </c>
      <c r="Y2254">
        <v>0.72530638579752649</v>
      </c>
      <c r="Z2254" t="str">
        <f>HYPERLINK("Melting_Curves/meltCurve_sp_Q86WU2_2_LDHD_HUMAN_.pdf", "Melting_Curves/meltCurve_sp_Q86WU2_2_LDHD_HUMAN_.pdf")</f>
        <v>Melting_Curves/meltCurve_sp_Q86WU2_2_LDHD_HUMAN_.pdf</v>
      </c>
      <c r="AA2254" t="s">
        <v>15098</v>
      </c>
      <c r="AB2254" t="s">
        <v>19338</v>
      </c>
    </row>
    <row r="2255" spans="1:28" x14ac:dyDescent="0.25">
      <c r="A2255" t="s">
        <v>2259</v>
      </c>
      <c r="B2255">
        <v>0.99876560204751996</v>
      </c>
      <c r="C2255">
        <v>1.12135243071417</v>
      </c>
      <c r="D2255">
        <v>1.09354537687984</v>
      </c>
      <c r="E2255">
        <v>0.69177230268416701</v>
      </c>
      <c r="F2255">
        <v>0.25966383983521901</v>
      </c>
      <c r="G2255">
        <v>0.142207519021115</v>
      </c>
      <c r="H2255">
        <v>7.0375898917751298E-2</v>
      </c>
      <c r="I2255">
        <v>4.9781680748312997E-2</v>
      </c>
      <c r="J2255">
        <v>3.0412942037252099E-2</v>
      </c>
      <c r="K2255">
        <v>3.8836666009149097E-2</v>
      </c>
      <c r="L2255">
        <v>1877.5965278364899</v>
      </c>
      <c r="M2255">
        <v>36.754771576069203</v>
      </c>
      <c r="N2255">
        <v>51.266081602417302</v>
      </c>
      <c r="O2255">
        <v>50.933916002480998</v>
      </c>
      <c r="P2255">
        <v>-0.169390117870726</v>
      </c>
      <c r="Q2255">
        <v>6.1055091283898799E-2</v>
      </c>
      <c r="R2255">
        <v>0.98377581558399196</v>
      </c>
      <c r="S2255" t="s">
        <v>6551</v>
      </c>
      <c r="T2255" t="s">
        <v>8590</v>
      </c>
      <c r="U2255" t="s">
        <v>8590</v>
      </c>
      <c r="V2255" t="s">
        <v>8590</v>
      </c>
      <c r="W2255">
        <v>2</v>
      </c>
      <c r="X2255" t="s">
        <v>10845</v>
      </c>
      <c r="Y2255">
        <v>0.41190848352975468</v>
      </c>
      <c r="Z2255" t="str">
        <f>HYPERLINK("Melting_Curves/meltCurve_sp_Q86X10_3_RLGPB_HUMAN_.pdf", "Melting_Curves/meltCurve_sp_Q86X10_3_RLGPB_HUMAN_.pdf")</f>
        <v>Melting_Curves/meltCurve_sp_Q86X10_3_RLGPB_HUMAN_.pdf</v>
      </c>
      <c r="AA2255" t="s">
        <v>15099</v>
      </c>
      <c r="AB2255" t="s">
        <v>19339</v>
      </c>
    </row>
    <row r="2256" spans="1:28" x14ac:dyDescent="0.25">
      <c r="A2256" t="s">
        <v>2260</v>
      </c>
      <c r="B2256">
        <v>0.99876560204751996</v>
      </c>
      <c r="C2256">
        <v>0.97962680962242099</v>
      </c>
      <c r="D2256">
        <v>0.95888934429969297</v>
      </c>
      <c r="E2256">
        <v>0.79166039207710803</v>
      </c>
      <c r="F2256">
        <v>0.52790564038117505</v>
      </c>
      <c r="G2256">
        <v>0.21962835323588201</v>
      </c>
      <c r="H2256">
        <v>0.12885855405004101</v>
      </c>
      <c r="I2256">
        <v>0.13171727190964699</v>
      </c>
      <c r="J2256">
        <v>0.123411287236251</v>
      </c>
      <c r="K2256">
        <v>0.107537200276139</v>
      </c>
      <c r="L2256">
        <v>1236.12500463335</v>
      </c>
      <c r="M2256">
        <v>23.498525278068399</v>
      </c>
      <c r="N2256">
        <v>53.152411942703701</v>
      </c>
      <c r="O2256">
        <v>52.227836752317302</v>
      </c>
      <c r="P2256">
        <v>-0.100381389257614</v>
      </c>
      <c r="Q2256">
        <v>0.107584396252841</v>
      </c>
      <c r="R2256">
        <v>0.99919078039503395</v>
      </c>
      <c r="S2256" t="s">
        <v>6552</v>
      </c>
      <c r="T2256" t="s">
        <v>8590</v>
      </c>
      <c r="U2256" t="s">
        <v>8590</v>
      </c>
      <c r="V2256" t="s">
        <v>8590</v>
      </c>
      <c r="W2256">
        <v>7</v>
      </c>
      <c r="X2256" t="s">
        <v>10846</v>
      </c>
      <c r="Y2256">
        <v>0.49173192367215801</v>
      </c>
      <c r="Z2256" t="str">
        <f>HYPERLINK("Melting_Curves/meltCurve_sp_Q86X27_RGPS2_HUMAN_.pdf", "Melting_Curves/meltCurve_sp_Q86X27_RGPS2_HUMAN_.pdf")</f>
        <v>Melting_Curves/meltCurve_sp_Q86X27_RGPS2_HUMAN_.pdf</v>
      </c>
      <c r="AA2256" t="s">
        <v>15100</v>
      </c>
      <c r="AB2256" t="s">
        <v>19340</v>
      </c>
    </row>
    <row r="2257" spans="1:28" x14ac:dyDescent="0.25">
      <c r="A2257" t="s">
        <v>2261</v>
      </c>
      <c r="B2257">
        <v>0.99876560204751996</v>
      </c>
      <c r="C2257">
        <v>1.09892583595789</v>
      </c>
      <c r="D2257">
        <v>0.98389441779320497</v>
      </c>
      <c r="E2257">
        <v>1.0166078718669</v>
      </c>
      <c r="F2257">
        <v>0.76632156615732605</v>
      </c>
      <c r="G2257">
        <v>0.28019223925294001</v>
      </c>
      <c r="H2257">
        <v>9.5619854640874205E-2</v>
      </c>
      <c r="I2257">
        <v>6.4949046980413594E-2</v>
      </c>
      <c r="J2257">
        <v>7.1018564663083705E-2</v>
      </c>
      <c r="K2257">
        <v>5.6288458670348103E-2</v>
      </c>
      <c r="L2257">
        <v>1851.1132033915901</v>
      </c>
      <c r="M2257">
        <v>33.720953658979198</v>
      </c>
      <c r="N2257">
        <v>55.113640225557198</v>
      </c>
      <c r="O2257">
        <v>54.703063343936797</v>
      </c>
      <c r="P2257">
        <v>-0.14446421504690499</v>
      </c>
      <c r="Q2257">
        <v>6.2588470663575396E-2</v>
      </c>
      <c r="R2257">
        <v>0.99330453204404101</v>
      </c>
      <c r="S2257" t="s">
        <v>6553</v>
      </c>
      <c r="T2257" t="s">
        <v>8590</v>
      </c>
      <c r="U2257" t="s">
        <v>8590</v>
      </c>
      <c r="V2257" t="s">
        <v>8590</v>
      </c>
      <c r="W2257">
        <v>10</v>
      </c>
      <c r="X2257" t="s">
        <v>10847</v>
      </c>
      <c r="Y2257">
        <v>0.53297742065503217</v>
      </c>
      <c r="Z2257" t="str">
        <f>HYPERLINK("Melting_Curves/meltCurve_sp_Q86X55_1_CARM1_HUMAN_.pdf", "Melting_Curves/meltCurve_sp_Q86X55_1_CARM1_HUMAN_.pdf")</f>
        <v>Melting_Curves/meltCurve_sp_Q86X55_1_CARM1_HUMAN_.pdf</v>
      </c>
      <c r="AA2257" t="s">
        <v>15101</v>
      </c>
      <c r="AB2257" t="s">
        <v>19341</v>
      </c>
    </row>
    <row r="2258" spans="1:28" x14ac:dyDescent="0.25">
      <c r="A2258" t="s">
        <v>2262</v>
      </c>
      <c r="B2258">
        <v>0.99876560204751996</v>
      </c>
      <c r="C2258">
        <v>1.00456500564521</v>
      </c>
      <c r="D2258">
        <v>0.93724112753261501</v>
      </c>
      <c r="E2258">
        <v>0.937732767099137</v>
      </c>
      <c r="F2258">
        <v>0.82051028443674201</v>
      </c>
      <c r="G2258">
        <v>0.62089904472587099</v>
      </c>
      <c r="H2258">
        <v>0.46671176149818</v>
      </c>
      <c r="I2258">
        <v>0.43006323311806399</v>
      </c>
      <c r="J2258">
        <v>0.35564633959029202</v>
      </c>
      <c r="K2258">
        <v>0.145248374359774</v>
      </c>
      <c r="L2258">
        <v>602.31935781838695</v>
      </c>
      <c r="M2258">
        <v>9.8886099616280596</v>
      </c>
      <c r="N2258">
        <v>60.910441939675501</v>
      </c>
      <c r="O2258">
        <v>58.576359720796503</v>
      </c>
      <c r="P2258">
        <v>-4.22253522281026E-2</v>
      </c>
      <c r="Q2258">
        <v>0</v>
      </c>
      <c r="R2258">
        <v>0.98005058053254401</v>
      </c>
      <c r="S2258" t="s">
        <v>6554</v>
      </c>
      <c r="T2258" t="s">
        <v>8590</v>
      </c>
      <c r="U2258" t="s">
        <v>8590</v>
      </c>
      <c r="V2258" t="s">
        <v>8590</v>
      </c>
      <c r="W2258">
        <v>16</v>
      </c>
      <c r="X2258" t="s">
        <v>10848</v>
      </c>
      <c r="Y2258">
        <v>0.68505463155110535</v>
      </c>
      <c r="Z2258" t="str">
        <f>HYPERLINK("Melting_Curves/meltCurve_sp_Q86X76_2_NIT1_HUMAN_.pdf", "Melting_Curves/meltCurve_sp_Q86X76_2_NIT1_HUMAN_.pdf")</f>
        <v>Melting_Curves/meltCurve_sp_Q86X76_2_NIT1_HUMAN_.pdf</v>
      </c>
      <c r="AA2258" t="s">
        <v>15102</v>
      </c>
      <c r="AB2258" t="s">
        <v>19342</v>
      </c>
    </row>
    <row r="2259" spans="1:28" x14ac:dyDescent="0.25">
      <c r="A2259" t="s">
        <v>2263</v>
      </c>
      <c r="B2259">
        <v>0.99876560204751996</v>
      </c>
      <c r="C2259">
        <v>0.95563089594211104</v>
      </c>
      <c r="D2259">
        <v>1.0856655703292299</v>
      </c>
      <c r="E2259">
        <v>0.76256685342085595</v>
      </c>
      <c r="F2259">
        <v>0.29320214158865698</v>
      </c>
      <c r="G2259">
        <v>0.18267997077847301</v>
      </c>
      <c r="H2259">
        <v>0.15664890923788999</v>
      </c>
      <c r="I2259">
        <v>0.14761179618215201</v>
      </c>
      <c r="J2259">
        <v>0.131416165634784</v>
      </c>
      <c r="K2259">
        <v>0.107220919005535</v>
      </c>
      <c r="L2259">
        <v>2262.2219231822301</v>
      </c>
      <c r="M2259">
        <v>44.248814960526197</v>
      </c>
      <c r="N2259">
        <v>51.517932607372998</v>
      </c>
      <c r="O2259">
        <v>51.020937054199301</v>
      </c>
      <c r="P2259">
        <v>-0.18576550965795499</v>
      </c>
      <c r="Q2259">
        <v>0.14321617326574801</v>
      </c>
      <c r="R2259">
        <v>0.99157537892432301</v>
      </c>
      <c r="S2259" t="s">
        <v>6555</v>
      </c>
      <c r="T2259" t="s">
        <v>8590</v>
      </c>
      <c r="U2259" t="s">
        <v>8590</v>
      </c>
      <c r="V2259" t="s">
        <v>8590</v>
      </c>
      <c r="W2259">
        <v>3</v>
      </c>
      <c r="X2259" t="s">
        <v>10849</v>
      </c>
      <c r="Y2259">
        <v>0.46341158483133182</v>
      </c>
      <c r="Z2259" t="str">
        <f>HYPERLINK("Melting_Curves/meltCurve_sp_Q86X83_COMD2_HUMAN_.pdf", "Melting_Curves/meltCurve_sp_Q86X83_COMD2_HUMAN_.pdf")</f>
        <v>Melting_Curves/meltCurve_sp_Q86X83_COMD2_HUMAN_.pdf</v>
      </c>
      <c r="AA2259" t="s">
        <v>15103</v>
      </c>
      <c r="AB2259" t="s">
        <v>19343</v>
      </c>
    </row>
    <row r="2260" spans="1:28" x14ac:dyDescent="0.25">
      <c r="A2260" t="s">
        <v>2264</v>
      </c>
      <c r="B2260">
        <v>0.99876560204751996</v>
      </c>
      <c r="C2260">
        <v>0.95620742894228306</v>
      </c>
      <c r="D2260">
        <v>0.94281234501755795</v>
      </c>
      <c r="E2260">
        <v>0.95888659568676005</v>
      </c>
      <c r="F2260">
        <v>0.89643945152672899</v>
      </c>
      <c r="G2260">
        <v>0.72652650885488801</v>
      </c>
      <c r="H2260">
        <v>0.61537820959392298</v>
      </c>
      <c r="I2260">
        <v>0.61918674270232799</v>
      </c>
      <c r="J2260">
        <v>0.67577403528120505</v>
      </c>
      <c r="K2260">
        <v>0.66224172724945096</v>
      </c>
      <c r="L2260">
        <v>1610.46992112353</v>
      </c>
      <c r="M2260">
        <v>29.566618310538601</v>
      </c>
      <c r="O2260">
        <v>54.221846866267803</v>
      </c>
      <c r="P2260">
        <v>-4.9014674414892302E-2</v>
      </c>
      <c r="Q2260">
        <v>0.64045292696963796</v>
      </c>
      <c r="R2260">
        <v>0.95884015384728405</v>
      </c>
      <c r="S2260" t="s">
        <v>6556</v>
      </c>
      <c r="T2260" t="s">
        <v>8590</v>
      </c>
      <c r="U2260" t="s">
        <v>8590</v>
      </c>
      <c r="V2260" t="s">
        <v>8590</v>
      </c>
      <c r="W2260">
        <v>14</v>
      </c>
      <c r="X2260" t="s">
        <v>10850</v>
      </c>
      <c r="Y2260">
        <v>0.81630534771591245</v>
      </c>
      <c r="Z2260" t="str">
        <f>HYPERLINK("Melting_Curves/meltCurve_sp_Q86XE5_HOGA1_HUMAN_.pdf", "Melting_Curves/meltCurve_sp_Q86XE5_HOGA1_HUMAN_.pdf")</f>
        <v>Melting_Curves/meltCurve_sp_Q86XE5_HOGA1_HUMAN_.pdf</v>
      </c>
      <c r="AA2260" t="s">
        <v>15104</v>
      </c>
      <c r="AB2260" t="s">
        <v>19344</v>
      </c>
    </row>
    <row r="2261" spans="1:28" x14ac:dyDescent="0.25">
      <c r="A2261" t="s">
        <v>2265</v>
      </c>
      <c r="B2261">
        <v>0.99876560204751996</v>
      </c>
      <c r="C2261">
        <v>0.93849702837259097</v>
      </c>
      <c r="D2261">
        <v>0.93387511344920804</v>
      </c>
      <c r="E2261">
        <v>0.66075524621875603</v>
      </c>
      <c r="F2261">
        <v>0.219749855563839</v>
      </c>
      <c r="G2261">
        <v>0.15099754922148001</v>
      </c>
      <c r="H2261">
        <v>0.106089032454061</v>
      </c>
      <c r="I2261">
        <v>9.6001926372904195E-2</v>
      </c>
      <c r="J2261">
        <v>9.52487520657537E-2</v>
      </c>
      <c r="K2261">
        <v>8.7582299163920602E-2</v>
      </c>
      <c r="L2261">
        <v>1854.70624744412</v>
      </c>
      <c r="M2261">
        <v>36.665730442210197</v>
      </c>
      <c r="N2261">
        <v>50.896785538632201</v>
      </c>
      <c r="O2261">
        <v>50.434425290034298</v>
      </c>
      <c r="P2261">
        <v>-0.16342733726249301</v>
      </c>
      <c r="Q2261">
        <v>0.10081271242161501</v>
      </c>
      <c r="R2261">
        <v>0.99461878560852302</v>
      </c>
      <c r="S2261" t="s">
        <v>6557</v>
      </c>
      <c r="T2261" t="s">
        <v>8590</v>
      </c>
      <c r="U2261" t="s">
        <v>8590</v>
      </c>
      <c r="V2261" t="s">
        <v>8590</v>
      </c>
      <c r="W2261">
        <v>13</v>
      </c>
      <c r="X2261" t="s">
        <v>10851</v>
      </c>
      <c r="Y2261">
        <v>0.42179917912613962</v>
      </c>
      <c r="Z2261" t="str">
        <f>HYPERLINK("Melting_Curves/meltCurve_sp_Q86XP3_DDX42_HUMAN_.pdf", "Melting_Curves/meltCurve_sp_Q86XP3_DDX42_HUMAN_.pdf")</f>
        <v>Melting_Curves/meltCurve_sp_Q86XP3_DDX42_HUMAN_.pdf</v>
      </c>
      <c r="AA2261" t="s">
        <v>15105</v>
      </c>
      <c r="AB2261" t="s">
        <v>19345</v>
      </c>
    </row>
    <row r="2262" spans="1:28" x14ac:dyDescent="0.25">
      <c r="A2262" t="s">
        <v>2266</v>
      </c>
      <c r="B2262">
        <v>0.99876560204751996</v>
      </c>
      <c r="C2262">
        <v>0.85334907749292999</v>
      </c>
      <c r="D2262">
        <v>0.87427702701172705</v>
      </c>
      <c r="E2262">
        <v>0.56790693401292203</v>
      </c>
      <c r="F2262">
        <v>0.29154892571697599</v>
      </c>
      <c r="G2262">
        <v>0.18106416491593499</v>
      </c>
      <c r="H2262">
        <v>0.100891434014722</v>
      </c>
      <c r="I2262">
        <v>5.4312483717641601E-2</v>
      </c>
      <c r="J2262">
        <v>0.16252385958559901</v>
      </c>
      <c r="K2262">
        <v>4.0655565654079601E-2</v>
      </c>
      <c r="L2262">
        <v>879.22517803605501</v>
      </c>
      <c r="M2262">
        <v>17.548195172159801</v>
      </c>
      <c r="N2262">
        <v>50.537862605477301</v>
      </c>
      <c r="O2262">
        <v>49.466375982426598</v>
      </c>
      <c r="P2262">
        <v>-8.2483238636296405E-2</v>
      </c>
      <c r="Q2262">
        <v>7.0007025834539799E-2</v>
      </c>
      <c r="R2262">
        <v>0.98214310746892397</v>
      </c>
      <c r="S2262" t="s">
        <v>6558</v>
      </c>
      <c r="T2262" t="s">
        <v>8590</v>
      </c>
      <c r="U2262" t="s">
        <v>8590</v>
      </c>
      <c r="V2262" t="s">
        <v>8590</v>
      </c>
      <c r="W2262">
        <v>1</v>
      </c>
      <c r="X2262" t="s">
        <v>10852</v>
      </c>
      <c r="Y2262">
        <v>0.39982616147194838</v>
      </c>
      <c r="Z2262" t="str">
        <f>HYPERLINK("Melting_Curves/meltCurve_sp_Q86Y07_4_VRK2_HUMAN_.pdf", "Melting_Curves/meltCurve_sp_Q86Y07_4_VRK2_HUMAN_.pdf")</f>
        <v>Melting_Curves/meltCurve_sp_Q86Y07_4_VRK2_HUMAN_.pdf</v>
      </c>
      <c r="AA2262" t="s">
        <v>15106</v>
      </c>
      <c r="AB2262" t="s">
        <v>19346</v>
      </c>
    </row>
    <row r="2263" spans="1:28" x14ac:dyDescent="0.25">
      <c r="A2263" t="s">
        <v>2267</v>
      </c>
      <c r="B2263">
        <v>0.99876560204751996</v>
      </c>
      <c r="C2263">
        <v>0.78388129334984402</v>
      </c>
      <c r="D2263">
        <v>0.70414962122817604</v>
      </c>
      <c r="E2263">
        <v>0.46440195863544698</v>
      </c>
      <c r="F2263">
        <v>0.40007231609711003</v>
      </c>
      <c r="G2263">
        <v>0.30543901145699898</v>
      </c>
      <c r="H2263">
        <v>0.243389212394171</v>
      </c>
      <c r="I2263">
        <v>0.22235324213247501</v>
      </c>
      <c r="J2263">
        <v>0.15848858705631</v>
      </c>
      <c r="K2263">
        <v>8.0905958569313194E-2</v>
      </c>
      <c r="L2263">
        <v>484.039928969686</v>
      </c>
      <c r="M2263">
        <v>9.8557259979703904</v>
      </c>
      <c r="N2263">
        <v>50.244342454755198</v>
      </c>
      <c r="O2263">
        <v>47.2188237706943</v>
      </c>
      <c r="P2263">
        <v>-4.7010950999682999E-2</v>
      </c>
      <c r="Q2263">
        <v>9.9544695323191407E-2</v>
      </c>
      <c r="R2263">
        <v>0.977586626004745</v>
      </c>
      <c r="S2263" t="s">
        <v>6559</v>
      </c>
      <c r="T2263" t="s">
        <v>8590</v>
      </c>
      <c r="U2263" t="s">
        <v>8590</v>
      </c>
      <c r="V2263" t="s">
        <v>8590</v>
      </c>
      <c r="W2263">
        <v>2</v>
      </c>
      <c r="X2263" t="s">
        <v>10853</v>
      </c>
      <c r="Y2263">
        <v>0.41767609738405409</v>
      </c>
      <c r="Z2263" t="str">
        <f>HYPERLINK("Melting_Curves/meltCurve_sp_Q86Y56_2_HEAT2_HUMAN_.pdf", "Melting_Curves/meltCurve_sp_Q86Y56_2_HEAT2_HUMAN_.pdf")</f>
        <v>Melting_Curves/meltCurve_sp_Q86Y56_2_HEAT2_HUMAN_.pdf</v>
      </c>
      <c r="AA2263" t="s">
        <v>15107</v>
      </c>
      <c r="AB2263" t="s">
        <v>19347</v>
      </c>
    </row>
    <row r="2264" spans="1:28" x14ac:dyDescent="0.25">
      <c r="A2264" t="s">
        <v>2268</v>
      </c>
      <c r="B2264">
        <v>0.99876560204751996</v>
      </c>
      <c r="C2264">
        <v>0.99961633850476295</v>
      </c>
      <c r="D2264">
        <v>1.06461359771308</v>
      </c>
      <c r="E2264">
        <v>0.82669916800924903</v>
      </c>
      <c r="F2264">
        <v>0.907351404311601</v>
      </c>
      <c r="G2264">
        <v>0.69497189222571598</v>
      </c>
      <c r="H2264">
        <v>0.60735365738776304</v>
      </c>
      <c r="I2264">
        <v>0.56614373233039705</v>
      </c>
      <c r="J2264">
        <v>0.63660793354557599</v>
      </c>
      <c r="K2264">
        <v>0.58939053373203398</v>
      </c>
      <c r="L2264">
        <v>1010.06849050136</v>
      </c>
      <c r="M2264">
        <v>18.588773073629799</v>
      </c>
      <c r="O2264">
        <v>53.720416353330499</v>
      </c>
      <c r="P2264">
        <v>-3.6395245315614097E-2</v>
      </c>
      <c r="Q2264">
        <v>0.57929815889087699</v>
      </c>
      <c r="R2264">
        <v>0.92341984500483898</v>
      </c>
      <c r="S2264" t="s">
        <v>6560</v>
      </c>
      <c r="T2264" t="s">
        <v>8590</v>
      </c>
      <c r="U2264" t="s">
        <v>8590</v>
      </c>
      <c r="V2264" t="s">
        <v>8590</v>
      </c>
      <c r="W2264">
        <v>4</v>
      </c>
      <c r="X2264" t="s">
        <v>10854</v>
      </c>
      <c r="Y2264">
        <v>0.78671732053022936</v>
      </c>
      <c r="Z2264" t="str">
        <f>HYPERLINK("Melting_Curves/meltCurve_sp_Q86Y82_STX12_HUMAN_.pdf", "Melting_Curves/meltCurve_sp_Q86Y82_STX12_HUMAN_.pdf")</f>
        <v>Melting_Curves/meltCurve_sp_Q86Y82_STX12_HUMAN_.pdf</v>
      </c>
      <c r="AA2264" t="s">
        <v>15108</v>
      </c>
      <c r="AB2264" t="s">
        <v>19348</v>
      </c>
    </row>
    <row r="2265" spans="1:28" x14ac:dyDescent="0.25">
      <c r="A2265" t="s">
        <v>2269</v>
      </c>
      <c r="B2265">
        <v>0.99876560204751996</v>
      </c>
      <c r="C2265">
        <v>1.10783402435834</v>
      </c>
      <c r="D2265">
        <v>1.01394542866315</v>
      </c>
      <c r="E2265">
        <v>0.90683786808732803</v>
      </c>
      <c r="F2265">
        <v>0.33240134541635302</v>
      </c>
      <c r="G2265">
        <v>0.20355733075326299</v>
      </c>
      <c r="H2265">
        <v>0.10987266375183299</v>
      </c>
      <c r="I2265">
        <v>7.1466390377606798E-2</v>
      </c>
      <c r="J2265">
        <v>6.8521832918325407E-2</v>
      </c>
      <c r="K2265">
        <v>6.2708099158855904E-2</v>
      </c>
      <c r="L2265">
        <v>2674.7351028662001</v>
      </c>
      <c r="M2265">
        <v>51.459166500287303</v>
      </c>
      <c r="N2265">
        <v>52.203417192812701</v>
      </c>
      <c r="O2265">
        <v>51.899498413345</v>
      </c>
      <c r="P2265">
        <v>-0.22316709010310501</v>
      </c>
      <c r="Q2265">
        <v>9.9693831234432997E-2</v>
      </c>
      <c r="R2265">
        <v>0.98708594960785601</v>
      </c>
      <c r="S2265" t="s">
        <v>6561</v>
      </c>
      <c r="T2265" t="s">
        <v>8590</v>
      </c>
      <c r="U2265" t="s">
        <v>8590</v>
      </c>
      <c r="V2265" t="s">
        <v>8590</v>
      </c>
      <c r="W2265">
        <v>19</v>
      </c>
      <c r="X2265" t="s">
        <v>10855</v>
      </c>
      <c r="Y2265">
        <v>0.46109863471171042</v>
      </c>
      <c r="Z2265" t="str">
        <f>HYPERLINK("Melting_Curves/meltCurve_sp_Q86YB7_ECHD2_HUMAN_.pdf", "Melting_Curves/meltCurve_sp_Q86YB7_ECHD2_HUMAN_.pdf")</f>
        <v>Melting_Curves/meltCurve_sp_Q86YB7_ECHD2_HUMAN_.pdf</v>
      </c>
      <c r="AA2265" t="s">
        <v>15109</v>
      </c>
      <c r="AB2265" t="s">
        <v>19349</v>
      </c>
    </row>
    <row r="2266" spans="1:28" x14ac:dyDescent="0.25">
      <c r="A2266" t="s">
        <v>2270</v>
      </c>
      <c r="B2266">
        <v>0.99876560204751996</v>
      </c>
      <c r="C2266">
        <v>0.90618210423456702</v>
      </c>
      <c r="D2266">
        <v>0.84341686982600705</v>
      </c>
      <c r="E2266">
        <v>0.60304594562656499</v>
      </c>
      <c r="F2266">
        <v>0.32947651319735599</v>
      </c>
      <c r="G2266">
        <v>0.176610101258698</v>
      </c>
      <c r="H2266">
        <v>0.117432202344968</v>
      </c>
      <c r="I2266">
        <v>7.9926348800346103E-2</v>
      </c>
      <c r="J2266">
        <v>9.0432637359507795E-2</v>
      </c>
      <c r="K2266">
        <v>9.9231107333596094E-2</v>
      </c>
      <c r="L2266">
        <v>859.56808177596099</v>
      </c>
      <c r="M2266">
        <v>17.052419579447498</v>
      </c>
      <c r="N2266">
        <v>50.867664493112301</v>
      </c>
      <c r="O2266">
        <v>49.729498960730702</v>
      </c>
      <c r="P2266">
        <v>-7.9602142173654106E-2</v>
      </c>
      <c r="Q2266">
        <v>7.1490799788579501E-2</v>
      </c>
      <c r="R2266">
        <v>0.99603013021373998</v>
      </c>
      <c r="S2266" t="s">
        <v>6562</v>
      </c>
      <c r="T2266" t="s">
        <v>8590</v>
      </c>
      <c r="U2266" t="s">
        <v>8590</v>
      </c>
      <c r="V2266" t="s">
        <v>8590</v>
      </c>
      <c r="W2266">
        <v>4</v>
      </c>
      <c r="X2266" t="s">
        <v>10856</v>
      </c>
      <c r="Y2266">
        <v>0.41100759897719519</v>
      </c>
      <c r="Z2266" t="str">
        <f>HYPERLINK("Melting_Curves/meltCurve_sp_Q86YB8_ERO1B_HUMAN_.pdf", "Melting_Curves/meltCurve_sp_Q86YB8_ERO1B_HUMAN_.pdf")</f>
        <v>Melting_Curves/meltCurve_sp_Q86YB8_ERO1B_HUMAN_.pdf</v>
      </c>
      <c r="AA2266" t="s">
        <v>15110</v>
      </c>
      <c r="AB2266" t="s">
        <v>19350</v>
      </c>
    </row>
    <row r="2267" spans="1:28" x14ac:dyDescent="0.25">
      <c r="A2267" t="s">
        <v>2271</v>
      </c>
      <c r="B2267">
        <v>0.99876560204751996</v>
      </c>
      <c r="C2267">
        <v>0.98127089394365496</v>
      </c>
      <c r="D2267">
        <v>0.9403978248289</v>
      </c>
      <c r="E2267">
        <v>0.93566441629231201</v>
      </c>
      <c r="F2267">
        <v>0.75189372633417895</v>
      </c>
      <c r="G2267">
        <v>0.50566980627823299</v>
      </c>
      <c r="H2267">
        <v>0.26171391598495303</v>
      </c>
      <c r="I2267">
        <v>0.21853975605152001</v>
      </c>
      <c r="J2267">
        <v>0.17736763676263101</v>
      </c>
      <c r="K2267">
        <v>0.13335184757772101</v>
      </c>
      <c r="L2267">
        <v>1003.40275532838</v>
      </c>
      <c r="M2267">
        <v>17.915660577997802</v>
      </c>
      <c r="N2267">
        <v>56.882503349440597</v>
      </c>
      <c r="O2267">
        <v>55.323208509441699</v>
      </c>
      <c r="P2267">
        <v>-7.1207444395329E-2</v>
      </c>
      <c r="Q2267">
        <v>0.12049543976709599</v>
      </c>
      <c r="R2267">
        <v>0.99660090934949397</v>
      </c>
      <c r="S2267" t="s">
        <v>6563</v>
      </c>
      <c r="T2267" t="s">
        <v>8590</v>
      </c>
      <c r="U2267" t="s">
        <v>8590</v>
      </c>
      <c r="V2267" t="s">
        <v>8590</v>
      </c>
      <c r="W2267">
        <v>7</v>
      </c>
      <c r="X2267" t="s">
        <v>10857</v>
      </c>
      <c r="Y2267">
        <v>0.60279318039515672</v>
      </c>
      <c r="Z2267" t="str">
        <f>HYPERLINK("Melting_Curves/meltCurve_sp_Q86YH6_DLP1_HUMAN_.pdf", "Melting_Curves/meltCurve_sp_Q86YH6_DLP1_HUMAN_.pdf")</f>
        <v>Melting_Curves/meltCurve_sp_Q86YH6_DLP1_HUMAN_.pdf</v>
      </c>
      <c r="AA2267" t="s">
        <v>15111</v>
      </c>
      <c r="AB2267" t="s">
        <v>19351</v>
      </c>
    </row>
    <row r="2268" spans="1:28" x14ac:dyDescent="0.25">
      <c r="A2268" t="s">
        <v>2272</v>
      </c>
      <c r="B2268">
        <v>0.99876560204751996</v>
      </c>
      <c r="C2268">
        <v>0.96160785842571395</v>
      </c>
      <c r="D2268">
        <v>0.95567755281369504</v>
      </c>
      <c r="E2268">
        <v>0.89175341440634703</v>
      </c>
      <c r="F2268">
        <v>0.77721510777891001</v>
      </c>
      <c r="G2268">
        <v>0.22298517571159199</v>
      </c>
      <c r="H2268">
        <v>0.14069948351155601</v>
      </c>
      <c r="I2268">
        <v>7.6466836054167903E-2</v>
      </c>
      <c r="J2268">
        <v>2.61565608682373E-2</v>
      </c>
      <c r="K2268">
        <v>1.54918796923564E-2</v>
      </c>
      <c r="L2268">
        <v>1639.6293697841199</v>
      </c>
      <c r="M2268">
        <v>29.9655369898571</v>
      </c>
      <c r="N2268">
        <v>54.882572007788298</v>
      </c>
      <c r="O2268">
        <v>54.475217361270303</v>
      </c>
      <c r="P2268">
        <v>-0.13158257511590901</v>
      </c>
      <c r="Q2268">
        <v>4.31751778916038E-2</v>
      </c>
      <c r="R2268">
        <v>0.99179053826089103</v>
      </c>
      <c r="S2268" t="s">
        <v>6564</v>
      </c>
      <c r="T2268" t="s">
        <v>8590</v>
      </c>
      <c r="U2268" t="s">
        <v>8590</v>
      </c>
      <c r="V2268" t="s">
        <v>8590</v>
      </c>
      <c r="W2268">
        <v>9</v>
      </c>
      <c r="X2268" t="s">
        <v>10858</v>
      </c>
      <c r="Y2268">
        <v>0.51891260546274576</v>
      </c>
      <c r="Z2268" t="str">
        <f>HYPERLINK("Melting_Curves/meltCurve_sp_Q86YJ6_4_THNS2_HUMAN_.pdf", "Melting_Curves/meltCurve_sp_Q86YJ6_4_THNS2_HUMAN_.pdf")</f>
        <v>Melting_Curves/meltCurve_sp_Q86YJ6_4_THNS2_HUMAN_.pdf</v>
      </c>
      <c r="AA2268" t="s">
        <v>15112</v>
      </c>
      <c r="AB2268" t="s">
        <v>19352</v>
      </c>
    </row>
    <row r="2269" spans="1:28" x14ac:dyDescent="0.25">
      <c r="A2269" t="s">
        <v>2273</v>
      </c>
      <c r="B2269">
        <v>0.99876560204751996</v>
      </c>
      <c r="C2269">
        <v>1.04132154025389</v>
      </c>
      <c r="D2269">
        <v>0.84002509948100501</v>
      </c>
      <c r="E2269">
        <v>0.82344424356396995</v>
      </c>
      <c r="F2269">
        <v>0.64798649457883195</v>
      </c>
      <c r="G2269">
        <v>0.41537285116830303</v>
      </c>
      <c r="H2269">
        <v>0.37292953557066499</v>
      </c>
      <c r="I2269">
        <v>0.406385169305989</v>
      </c>
      <c r="J2269">
        <v>0.410601505049426</v>
      </c>
      <c r="K2269">
        <v>0.458965926766843</v>
      </c>
      <c r="L2269">
        <v>1044.1211289968001</v>
      </c>
      <c r="M2269">
        <v>20.252776507330601</v>
      </c>
      <c r="N2269">
        <v>55.8601401549735</v>
      </c>
      <c r="O2269">
        <v>51.059733589933202</v>
      </c>
      <c r="P2269">
        <v>-5.9990536264417499E-2</v>
      </c>
      <c r="Q2269">
        <v>0.395044733412314</v>
      </c>
      <c r="R2269">
        <v>0.95765928097597997</v>
      </c>
      <c r="S2269" t="s">
        <v>6565</v>
      </c>
      <c r="T2269" t="s">
        <v>8590</v>
      </c>
      <c r="U2269" t="s">
        <v>8590</v>
      </c>
      <c r="V2269" t="s">
        <v>8590</v>
      </c>
      <c r="W2269">
        <v>6</v>
      </c>
      <c r="X2269" t="s">
        <v>10859</v>
      </c>
      <c r="Y2269">
        <v>0.63623705579300593</v>
      </c>
      <c r="Z2269" t="str">
        <f>HYPERLINK("Melting_Curves/meltCurve_sp_Q86YP4_2_P66A_HUMAN_.pdf", "Melting_Curves/meltCurve_sp_Q86YP4_2_P66A_HUMAN_.pdf")</f>
        <v>Melting_Curves/meltCurve_sp_Q86YP4_2_P66A_HUMAN_.pdf</v>
      </c>
      <c r="AA2269" t="s">
        <v>15113</v>
      </c>
      <c r="AB2269" t="s">
        <v>19353</v>
      </c>
    </row>
    <row r="2270" spans="1:28" x14ac:dyDescent="0.25">
      <c r="A2270" t="s">
        <v>2274</v>
      </c>
      <c r="B2270">
        <v>0.99876560204751996</v>
      </c>
      <c r="C2270">
        <v>0.91762317626165602</v>
      </c>
      <c r="D2270">
        <v>0.62343026829901504</v>
      </c>
      <c r="E2270">
        <v>0.56978359774035003</v>
      </c>
      <c r="F2270">
        <v>0.35325030224756299</v>
      </c>
      <c r="G2270">
        <v>0.16536696031123399</v>
      </c>
      <c r="H2270">
        <v>0.103082098627059</v>
      </c>
      <c r="I2270">
        <v>0.11663045299601101</v>
      </c>
      <c r="J2270">
        <v>8.1095761175821707E-2</v>
      </c>
      <c r="K2270">
        <v>8.5422617651606803E-2</v>
      </c>
      <c r="L2270">
        <v>608.99810956658098</v>
      </c>
      <c r="M2270">
        <v>12.2908975035437</v>
      </c>
      <c r="N2270">
        <v>49.921112638094002</v>
      </c>
      <c r="O2270">
        <v>48.291830318956499</v>
      </c>
      <c r="P2270">
        <v>-6.0854352125634503E-2</v>
      </c>
      <c r="Q2270">
        <v>4.38051300826625E-2</v>
      </c>
      <c r="R2270">
        <v>0.97845789534718997</v>
      </c>
      <c r="S2270" t="s">
        <v>6566</v>
      </c>
      <c r="T2270" t="s">
        <v>8590</v>
      </c>
      <c r="U2270" t="s">
        <v>8590</v>
      </c>
      <c r="V2270" t="s">
        <v>8590</v>
      </c>
      <c r="W2270">
        <v>1</v>
      </c>
      <c r="X2270" t="s">
        <v>10860</v>
      </c>
      <c r="Y2270">
        <v>0.38084671023773248</v>
      </c>
      <c r="Z2270" t="str">
        <f>HYPERLINK("Melting_Curves/meltCurve_sp_Q86YS6_RAB43_HUMAN_.pdf", "Melting_Curves/meltCurve_sp_Q86YS6_RAB43_HUMAN_.pdf")</f>
        <v>Melting_Curves/meltCurve_sp_Q86YS6_RAB43_HUMAN_.pdf</v>
      </c>
      <c r="AA2270" t="s">
        <v>15114</v>
      </c>
      <c r="AB2270" t="s">
        <v>19354</v>
      </c>
    </row>
    <row r="2271" spans="1:28" x14ac:dyDescent="0.25">
      <c r="A2271" t="s">
        <v>2275</v>
      </c>
      <c r="B2271">
        <v>0.99876560204751996</v>
      </c>
      <c r="C2271">
        <v>1.0429184260791799</v>
      </c>
      <c r="D2271">
        <v>0.95052367940410898</v>
      </c>
      <c r="E2271">
        <v>0.56820245964137905</v>
      </c>
      <c r="F2271">
        <v>0.34407708782701901</v>
      </c>
      <c r="G2271">
        <v>0.18659473516998201</v>
      </c>
      <c r="H2271">
        <v>0.100024415938815</v>
      </c>
      <c r="I2271">
        <v>1.9648719388331001E-2</v>
      </c>
      <c r="J2271">
        <v>0</v>
      </c>
      <c r="K2271">
        <v>0</v>
      </c>
      <c r="L2271">
        <v>983.15916209119098</v>
      </c>
      <c r="M2271">
        <v>19.2188013347957</v>
      </c>
      <c r="N2271">
        <v>51.2483231034564</v>
      </c>
      <c r="O2271">
        <v>50.611914262475501</v>
      </c>
      <c r="P2271">
        <v>-9.3322430121937403E-2</v>
      </c>
      <c r="Q2271">
        <v>1.6994493283780599E-2</v>
      </c>
      <c r="R2271">
        <v>0.991066557930669</v>
      </c>
      <c r="S2271" t="s">
        <v>6567</v>
      </c>
      <c r="T2271" t="s">
        <v>8590</v>
      </c>
      <c r="U2271" t="s">
        <v>8590</v>
      </c>
      <c r="V2271" t="s">
        <v>8590</v>
      </c>
      <c r="W2271">
        <v>2</v>
      </c>
      <c r="X2271" t="s">
        <v>10861</v>
      </c>
      <c r="Y2271">
        <v>0.39722724130359433</v>
      </c>
      <c r="Z2271" t="str">
        <f>HYPERLINK("Melting_Curves/meltCurve_sp_Q86YS7_C2CD5_HUMAN_.pdf", "Melting_Curves/meltCurve_sp_Q86YS7_C2CD5_HUMAN_.pdf")</f>
        <v>Melting_Curves/meltCurve_sp_Q86YS7_C2CD5_HUMAN_.pdf</v>
      </c>
      <c r="AA2271" t="s">
        <v>15115</v>
      </c>
      <c r="AB2271" t="s">
        <v>19355</v>
      </c>
    </row>
    <row r="2272" spans="1:28" x14ac:dyDescent="0.25">
      <c r="A2272" t="s">
        <v>2276</v>
      </c>
      <c r="B2272">
        <v>0.99876560204751996</v>
      </c>
      <c r="C2272">
        <v>0.94914186971594205</v>
      </c>
      <c r="D2272">
        <v>0.78571127706858801</v>
      </c>
      <c r="E2272">
        <v>0.74666060261745104</v>
      </c>
      <c r="F2272">
        <v>0.46234244590447199</v>
      </c>
      <c r="G2272">
        <v>0.344182456558564</v>
      </c>
      <c r="H2272">
        <v>0.27282768678853703</v>
      </c>
      <c r="I2272">
        <v>0.22586754977559201</v>
      </c>
      <c r="J2272">
        <v>0.26386924122534</v>
      </c>
      <c r="K2272">
        <v>0.15565493994165899</v>
      </c>
      <c r="L2272">
        <v>654.47867281879905</v>
      </c>
      <c r="M2272">
        <v>12.7088214818551</v>
      </c>
      <c r="N2272">
        <v>53.2018023579163</v>
      </c>
      <c r="O2272">
        <v>50.272863223113397</v>
      </c>
      <c r="P2272">
        <v>-5.2643798685320299E-2</v>
      </c>
      <c r="Q2272">
        <v>0.167178806730191</v>
      </c>
      <c r="R2272">
        <v>0.97943088520202504</v>
      </c>
      <c r="S2272" t="s">
        <v>6568</v>
      </c>
      <c r="T2272" t="s">
        <v>8590</v>
      </c>
      <c r="U2272" t="s">
        <v>8590</v>
      </c>
      <c r="V2272" t="s">
        <v>8590</v>
      </c>
      <c r="W2272">
        <v>4</v>
      </c>
      <c r="X2272" t="s">
        <v>10862</v>
      </c>
      <c r="Y2272">
        <v>0.51068593266092188</v>
      </c>
      <c r="Z2272" t="str">
        <f>HYPERLINK("Melting_Curves/meltCurve_sp_Q8IU81_I2BP1_HUMAN_.pdf", "Melting_Curves/meltCurve_sp_Q8IU81_I2BP1_HUMAN_.pdf")</f>
        <v>Melting_Curves/meltCurve_sp_Q8IU81_I2BP1_HUMAN_.pdf</v>
      </c>
      <c r="AA2272" t="s">
        <v>15116</v>
      </c>
      <c r="AB2272" t="s">
        <v>19356</v>
      </c>
    </row>
    <row r="2273" spans="1:28" x14ac:dyDescent="0.25">
      <c r="A2273" t="s">
        <v>2277</v>
      </c>
      <c r="B2273">
        <v>0.99876560204751996</v>
      </c>
      <c r="C2273">
        <v>1.08061744917862</v>
      </c>
      <c r="D2273">
        <v>0.95014308476049703</v>
      </c>
      <c r="E2273">
        <v>0.77390726791147701</v>
      </c>
      <c r="F2273">
        <v>0.61935675950158098</v>
      </c>
      <c r="G2273">
        <v>0.38460609770073301</v>
      </c>
      <c r="H2273">
        <v>0.21730893209063801</v>
      </c>
      <c r="I2273">
        <v>0.16245592538658701</v>
      </c>
      <c r="J2273">
        <v>0.14974232418694</v>
      </c>
      <c r="K2273">
        <v>0.160505327508911</v>
      </c>
      <c r="L2273">
        <v>900.87214391154896</v>
      </c>
      <c r="M2273">
        <v>16.773494279125099</v>
      </c>
      <c r="N2273">
        <v>54.640113407101303</v>
      </c>
      <c r="O2273">
        <v>52.962128717299599</v>
      </c>
      <c r="P2273">
        <v>-6.9330758860023101E-2</v>
      </c>
      <c r="Q2273">
        <v>0.124412751115836</v>
      </c>
      <c r="R2273">
        <v>0.99164830458005104</v>
      </c>
      <c r="S2273" t="s">
        <v>6569</v>
      </c>
      <c r="T2273" t="s">
        <v>8590</v>
      </c>
      <c r="U2273" t="s">
        <v>8590</v>
      </c>
      <c r="V2273" t="s">
        <v>8590</v>
      </c>
      <c r="W2273">
        <v>3</v>
      </c>
      <c r="X2273" t="s">
        <v>10863</v>
      </c>
      <c r="Y2273">
        <v>0.54016764177571175</v>
      </c>
      <c r="Z2273" t="str">
        <f>HYPERLINK("Melting_Curves/meltCurve_sp_Q8IU85_2_KCC1D_HUMAN_.pdf", "Melting_Curves/meltCurve_sp_Q8IU85_2_KCC1D_HUMAN_.pdf")</f>
        <v>Melting_Curves/meltCurve_sp_Q8IU85_2_KCC1D_HUMAN_.pdf</v>
      </c>
      <c r="AA2273" t="s">
        <v>15117</v>
      </c>
      <c r="AB2273" t="s">
        <v>19357</v>
      </c>
    </row>
    <row r="2274" spans="1:28" x14ac:dyDescent="0.25">
      <c r="A2274" t="s">
        <v>2278</v>
      </c>
      <c r="B2274">
        <v>0.99876560204751996</v>
      </c>
      <c r="C2274">
        <v>0.84335094629614105</v>
      </c>
      <c r="D2274">
        <v>0.74490967519960305</v>
      </c>
      <c r="E2274">
        <v>0.54751328303295499</v>
      </c>
      <c r="F2274">
        <v>0.194505282863812</v>
      </c>
      <c r="G2274">
        <v>9.7385102214782304E-2</v>
      </c>
      <c r="H2274">
        <v>4.3575119343296401E-2</v>
      </c>
      <c r="I2274">
        <v>3.8129838806463298E-2</v>
      </c>
      <c r="J2274">
        <v>3.8959230788611798E-2</v>
      </c>
      <c r="K2274">
        <v>1.7614335727199601E-2</v>
      </c>
      <c r="L2274">
        <v>752.79504344162297</v>
      </c>
      <c r="M2274">
        <v>15.2278476140502</v>
      </c>
      <c r="N2274">
        <v>49.435418934380202</v>
      </c>
      <c r="O2274">
        <v>48.606407848912099</v>
      </c>
      <c r="P2274">
        <v>-7.8329689266379496E-2</v>
      </c>
      <c r="Q2274">
        <v>0</v>
      </c>
      <c r="R2274">
        <v>0.98561501088764103</v>
      </c>
      <c r="S2274" t="s">
        <v>6570</v>
      </c>
      <c r="T2274" t="s">
        <v>8590</v>
      </c>
      <c r="U2274" t="s">
        <v>8590</v>
      </c>
      <c r="V2274" t="s">
        <v>8590</v>
      </c>
      <c r="W2274">
        <v>3</v>
      </c>
      <c r="X2274" t="s">
        <v>10864</v>
      </c>
      <c r="Y2274">
        <v>0.3381477057775385</v>
      </c>
      <c r="Z2274" t="str">
        <f>HYPERLINK("Melting_Curves/meltCurve_sp_Q8IUC4_RHPN2_HUMAN_.pdf", "Melting_Curves/meltCurve_sp_Q8IUC4_RHPN2_HUMAN_.pdf")</f>
        <v>Melting_Curves/meltCurve_sp_Q8IUC4_RHPN2_HUMAN_.pdf</v>
      </c>
      <c r="AA2274" t="s">
        <v>15118</v>
      </c>
      <c r="AB2274" t="s">
        <v>19358</v>
      </c>
    </row>
    <row r="2275" spans="1:28" x14ac:dyDescent="0.25">
      <c r="A2275" t="s">
        <v>2279</v>
      </c>
      <c r="B2275">
        <v>0.99876560204751996</v>
      </c>
      <c r="C2275">
        <v>1.0087365945725499</v>
      </c>
      <c r="D2275">
        <v>0.93721112959594599</v>
      </c>
      <c r="E2275">
        <v>0.949058875151362</v>
      </c>
      <c r="F2275">
        <v>0.88811670950753796</v>
      </c>
      <c r="G2275">
        <v>0.67392378604924497</v>
      </c>
      <c r="H2275">
        <v>0.54505876522938002</v>
      </c>
      <c r="I2275">
        <v>0.48190809251505801</v>
      </c>
      <c r="J2275">
        <v>0.60983686373942603</v>
      </c>
      <c r="K2275">
        <v>0.55494969824551399</v>
      </c>
      <c r="L2275">
        <v>1561.28804961932</v>
      </c>
      <c r="M2275">
        <v>28.4076463014949</v>
      </c>
      <c r="O2275">
        <v>54.6899452819166</v>
      </c>
      <c r="P2275">
        <v>-5.9603591416321003E-2</v>
      </c>
      <c r="Q2275">
        <v>0.54101220678237105</v>
      </c>
      <c r="R2275">
        <v>0.96446586510481302</v>
      </c>
      <c r="S2275" t="s">
        <v>6571</v>
      </c>
      <c r="T2275" t="s">
        <v>8590</v>
      </c>
      <c r="U2275" t="s">
        <v>8590</v>
      </c>
      <c r="V2275" t="s">
        <v>8590</v>
      </c>
      <c r="W2275">
        <v>43</v>
      </c>
      <c r="X2275" t="s">
        <v>10865</v>
      </c>
      <c r="Y2275">
        <v>0.77326722611050491</v>
      </c>
      <c r="Z2275" t="str">
        <f>HYPERLINK("Melting_Curves/meltCurve_sp_Q8IUD2_RB6I2_HUMAN_.pdf", "Melting_Curves/meltCurve_sp_Q8IUD2_RB6I2_HUMAN_.pdf")</f>
        <v>Melting_Curves/meltCurve_sp_Q8IUD2_RB6I2_HUMAN_.pdf</v>
      </c>
      <c r="AA2275" t="s">
        <v>15119</v>
      </c>
      <c r="AB2275" t="s">
        <v>19359</v>
      </c>
    </row>
    <row r="2276" spans="1:28" x14ac:dyDescent="0.25">
      <c r="A2276" t="s">
        <v>2280</v>
      </c>
      <c r="B2276">
        <v>0.99876560204751996</v>
      </c>
      <c r="C2276">
        <v>0.93987923690094199</v>
      </c>
      <c r="D2276">
        <v>0.95499651830728904</v>
      </c>
      <c r="E2276">
        <v>0.95941572781393603</v>
      </c>
      <c r="F2276">
        <v>0.87220000147893395</v>
      </c>
      <c r="G2276">
        <v>0.73231291618681804</v>
      </c>
      <c r="H2276">
        <v>0.48745448470326602</v>
      </c>
      <c r="I2276">
        <v>0.26265320873472803</v>
      </c>
      <c r="J2276">
        <v>0.153576682778233</v>
      </c>
      <c r="K2276">
        <v>0.12995703488278501</v>
      </c>
      <c r="L2276">
        <v>942.39185947910596</v>
      </c>
      <c r="M2276">
        <v>15.607496314834</v>
      </c>
      <c r="N2276">
        <v>60.3807197109859</v>
      </c>
      <c r="O2276">
        <v>59.415531244458101</v>
      </c>
      <c r="P2276">
        <v>-6.5676625227701693E-2</v>
      </c>
      <c r="Q2276">
        <v>0</v>
      </c>
      <c r="R2276">
        <v>0.99255855916698299</v>
      </c>
      <c r="S2276" t="s">
        <v>6572</v>
      </c>
      <c r="T2276" t="s">
        <v>8590</v>
      </c>
      <c r="U2276" t="s">
        <v>8590</v>
      </c>
      <c r="V2276" t="s">
        <v>8590</v>
      </c>
      <c r="W2276">
        <v>14</v>
      </c>
      <c r="X2276" t="s">
        <v>10866</v>
      </c>
      <c r="Y2276">
        <v>0.68523802274237922</v>
      </c>
      <c r="Z2276" t="str">
        <f>HYPERLINK("Melting_Curves/meltCurve_sp_Q8IUZ5_AT2L2_HUMAN_.pdf", "Melting_Curves/meltCurve_sp_Q8IUZ5_AT2L2_HUMAN_.pdf")</f>
        <v>Melting_Curves/meltCurve_sp_Q8IUZ5_AT2L2_HUMAN_.pdf</v>
      </c>
      <c r="AA2276" t="s">
        <v>15120</v>
      </c>
      <c r="AB2276" t="s">
        <v>19360</v>
      </c>
    </row>
    <row r="2277" spans="1:28" x14ac:dyDescent="0.25">
      <c r="A2277" t="s">
        <v>2281</v>
      </c>
      <c r="B2277">
        <v>0.99876560204751996</v>
      </c>
      <c r="C2277">
        <v>0.90065078192695203</v>
      </c>
      <c r="D2277">
        <v>0.88272180637160902</v>
      </c>
      <c r="E2277">
        <v>0.65887368969873805</v>
      </c>
      <c r="F2277">
        <v>0.321499121036663</v>
      </c>
      <c r="G2277">
        <v>0.18369867690755001</v>
      </c>
      <c r="H2277">
        <v>8.5541407422772206E-2</v>
      </c>
      <c r="I2277">
        <v>6.2633873015506894E-2</v>
      </c>
      <c r="J2277">
        <v>5.9488765685154599E-2</v>
      </c>
      <c r="K2277">
        <v>3.9562168174176203E-2</v>
      </c>
      <c r="L2277">
        <v>922.40029591991799</v>
      </c>
      <c r="M2277">
        <v>18.0519924832229</v>
      </c>
      <c r="N2277">
        <v>51.323559115920403</v>
      </c>
      <c r="O2277">
        <v>50.482208415780804</v>
      </c>
      <c r="P2277">
        <v>-8.5976393162836895E-2</v>
      </c>
      <c r="Q2277">
        <v>3.8318577972576498E-2</v>
      </c>
      <c r="R2277">
        <v>0.99323054574073699</v>
      </c>
      <c r="S2277" t="s">
        <v>6573</v>
      </c>
      <c r="T2277" t="s">
        <v>8590</v>
      </c>
      <c r="U2277" t="s">
        <v>8590</v>
      </c>
      <c r="V2277" t="s">
        <v>8590</v>
      </c>
      <c r="W2277">
        <v>5</v>
      </c>
      <c r="X2277" t="s">
        <v>10867</v>
      </c>
      <c r="Y2277">
        <v>0.41014212257155241</v>
      </c>
      <c r="Z2277" t="str">
        <f>HYPERLINK("Melting_Curves/meltCurve_sp_Q8IV08_PLD3_HUMAN_.pdf", "Melting_Curves/meltCurve_sp_Q8IV08_PLD3_HUMAN_.pdf")</f>
        <v>Melting_Curves/meltCurve_sp_Q8IV08_PLD3_HUMAN_.pdf</v>
      </c>
      <c r="AA2277" t="s">
        <v>15121</v>
      </c>
      <c r="AB2277" t="s">
        <v>19361</v>
      </c>
    </row>
    <row r="2278" spans="1:28" x14ac:dyDescent="0.25">
      <c r="A2278" t="s">
        <v>2282</v>
      </c>
      <c r="B2278">
        <v>0.99876560204751996</v>
      </c>
      <c r="C2278">
        <v>0.95892390174543096</v>
      </c>
      <c r="D2278">
        <v>0.98013578063859297</v>
      </c>
      <c r="E2278">
        <v>1.0088187435713301</v>
      </c>
      <c r="F2278">
        <v>1.14695149298411</v>
      </c>
      <c r="G2278">
        <v>0.89321840286411402</v>
      </c>
      <c r="H2278">
        <v>0.87368262616522596</v>
      </c>
      <c r="I2278">
        <v>0.72499348413394404</v>
      </c>
      <c r="J2278">
        <v>0.90558053383460302</v>
      </c>
      <c r="K2278">
        <v>0.94168988716384305</v>
      </c>
      <c r="L2278">
        <v>14180.832429447801</v>
      </c>
      <c r="M2278">
        <v>250</v>
      </c>
      <c r="O2278">
        <v>56.719699831647603</v>
      </c>
      <c r="P2278">
        <v>-0.15262925861493901</v>
      </c>
      <c r="Q2278">
        <v>0.861486628490719</v>
      </c>
      <c r="R2278">
        <v>0.52366268747825195</v>
      </c>
      <c r="S2278" t="s">
        <v>6574</v>
      </c>
      <c r="T2278" t="s">
        <v>8590</v>
      </c>
      <c r="U2278" t="s">
        <v>8590</v>
      </c>
      <c r="V2278" t="s">
        <v>8590</v>
      </c>
      <c r="W2278">
        <v>1</v>
      </c>
      <c r="X2278" t="s">
        <v>10868</v>
      </c>
      <c r="Y2278">
        <v>0.93871391003326432</v>
      </c>
      <c r="Z2278" t="str">
        <f>HYPERLINK("Melting_Curves/meltCurve_sp_Q8IV20_LACC1_HUMAN_.pdf", "Melting_Curves/meltCurve_sp_Q8IV20_LACC1_HUMAN_.pdf")</f>
        <v>Melting_Curves/meltCurve_sp_Q8IV20_LACC1_HUMAN_.pdf</v>
      </c>
      <c r="AA2278" t="s">
        <v>15122</v>
      </c>
      <c r="AB2278" t="s">
        <v>19362</v>
      </c>
    </row>
    <row r="2279" spans="1:28" x14ac:dyDescent="0.25">
      <c r="A2279" t="s">
        <v>2283</v>
      </c>
      <c r="B2279">
        <v>0.99876560204751996</v>
      </c>
      <c r="C2279">
        <v>0.99241663950329495</v>
      </c>
      <c r="D2279">
        <v>0.93591449631196499</v>
      </c>
      <c r="E2279">
        <v>0.77530211686831696</v>
      </c>
      <c r="F2279">
        <v>0.23672230075017001</v>
      </c>
      <c r="G2279">
        <v>0.12249643581127</v>
      </c>
      <c r="H2279">
        <v>6.4104540152499598E-2</v>
      </c>
      <c r="I2279">
        <v>4.9269975009584702E-2</v>
      </c>
      <c r="J2279">
        <v>2.2847563323348301E-2</v>
      </c>
      <c r="K2279">
        <v>2.5714509884451401E-2</v>
      </c>
      <c r="L2279">
        <v>2134.6893863458199</v>
      </c>
      <c r="M2279">
        <v>41.5909704928685</v>
      </c>
      <c r="N2279">
        <v>51.460101572731098</v>
      </c>
      <c r="O2279">
        <v>51.207562494666</v>
      </c>
      <c r="P2279">
        <v>-0.19260742788729501</v>
      </c>
      <c r="Q2279">
        <v>5.1434610597685101E-2</v>
      </c>
      <c r="R2279">
        <v>0.99521130142777503</v>
      </c>
      <c r="S2279" t="s">
        <v>6575</v>
      </c>
      <c r="T2279" t="s">
        <v>8590</v>
      </c>
      <c r="U2279" t="s">
        <v>8590</v>
      </c>
      <c r="V2279" t="s">
        <v>8590</v>
      </c>
      <c r="W2279">
        <v>5</v>
      </c>
      <c r="X2279" t="s">
        <v>10869</v>
      </c>
      <c r="Y2279">
        <v>0.41265357809680148</v>
      </c>
      <c r="Z2279" t="str">
        <f>HYPERLINK("Melting_Curves/meltCurve_sp_Q8IV38_ANKY2_HUMAN_.pdf", "Melting_Curves/meltCurve_sp_Q8IV38_ANKY2_HUMAN_.pdf")</f>
        <v>Melting_Curves/meltCurve_sp_Q8IV38_ANKY2_HUMAN_.pdf</v>
      </c>
      <c r="AA2279" t="s">
        <v>15123</v>
      </c>
      <c r="AB2279" t="s">
        <v>19363</v>
      </c>
    </row>
    <row r="2280" spans="1:28" x14ac:dyDescent="0.25">
      <c r="A2280" t="s">
        <v>2284</v>
      </c>
      <c r="B2280">
        <v>0.99876560204751996</v>
      </c>
      <c r="C2280">
        <v>0.96846599602781802</v>
      </c>
      <c r="D2280">
        <v>1.06435042181052</v>
      </c>
      <c r="E2280">
        <v>0.91488522012832596</v>
      </c>
      <c r="F2280">
        <v>0.79875567514915702</v>
      </c>
      <c r="G2280">
        <v>0.56767445396547001</v>
      </c>
      <c r="H2280">
        <v>0.56147181675383995</v>
      </c>
      <c r="I2280">
        <v>0.46003813362815299</v>
      </c>
      <c r="J2280">
        <v>0.593528392280256</v>
      </c>
      <c r="K2280">
        <v>0.53869646079204803</v>
      </c>
      <c r="L2280">
        <v>1666.57756362129</v>
      </c>
      <c r="M2280">
        <v>31.315451326244901</v>
      </c>
      <c r="O2280">
        <v>53.0034073010547</v>
      </c>
      <c r="P2280">
        <v>-6.8996352030413599E-2</v>
      </c>
      <c r="Q2280">
        <v>0.53287958402054103</v>
      </c>
      <c r="R2280">
        <v>0.96355538100410199</v>
      </c>
      <c r="S2280" t="s">
        <v>6576</v>
      </c>
      <c r="T2280" t="s">
        <v>8590</v>
      </c>
      <c r="U2280" t="s">
        <v>8590</v>
      </c>
      <c r="V2280" t="s">
        <v>8590</v>
      </c>
      <c r="W2280">
        <v>1</v>
      </c>
      <c r="X2280" t="s">
        <v>10870</v>
      </c>
      <c r="Y2280">
        <v>0.74150201565825524</v>
      </c>
      <c r="Z2280" t="str">
        <f>HYPERLINK("Melting_Curves/meltCurve_sp_Q8IV50_LYSM2_HUMAN_.pdf", "Melting_Curves/meltCurve_sp_Q8IV50_LYSM2_HUMAN_.pdf")</f>
        <v>Melting_Curves/meltCurve_sp_Q8IV50_LYSM2_HUMAN_.pdf</v>
      </c>
      <c r="AA2280" t="s">
        <v>15124</v>
      </c>
      <c r="AB2280" t="s">
        <v>19364</v>
      </c>
    </row>
    <row r="2281" spans="1:28" x14ac:dyDescent="0.25">
      <c r="A2281" t="s">
        <v>2285</v>
      </c>
      <c r="B2281">
        <v>0.99876560204751996</v>
      </c>
      <c r="C2281">
        <v>1.0170945281543899</v>
      </c>
      <c r="D2281">
        <v>1.03107634977461</v>
      </c>
      <c r="E2281">
        <v>0.898089717128151</v>
      </c>
      <c r="F2281">
        <v>0.78455291041740305</v>
      </c>
      <c r="G2281">
        <v>0.42652228913006601</v>
      </c>
      <c r="H2281">
        <v>0.222971089083837</v>
      </c>
      <c r="I2281">
        <v>0.206624175181359</v>
      </c>
      <c r="J2281">
        <v>0.18422663733976499</v>
      </c>
      <c r="K2281">
        <v>0.15774242264954499</v>
      </c>
      <c r="L2281">
        <v>1308.8004913674599</v>
      </c>
      <c r="M2281">
        <v>23.731408026909602</v>
      </c>
      <c r="N2281">
        <v>56.075537398156797</v>
      </c>
      <c r="O2281">
        <v>54.763419197581598</v>
      </c>
      <c r="P2281">
        <v>-9.0791067549513702E-2</v>
      </c>
      <c r="Q2281">
        <v>0.161963268392223</v>
      </c>
      <c r="R2281">
        <v>0.99702376048532904</v>
      </c>
      <c r="S2281" t="s">
        <v>6577</v>
      </c>
      <c r="T2281" t="s">
        <v>8590</v>
      </c>
      <c r="U2281" t="s">
        <v>8590</v>
      </c>
      <c r="V2281" t="s">
        <v>8590</v>
      </c>
      <c r="W2281">
        <v>4</v>
      </c>
      <c r="X2281" t="s">
        <v>10871</v>
      </c>
      <c r="Y2281">
        <v>0.59365900885809419</v>
      </c>
      <c r="Z2281" t="str">
        <f>HYPERLINK("Melting_Curves/meltCurve_sp_Q8IVD9_NUDC3_HUMAN_.pdf", "Melting_Curves/meltCurve_sp_Q8IVD9_NUDC3_HUMAN_.pdf")</f>
        <v>Melting_Curves/meltCurve_sp_Q8IVD9_NUDC3_HUMAN_.pdf</v>
      </c>
      <c r="AA2281" t="s">
        <v>15125</v>
      </c>
      <c r="AB2281" t="s">
        <v>19365</v>
      </c>
    </row>
    <row r="2282" spans="1:28" x14ac:dyDescent="0.25">
      <c r="A2282" t="s">
        <v>2286</v>
      </c>
      <c r="B2282">
        <v>0.99876560204751996</v>
      </c>
      <c r="C2282">
        <v>0.91801672385775202</v>
      </c>
      <c r="D2282">
        <v>0.777021626912619</v>
      </c>
      <c r="E2282">
        <v>0.39409999283085101</v>
      </c>
      <c r="F2282">
        <v>0.16398283087892401</v>
      </c>
      <c r="G2282">
        <v>9.7783083197962806E-2</v>
      </c>
      <c r="H2282">
        <v>5.8993158018775901E-2</v>
      </c>
      <c r="I2282">
        <v>4.9423945824228398E-2</v>
      </c>
      <c r="J2282">
        <v>4.7972202870694501E-2</v>
      </c>
      <c r="K2282">
        <v>4.1440472164905401E-2</v>
      </c>
      <c r="L2282">
        <v>1005.7987975571</v>
      </c>
      <c r="M2282">
        <v>20.710087118632199</v>
      </c>
      <c r="N2282">
        <v>48.777364329591997</v>
      </c>
      <c r="O2282">
        <v>48.119643727277001</v>
      </c>
      <c r="P2282">
        <v>-0.102974744503816</v>
      </c>
      <c r="Q2282">
        <v>4.2984780458302299E-2</v>
      </c>
      <c r="R2282">
        <v>0.99892006900848196</v>
      </c>
      <c r="S2282" t="s">
        <v>6578</v>
      </c>
      <c r="T2282" t="s">
        <v>8590</v>
      </c>
      <c r="U2282" t="s">
        <v>8590</v>
      </c>
      <c r="V2282" t="s">
        <v>8590</v>
      </c>
      <c r="W2282">
        <v>14</v>
      </c>
      <c r="X2282" t="s">
        <v>10872</v>
      </c>
      <c r="Y2282">
        <v>0.32876437354408378</v>
      </c>
      <c r="Z2282" t="str">
        <f>HYPERLINK("Melting_Curves/meltCurve_sp_Q8IVH4_MMAA_HUMAN_.pdf", "Melting_Curves/meltCurve_sp_Q8IVH4_MMAA_HUMAN_.pdf")</f>
        <v>Melting_Curves/meltCurve_sp_Q8IVH4_MMAA_HUMAN_.pdf</v>
      </c>
      <c r="AA2282" t="s">
        <v>15126</v>
      </c>
      <c r="AB2282" t="s">
        <v>19366</v>
      </c>
    </row>
    <row r="2283" spans="1:28" x14ac:dyDescent="0.25">
      <c r="A2283" t="s">
        <v>2287</v>
      </c>
      <c r="B2283">
        <v>0.99876560204751996</v>
      </c>
      <c r="C2283">
        <v>0.91762090368145499</v>
      </c>
      <c r="D2283">
        <v>0.97527650837582003</v>
      </c>
      <c r="E2283">
        <v>0.88253216718726202</v>
      </c>
      <c r="F2283">
        <v>0.90853168541321605</v>
      </c>
      <c r="G2283">
        <v>0.71606091843627595</v>
      </c>
      <c r="H2283">
        <v>0.59776564952882405</v>
      </c>
      <c r="I2283">
        <v>0.64951883721410997</v>
      </c>
      <c r="J2283">
        <v>0.81564937088317002</v>
      </c>
      <c r="K2283">
        <v>0.75168716906288802</v>
      </c>
      <c r="L2283">
        <v>1296.2701011018301</v>
      </c>
      <c r="M2283">
        <v>24.576986861152999</v>
      </c>
      <c r="O2283">
        <v>52.397796038532803</v>
      </c>
      <c r="P2283">
        <v>-3.5092196224664501E-2</v>
      </c>
      <c r="Q2283">
        <v>0.70074010438578205</v>
      </c>
      <c r="R2283">
        <v>0.72892718178336702</v>
      </c>
      <c r="S2283" t="s">
        <v>6579</v>
      </c>
      <c r="T2283" t="s">
        <v>8590</v>
      </c>
      <c r="U2283" t="s">
        <v>8590</v>
      </c>
      <c r="V2283" t="s">
        <v>8590</v>
      </c>
      <c r="W2283">
        <v>9</v>
      </c>
      <c r="X2283" t="s">
        <v>10873</v>
      </c>
      <c r="Y2283">
        <v>0.83069818922133531</v>
      </c>
      <c r="Z2283" t="str">
        <f>HYPERLINK("Melting_Curves/meltCurve_sp_Q8IVM0_2_CCD50_HUMAN_.pdf", "Melting_Curves/meltCurve_sp_Q8IVM0_2_CCD50_HUMAN_.pdf")</f>
        <v>Melting_Curves/meltCurve_sp_Q8IVM0_2_CCD50_HUMAN_.pdf</v>
      </c>
      <c r="AA2283" t="s">
        <v>15127</v>
      </c>
      <c r="AB2283" t="s">
        <v>19367</v>
      </c>
    </row>
    <row r="2284" spans="1:28" x14ac:dyDescent="0.25">
      <c r="A2284" t="s">
        <v>2288</v>
      </c>
      <c r="B2284">
        <v>0.99876560204751996</v>
      </c>
      <c r="C2284">
        <v>1.0444232825895701</v>
      </c>
      <c r="D2284">
        <v>0.99414259695093299</v>
      </c>
      <c r="E2284">
        <v>0.92120932800142497</v>
      </c>
      <c r="F2284">
        <v>0.80318481137476905</v>
      </c>
      <c r="G2284">
        <v>0.59075227218807502</v>
      </c>
      <c r="H2284">
        <v>0.38816022666494399</v>
      </c>
      <c r="I2284">
        <v>0.33903809047809103</v>
      </c>
      <c r="J2284">
        <v>0.30952584713258702</v>
      </c>
      <c r="K2284">
        <v>0.16946733000004199</v>
      </c>
      <c r="L2284">
        <v>850.18070847280899</v>
      </c>
      <c r="M2284">
        <v>14.8522450408044</v>
      </c>
      <c r="N2284">
        <v>58.906313319376402</v>
      </c>
      <c r="O2284">
        <v>56.2348951656639</v>
      </c>
      <c r="P2284">
        <v>-5.4722431216336402E-2</v>
      </c>
      <c r="Q2284">
        <v>0.17130722622261699</v>
      </c>
      <c r="R2284">
        <v>0.99049675051912001</v>
      </c>
      <c r="S2284" t="s">
        <v>6580</v>
      </c>
      <c r="T2284" t="s">
        <v>8590</v>
      </c>
      <c r="U2284" t="s">
        <v>8590</v>
      </c>
      <c r="V2284" t="s">
        <v>8590</v>
      </c>
      <c r="W2284">
        <v>8</v>
      </c>
      <c r="X2284" t="s">
        <v>10874</v>
      </c>
      <c r="Y2284">
        <v>0.6603280165616281</v>
      </c>
      <c r="Z2284" t="str">
        <f>HYPERLINK("Melting_Curves/meltCurve_sp_Q8IVS2_FABD_HUMAN_.pdf", "Melting_Curves/meltCurve_sp_Q8IVS2_FABD_HUMAN_.pdf")</f>
        <v>Melting_Curves/meltCurve_sp_Q8IVS2_FABD_HUMAN_.pdf</v>
      </c>
      <c r="AA2284" t="s">
        <v>15128</v>
      </c>
      <c r="AB2284" t="s">
        <v>19368</v>
      </c>
    </row>
    <row r="2285" spans="1:28" x14ac:dyDescent="0.25">
      <c r="A2285" t="s">
        <v>2289</v>
      </c>
      <c r="B2285">
        <v>0.99876560204751996</v>
      </c>
      <c r="C2285">
        <v>0.64422226375907998</v>
      </c>
      <c r="D2285">
        <v>0.38290795947844197</v>
      </c>
      <c r="E2285">
        <v>0.213976966941399</v>
      </c>
      <c r="F2285">
        <v>7.1246332375207097E-2</v>
      </c>
      <c r="G2285">
        <v>3.2693005974511198E-2</v>
      </c>
      <c r="H2285">
        <v>1.39146170698546E-2</v>
      </c>
      <c r="I2285">
        <v>1.1961823937875799E-2</v>
      </c>
      <c r="J2285">
        <v>1.24895108041587E-2</v>
      </c>
      <c r="K2285">
        <v>6.6143637260826496E-3</v>
      </c>
      <c r="L2285">
        <v>799.606031668014</v>
      </c>
      <c r="M2285">
        <v>17.8156845527269</v>
      </c>
      <c r="N2285">
        <v>44.954569910701103</v>
      </c>
      <c r="O2285">
        <v>44.328114415107798</v>
      </c>
      <c r="P2285">
        <v>-9.9059438941962702E-2</v>
      </c>
      <c r="Q2285">
        <v>1.4151264962124601E-2</v>
      </c>
      <c r="R2285">
        <v>0.98322166765180197</v>
      </c>
      <c r="S2285" t="s">
        <v>6581</v>
      </c>
      <c r="T2285" t="s">
        <v>8590</v>
      </c>
      <c r="U2285" t="s">
        <v>8590</v>
      </c>
      <c r="V2285" t="s">
        <v>8590</v>
      </c>
      <c r="W2285">
        <v>6</v>
      </c>
      <c r="X2285" t="s">
        <v>10875</v>
      </c>
      <c r="Y2285">
        <v>0.19664450018485949</v>
      </c>
      <c r="Z2285" t="str">
        <f>HYPERLINK("Melting_Curves/meltCurve_sp_Q8IVS8_GLCTK_HUMAN_.pdf", "Melting_Curves/meltCurve_sp_Q8IVS8_GLCTK_HUMAN_.pdf")</f>
        <v>Melting_Curves/meltCurve_sp_Q8IVS8_GLCTK_HUMAN_.pdf</v>
      </c>
      <c r="AA2285" t="s">
        <v>15129</v>
      </c>
      <c r="AB2285" t="s">
        <v>19369</v>
      </c>
    </row>
    <row r="2286" spans="1:28" x14ac:dyDescent="0.25">
      <c r="A2286" t="s">
        <v>2290</v>
      </c>
      <c r="B2286">
        <v>0.99876560204751996</v>
      </c>
      <c r="C2286">
        <v>1.00281588536335</v>
      </c>
      <c r="D2286">
        <v>0.85062014433667998</v>
      </c>
      <c r="E2286">
        <v>0.946989501974144</v>
      </c>
      <c r="F2286">
        <v>0.80387007945828803</v>
      </c>
      <c r="G2286">
        <v>0.66859998192389003</v>
      </c>
      <c r="H2286">
        <v>0.55271188996161302</v>
      </c>
      <c r="I2286">
        <v>0.54521426791925398</v>
      </c>
      <c r="J2286">
        <v>0.61088979790733799</v>
      </c>
      <c r="K2286">
        <v>0.58351222966427596</v>
      </c>
      <c r="L2286">
        <v>987.05565232179003</v>
      </c>
      <c r="M2286">
        <v>18.456491984375401</v>
      </c>
      <c r="O2286">
        <v>52.864161703867602</v>
      </c>
      <c r="P2286">
        <v>-3.8653045743958399E-2</v>
      </c>
      <c r="Q2286">
        <v>0.55717056046842295</v>
      </c>
      <c r="R2286">
        <v>0.92337306402637798</v>
      </c>
      <c r="S2286" t="s">
        <v>6582</v>
      </c>
      <c r="T2286" t="s">
        <v>8590</v>
      </c>
      <c r="U2286" t="s">
        <v>8590</v>
      </c>
      <c r="V2286" t="s">
        <v>8590</v>
      </c>
      <c r="W2286">
        <v>20</v>
      </c>
      <c r="X2286" t="s">
        <v>10876</v>
      </c>
      <c r="Y2286">
        <v>0.76305384437736767</v>
      </c>
      <c r="Z2286" t="str">
        <f>HYPERLINK("Melting_Curves/meltCurve_sp_Q8IW45_NNRD_HUMAN_.pdf", "Melting_Curves/meltCurve_sp_Q8IW45_NNRD_HUMAN_.pdf")</f>
        <v>Melting_Curves/meltCurve_sp_Q8IW45_NNRD_HUMAN_.pdf</v>
      </c>
      <c r="AA2286" t="s">
        <v>15130</v>
      </c>
      <c r="AB2286" t="s">
        <v>19370</v>
      </c>
    </row>
    <row r="2287" spans="1:28" x14ac:dyDescent="0.25">
      <c r="A2287" t="s">
        <v>2291</v>
      </c>
      <c r="B2287">
        <v>0.99876560204751996</v>
      </c>
      <c r="C2287">
        <v>1.0023503777655101</v>
      </c>
      <c r="D2287">
        <v>0.94103512553249202</v>
      </c>
      <c r="E2287">
        <v>1.07066114841718</v>
      </c>
      <c r="F2287">
        <v>0.96538091523866498</v>
      </c>
      <c r="G2287">
        <v>0.58256813209825098</v>
      </c>
      <c r="H2287">
        <v>0.19943047812797199</v>
      </c>
      <c r="I2287">
        <v>9.9258377445012702E-2</v>
      </c>
      <c r="J2287">
        <v>0.11288816158921</v>
      </c>
      <c r="K2287">
        <v>6.5188828930006104E-2</v>
      </c>
      <c r="L2287">
        <v>2057.2070956027301</v>
      </c>
      <c r="M2287">
        <v>35.877464842297798</v>
      </c>
      <c r="N2287">
        <v>57.647846397112197</v>
      </c>
      <c r="O2287">
        <v>57.162542889460603</v>
      </c>
      <c r="P2287">
        <v>-0.14322375639582999</v>
      </c>
      <c r="Q2287">
        <v>8.7225572751576497E-2</v>
      </c>
      <c r="R2287">
        <v>0.993792954809952</v>
      </c>
      <c r="S2287" t="s">
        <v>6583</v>
      </c>
      <c r="T2287" t="s">
        <v>8590</v>
      </c>
      <c r="U2287" t="s">
        <v>8590</v>
      </c>
      <c r="V2287" t="s">
        <v>8590</v>
      </c>
      <c r="W2287">
        <v>1</v>
      </c>
      <c r="X2287" t="s">
        <v>10877</v>
      </c>
      <c r="Y2287">
        <v>0.61919303450138441</v>
      </c>
      <c r="Z2287" t="str">
        <f>HYPERLINK("Melting_Curves/meltCurve_sp_Q8IWB7_WDFY1_HUMAN_.pdf", "Melting_Curves/meltCurve_sp_Q8IWB7_WDFY1_HUMAN_.pdf")</f>
        <v>Melting_Curves/meltCurve_sp_Q8IWB7_WDFY1_HUMAN_.pdf</v>
      </c>
      <c r="AA2287" t="s">
        <v>15131</v>
      </c>
      <c r="AB2287" t="s">
        <v>19371</v>
      </c>
    </row>
    <row r="2288" spans="1:28" x14ac:dyDescent="0.25">
      <c r="A2288" t="s">
        <v>2292</v>
      </c>
      <c r="B2288">
        <v>0.99876560204751996</v>
      </c>
      <c r="C2288">
        <v>0.86534962451783204</v>
      </c>
      <c r="D2288">
        <v>0.965113845052467</v>
      </c>
      <c r="E2288">
        <v>0.86975784863722405</v>
      </c>
      <c r="F2288">
        <v>1.01771782036716</v>
      </c>
      <c r="G2288">
        <v>0.85854180675414205</v>
      </c>
      <c r="H2288">
        <v>0.81645141784451303</v>
      </c>
      <c r="I2288">
        <v>0.78848416222659101</v>
      </c>
      <c r="J2288">
        <v>0.86502806372728502</v>
      </c>
      <c r="K2288">
        <v>0.83974595732306401</v>
      </c>
      <c r="L2288">
        <v>205.92415324579099</v>
      </c>
      <c r="M2288">
        <v>3.0592418053620598</v>
      </c>
      <c r="O2288">
        <v>49.987267656293596</v>
      </c>
      <c r="P2288">
        <v>-5.3273993916955597E-3</v>
      </c>
      <c r="Q2288">
        <v>0.66168260821862401</v>
      </c>
      <c r="R2288">
        <v>0.40817071247276798</v>
      </c>
      <c r="S2288" t="s">
        <v>6584</v>
      </c>
      <c r="T2288" t="s">
        <v>8590</v>
      </c>
      <c r="U2288" t="s">
        <v>8590</v>
      </c>
      <c r="V2288" t="s">
        <v>8590</v>
      </c>
      <c r="W2288">
        <v>3</v>
      </c>
      <c r="X2288" t="s">
        <v>10878</v>
      </c>
      <c r="Y2288">
        <v>0.88869878293067439</v>
      </c>
      <c r="Z2288" t="str">
        <f>HYPERLINK("Melting_Curves/meltCurve_sp_Q8IWB9_TEX2_HUMAN_.pdf", "Melting_Curves/meltCurve_sp_Q8IWB9_TEX2_HUMAN_.pdf")</f>
        <v>Melting_Curves/meltCurve_sp_Q8IWB9_TEX2_HUMAN_.pdf</v>
      </c>
      <c r="AA2288" t="s">
        <v>15132</v>
      </c>
      <c r="AB2288" t="s">
        <v>19372</v>
      </c>
    </row>
    <row r="2289" spans="1:28" x14ac:dyDescent="0.25">
      <c r="A2289" t="s">
        <v>2293</v>
      </c>
      <c r="B2289">
        <v>0.99876560204751996</v>
      </c>
      <c r="C2289">
        <v>0.95838015323974701</v>
      </c>
      <c r="D2289">
        <v>1.0406818806634499</v>
      </c>
      <c r="E2289">
        <v>0.87390222105515103</v>
      </c>
      <c r="F2289">
        <v>0.68787938336244903</v>
      </c>
      <c r="G2289">
        <v>0.36728139093807699</v>
      </c>
      <c r="H2289">
        <v>0.153458005000846</v>
      </c>
      <c r="I2289">
        <v>9.84885985006448E-2</v>
      </c>
      <c r="J2289">
        <v>8.8901874142005996E-2</v>
      </c>
      <c r="K2289">
        <v>8.5464921134436905E-2</v>
      </c>
      <c r="L2289">
        <v>1148.71968361732</v>
      </c>
      <c r="M2289">
        <v>20.9646113919427</v>
      </c>
      <c r="N2289">
        <v>55.164285370431301</v>
      </c>
      <c r="O2289">
        <v>54.302054922919403</v>
      </c>
      <c r="P2289">
        <v>-9.0174411709357805E-2</v>
      </c>
      <c r="Q2289">
        <v>6.5754786324247805E-2</v>
      </c>
      <c r="R2289">
        <v>0.99638371228651701</v>
      </c>
      <c r="S2289" t="s">
        <v>6585</v>
      </c>
      <c r="T2289" t="s">
        <v>8590</v>
      </c>
      <c r="U2289" t="s">
        <v>8590</v>
      </c>
      <c r="V2289" t="s">
        <v>8590</v>
      </c>
      <c r="W2289">
        <v>13</v>
      </c>
      <c r="X2289" t="s">
        <v>10879</v>
      </c>
      <c r="Y2289">
        <v>0.53806143029941611</v>
      </c>
      <c r="Z2289" t="str">
        <f>HYPERLINK("Melting_Curves/meltCurve_sp_Q8IWE2_NXP20_HUMAN_.pdf", "Melting_Curves/meltCurve_sp_Q8IWE2_NXP20_HUMAN_.pdf")</f>
        <v>Melting_Curves/meltCurve_sp_Q8IWE2_NXP20_HUMAN_.pdf</v>
      </c>
      <c r="AA2289" t="s">
        <v>15133</v>
      </c>
      <c r="AB2289" t="s">
        <v>19373</v>
      </c>
    </row>
    <row r="2290" spans="1:28" x14ac:dyDescent="0.25">
      <c r="A2290" t="s">
        <v>2294</v>
      </c>
      <c r="B2290">
        <v>0.99876560204751996</v>
      </c>
      <c r="C2290">
        <v>1.0145142794147901</v>
      </c>
      <c r="D2290">
        <v>0.92857961006224599</v>
      </c>
      <c r="E2290">
        <v>0.85845951837242795</v>
      </c>
      <c r="F2290">
        <v>0.63220600878726096</v>
      </c>
      <c r="G2290">
        <v>0.43341160969478898</v>
      </c>
      <c r="H2290">
        <v>0.34120660989318802</v>
      </c>
      <c r="I2290">
        <v>0.29686294682884001</v>
      </c>
      <c r="J2290">
        <v>0.39861034732832801</v>
      </c>
      <c r="K2290">
        <v>0.35010419992539199</v>
      </c>
      <c r="L2290">
        <v>1246.8542158769201</v>
      </c>
      <c r="M2290">
        <v>23.743807707912399</v>
      </c>
      <c r="N2290">
        <v>55.142993572749802</v>
      </c>
      <c r="O2290">
        <v>52.144578437498403</v>
      </c>
      <c r="P2290">
        <v>-7.5259681374115803E-2</v>
      </c>
      <c r="Q2290">
        <v>0.33888958492719101</v>
      </c>
      <c r="R2290">
        <v>0.98833923755305098</v>
      </c>
      <c r="S2290" t="s">
        <v>6586</v>
      </c>
      <c r="T2290" t="s">
        <v>8590</v>
      </c>
      <c r="U2290" t="s">
        <v>8590</v>
      </c>
      <c r="V2290" t="s">
        <v>8590</v>
      </c>
      <c r="W2290">
        <v>25</v>
      </c>
      <c r="X2290" t="s">
        <v>10880</v>
      </c>
      <c r="Y2290">
        <v>0.62131818822188534</v>
      </c>
      <c r="Z2290" t="str">
        <f>HYPERLINK("Melting_Curves/meltCurve_sp_Q8IWJ2_GCC2_HUMAN_.pdf", "Melting_Curves/meltCurve_sp_Q8IWJ2_GCC2_HUMAN_.pdf")</f>
        <v>Melting_Curves/meltCurve_sp_Q8IWJ2_GCC2_HUMAN_.pdf</v>
      </c>
      <c r="AA2290" t="s">
        <v>15134</v>
      </c>
      <c r="AB2290" t="s">
        <v>19374</v>
      </c>
    </row>
    <row r="2291" spans="1:28" x14ac:dyDescent="0.25">
      <c r="A2291" t="s">
        <v>2295</v>
      </c>
      <c r="B2291">
        <v>0.99876560204751996</v>
      </c>
      <c r="C2291">
        <v>0.91660298298413001</v>
      </c>
      <c r="D2291">
        <v>0.97873639885299202</v>
      </c>
      <c r="E2291">
        <v>0.88854028037773503</v>
      </c>
      <c r="F2291">
        <v>0.92078029542512196</v>
      </c>
      <c r="G2291">
        <v>0.75017456639473801</v>
      </c>
      <c r="H2291">
        <v>0.52143656287816698</v>
      </c>
      <c r="I2291">
        <v>0.41610494348354599</v>
      </c>
      <c r="J2291">
        <v>0.450731888941246</v>
      </c>
      <c r="K2291">
        <v>0.44273807034479401</v>
      </c>
      <c r="L2291">
        <v>1188.9922508710299</v>
      </c>
      <c r="M2291">
        <v>20.743393396385699</v>
      </c>
      <c r="N2291">
        <v>62.261767758030899</v>
      </c>
      <c r="O2291">
        <v>56.794354141524401</v>
      </c>
      <c r="P2291">
        <v>-5.4452836104205198E-2</v>
      </c>
      <c r="Q2291">
        <v>0.40366049615993899</v>
      </c>
      <c r="R2291">
        <v>0.96434193350209096</v>
      </c>
      <c r="S2291" t="s">
        <v>6587</v>
      </c>
      <c r="T2291" t="s">
        <v>8590</v>
      </c>
      <c r="U2291" t="s">
        <v>8590</v>
      </c>
      <c r="V2291" t="s">
        <v>8590</v>
      </c>
      <c r="W2291">
        <v>18</v>
      </c>
      <c r="X2291" t="s">
        <v>10881</v>
      </c>
      <c r="Y2291">
        <v>0.75478007045279327</v>
      </c>
      <c r="Z2291" t="str">
        <f>HYPERLINK("Melting_Curves/meltCurve_sp_Q8IWL3_HSC20_HUMAN_.pdf", "Melting_Curves/meltCurve_sp_Q8IWL3_HSC20_HUMAN_.pdf")</f>
        <v>Melting_Curves/meltCurve_sp_Q8IWL3_HSC20_HUMAN_.pdf</v>
      </c>
      <c r="AA2291" t="s">
        <v>15135</v>
      </c>
      <c r="AB2291" t="s">
        <v>19375</v>
      </c>
    </row>
    <row r="2292" spans="1:28" x14ac:dyDescent="0.25">
      <c r="A2292" t="s">
        <v>2296</v>
      </c>
      <c r="B2292">
        <v>0.99876560204751996</v>
      </c>
      <c r="C2292">
        <v>0.84782995034772601</v>
      </c>
      <c r="D2292">
        <v>0.81190122538431897</v>
      </c>
      <c r="E2292">
        <v>0.70714125036259401</v>
      </c>
      <c r="F2292">
        <v>0.65316183456217303</v>
      </c>
      <c r="G2292">
        <v>0.44680416535800199</v>
      </c>
      <c r="H2292">
        <v>0.286066925080941</v>
      </c>
      <c r="I2292">
        <v>0.31809993252548002</v>
      </c>
      <c r="J2292">
        <v>0.256570603218712</v>
      </c>
      <c r="K2292">
        <v>0.27235279746898799</v>
      </c>
      <c r="L2292">
        <v>463.32177751921898</v>
      </c>
      <c r="M2292">
        <v>8.6543050261123007</v>
      </c>
      <c r="N2292">
        <v>55.590328220149701</v>
      </c>
      <c r="O2292">
        <v>50.908347249269198</v>
      </c>
      <c r="P2292">
        <v>-3.6715236290705201E-2</v>
      </c>
      <c r="Q2292">
        <v>0.136827820296057</v>
      </c>
      <c r="R2292">
        <v>0.97473098073449504</v>
      </c>
      <c r="S2292" t="s">
        <v>6588</v>
      </c>
      <c r="T2292" t="s">
        <v>8590</v>
      </c>
      <c r="U2292" t="s">
        <v>8590</v>
      </c>
      <c r="V2292" t="s">
        <v>8590</v>
      </c>
      <c r="W2292">
        <v>4</v>
      </c>
      <c r="X2292" t="s">
        <v>10882</v>
      </c>
      <c r="Y2292">
        <v>0.5569816586103663</v>
      </c>
      <c r="Z2292" t="str">
        <f>HYPERLINK("Melting_Curves/meltCurve_sp_Q8IWU2_LMTK2_HUMAN_.pdf", "Melting_Curves/meltCurve_sp_Q8IWU2_LMTK2_HUMAN_.pdf")</f>
        <v>Melting_Curves/meltCurve_sp_Q8IWU2_LMTK2_HUMAN_.pdf</v>
      </c>
      <c r="AA2292" t="s">
        <v>15136</v>
      </c>
      <c r="AB2292" t="s">
        <v>19376</v>
      </c>
    </row>
    <row r="2293" spans="1:28" x14ac:dyDescent="0.25">
      <c r="A2293" t="s">
        <v>2297</v>
      </c>
      <c r="B2293">
        <v>0.99876560204751996</v>
      </c>
      <c r="C2293">
        <v>0.99201413108518599</v>
      </c>
      <c r="D2293">
        <v>0.91832797961417001</v>
      </c>
      <c r="E2293">
        <v>0.65717216385104904</v>
      </c>
      <c r="F2293">
        <v>0.45423339322386802</v>
      </c>
      <c r="G2293">
        <v>0.224936428556264</v>
      </c>
      <c r="H2293">
        <v>7.0199487134663993E-2</v>
      </c>
      <c r="I2293">
        <v>6.6453486461471506E-2</v>
      </c>
      <c r="J2293">
        <v>2.54974319940325E-2</v>
      </c>
      <c r="K2293">
        <v>3.5448221059254797E-2</v>
      </c>
      <c r="L2293">
        <v>865.94237242960196</v>
      </c>
      <c r="M2293">
        <v>16.582955318623501</v>
      </c>
      <c r="N2293">
        <v>52.290505292021898</v>
      </c>
      <c r="O2293">
        <v>51.477177854984603</v>
      </c>
      <c r="P2293">
        <v>-7.96359539453836E-2</v>
      </c>
      <c r="Q2293">
        <v>1.12366793374571E-2</v>
      </c>
      <c r="R2293">
        <v>0.99851243770146203</v>
      </c>
      <c r="S2293" t="s">
        <v>6589</v>
      </c>
      <c r="T2293" t="s">
        <v>8590</v>
      </c>
      <c r="U2293" t="s">
        <v>8590</v>
      </c>
      <c r="V2293" t="s">
        <v>8590</v>
      </c>
      <c r="W2293">
        <v>4</v>
      </c>
      <c r="X2293" t="s">
        <v>10883</v>
      </c>
      <c r="Y2293">
        <v>0.43272478036979539</v>
      </c>
      <c r="Z2293" t="str">
        <f>HYPERLINK("Melting_Curves/meltCurve_sp_Q8IWV7_UBR1_HUMAN_.pdf", "Melting_Curves/meltCurve_sp_Q8IWV7_UBR1_HUMAN_.pdf")</f>
        <v>Melting_Curves/meltCurve_sp_Q8IWV7_UBR1_HUMAN_.pdf</v>
      </c>
      <c r="AA2293" t="s">
        <v>15137</v>
      </c>
      <c r="AB2293" t="s">
        <v>19377</v>
      </c>
    </row>
    <row r="2294" spans="1:28" x14ac:dyDescent="0.25">
      <c r="A2294" t="s">
        <v>2298</v>
      </c>
      <c r="B2294">
        <v>0.99876560204751996</v>
      </c>
      <c r="C2294">
        <v>1.0484639347604101</v>
      </c>
      <c r="D2294">
        <v>1.03190710786357</v>
      </c>
      <c r="E2294">
        <v>0.55323506385313603</v>
      </c>
      <c r="F2294">
        <v>0.25938349159827301</v>
      </c>
      <c r="G2294">
        <v>0.13203192230184299</v>
      </c>
      <c r="H2294">
        <v>9.1457912934483299E-2</v>
      </c>
      <c r="I2294">
        <v>6.3109229297814998E-2</v>
      </c>
      <c r="J2294">
        <v>9.4466281617322706E-2</v>
      </c>
      <c r="K2294">
        <v>3.3887361768314903E-2</v>
      </c>
      <c r="L2294">
        <v>1631.0897376041601</v>
      </c>
      <c r="M2294">
        <v>32.421574064349699</v>
      </c>
      <c r="N2294">
        <v>50.583628086754203</v>
      </c>
      <c r="O2294">
        <v>50.118533143768197</v>
      </c>
      <c r="P2294">
        <v>-0.148664317941921</v>
      </c>
      <c r="Q2294">
        <v>8.0759858769583401E-2</v>
      </c>
      <c r="R2294">
        <v>0.99190473147854596</v>
      </c>
      <c r="S2294" t="s">
        <v>6590</v>
      </c>
      <c r="T2294" t="s">
        <v>8590</v>
      </c>
      <c r="U2294" t="s">
        <v>8590</v>
      </c>
      <c r="V2294" t="s">
        <v>8590</v>
      </c>
      <c r="W2294">
        <v>3</v>
      </c>
      <c r="X2294" t="s">
        <v>10884</v>
      </c>
      <c r="Y2294">
        <v>0.40152026610065072</v>
      </c>
      <c r="Z2294" t="str">
        <f>HYPERLINK("Melting_Curves/meltCurve_sp_Q8IWV8_4_UBR2_HUMAN_.pdf", "Melting_Curves/meltCurve_sp_Q8IWV8_4_UBR2_HUMAN_.pdf")</f>
        <v>Melting_Curves/meltCurve_sp_Q8IWV8_4_UBR2_HUMAN_.pdf</v>
      </c>
      <c r="AA2294" t="s">
        <v>15138</v>
      </c>
      <c r="AB2294" t="s">
        <v>19378</v>
      </c>
    </row>
    <row r="2295" spans="1:28" x14ac:dyDescent="0.25">
      <c r="A2295" t="s">
        <v>2299</v>
      </c>
      <c r="B2295">
        <v>0.99876560204751996</v>
      </c>
      <c r="C2295">
        <v>0.88875268457677203</v>
      </c>
      <c r="D2295">
        <v>0.866285791198522</v>
      </c>
      <c r="E2295">
        <v>0.59250064395347102</v>
      </c>
      <c r="F2295">
        <v>0.44558304782017699</v>
      </c>
      <c r="G2295">
        <v>0.34775364014575599</v>
      </c>
      <c r="H2295">
        <v>0.28014678993180803</v>
      </c>
      <c r="I2295">
        <v>0.249752369851588</v>
      </c>
      <c r="J2295">
        <v>0.324544054862965</v>
      </c>
      <c r="K2295">
        <v>0.28636746557723702</v>
      </c>
      <c r="L2295">
        <v>828.82364557487995</v>
      </c>
      <c r="M2295">
        <v>16.792258968400201</v>
      </c>
      <c r="N2295">
        <v>51.784426295047801</v>
      </c>
      <c r="O2295">
        <v>48.673442999208298</v>
      </c>
      <c r="P2295">
        <v>-6.2759823830121395E-2</v>
      </c>
      <c r="Q2295">
        <v>0.27239364779581299</v>
      </c>
      <c r="R2295">
        <v>0.98884744426366</v>
      </c>
      <c r="S2295" t="s">
        <v>6591</v>
      </c>
      <c r="T2295" t="s">
        <v>8590</v>
      </c>
      <c r="U2295" t="s">
        <v>8590</v>
      </c>
      <c r="V2295" t="s">
        <v>8590</v>
      </c>
      <c r="W2295">
        <v>4</v>
      </c>
      <c r="X2295" t="s">
        <v>10885</v>
      </c>
      <c r="Y2295">
        <v>0.51367792135653412</v>
      </c>
      <c r="Z2295" t="str">
        <f>HYPERLINK("Melting_Curves/meltCurve_sp_Q8IWW6_2_RHG12_HUMAN_.pdf", "Melting_Curves/meltCurve_sp_Q8IWW6_2_RHG12_HUMAN_.pdf")</f>
        <v>Melting_Curves/meltCurve_sp_Q8IWW6_2_RHG12_HUMAN_.pdf</v>
      </c>
      <c r="AA2295" t="s">
        <v>15139</v>
      </c>
      <c r="AB2295" t="s">
        <v>19379</v>
      </c>
    </row>
    <row r="2296" spans="1:28" x14ac:dyDescent="0.25">
      <c r="A2296" t="s">
        <v>2300</v>
      </c>
      <c r="B2296">
        <v>0.99876560204751996</v>
      </c>
      <c r="C2296">
        <v>1.01618877705501</v>
      </c>
      <c r="D2296">
        <v>0.98043858980502796</v>
      </c>
      <c r="E2296">
        <v>0.87297756031806395</v>
      </c>
      <c r="F2296">
        <v>0.768206381749858</v>
      </c>
      <c r="G2296">
        <v>0.77790971030105505</v>
      </c>
      <c r="H2296">
        <v>0.46910776682311101</v>
      </c>
      <c r="I2296">
        <v>0.59244440422910205</v>
      </c>
      <c r="J2296">
        <v>0.417707342074153</v>
      </c>
      <c r="K2296">
        <v>0.33599498379825099</v>
      </c>
      <c r="L2296">
        <v>506.06996807478998</v>
      </c>
      <c r="M2296">
        <v>8.1766850392277792</v>
      </c>
      <c r="N2296">
        <v>63.811636097733199</v>
      </c>
      <c r="O2296">
        <v>58.520378293744798</v>
      </c>
      <c r="P2296">
        <v>-3.1154528003446601E-2</v>
      </c>
      <c r="Q2296">
        <v>0.10903901419135401</v>
      </c>
      <c r="R2296">
        <v>0.94251273198999996</v>
      </c>
      <c r="S2296" t="s">
        <v>6592</v>
      </c>
      <c r="T2296" t="s">
        <v>8590</v>
      </c>
      <c r="U2296" t="s">
        <v>8590</v>
      </c>
      <c r="V2296" t="s">
        <v>8590</v>
      </c>
      <c r="W2296">
        <v>27</v>
      </c>
      <c r="X2296" t="s">
        <v>10886</v>
      </c>
      <c r="Y2296">
        <v>0.72903514552712501</v>
      </c>
      <c r="Z2296" t="str">
        <f>HYPERLINK("Melting_Curves/meltCurve_sp_Q8IWW8_HOT_HUMAN_.pdf", "Melting_Curves/meltCurve_sp_Q8IWW8_HOT_HUMAN_.pdf")</f>
        <v>Melting_Curves/meltCurve_sp_Q8IWW8_HOT_HUMAN_.pdf</v>
      </c>
      <c r="AA2296" t="s">
        <v>15140</v>
      </c>
      <c r="AB2296" t="s">
        <v>19380</v>
      </c>
    </row>
    <row r="2297" spans="1:28" x14ac:dyDescent="0.25">
      <c r="A2297" t="s">
        <v>2301</v>
      </c>
      <c r="B2297">
        <v>0.99876560204751996</v>
      </c>
      <c r="C2297">
        <v>1.1008171475535</v>
      </c>
      <c r="D2297">
        <v>1.16213717038731</v>
      </c>
      <c r="E2297">
        <v>0.91980053531748396</v>
      </c>
      <c r="F2297">
        <v>0.81518687877617901</v>
      </c>
      <c r="G2297">
        <v>0.58649927196229801</v>
      </c>
      <c r="H2297">
        <v>0.48859547894307498</v>
      </c>
      <c r="I2297">
        <v>0.45499362366409402</v>
      </c>
      <c r="J2297">
        <v>0.51245613312175897</v>
      </c>
      <c r="K2297">
        <v>0.54100371686233295</v>
      </c>
      <c r="L2297">
        <v>1638.1725123425799</v>
      </c>
      <c r="M2297">
        <v>30.416863538662</v>
      </c>
      <c r="N2297">
        <v>64.582560735034207</v>
      </c>
      <c r="O2297">
        <v>53.6261919163898</v>
      </c>
      <c r="P2297">
        <v>-7.1354473130864807E-2</v>
      </c>
      <c r="Q2297">
        <v>0.49679952192569898</v>
      </c>
      <c r="R2297">
        <v>0.93491094752667603</v>
      </c>
      <c r="S2297" t="s">
        <v>6593</v>
      </c>
      <c r="T2297" t="s">
        <v>8590</v>
      </c>
      <c r="U2297" t="s">
        <v>8590</v>
      </c>
      <c r="V2297" t="s">
        <v>8590</v>
      </c>
      <c r="W2297">
        <v>4</v>
      </c>
      <c r="X2297" t="s">
        <v>10887</v>
      </c>
      <c r="Y2297">
        <v>0.7324470359651627</v>
      </c>
      <c r="Z2297" t="str">
        <f>HYPERLINK("Melting_Curves/meltCurve_sp_Q8IWX8_CHERP_HUMAN_.pdf", "Melting_Curves/meltCurve_sp_Q8IWX8_CHERP_HUMAN_.pdf")</f>
        <v>Melting_Curves/meltCurve_sp_Q8IWX8_CHERP_HUMAN_.pdf</v>
      </c>
      <c r="AA2297" t="s">
        <v>15141</v>
      </c>
      <c r="AB2297" t="s">
        <v>19381</v>
      </c>
    </row>
    <row r="2298" spans="1:28" x14ac:dyDescent="0.25">
      <c r="A2298" t="s">
        <v>2302</v>
      </c>
      <c r="B2298">
        <v>0.99876560204751996</v>
      </c>
      <c r="C2298">
        <v>0.96009667274145305</v>
      </c>
      <c r="D2298">
        <v>0.90990332505268501</v>
      </c>
      <c r="E2298">
        <v>0.73494284576862501</v>
      </c>
      <c r="F2298">
        <v>0.55816903663734097</v>
      </c>
      <c r="G2298">
        <v>0.31592359688976102</v>
      </c>
      <c r="H2298">
        <v>0.25389776351068499</v>
      </c>
      <c r="I2298">
        <v>0.235023227595689</v>
      </c>
      <c r="J2298">
        <v>0.211302049828585</v>
      </c>
      <c r="K2298">
        <v>0.248845535227354</v>
      </c>
      <c r="L2298">
        <v>923.32418877287103</v>
      </c>
      <c r="M2298">
        <v>17.788010543939599</v>
      </c>
      <c r="N2298">
        <v>53.544036666481297</v>
      </c>
      <c r="O2298">
        <v>51.264393921962501</v>
      </c>
      <c r="P2298">
        <v>-6.8556311120484895E-2</v>
      </c>
      <c r="Q2298">
        <v>0.20973346483549199</v>
      </c>
      <c r="R2298">
        <v>0.99658174944634104</v>
      </c>
      <c r="S2298" t="s">
        <v>6594</v>
      </c>
      <c r="T2298" t="s">
        <v>8590</v>
      </c>
      <c r="U2298" t="s">
        <v>8590</v>
      </c>
      <c r="V2298" t="s">
        <v>8590</v>
      </c>
      <c r="W2298">
        <v>8</v>
      </c>
      <c r="X2298" t="s">
        <v>10888</v>
      </c>
      <c r="Y2298">
        <v>0.53682992596256651</v>
      </c>
      <c r="Z2298" t="str">
        <f>HYPERLINK("Melting_Curves/meltCurve_sp_Q8IWZ3_ANKH1_HUMAN_.pdf", "Melting_Curves/meltCurve_sp_Q8IWZ3_ANKH1_HUMAN_.pdf")</f>
        <v>Melting_Curves/meltCurve_sp_Q8IWZ3_ANKH1_HUMAN_.pdf</v>
      </c>
      <c r="AA2298" t="s">
        <v>15142</v>
      </c>
      <c r="AB2298" t="s">
        <v>19382</v>
      </c>
    </row>
    <row r="2299" spans="1:28" x14ac:dyDescent="0.25">
      <c r="A2299" t="s">
        <v>2303</v>
      </c>
      <c r="B2299">
        <v>0.99876560204751996</v>
      </c>
      <c r="C2299">
        <v>0.94851033192379597</v>
      </c>
      <c r="D2299">
        <v>0.99022308728269803</v>
      </c>
      <c r="E2299">
        <v>0.90056348844364797</v>
      </c>
      <c r="F2299">
        <v>0.82187856554176797</v>
      </c>
      <c r="G2299">
        <v>0.55699282269071204</v>
      </c>
      <c r="H2299">
        <v>0.47477804003604401</v>
      </c>
      <c r="I2299">
        <v>0.46015766151686899</v>
      </c>
      <c r="J2299">
        <v>0.537794533992906</v>
      </c>
      <c r="K2299">
        <v>0.52027179661270595</v>
      </c>
      <c r="L2299">
        <v>1551.22075774987</v>
      </c>
      <c r="M2299">
        <v>28.905300354631599</v>
      </c>
      <c r="N2299">
        <v>62.597808238025102</v>
      </c>
      <c r="O2299">
        <v>53.4107178968111</v>
      </c>
      <c r="P2299">
        <v>-6.8743084146162703E-2</v>
      </c>
      <c r="Q2299">
        <v>0.49191459884882599</v>
      </c>
      <c r="R2299">
        <v>0.97697958689602005</v>
      </c>
      <c r="S2299" t="s">
        <v>6595</v>
      </c>
      <c r="T2299" t="s">
        <v>8590</v>
      </c>
      <c r="U2299" t="s">
        <v>8590</v>
      </c>
      <c r="V2299" t="s">
        <v>8590</v>
      </c>
      <c r="W2299">
        <v>8</v>
      </c>
      <c r="X2299" t="s">
        <v>10889</v>
      </c>
      <c r="Y2299">
        <v>0.72692958976429911</v>
      </c>
      <c r="Z2299" t="str">
        <f>HYPERLINK("Melting_Curves/meltCurve_sp_Q8IWZ8_SUGP1_HUMAN_.pdf", "Melting_Curves/meltCurve_sp_Q8IWZ8_SUGP1_HUMAN_.pdf")</f>
        <v>Melting_Curves/meltCurve_sp_Q8IWZ8_SUGP1_HUMAN_.pdf</v>
      </c>
      <c r="AA2299" t="s">
        <v>15143</v>
      </c>
      <c r="AB2299" t="s">
        <v>19383</v>
      </c>
    </row>
    <row r="2300" spans="1:28" x14ac:dyDescent="0.25">
      <c r="A2300" t="s">
        <v>2304</v>
      </c>
      <c r="B2300">
        <v>0.99876560204751996</v>
      </c>
      <c r="C2300">
        <v>0.97339701361189901</v>
      </c>
      <c r="D2300">
        <v>0.89946170427934002</v>
      </c>
      <c r="E2300">
        <v>0.86713578012082304</v>
      </c>
      <c r="F2300">
        <v>0.51652806286335196</v>
      </c>
      <c r="G2300">
        <v>0.176624163795014</v>
      </c>
      <c r="H2300">
        <v>0.11850651824507601</v>
      </c>
      <c r="I2300">
        <v>6.1623724622432499E-2</v>
      </c>
      <c r="J2300">
        <v>8.1280032281627598E-2</v>
      </c>
      <c r="K2300">
        <v>7.0735864946411001E-2</v>
      </c>
      <c r="L2300">
        <v>1453.69868930846</v>
      </c>
      <c r="M2300">
        <v>27.4848695511964</v>
      </c>
      <c r="N2300">
        <v>53.192797701992902</v>
      </c>
      <c r="O2300">
        <v>52.613258798243699</v>
      </c>
      <c r="P2300">
        <v>-0.121167473170385</v>
      </c>
      <c r="Q2300">
        <v>7.2223141505467298E-2</v>
      </c>
      <c r="R2300">
        <v>0.993875990414535</v>
      </c>
      <c r="S2300" t="s">
        <v>6596</v>
      </c>
      <c r="T2300" t="s">
        <v>8590</v>
      </c>
      <c r="U2300" t="s">
        <v>8590</v>
      </c>
      <c r="V2300" t="s">
        <v>8590</v>
      </c>
      <c r="W2300">
        <v>4</v>
      </c>
      <c r="X2300" t="s">
        <v>10890</v>
      </c>
      <c r="Y2300">
        <v>0.47800879466769602</v>
      </c>
      <c r="Z2300" t="str">
        <f>HYPERLINK("Melting_Curves/meltCurve_sp_Q8IX04_6_UEVLD_HUMAN_.pdf", "Melting_Curves/meltCurve_sp_Q8IX04_6_UEVLD_HUMAN_.pdf")</f>
        <v>Melting_Curves/meltCurve_sp_Q8IX04_6_UEVLD_HUMAN_.pdf</v>
      </c>
      <c r="AA2300" t="s">
        <v>15144</v>
      </c>
      <c r="AB2300" t="s">
        <v>19384</v>
      </c>
    </row>
    <row r="2301" spans="1:28" x14ac:dyDescent="0.25">
      <c r="A2301" t="s">
        <v>2305</v>
      </c>
      <c r="B2301">
        <v>0.99876560204751996</v>
      </c>
      <c r="C2301">
        <v>0.95464535261733596</v>
      </c>
      <c r="D2301">
        <v>1.11582260903865</v>
      </c>
      <c r="E2301">
        <v>1.08247903590565</v>
      </c>
      <c r="F2301">
        <v>0.69789825463017696</v>
      </c>
      <c r="G2301">
        <v>0.45997582330203601</v>
      </c>
      <c r="H2301">
        <v>0.65044597444918695</v>
      </c>
      <c r="I2301">
        <v>0.51354238646699002</v>
      </c>
      <c r="J2301">
        <v>0.43036767281733801</v>
      </c>
      <c r="K2301">
        <v>0.58923418182193099</v>
      </c>
      <c r="L2301">
        <v>13219.272256714899</v>
      </c>
      <c r="M2301">
        <v>250</v>
      </c>
      <c r="O2301">
        <v>52.873690909902301</v>
      </c>
      <c r="P2301">
        <v>-0.55709025041460802</v>
      </c>
      <c r="Q2301">
        <v>0.52871318889571794</v>
      </c>
      <c r="R2301">
        <v>0.911918532045214</v>
      </c>
      <c r="S2301" t="s">
        <v>6597</v>
      </c>
      <c r="T2301" t="s">
        <v>8590</v>
      </c>
      <c r="U2301" t="s">
        <v>8590</v>
      </c>
      <c r="V2301" t="s">
        <v>8590</v>
      </c>
      <c r="W2301">
        <v>2</v>
      </c>
      <c r="X2301" t="s">
        <v>10891</v>
      </c>
      <c r="Y2301">
        <v>0.7310503310490678</v>
      </c>
      <c r="Z2301" t="str">
        <f>HYPERLINK("Melting_Curves/meltCurve_sp_Q8IX07_FOG1_HUMAN_.pdf", "Melting_Curves/meltCurve_sp_Q8IX07_FOG1_HUMAN_.pdf")</f>
        <v>Melting_Curves/meltCurve_sp_Q8IX07_FOG1_HUMAN_.pdf</v>
      </c>
      <c r="AA2301" t="s">
        <v>15145</v>
      </c>
      <c r="AB2301" t="s">
        <v>19385</v>
      </c>
    </row>
    <row r="2302" spans="1:28" x14ac:dyDescent="0.25">
      <c r="A2302" t="s">
        <v>2306</v>
      </c>
      <c r="B2302">
        <v>0.99876560204751996</v>
      </c>
      <c r="C2302">
        <v>0.94300334224594395</v>
      </c>
      <c r="D2302">
        <v>1.0127440010423501</v>
      </c>
      <c r="E2302">
        <v>0.85352913901914096</v>
      </c>
      <c r="F2302">
        <v>0.75397102378867198</v>
      </c>
      <c r="G2302">
        <v>0.50487610953090101</v>
      </c>
      <c r="H2302">
        <v>0.41450580722694103</v>
      </c>
      <c r="I2302">
        <v>0.369187887669084</v>
      </c>
      <c r="J2302">
        <v>0.45332476729722698</v>
      </c>
      <c r="K2302">
        <v>0.42871131719515898</v>
      </c>
      <c r="L2302">
        <v>1225.6465468765</v>
      </c>
      <c r="M2302">
        <v>22.997158036667699</v>
      </c>
      <c r="N2302">
        <v>57.428176682976002</v>
      </c>
      <c r="O2302">
        <v>52.897483804930097</v>
      </c>
      <c r="P2302">
        <v>-6.4730516599529803E-2</v>
      </c>
      <c r="Q2302">
        <v>0.40444513925423797</v>
      </c>
      <c r="R2302">
        <v>0.981653238914591</v>
      </c>
      <c r="S2302" t="s">
        <v>6598</v>
      </c>
      <c r="T2302" t="s">
        <v>8590</v>
      </c>
      <c r="U2302" t="s">
        <v>8590</v>
      </c>
      <c r="V2302" t="s">
        <v>8590</v>
      </c>
      <c r="W2302">
        <v>4</v>
      </c>
      <c r="X2302" t="s">
        <v>10892</v>
      </c>
      <c r="Y2302">
        <v>0.67478935706020027</v>
      </c>
      <c r="Z2302" t="str">
        <f>HYPERLINK("Melting_Curves/meltCurve_sp_Q8IX12_2_CCAR1_HUMAN_.pdf", "Melting_Curves/meltCurve_sp_Q8IX12_2_CCAR1_HUMAN_.pdf")</f>
        <v>Melting_Curves/meltCurve_sp_Q8IX12_2_CCAR1_HUMAN_.pdf</v>
      </c>
      <c r="AA2302" t="s">
        <v>15146</v>
      </c>
      <c r="AB2302" t="s">
        <v>19386</v>
      </c>
    </row>
    <row r="2303" spans="1:28" x14ac:dyDescent="0.25">
      <c r="A2303" t="s">
        <v>2307</v>
      </c>
      <c r="B2303">
        <v>0.99876560204751996</v>
      </c>
      <c r="C2303">
        <v>1.0802413549382499</v>
      </c>
      <c r="D2303">
        <v>0.94932993221429396</v>
      </c>
      <c r="E2303">
        <v>0.72481647580283304</v>
      </c>
      <c r="F2303">
        <v>0.29263011743050699</v>
      </c>
      <c r="G2303">
        <v>0.119303466461605</v>
      </c>
      <c r="H2303">
        <v>6.4903579615150905E-2</v>
      </c>
      <c r="I2303">
        <v>5.0228338093050301E-2</v>
      </c>
      <c r="J2303">
        <v>1.31663515229383E-2</v>
      </c>
      <c r="K2303">
        <v>3.5413296508023398E-2</v>
      </c>
      <c r="L2303">
        <v>1577.5663666529599</v>
      </c>
      <c r="M2303">
        <v>30.709646020658798</v>
      </c>
      <c r="N2303">
        <v>51.522597945017601</v>
      </c>
      <c r="O2303">
        <v>51.1540307345754</v>
      </c>
      <c r="P2303">
        <v>-0.14357716880377799</v>
      </c>
      <c r="Q2303">
        <v>4.3361515082773902E-2</v>
      </c>
      <c r="R2303">
        <v>0.99441106868441098</v>
      </c>
      <c r="S2303" t="s">
        <v>6599</v>
      </c>
      <c r="T2303" t="s">
        <v>8590</v>
      </c>
      <c r="U2303" t="s">
        <v>8590</v>
      </c>
      <c r="V2303" t="s">
        <v>8590</v>
      </c>
      <c r="W2303">
        <v>4</v>
      </c>
      <c r="X2303" t="s">
        <v>10893</v>
      </c>
      <c r="Y2303">
        <v>0.41171500767681019</v>
      </c>
      <c r="Z2303" t="str">
        <f>HYPERLINK("Melting_Curves/meltCurve_sp_Q8IXH7_4_NELFD_HUMAN_.pdf", "Melting_Curves/meltCurve_sp_Q8IXH7_4_NELFD_HUMAN_.pdf")</f>
        <v>Melting_Curves/meltCurve_sp_Q8IXH7_4_NELFD_HUMAN_.pdf</v>
      </c>
      <c r="AA2303" t="s">
        <v>15147</v>
      </c>
      <c r="AB2303" t="s">
        <v>19387</v>
      </c>
    </row>
    <row r="2304" spans="1:28" x14ac:dyDescent="0.25">
      <c r="A2304" t="s">
        <v>2308</v>
      </c>
      <c r="B2304">
        <v>0.99876560204751996</v>
      </c>
      <c r="C2304">
        <v>1.01202091671475</v>
      </c>
      <c r="D2304">
        <v>0.93559497574621997</v>
      </c>
      <c r="E2304">
        <v>0.81561406217356502</v>
      </c>
      <c r="F2304">
        <v>0.55458584610302297</v>
      </c>
      <c r="G2304">
        <v>0.35635752741408799</v>
      </c>
      <c r="H2304">
        <v>0.205778753676059</v>
      </c>
      <c r="I2304">
        <v>0.135318033511199</v>
      </c>
      <c r="J2304">
        <v>8.3763765681468996E-2</v>
      </c>
      <c r="K2304">
        <v>9.3629340598662597E-2</v>
      </c>
      <c r="L2304">
        <v>858.55698408608305</v>
      </c>
      <c r="M2304">
        <v>15.9414719456044</v>
      </c>
      <c r="N2304">
        <v>54.3352847433693</v>
      </c>
      <c r="O2304">
        <v>53.030718443355603</v>
      </c>
      <c r="P2304">
        <v>-7.0236553190357098E-2</v>
      </c>
      <c r="Q2304">
        <v>6.5482158759022704E-2</v>
      </c>
      <c r="R2304">
        <v>0.99711827645453199</v>
      </c>
      <c r="S2304" t="s">
        <v>6600</v>
      </c>
      <c r="T2304" t="s">
        <v>8590</v>
      </c>
      <c r="U2304" t="s">
        <v>8590</v>
      </c>
      <c r="V2304" t="s">
        <v>8590</v>
      </c>
      <c r="W2304">
        <v>1</v>
      </c>
      <c r="X2304" t="s">
        <v>10894</v>
      </c>
      <c r="Y2304">
        <v>0.51497575086499781</v>
      </c>
      <c r="Z2304" t="str">
        <f>HYPERLINK("Melting_Curves/meltCurve_sp_Q8IXJ6_2_SIR2_HUMAN_.pdf", "Melting_Curves/meltCurve_sp_Q8IXJ6_2_SIR2_HUMAN_.pdf")</f>
        <v>Melting_Curves/meltCurve_sp_Q8IXJ6_2_SIR2_HUMAN_.pdf</v>
      </c>
      <c r="AA2304" t="s">
        <v>15148</v>
      </c>
      <c r="AB2304" t="s">
        <v>19388</v>
      </c>
    </row>
    <row r="2305" spans="1:28" x14ac:dyDescent="0.25">
      <c r="A2305" t="s">
        <v>2309</v>
      </c>
      <c r="B2305">
        <v>0.99876560204751996</v>
      </c>
      <c r="C2305">
        <v>0.84392106526486699</v>
      </c>
      <c r="D2305">
        <v>0.978908389794514</v>
      </c>
      <c r="E2305">
        <v>0.80243853190986403</v>
      </c>
      <c r="F2305">
        <v>0.78418873245896403</v>
      </c>
      <c r="G2305">
        <v>0.55509278466696599</v>
      </c>
      <c r="H2305">
        <v>0.50726434982310997</v>
      </c>
      <c r="I2305">
        <v>0.467493514126959</v>
      </c>
      <c r="J2305">
        <v>0.52955342123205795</v>
      </c>
      <c r="K2305">
        <v>0.67438592057444402</v>
      </c>
      <c r="L2305">
        <v>951.33305200711902</v>
      </c>
      <c r="M2305">
        <v>18.445938371981001</v>
      </c>
      <c r="O2305">
        <v>50.979434240750301</v>
      </c>
      <c r="P2305">
        <v>-4.2300409060422199E-2</v>
      </c>
      <c r="Q2305">
        <v>0.53239476736220104</v>
      </c>
      <c r="R2305">
        <v>0.83174869116722405</v>
      </c>
      <c r="S2305" t="s">
        <v>6601</v>
      </c>
      <c r="T2305" t="s">
        <v>8590</v>
      </c>
      <c r="U2305" t="s">
        <v>8590</v>
      </c>
      <c r="V2305" t="s">
        <v>8590</v>
      </c>
      <c r="W2305">
        <v>4</v>
      </c>
      <c r="X2305" t="s">
        <v>10895</v>
      </c>
      <c r="Y2305">
        <v>0.72029412348865207</v>
      </c>
      <c r="Z2305" t="str">
        <f>HYPERLINK("Melting_Curves/meltCurve_sp_Q8IXK0_2_PHC2_HUMAN_.pdf", "Melting_Curves/meltCurve_sp_Q8IXK0_2_PHC2_HUMAN_.pdf")</f>
        <v>Melting_Curves/meltCurve_sp_Q8IXK0_2_PHC2_HUMAN_.pdf</v>
      </c>
      <c r="AA2305" t="s">
        <v>15149</v>
      </c>
      <c r="AB2305" t="s">
        <v>19389</v>
      </c>
    </row>
    <row r="2306" spans="1:28" x14ac:dyDescent="0.25">
      <c r="A2306" t="s">
        <v>2310</v>
      </c>
      <c r="B2306">
        <v>0.99876560204751996</v>
      </c>
      <c r="C2306">
        <v>0.93956990542925101</v>
      </c>
      <c r="D2306">
        <v>0.97175589179402</v>
      </c>
      <c r="E2306">
        <v>0.88586424735725</v>
      </c>
      <c r="F2306">
        <v>0.74365410082580996</v>
      </c>
      <c r="G2306">
        <v>0.73749358087222505</v>
      </c>
      <c r="H2306">
        <v>0.65192408119782197</v>
      </c>
      <c r="I2306">
        <v>0.63624503319333303</v>
      </c>
      <c r="J2306">
        <v>0.79415410417166798</v>
      </c>
      <c r="K2306">
        <v>0.75902759360360805</v>
      </c>
      <c r="L2306">
        <v>1845.7698139471399</v>
      </c>
      <c r="M2306">
        <v>36.611705586013301</v>
      </c>
      <c r="O2306">
        <v>50.265067226201701</v>
      </c>
      <c r="P2306">
        <v>-5.21843511464695E-2</v>
      </c>
      <c r="Q2306">
        <v>0.71342050815770197</v>
      </c>
      <c r="R2306">
        <v>0.84881383962482104</v>
      </c>
      <c r="S2306" t="s">
        <v>6602</v>
      </c>
      <c r="T2306" t="s">
        <v>8590</v>
      </c>
      <c r="U2306" t="s">
        <v>8590</v>
      </c>
      <c r="V2306" t="s">
        <v>8590</v>
      </c>
      <c r="W2306">
        <v>9</v>
      </c>
      <c r="X2306" t="s">
        <v>10896</v>
      </c>
      <c r="Y2306">
        <v>0.81410300591800999</v>
      </c>
      <c r="Z2306" t="str">
        <f>HYPERLINK("Melting_Curves/meltCurve_sp_Q8IXQ4_K1704_HUMAN_.pdf", "Melting_Curves/meltCurve_sp_Q8IXQ4_K1704_HUMAN_.pdf")</f>
        <v>Melting_Curves/meltCurve_sp_Q8IXQ4_K1704_HUMAN_.pdf</v>
      </c>
      <c r="AA2306" t="s">
        <v>15150</v>
      </c>
      <c r="AB2306" t="s">
        <v>19390</v>
      </c>
    </row>
    <row r="2307" spans="1:28" x14ac:dyDescent="0.25">
      <c r="A2307" t="s">
        <v>2311</v>
      </c>
      <c r="B2307">
        <v>0.99876560204751996</v>
      </c>
      <c r="C2307">
        <v>0.99313142273572497</v>
      </c>
      <c r="D2307">
        <v>0.85018834573013602</v>
      </c>
      <c r="E2307">
        <v>0.50010487096951295</v>
      </c>
      <c r="F2307">
        <v>0.24262770996739999</v>
      </c>
      <c r="G2307">
        <v>0.14810567979545899</v>
      </c>
      <c r="H2307">
        <v>9.18717118698614E-2</v>
      </c>
      <c r="I2307">
        <v>7.2903751538569997E-2</v>
      </c>
      <c r="J2307">
        <v>6.3732285633918306E-2</v>
      </c>
      <c r="K2307">
        <v>4.1780853382001701E-2</v>
      </c>
      <c r="L2307">
        <v>1060.40649592877</v>
      </c>
      <c r="M2307">
        <v>21.353303206784101</v>
      </c>
      <c r="N2307">
        <v>49.979775413953803</v>
      </c>
      <c r="O2307">
        <v>49.2307025039621</v>
      </c>
      <c r="P2307">
        <v>-0.101515372433283</v>
      </c>
      <c r="Q2307">
        <v>6.3836535501733696E-2</v>
      </c>
      <c r="R2307">
        <v>0.99838821213851103</v>
      </c>
      <c r="S2307" t="s">
        <v>6603</v>
      </c>
      <c r="T2307" t="s">
        <v>8590</v>
      </c>
      <c r="U2307" t="s">
        <v>8590</v>
      </c>
      <c r="V2307" t="s">
        <v>8590</v>
      </c>
      <c r="W2307">
        <v>12</v>
      </c>
      <c r="X2307" t="s">
        <v>10897</v>
      </c>
      <c r="Y2307">
        <v>0.37674195477269479</v>
      </c>
      <c r="Z2307" t="str">
        <f>HYPERLINK("Melting_Curves/meltCurve_sp_Q8IXQ6_2_PARP9_HUMAN_.pdf", "Melting_Curves/meltCurve_sp_Q8IXQ6_2_PARP9_HUMAN_.pdf")</f>
        <v>Melting_Curves/meltCurve_sp_Q8IXQ6_2_PARP9_HUMAN_.pdf</v>
      </c>
      <c r="AA2307" t="s">
        <v>15151</v>
      </c>
      <c r="AB2307" t="s">
        <v>19391</v>
      </c>
    </row>
    <row r="2308" spans="1:28" x14ac:dyDescent="0.25">
      <c r="A2308" t="s">
        <v>2312</v>
      </c>
      <c r="B2308">
        <v>0.99876560204751996</v>
      </c>
      <c r="C2308">
        <v>0.85670176326876502</v>
      </c>
      <c r="D2308">
        <v>0.926841654968803</v>
      </c>
      <c r="E2308">
        <v>0.88983405891350997</v>
      </c>
      <c r="F2308">
        <v>0.715530927822561</v>
      </c>
      <c r="G2308">
        <v>0.57321316260480903</v>
      </c>
      <c r="H2308">
        <v>0.48775622427840898</v>
      </c>
      <c r="I2308">
        <v>0.53326659541310595</v>
      </c>
      <c r="J2308">
        <v>0.49125604137978901</v>
      </c>
      <c r="K2308">
        <v>0.48780953688422102</v>
      </c>
      <c r="L2308">
        <v>759.26373806762103</v>
      </c>
      <c r="M2308">
        <v>14.417711038633399</v>
      </c>
      <c r="N2308">
        <v>64.294281924035602</v>
      </c>
      <c r="O2308">
        <v>51.679862630926202</v>
      </c>
      <c r="P2308">
        <v>-3.7445230537712003E-2</v>
      </c>
      <c r="Q2308">
        <v>0.46317800173768803</v>
      </c>
      <c r="R2308">
        <v>0.94049425882919502</v>
      </c>
      <c r="S2308" t="s">
        <v>6604</v>
      </c>
      <c r="T2308" t="s">
        <v>8590</v>
      </c>
      <c r="U2308" t="s">
        <v>8590</v>
      </c>
      <c r="V2308" t="s">
        <v>8590</v>
      </c>
      <c r="W2308">
        <v>2</v>
      </c>
      <c r="X2308" t="s">
        <v>10898</v>
      </c>
      <c r="Y2308">
        <v>0.70213776684697138</v>
      </c>
      <c r="Z2308" t="str">
        <f>HYPERLINK("Melting_Curves/meltCurve_sp_Q8IY81_SPB1_HUMAN_.pdf", "Melting_Curves/meltCurve_sp_Q8IY81_SPB1_HUMAN_.pdf")</f>
        <v>Melting_Curves/meltCurve_sp_Q8IY81_SPB1_HUMAN_.pdf</v>
      </c>
      <c r="AA2308" t="s">
        <v>15152</v>
      </c>
      <c r="AB2308" t="s">
        <v>19392</v>
      </c>
    </row>
    <row r="2309" spans="1:28" x14ac:dyDescent="0.25">
      <c r="A2309" t="s">
        <v>2313</v>
      </c>
      <c r="B2309">
        <v>0.99876560204751996</v>
      </c>
      <c r="C2309">
        <v>0.92791745975583795</v>
      </c>
      <c r="D2309">
        <v>0.92179178327114897</v>
      </c>
      <c r="E2309">
        <v>0.85421668859809596</v>
      </c>
      <c r="F2309">
        <v>0.709233157881627</v>
      </c>
      <c r="G2309">
        <v>0.45218348085796101</v>
      </c>
      <c r="H2309">
        <v>0.15354402334259901</v>
      </c>
      <c r="I2309">
        <v>8.8979999259991699E-2</v>
      </c>
      <c r="J2309">
        <v>7.5923980035251096E-2</v>
      </c>
      <c r="K2309">
        <v>6.3715992443038799E-2</v>
      </c>
      <c r="L2309">
        <v>893.535495805869</v>
      </c>
      <c r="M2309">
        <v>16.022397409777099</v>
      </c>
      <c r="N2309">
        <v>55.767906081905799</v>
      </c>
      <c r="O2309">
        <v>54.920874661114901</v>
      </c>
      <c r="P2309">
        <v>-7.2939694171211503E-2</v>
      </c>
      <c r="Q2309">
        <v>0</v>
      </c>
      <c r="R2309">
        <v>0.99188285355885197</v>
      </c>
      <c r="S2309" t="s">
        <v>6605</v>
      </c>
      <c r="T2309" t="s">
        <v>8590</v>
      </c>
      <c r="U2309" t="s">
        <v>8590</v>
      </c>
      <c r="V2309" t="s">
        <v>8590</v>
      </c>
      <c r="W2309">
        <v>3</v>
      </c>
      <c r="X2309" t="s">
        <v>10899</v>
      </c>
      <c r="Y2309">
        <v>0.54261165523460764</v>
      </c>
      <c r="Z2309" t="str">
        <f>HYPERLINK("Melting_Curves/meltCurve_sp_Q8IYB5_3_SMAP1_HUMAN_.pdf", "Melting_Curves/meltCurve_sp_Q8IYB5_3_SMAP1_HUMAN_.pdf")</f>
        <v>Melting_Curves/meltCurve_sp_Q8IYB5_3_SMAP1_HUMAN_.pdf</v>
      </c>
      <c r="AA2309" t="s">
        <v>15153</v>
      </c>
      <c r="AB2309" t="s">
        <v>19393</v>
      </c>
    </row>
    <row r="2310" spans="1:28" x14ac:dyDescent="0.25">
      <c r="A2310" t="s">
        <v>2314</v>
      </c>
      <c r="B2310">
        <v>0.99876560204751996</v>
      </c>
      <c r="C2310">
        <v>0.97260859869771199</v>
      </c>
      <c r="D2310">
        <v>0.90491968628814901</v>
      </c>
      <c r="E2310">
        <v>0.84759667163253005</v>
      </c>
      <c r="F2310">
        <v>0.53246831307429199</v>
      </c>
      <c r="G2310">
        <v>0.28726270949851701</v>
      </c>
      <c r="H2310">
        <v>0.157293836822433</v>
      </c>
      <c r="I2310">
        <v>0.132697486666044</v>
      </c>
      <c r="J2310">
        <v>0.12858860050951501</v>
      </c>
      <c r="K2310">
        <v>0.107253476232195</v>
      </c>
      <c r="L2310">
        <v>1102.7637200327999</v>
      </c>
      <c r="M2310">
        <v>20.790032202220299</v>
      </c>
      <c r="N2310">
        <v>53.6687985100167</v>
      </c>
      <c r="O2310">
        <v>52.559466988198103</v>
      </c>
      <c r="P2310">
        <v>-8.8245225217462295E-2</v>
      </c>
      <c r="Q2310">
        <v>0.107650799607465</v>
      </c>
      <c r="R2310">
        <v>0.99495820043375505</v>
      </c>
      <c r="S2310" t="s">
        <v>6606</v>
      </c>
      <c r="T2310" t="s">
        <v>8590</v>
      </c>
      <c r="U2310" t="s">
        <v>8590</v>
      </c>
      <c r="V2310" t="s">
        <v>8590</v>
      </c>
      <c r="W2310">
        <v>13</v>
      </c>
      <c r="X2310" t="s">
        <v>10900</v>
      </c>
      <c r="Y2310">
        <v>0.50708914375905789</v>
      </c>
      <c r="Z2310" t="str">
        <f>HYPERLINK("Melting_Curves/meltCurve_sp_Q8IYB7_DI3L2_HUMAN_.pdf", "Melting_Curves/meltCurve_sp_Q8IYB7_DI3L2_HUMAN_.pdf")</f>
        <v>Melting_Curves/meltCurve_sp_Q8IYB7_DI3L2_HUMAN_.pdf</v>
      </c>
      <c r="AA2310" t="s">
        <v>15154</v>
      </c>
      <c r="AB2310" t="s">
        <v>19394</v>
      </c>
    </row>
    <row r="2311" spans="1:28" x14ac:dyDescent="0.25">
      <c r="A2311" t="s">
        <v>2315</v>
      </c>
      <c r="B2311">
        <v>0.99876560204751996</v>
      </c>
      <c r="C2311">
        <v>0.97123628290383401</v>
      </c>
      <c r="D2311">
        <v>0.99771855473168203</v>
      </c>
      <c r="E2311">
        <v>0.89159013304629697</v>
      </c>
      <c r="F2311">
        <v>0.721980526796272</v>
      </c>
      <c r="G2311">
        <v>0.28360329801550599</v>
      </c>
      <c r="H2311">
        <v>0.181560660491697</v>
      </c>
      <c r="I2311">
        <v>0.17731717413259901</v>
      </c>
      <c r="J2311">
        <v>0.19219578235610699</v>
      </c>
      <c r="K2311">
        <v>0.18058837937034899</v>
      </c>
      <c r="L2311">
        <v>1701.6943177456801</v>
      </c>
      <c r="M2311">
        <v>31.558384374267401</v>
      </c>
      <c r="N2311">
        <v>54.660570795283199</v>
      </c>
      <c r="O2311">
        <v>53.706979388785697</v>
      </c>
      <c r="P2311">
        <v>-0.121405454154311</v>
      </c>
      <c r="Q2311">
        <v>0.173559201135119</v>
      </c>
      <c r="R2311">
        <v>0.99687900953797504</v>
      </c>
      <c r="S2311" t="s">
        <v>6607</v>
      </c>
      <c r="T2311" t="s">
        <v>8590</v>
      </c>
      <c r="U2311" t="s">
        <v>8590</v>
      </c>
      <c r="V2311" t="s">
        <v>8590</v>
      </c>
      <c r="W2311">
        <v>20</v>
      </c>
      <c r="X2311" t="s">
        <v>10901</v>
      </c>
      <c r="Y2311">
        <v>0.56200146808229401</v>
      </c>
      <c r="Z2311" t="str">
        <f>HYPERLINK("Melting_Curves/meltCurve_sp_Q8IYB8_SUV3_HUMAN_.pdf", "Melting_Curves/meltCurve_sp_Q8IYB8_SUV3_HUMAN_.pdf")</f>
        <v>Melting_Curves/meltCurve_sp_Q8IYB8_SUV3_HUMAN_.pdf</v>
      </c>
      <c r="AA2311" t="s">
        <v>15155</v>
      </c>
      <c r="AB2311" t="s">
        <v>19395</v>
      </c>
    </row>
    <row r="2312" spans="1:28" x14ac:dyDescent="0.25">
      <c r="A2312" t="s">
        <v>2316</v>
      </c>
      <c r="B2312">
        <v>0.99876560204751996</v>
      </c>
      <c r="C2312">
        <v>0.93007877916551596</v>
      </c>
      <c r="D2312">
        <v>0.81107947763267796</v>
      </c>
      <c r="E2312">
        <v>0.54345720702214095</v>
      </c>
      <c r="F2312">
        <v>0.28380699934452303</v>
      </c>
      <c r="G2312">
        <v>0.13846605831860601</v>
      </c>
      <c r="H2312">
        <v>8.26993829099366E-2</v>
      </c>
      <c r="I2312">
        <v>6.3816107317496998E-2</v>
      </c>
      <c r="J2312">
        <v>5.4506552758925401E-2</v>
      </c>
      <c r="K2312">
        <v>4.22736716158345E-2</v>
      </c>
      <c r="L2312">
        <v>850.49203506239598</v>
      </c>
      <c r="M2312">
        <v>17.010980564129401</v>
      </c>
      <c r="N2312">
        <v>50.225582816358802</v>
      </c>
      <c r="O2312">
        <v>49.3210583714772</v>
      </c>
      <c r="P2312">
        <v>-8.3014304238026901E-2</v>
      </c>
      <c r="Q2312">
        <v>3.7303942868375399E-2</v>
      </c>
      <c r="R2312">
        <v>0.99886001629887</v>
      </c>
      <c r="S2312" t="s">
        <v>6608</v>
      </c>
      <c r="T2312" t="s">
        <v>8590</v>
      </c>
      <c r="U2312" t="s">
        <v>8590</v>
      </c>
      <c r="V2312" t="s">
        <v>8590</v>
      </c>
      <c r="W2312">
        <v>11</v>
      </c>
      <c r="X2312" t="s">
        <v>10902</v>
      </c>
      <c r="Y2312">
        <v>0.37635592645371913</v>
      </c>
      <c r="Z2312" t="str">
        <f>HYPERLINK("Melting_Curves/meltCurve_sp_Q8IYD1_ERF3B_HUMAN_.pdf", "Melting_Curves/meltCurve_sp_Q8IYD1_ERF3B_HUMAN_.pdf")</f>
        <v>Melting_Curves/meltCurve_sp_Q8IYD1_ERF3B_HUMAN_.pdf</v>
      </c>
      <c r="AA2312" t="s">
        <v>15156</v>
      </c>
      <c r="AB2312" t="s">
        <v>19396</v>
      </c>
    </row>
    <row r="2313" spans="1:28" x14ac:dyDescent="0.25">
      <c r="A2313" t="s">
        <v>2317</v>
      </c>
      <c r="B2313">
        <v>0.99876560204751996</v>
      </c>
      <c r="C2313">
        <v>1.0097833294409599</v>
      </c>
      <c r="D2313">
        <v>0.91741694174338995</v>
      </c>
      <c r="E2313">
        <v>0.66936403495088204</v>
      </c>
      <c r="F2313">
        <v>0.33007907246373802</v>
      </c>
      <c r="G2313">
        <v>0.16598305869670599</v>
      </c>
      <c r="H2313">
        <v>8.6358412007369198E-2</v>
      </c>
      <c r="I2313">
        <v>6.3179664121964602E-2</v>
      </c>
      <c r="J2313">
        <v>5.8036126946227402E-2</v>
      </c>
      <c r="K2313">
        <v>4.3178329006008598E-2</v>
      </c>
      <c r="L2313">
        <v>1155.35254157441</v>
      </c>
      <c r="M2313">
        <v>22.564854235880201</v>
      </c>
      <c r="N2313">
        <v>51.467011001384599</v>
      </c>
      <c r="O2313">
        <v>50.804375632436297</v>
      </c>
      <c r="P2313">
        <v>-0.104937614702975</v>
      </c>
      <c r="Q2313">
        <v>5.4958269563749197E-2</v>
      </c>
      <c r="R2313">
        <v>0.99846129780456105</v>
      </c>
      <c r="S2313" t="s">
        <v>6609</v>
      </c>
      <c r="T2313" t="s">
        <v>8590</v>
      </c>
      <c r="U2313" t="s">
        <v>8590</v>
      </c>
      <c r="V2313" t="s">
        <v>8590</v>
      </c>
      <c r="W2313">
        <v>10</v>
      </c>
      <c r="X2313" t="s">
        <v>10903</v>
      </c>
      <c r="Y2313">
        <v>0.41825732032049512</v>
      </c>
      <c r="Z2313" t="str">
        <f>HYPERLINK("Melting_Curves/meltCurve_sp_Q8IYI6_EXOC8_HUMAN_.pdf", "Melting_Curves/meltCurve_sp_Q8IYI6_EXOC8_HUMAN_.pdf")</f>
        <v>Melting_Curves/meltCurve_sp_Q8IYI6_EXOC8_HUMAN_.pdf</v>
      </c>
      <c r="AA2313" t="s">
        <v>15157</v>
      </c>
      <c r="AB2313" t="s">
        <v>19397</v>
      </c>
    </row>
    <row r="2314" spans="1:28" x14ac:dyDescent="0.25">
      <c r="A2314" t="s">
        <v>2318</v>
      </c>
      <c r="B2314">
        <v>0.99876560204751996</v>
      </c>
      <c r="C2314">
        <v>0.956640811978824</v>
      </c>
      <c r="D2314">
        <v>1.0878010948853001</v>
      </c>
      <c r="E2314">
        <v>0.96024397237053105</v>
      </c>
      <c r="F2314">
        <v>1.0415054474437899</v>
      </c>
      <c r="G2314">
        <v>0.78058913052372902</v>
      </c>
      <c r="H2314">
        <v>0.780999418398857</v>
      </c>
      <c r="I2314">
        <v>0.70979852528186704</v>
      </c>
      <c r="J2314">
        <v>0.95769052851470204</v>
      </c>
      <c r="K2314">
        <v>0.88341809421637896</v>
      </c>
      <c r="L2314">
        <v>4652.9543736701498</v>
      </c>
      <c r="M2314">
        <v>84.641625518000396</v>
      </c>
      <c r="O2314">
        <v>54.941761209349302</v>
      </c>
      <c r="P2314">
        <v>-6.8679150240277806E-2</v>
      </c>
      <c r="Q2314">
        <v>0.82167865125210404</v>
      </c>
      <c r="R2314">
        <v>0.61858109688482499</v>
      </c>
      <c r="S2314" t="s">
        <v>6610</v>
      </c>
      <c r="T2314" t="s">
        <v>8590</v>
      </c>
      <c r="U2314" t="s">
        <v>8590</v>
      </c>
      <c r="V2314" t="s">
        <v>8590</v>
      </c>
      <c r="W2314">
        <v>3</v>
      </c>
      <c r="X2314" t="s">
        <v>10904</v>
      </c>
      <c r="Y2314">
        <v>0.91082568682802689</v>
      </c>
      <c r="Z2314" t="str">
        <f>HYPERLINK("Melting_Curves/meltCurve_sp_Q8IYL3_CA174_HUMAN_.pdf", "Melting_Curves/meltCurve_sp_Q8IYL3_CA174_HUMAN_.pdf")</f>
        <v>Melting_Curves/meltCurve_sp_Q8IYL3_CA174_HUMAN_.pdf</v>
      </c>
      <c r="AA2314" t="s">
        <v>15158</v>
      </c>
      <c r="AB2314" t="s">
        <v>19398</v>
      </c>
    </row>
    <row r="2315" spans="1:28" x14ac:dyDescent="0.25">
      <c r="A2315" t="s">
        <v>2319</v>
      </c>
      <c r="B2315">
        <v>0.99876560204751996</v>
      </c>
      <c r="C2315">
        <v>0.89913496064749698</v>
      </c>
      <c r="D2315">
        <v>0.78850658765362003</v>
      </c>
      <c r="E2315">
        <v>0.65409820158084098</v>
      </c>
      <c r="F2315">
        <v>0.45821892466559799</v>
      </c>
      <c r="G2315">
        <v>0.279269028610939</v>
      </c>
      <c r="H2315">
        <v>0.199144047144865</v>
      </c>
      <c r="I2315">
        <v>0.16882368743598999</v>
      </c>
      <c r="J2315">
        <v>0.16749538120069901</v>
      </c>
      <c r="K2315">
        <v>0.11767065719090999</v>
      </c>
      <c r="L2315">
        <v>612.35934026636198</v>
      </c>
      <c r="M2315">
        <v>11.9361234868602</v>
      </c>
      <c r="N2315">
        <v>52.171213780973602</v>
      </c>
      <c r="O2315">
        <v>49.926620069118798</v>
      </c>
      <c r="P2315">
        <v>-5.4398214008966703E-2</v>
      </c>
      <c r="Q2315">
        <v>9.0072852086544794E-2</v>
      </c>
      <c r="R2315">
        <v>0.99520605665421302</v>
      </c>
      <c r="S2315" t="s">
        <v>6611</v>
      </c>
      <c r="T2315" t="s">
        <v>8590</v>
      </c>
      <c r="U2315" t="s">
        <v>8590</v>
      </c>
      <c r="V2315" t="s">
        <v>8590</v>
      </c>
      <c r="W2315">
        <v>27</v>
      </c>
      <c r="X2315" t="s">
        <v>10905</v>
      </c>
      <c r="Y2315">
        <v>0.46224841310346321</v>
      </c>
      <c r="Z2315" t="str">
        <f>HYPERLINK("Melting_Curves/meltCurve_sp_Q8IYQ7_THNS1_HUMAN_.pdf", "Melting_Curves/meltCurve_sp_Q8IYQ7_THNS1_HUMAN_.pdf")</f>
        <v>Melting_Curves/meltCurve_sp_Q8IYQ7_THNS1_HUMAN_.pdf</v>
      </c>
      <c r="AA2315" t="s">
        <v>15159</v>
      </c>
      <c r="AB2315" t="s">
        <v>19399</v>
      </c>
    </row>
    <row r="2316" spans="1:28" x14ac:dyDescent="0.25">
      <c r="A2316" t="s">
        <v>2320</v>
      </c>
      <c r="B2316">
        <v>0.99876560204751996</v>
      </c>
      <c r="C2316">
        <v>0.93356865113396303</v>
      </c>
      <c r="D2316">
        <v>1.06392423614821</v>
      </c>
      <c r="E2316">
        <v>0.77272976105412605</v>
      </c>
      <c r="F2316">
        <v>0.63615254528450904</v>
      </c>
      <c r="G2316">
        <v>0.28315570663801698</v>
      </c>
      <c r="H2316">
        <v>0.179585563501581</v>
      </c>
      <c r="I2316">
        <v>0.14084569914513101</v>
      </c>
      <c r="J2316">
        <v>0.179430644721817</v>
      </c>
      <c r="K2316">
        <v>0.158843799366509</v>
      </c>
      <c r="L2316">
        <v>1196.8692651132001</v>
      </c>
      <c r="M2316">
        <v>22.4937672330698</v>
      </c>
      <c r="N2316">
        <v>54.030513572399897</v>
      </c>
      <c r="O2316">
        <v>52.793735434469802</v>
      </c>
      <c r="P2316">
        <v>-9.1091392507031299E-2</v>
      </c>
      <c r="Q2316">
        <v>0.14483743317992501</v>
      </c>
      <c r="R2316">
        <v>0.98530344371446599</v>
      </c>
      <c r="S2316" t="s">
        <v>6612</v>
      </c>
      <c r="T2316" t="s">
        <v>8590</v>
      </c>
      <c r="U2316" t="s">
        <v>8590</v>
      </c>
      <c r="V2316" t="s">
        <v>8590</v>
      </c>
      <c r="W2316">
        <v>4</v>
      </c>
      <c r="X2316" t="s">
        <v>10906</v>
      </c>
      <c r="Y2316">
        <v>0.53093036589846065</v>
      </c>
      <c r="Z2316" t="str">
        <f>HYPERLINK("Melting_Curves/meltCurve_sp_Q8IYS1_P20D2_HUMAN_.pdf", "Melting_Curves/meltCurve_sp_Q8IYS1_P20D2_HUMAN_.pdf")</f>
        <v>Melting_Curves/meltCurve_sp_Q8IYS1_P20D2_HUMAN_.pdf</v>
      </c>
      <c r="AA2316" t="s">
        <v>15160</v>
      </c>
      <c r="AB2316" t="s">
        <v>19400</v>
      </c>
    </row>
    <row r="2317" spans="1:28" x14ac:dyDescent="0.25">
      <c r="A2317" t="s">
        <v>2321</v>
      </c>
      <c r="B2317">
        <v>0.99876560204751996</v>
      </c>
      <c r="C2317">
        <v>0.88271967515449801</v>
      </c>
      <c r="D2317">
        <v>0.71712019147060302</v>
      </c>
      <c r="E2317">
        <v>0.47157075237346202</v>
      </c>
      <c r="F2317">
        <v>0.315000382970968</v>
      </c>
      <c r="G2317">
        <v>0.17426117980540801</v>
      </c>
      <c r="H2317">
        <v>0.13926100230604799</v>
      </c>
      <c r="I2317">
        <v>0.112761482727119</v>
      </c>
      <c r="J2317">
        <v>0.103148734287832</v>
      </c>
      <c r="K2317">
        <v>9.7623816749306896E-2</v>
      </c>
      <c r="L2317">
        <v>703.74531496476504</v>
      </c>
      <c r="M2317">
        <v>14.421521670410399</v>
      </c>
      <c r="N2317">
        <v>49.440338327796702</v>
      </c>
      <c r="O2317">
        <v>47.888779605058602</v>
      </c>
      <c r="P2317">
        <v>-6.8865375031479506E-2</v>
      </c>
      <c r="Q2317">
        <v>8.5397655946554393E-2</v>
      </c>
      <c r="R2317">
        <v>0.99830252182638801</v>
      </c>
      <c r="S2317" t="s">
        <v>6613</v>
      </c>
      <c r="T2317" t="s">
        <v>8590</v>
      </c>
      <c r="U2317" t="s">
        <v>8590</v>
      </c>
      <c r="V2317" t="s">
        <v>8590</v>
      </c>
      <c r="W2317">
        <v>1</v>
      </c>
      <c r="X2317" t="s">
        <v>10907</v>
      </c>
      <c r="Y2317">
        <v>0.37812663600033308</v>
      </c>
      <c r="Z2317" t="str">
        <f>HYPERLINK("Melting_Curves/meltCurve_sp_Q8IYT2_FTSJ1_HUMAN_.pdf", "Melting_Curves/meltCurve_sp_Q8IYT2_FTSJ1_HUMAN_.pdf")</f>
        <v>Melting_Curves/meltCurve_sp_Q8IYT2_FTSJ1_HUMAN_.pdf</v>
      </c>
      <c r="AA2317" t="s">
        <v>15161</v>
      </c>
      <c r="AB2317" t="s">
        <v>19401</v>
      </c>
    </row>
    <row r="2318" spans="1:28" x14ac:dyDescent="0.25">
      <c r="A2318" t="s">
        <v>2322</v>
      </c>
      <c r="B2318">
        <v>0.99876560204751996</v>
      </c>
      <c r="C2318">
        <v>0.96213019354420504</v>
      </c>
      <c r="D2318">
        <v>0.99047765053112802</v>
      </c>
      <c r="E2318">
        <v>0.87060371010682602</v>
      </c>
      <c r="F2318">
        <v>0.74122428421768405</v>
      </c>
      <c r="G2318">
        <v>0.33274328857316599</v>
      </c>
      <c r="H2318">
        <v>0.186895750718197</v>
      </c>
      <c r="I2318">
        <v>0.131711457171345</v>
      </c>
      <c r="J2318">
        <v>5.0536522217878001E-2</v>
      </c>
      <c r="K2318">
        <v>0.13894977058653199</v>
      </c>
      <c r="L2318">
        <v>1246.68345569133</v>
      </c>
      <c r="M2318">
        <v>22.7668036436732</v>
      </c>
      <c r="N2318">
        <v>55.2465454269067</v>
      </c>
      <c r="O2318">
        <v>54.3416022596682</v>
      </c>
      <c r="P2318">
        <v>-9.5206001909259499E-2</v>
      </c>
      <c r="Q2318">
        <v>9.1036954701902095E-2</v>
      </c>
      <c r="R2318">
        <v>0.99384229437985705</v>
      </c>
      <c r="S2318" t="s">
        <v>6614</v>
      </c>
      <c r="T2318" t="s">
        <v>8590</v>
      </c>
      <c r="U2318" t="s">
        <v>8590</v>
      </c>
      <c r="V2318" t="s">
        <v>8590</v>
      </c>
      <c r="W2318">
        <v>2</v>
      </c>
      <c r="X2318" t="s">
        <v>10908</v>
      </c>
      <c r="Y2318">
        <v>0.548100411549443</v>
      </c>
      <c r="Z2318" t="str">
        <f>HYPERLINK("Melting_Curves/meltCurve_sp_Q8IZ07_AN13A_HUMAN_.pdf", "Melting_Curves/meltCurve_sp_Q8IZ07_AN13A_HUMAN_.pdf")</f>
        <v>Melting_Curves/meltCurve_sp_Q8IZ07_AN13A_HUMAN_.pdf</v>
      </c>
      <c r="AA2318" t="s">
        <v>15162</v>
      </c>
      <c r="AB2318" t="s">
        <v>19402</v>
      </c>
    </row>
    <row r="2319" spans="1:28" x14ac:dyDescent="0.25">
      <c r="A2319" t="s">
        <v>2323</v>
      </c>
      <c r="B2319">
        <v>0.99876560204751996</v>
      </c>
      <c r="C2319">
        <v>1.09325508650568</v>
      </c>
      <c r="D2319">
        <v>1.00297303480569</v>
      </c>
      <c r="E2319">
        <v>0.87328671994857898</v>
      </c>
      <c r="F2319">
        <v>0.71905593509646704</v>
      </c>
      <c r="G2319">
        <v>0.48000195059140399</v>
      </c>
      <c r="H2319">
        <v>0.35083090464218097</v>
      </c>
      <c r="I2319">
        <v>0.34740046922635398</v>
      </c>
      <c r="J2319">
        <v>0.44865060458455402</v>
      </c>
      <c r="K2319">
        <v>0.39089505410539199</v>
      </c>
      <c r="L2319">
        <v>1390.44270475024</v>
      </c>
      <c r="M2319">
        <v>26.1485466788831</v>
      </c>
      <c r="N2319">
        <v>56.237501016135703</v>
      </c>
      <c r="O2319">
        <v>52.866684900546602</v>
      </c>
      <c r="P2319">
        <v>-7.6711285085014902E-2</v>
      </c>
      <c r="Q2319">
        <v>0.37963276258171402</v>
      </c>
      <c r="R2319">
        <v>0.97691205970155603</v>
      </c>
      <c r="S2319" t="s">
        <v>6615</v>
      </c>
      <c r="T2319" t="s">
        <v>8590</v>
      </c>
      <c r="U2319" t="s">
        <v>8590</v>
      </c>
      <c r="V2319" t="s">
        <v>8590</v>
      </c>
      <c r="W2319">
        <v>5</v>
      </c>
      <c r="X2319" t="s">
        <v>10909</v>
      </c>
      <c r="Y2319">
        <v>0.65732751843567128</v>
      </c>
      <c r="Z2319" t="str">
        <f>HYPERLINK("Melting_Curves/meltCurve_sp_Q8IZ21_3_PHAR4_HUMAN_.pdf", "Melting_Curves/meltCurve_sp_Q8IZ21_3_PHAR4_HUMAN_.pdf")</f>
        <v>Melting_Curves/meltCurve_sp_Q8IZ21_3_PHAR4_HUMAN_.pdf</v>
      </c>
      <c r="AA2319" t="s">
        <v>15163</v>
      </c>
      <c r="AB2319" t="s">
        <v>19403</v>
      </c>
    </row>
    <row r="2320" spans="1:28" x14ac:dyDescent="0.25">
      <c r="A2320" t="s">
        <v>2324</v>
      </c>
      <c r="B2320">
        <v>0.99876560204751996</v>
      </c>
      <c r="C2320">
        <v>0.92754143183427296</v>
      </c>
      <c r="D2320">
        <v>0.85739880736710505</v>
      </c>
      <c r="E2320">
        <v>0.67177446993585199</v>
      </c>
      <c r="F2320">
        <v>0.305039735127006</v>
      </c>
      <c r="G2320">
        <v>0.14919344109581001</v>
      </c>
      <c r="H2320">
        <v>9.2203088242582804E-2</v>
      </c>
      <c r="I2320">
        <v>3.58739066627611E-2</v>
      </c>
      <c r="J2320">
        <v>9.1507689937727604E-3</v>
      </c>
      <c r="K2320">
        <v>0</v>
      </c>
      <c r="L2320">
        <v>902.46250575647605</v>
      </c>
      <c r="M2320">
        <v>17.607671296307</v>
      </c>
      <c r="N2320">
        <v>51.270628887405501</v>
      </c>
      <c r="O2320">
        <v>50.6065382565302</v>
      </c>
      <c r="P2320">
        <v>-8.6739279659153706E-2</v>
      </c>
      <c r="Q2320">
        <v>2.8577034028255798E-3</v>
      </c>
      <c r="R2320">
        <v>0.99306580514368303</v>
      </c>
      <c r="S2320" t="s">
        <v>6616</v>
      </c>
      <c r="T2320" t="s">
        <v>8590</v>
      </c>
      <c r="U2320" t="s">
        <v>8590</v>
      </c>
      <c r="V2320" t="s">
        <v>8590</v>
      </c>
      <c r="W2320">
        <v>2</v>
      </c>
      <c r="X2320" t="s">
        <v>10910</v>
      </c>
      <c r="Y2320">
        <v>0.39433468139079247</v>
      </c>
      <c r="Z2320" t="str">
        <f>HYPERLINK("Melting_Curves/meltCurve_sp_Q8IZ69_TRM2A_HUMAN_.pdf", "Melting_Curves/meltCurve_sp_Q8IZ69_TRM2A_HUMAN_.pdf")</f>
        <v>Melting_Curves/meltCurve_sp_Q8IZ69_TRM2A_HUMAN_.pdf</v>
      </c>
      <c r="AA2320" t="s">
        <v>15164</v>
      </c>
      <c r="AB2320" t="s">
        <v>19404</v>
      </c>
    </row>
    <row r="2321" spans="1:28" x14ac:dyDescent="0.25">
      <c r="A2321" t="s">
        <v>2325</v>
      </c>
      <c r="B2321">
        <v>0.99876560204751996</v>
      </c>
      <c r="C2321">
        <v>1.06797853787028</v>
      </c>
      <c r="D2321">
        <v>1.09975030641424</v>
      </c>
      <c r="E2321">
        <v>1.0510411322213999</v>
      </c>
      <c r="F2321">
        <v>1.0103240147049499</v>
      </c>
      <c r="G2321">
        <v>0.85647409647620099</v>
      </c>
      <c r="H2321">
        <v>0.59099567395066799</v>
      </c>
      <c r="I2321">
        <v>0.30100487628404599</v>
      </c>
      <c r="J2321">
        <v>0.14018800539398901</v>
      </c>
      <c r="K2321">
        <v>9.3783197210744199E-2</v>
      </c>
      <c r="L2321">
        <v>1538.24743769887</v>
      </c>
      <c r="M2321">
        <v>24.990145518981301</v>
      </c>
      <c r="N2321">
        <v>61.758314359448697</v>
      </c>
      <c r="O2321">
        <v>61.1640680001018</v>
      </c>
      <c r="P2321">
        <v>-9.8095766235017395E-2</v>
      </c>
      <c r="Q2321">
        <v>3.96447055751184E-2</v>
      </c>
      <c r="R2321">
        <v>0.98671596227552805</v>
      </c>
      <c r="S2321" t="s">
        <v>6617</v>
      </c>
      <c r="T2321" t="s">
        <v>8590</v>
      </c>
      <c r="U2321" t="s">
        <v>8590</v>
      </c>
      <c r="V2321" t="s">
        <v>8590</v>
      </c>
      <c r="W2321">
        <v>16</v>
      </c>
      <c r="X2321" t="s">
        <v>10911</v>
      </c>
      <c r="Y2321">
        <v>0.73484787231707405</v>
      </c>
      <c r="Z2321" t="str">
        <f>HYPERLINK("Melting_Curves/meltCurve_sp_Q8IZ83_A16A1_HUMAN_.pdf", "Melting_Curves/meltCurve_sp_Q8IZ83_A16A1_HUMAN_.pdf")</f>
        <v>Melting_Curves/meltCurve_sp_Q8IZ83_A16A1_HUMAN_.pdf</v>
      </c>
      <c r="AA2321" t="s">
        <v>15165</v>
      </c>
      <c r="AB2321" t="s">
        <v>19405</v>
      </c>
    </row>
    <row r="2322" spans="1:28" x14ac:dyDescent="0.25">
      <c r="A2322" t="s">
        <v>2326</v>
      </c>
      <c r="B2322">
        <v>0.99876560204751996</v>
      </c>
      <c r="C2322">
        <v>0.902038608437294</v>
      </c>
      <c r="D2322">
        <v>0.88469586299664305</v>
      </c>
      <c r="E2322">
        <v>0.70454334758182902</v>
      </c>
      <c r="F2322">
        <v>0.66165648179171899</v>
      </c>
      <c r="G2322">
        <v>0.46765586536436099</v>
      </c>
      <c r="H2322">
        <v>0.42501810276438601</v>
      </c>
      <c r="I2322">
        <v>0.37973089532193999</v>
      </c>
      <c r="J2322">
        <v>0.60013167057977201</v>
      </c>
      <c r="K2322">
        <v>0.455307534108779</v>
      </c>
      <c r="L2322">
        <v>752.44708512894204</v>
      </c>
      <c r="M2322">
        <v>15.1366667768167</v>
      </c>
      <c r="N2322">
        <v>58.399830760721699</v>
      </c>
      <c r="O2322">
        <v>48.866807056247303</v>
      </c>
      <c r="P2322">
        <v>-4.2795119404990901E-2</v>
      </c>
      <c r="Q2322">
        <v>0.447419439018923</v>
      </c>
      <c r="R2322">
        <v>0.91066146104130796</v>
      </c>
      <c r="S2322" t="s">
        <v>6618</v>
      </c>
      <c r="T2322" t="s">
        <v>8590</v>
      </c>
      <c r="U2322" t="s">
        <v>8590</v>
      </c>
      <c r="V2322" t="s">
        <v>8590</v>
      </c>
      <c r="W2322">
        <v>1</v>
      </c>
      <c r="X2322" t="s">
        <v>10912</v>
      </c>
      <c r="Y2322">
        <v>0.63936169714945867</v>
      </c>
      <c r="Z2322" t="str">
        <f>HYPERLINK("Melting_Curves/meltCurve_sp_Q8IZD4_DCP1B_HUMAN_.pdf", "Melting_Curves/meltCurve_sp_Q8IZD4_DCP1B_HUMAN_.pdf")</f>
        <v>Melting_Curves/meltCurve_sp_Q8IZD4_DCP1B_HUMAN_.pdf</v>
      </c>
      <c r="AA2322" t="s">
        <v>15166</v>
      </c>
      <c r="AB2322" t="s">
        <v>19406</v>
      </c>
    </row>
    <row r="2323" spans="1:28" x14ac:dyDescent="0.25">
      <c r="A2323" t="s">
        <v>2327</v>
      </c>
      <c r="B2323">
        <v>0.99876560204751996</v>
      </c>
      <c r="C2323">
        <v>1.00672797644927</v>
      </c>
      <c r="D2323">
        <v>0.93399308906675405</v>
      </c>
      <c r="E2323">
        <v>0.81188490062998098</v>
      </c>
      <c r="F2323">
        <v>0.56728528762381802</v>
      </c>
      <c r="G2323">
        <v>0.47940918694019302</v>
      </c>
      <c r="H2323">
        <v>0.36336173827394802</v>
      </c>
      <c r="I2323">
        <v>0.33230557677560801</v>
      </c>
      <c r="J2323">
        <v>0.45798233580687803</v>
      </c>
      <c r="K2323">
        <v>0.36992924711061198</v>
      </c>
      <c r="L2323">
        <v>1167.8910045371799</v>
      </c>
      <c r="M2323">
        <v>22.687143192275599</v>
      </c>
      <c r="N2323">
        <v>54.926755545421798</v>
      </c>
      <c r="O2323">
        <v>51.083167924515998</v>
      </c>
      <c r="P2323">
        <v>-6.8875886816625306E-2</v>
      </c>
      <c r="Q2323">
        <v>0.37967905939521901</v>
      </c>
      <c r="R2323">
        <v>0.98061546143471401</v>
      </c>
      <c r="S2323" t="s">
        <v>6619</v>
      </c>
      <c r="T2323" t="s">
        <v>8590</v>
      </c>
      <c r="U2323" t="s">
        <v>8590</v>
      </c>
      <c r="V2323" t="s">
        <v>8590</v>
      </c>
      <c r="W2323">
        <v>4</v>
      </c>
      <c r="X2323" t="s">
        <v>10913</v>
      </c>
      <c r="Y2323">
        <v>0.62380810466342707</v>
      </c>
      <c r="Z2323" t="str">
        <f>HYPERLINK("Melting_Curves/meltCurve_sp_Q8IZH2_2_XRN1_HUMAN_.pdf", "Melting_Curves/meltCurve_sp_Q8IZH2_2_XRN1_HUMAN_.pdf")</f>
        <v>Melting_Curves/meltCurve_sp_Q8IZH2_2_XRN1_HUMAN_.pdf</v>
      </c>
      <c r="AA2323" t="s">
        <v>15167</v>
      </c>
      <c r="AB2323" t="s">
        <v>19407</v>
      </c>
    </row>
    <row r="2324" spans="1:28" x14ac:dyDescent="0.25">
      <c r="A2324" t="s">
        <v>2328</v>
      </c>
      <c r="B2324">
        <v>0.99876560204751996</v>
      </c>
      <c r="C2324">
        <v>0.961463689299213</v>
      </c>
      <c r="D2324">
        <v>0.978045774424675</v>
      </c>
      <c r="E2324">
        <v>0.92010769940789505</v>
      </c>
      <c r="F2324">
        <v>0.69634119410946704</v>
      </c>
      <c r="G2324">
        <v>0.42013026577975399</v>
      </c>
      <c r="H2324">
        <v>0.329362835854067</v>
      </c>
      <c r="I2324">
        <v>0.30100542935845898</v>
      </c>
      <c r="J2324">
        <v>0.39137471836544602</v>
      </c>
      <c r="K2324">
        <v>0.32299406917892998</v>
      </c>
      <c r="L2324">
        <v>1607.89598752847</v>
      </c>
      <c r="M2324">
        <v>30.159345971495998</v>
      </c>
      <c r="N2324">
        <v>55.315618228967303</v>
      </c>
      <c r="O2324">
        <v>53.080610247001999</v>
      </c>
      <c r="P2324">
        <v>-9.4861872042044798E-2</v>
      </c>
      <c r="Q2324">
        <v>0.33217465114524403</v>
      </c>
      <c r="R2324">
        <v>0.99206007245945005</v>
      </c>
      <c r="S2324" t="s">
        <v>6620</v>
      </c>
      <c r="T2324" t="s">
        <v>8590</v>
      </c>
      <c r="U2324" t="s">
        <v>8590</v>
      </c>
      <c r="V2324" t="s">
        <v>8590</v>
      </c>
      <c r="W2324">
        <v>5</v>
      </c>
      <c r="X2324" t="s">
        <v>10914</v>
      </c>
      <c r="Y2324">
        <v>0.63284594012819251</v>
      </c>
      <c r="Z2324" t="str">
        <f>HYPERLINK("Melting_Curves/meltCurve_sp_Q8IZP0_10_ABI1_HUMAN_.pdf", "Melting_Curves/meltCurve_sp_Q8IZP0_10_ABI1_HUMAN_.pdf")</f>
        <v>Melting_Curves/meltCurve_sp_Q8IZP0_10_ABI1_HUMAN_.pdf</v>
      </c>
      <c r="AA2324" t="s">
        <v>15168</v>
      </c>
      <c r="AB2324" t="s">
        <v>19408</v>
      </c>
    </row>
    <row r="2325" spans="1:28" x14ac:dyDescent="0.25">
      <c r="A2325" t="s">
        <v>2329</v>
      </c>
      <c r="B2325">
        <v>0.99876560204751996</v>
      </c>
      <c r="C2325">
        <v>0.96826423935429895</v>
      </c>
      <c r="D2325">
        <v>0.69087476260208402</v>
      </c>
      <c r="E2325">
        <v>0.51955579989284795</v>
      </c>
      <c r="F2325">
        <v>0.34313601478738898</v>
      </c>
      <c r="G2325">
        <v>0.235998351168131</v>
      </c>
      <c r="H2325">
        <v>0.19128293416645201</v>
      </c>
      <c r="I2325">
        <v>0.13355109931286799</v>
      </c>
      <c r="J2325">
        <v>0.135989911943555</v>
      </c>
      <c r="K2325">
        <v>0.105850636974278</v>
      </c>
      <c r="L2325">
        <v>702.68918045783801</v>
      </c>
      <c r="M2325">
        <v>14.3014104993392</v>
      </c>
      <c r="N2325">
        <v>50.051174175649599</v>
      </c>
      <c r="O2325">
        <v>48.203528925991399</v>
      </c>
      <c r="P2325">
        <v>-6.5632203190305299E-2</v>
      </c>
      <c r="Q2325">
        <v>0.115242898361329</v>
      </c>
      <c r="R2325">
        <v>0.98922179795050202</v>
      </c>
      <c r="S2325" t="s">
        <v>6621</v>
      </c>
      <c r="T2325" t="s">
        <v>8590</v>
      </c>
      <c r="U2325" t="s">
        <v>8590</v>
      </c>
      <c r="V2325" t="s">
        <v>8590</v>
      </c>
      <c r="W2325">
        <v>3</v>
      </c>
      <c r="X2325" t="s">
        <v>10915</v>
      </c>
      <c r="Y2325">
        <v>0.40835972681761928</v>
      </c>
      <c r="Z2325" t="str">
        <f>HYPERLINK("Melting_Curves/meltCurve_sp_Q8IZV5_RDH10_HUMAN_.pdf", "Melting_Curves/meltCurve_sp_Q8IZV5_RDH10_HUMAN_.pdf")</f>
        <v>Melting_Curves/meltCurve_sp_Q8IZV5_RDH10_HUMAN_.pdf</v>
      </c>
      <c r="AA2325" t="s">
        <v>15169</v>
      </c>
      <c r="AB2325" t="s">
        <v>19409</v>
      </c>
    </row>
    <row r="2326" spans="1:28" x14ac:dyDescent="0.25">
      <c r="A2326" t="s">
        <v>2330</v>
      </c>
      <c r="B2326">
        <v>0.99876560204751996</v>
      </c>
      <c r="C2326">
        <v>0.90400893807916405</v>
      </c>
      <c r="D2326">
        <v>0.94889705789071799</v>
      </c>
      <c r="E2326">
        <v>0.88307580385312601</v>
      </c>
      <c r="F2326">
        <v>0.81377654171873104</v>
      </c>
      <c r="G2326">
        <v>0.48790602356945101</v>
      </c>
      <c r="H2326">
        <v>0.177224771427303</v>
      </c>
      <c r="I2326">
        <v>8.8972682381551496E-2</v>
      </c>
      <c r="J2326">
        <v>4.4606745578669102E-2</v>
      </c>
      <c r="K2326">
        <v>3.4426839389583901E-2</v>
      </c>
      <c r="L2326">
        <v>1096.30934798455</v>
      </c>
      <c r="M2326">
        <v>19.3529108865424</v>
      </c>
      <c r="N2326">
        <v>56.648291945660098</v>
      </c>
      <c r="O2326">
        <v>56.053836761687897</v>
      </c>
      <c r="P2326">
        <v>-8.6317128512446106E-2</v>
      </c>
      <c r="Q2326">
        <v>0</v>
      </c>
      <c r="R2326">
        <v>0.99084261958416897</v>
      </c>
      <c r="S2326" t="s">
        <v>6622</v>
      </c>
      <c r="T2326" t="s">
        <v>8590</v>
      </c>
      <c r="U2326" t="s">
        <v>8590</v>
      </c>
      <c r="V2326" t="s">
        <v>8590</v>
      </c>
      <c r="W2326">
        <v>9</v>
      </c>
      <c r="X2326" t="s">
        <v>10916</v>
      </c>
      <c r="Y2326">
        <v>0.56794918362725055</v>
      </c>
      <c r="Z2326" t="str">
        <f>HYPERLINK("Melting_Curves/meltCurve_sp_Q8N0U4_F185A_HUMAN_.pdf", "Melting_Curves/meltCurve_sp_Q8N0U4_F185A_HUMAN_.pdf")</f>
        <v>Melting_Curves/meltCurve_sp_Q8N0U4_F185A_HUMAN_.pdf</v>
      </c>
      <c r="AA2326" t="s">
        <v>15170</v>
      </c>
      <c r="AB2326" t="s">
        <v>19410</v>
      </c>
    </row>
    <row r="2327" spans="1:28" x14ac:dyDescent="0.25">
      <c r="A2327" t="s">
        <v>2331</v>
      </c>
      <c r="B2327">
        <v>0.99876560204751996</v>
      </c>
      <c r="C2327">
        <v>1.16763984952968</v>
      </c>
      <c r="D2327">
        <v>0.90923415483029701</v>
      </c>
      <c r="E2327">
        <v>0.93740998253869201</v>
      </c>
      <c r="F2327">
        <v>0.75686200399456105</v>
      </c>
      <c r="G2327">
        <v>0.41847110630622297</v>
      </c>
      <c r="H2327">
        <v>0.13830638236792001</v>
      </c>
      <c r="I2327">
        <v>0.108992857883038</v>
      </c>
      <c r="J2327">
        <v>9.2123537020627796E-2</v>
      </c>
      <c r="K2327">
        <v>0.14354613705548699</v>
      </c>
      <c r="L2327">
        <v>1346.8708718580299</v>
      </c>
      <c r="M2327">
        <v>24.343376798857602</v>
      </c>
      <c r="N2327">
        <v>55.791951247261302</v>
      </c>
      <c r="O2327">
        <v>54.958709610301803</v>
      </c>
      <c r="P2327">
        <v>-0.100590219684717</v>
      </c>
      <c r="Q2327">
        <v>9.1625439588493604E-2</v>
      </c>
      <c r="R2327">
        <v>0.97560970408327297</v>
      </c>
      <c r="S2327" t="s">
        <v>6623</v>
      </c>
      <c r="T2327" t="s">
        <v>8590</v>
      </c>
      <c r="U2327" t="s">
        <v>8590</v>
      </c>
      <c r="V2327" t="s">
        <v>8590</v>
      </c>
      <c r="W2327">
        <v>13</v>
      </c>
      <c r="X2327" t="s">
        <v>10917</v>
      </c>
      <c r="Y2327">
        <v>0.56452650658746795</v>
      </c>
      <c r="Z2327" t="str">
        <f>HYPERLINK("Melting_Curves/meltCurve_sp_Q8N0W3_FUK_HUMAN_.pdf", "Melting_Curves/meltCurve_sp_Q8N0W3_FUK_HUMAN_.pdf")</f>
        <v>Melting_Curves/meltCurve_sp_Q8N0W3_FUK_HUMAN_.pdf</v>
      </c>
      <c r="AA2327" t="s">
        <v>15171</v>
      </c>
      <c r="AB2327" t="s">
        <v>19411</v>
      </c>
    </row>
    <row r="2328" spans="1:28" x14ac:dyDescent="0.25">
      <c r="A2328" t="s">
        <v>2332</v>
      </c>
      <c r="B2328">
        <v>0.99876560204751996</v>
      </c>
      <c r="C2328">
        <v>1.01870546151497</v>
      </c>
      <c r="D2328">
        <v>0.995154662351039</v>
      </c>
      <c r="E2328">
        <v>0.99948590355811595</v>
      </c>
      <c r="F2328">
        <v>0.67062056064753595</v>
      </c>
      <c r="G2328">
        <v>0.15530713858810799</v>
      </c>
      <c r="H2328">
        <v>8.57152569717851E-2</v>
      </c>
      <c r="I2328">
        <v>6.4965662626755502E-2</v>
      </c>
      <c r="J2328">
        <v>6.0431785853487498E-2</v>
      </c>
      <c r="K2328">
        <v>5.2886658664109402E-2</v>
      </c>
      <c r="L2328">
        <v>2307.0791589302999</v>
      </c>
      <c r="M2328">
        <v>42.877725568781301</v>
      </c>
      <c r="N2328">
        <v>53.985163171702503</v>
      </c>
      <c r="O2328">
        <v>53.689363824178002</v>
      </c>
      <c r="P2328">
        <v>-0.18641532407780001</v>
      </c>
      <c r="Q2328">
        <v>6.6321332563179694E-2</v>
      </c>
      <c r="R2328">
        <v>0.99887745766687597</v>
      </c>
      <c r="S2328" t="s">
        <v>6624</v>
      </c>
      <c r="T2328" t="s">
        <v>8590</v>
      </c>
      <c r="U2328" t="s">
        <v>8590</v>
      </c>
      <c r="V2328" t="s">
        <v>8590</v>
      </c>
      <c r="W2328">
        <v>22</v>
      </c>
      <c r="X2328" t="s">
        <v>10918</v>
      </c>
      <c r="Y2328">
        <v>0.49901644771998332</v>
      </c>
      <c r="Z2328" t="str">
        <f>HYPERLINK("Melting_Curves/meltCurve_sp_Q8N0X4_CLYBL_HUMAN_.pdf", "Melting_Curves/meltCurve_sp_Q8N0X4_CLYBL_HUMAN_.pdf")</f>
        <v>Melting_Curves/meltCurve_sp_Q8N0X4_CLYBL_HUMAN_.pdf</v>
      </c>
      <c r="AA2328" t="s">
        <v>15172</v>
      </c>
      <c r="AB2328" t="s">
        <v>19412</v>
      </c>
    </row>
    <row r="2329" spans="1:28" x14ac:dyDescent="0.25">
      <c r="A2329" t="s">
        <v>2333</v>
      </c>
      <c r="B2329">
        <v>0.99876560204751996</v>
      </c>
      <c r="C2329">
        <v>0.964205859474215</v>
      </c>
      <c r="D2329">
        <v>1.0111785772044299</v>
      </c>
      <c r="E2329">
        <v>0.82149705401680995</v>
      </c>
      <c r="F2329">
        <v>0.75079347517816897</v>
      </c>
      <c r="G2329">
        <v>0.54108913792386604</v>
      </c>
      <c r="H2329">
        <v>0.46164026691663501</v>
      </c>
      <c r="I2329">
        <v>0.41406942589913898</v>
      </c>
      <c r="J2329">
        <v>0.53607288905693795</v>
      </c>
      <c r="K2329">
        <v>0.51651221112420398</v>
      </c>
      <c r="L2329">
        <v>1159.8294084905301</v>
      </c>
      <c r="M2329">
        <v>22.113468222586</v>
      </c>
      <c r="N2329">
        <v>60.586458486733299</v>
      </c>
      <c r="O2329">
        <v>52.025714048762097</v>
      </c>
      <c r="P2329">
        <v>-5.5857831291170702E-2</v>
      </c>
      <c r="Q2329">
        <v>0.47435087177151802</v>
      </c>
      <c r="R2329">
        <v>0.96525285986022702</v>
      </c>
      <c r="S2329" t="s">
        <v>6625</v>
      </c>
      <c r="T2329" t="s">
        <v>8590</v>
      </c>
      <c r="U2329" t="s">
        <v>8590</v>
      </c>
      <c r="V2329" t="s">
        <v>8590</v>
      </c>
      <c r="W2329">
        <v>4</v>
      </c>
      <c r="X2329" t="s">
        <v>10919</v>
      </c>
      <c r="Y2329">
        <v>0.69853890733773794</v>
      </c>
      <c r="Z2329" t="str">
        <f>HYPERLINK("Melting_Curves/meltCurve_sp_Q8N0X7_SPG20_HUMAN_.pdf", "Melting_Curves/meltCurve_sp_Q8N0X7_SPG20_HUMAN_.pdf")</f>
        <v>Melting_Curves/meltCurve_sp_Q8N0X7_SPG20_HUMAN_.pdf</v>
      </c>
      <c r="AA2329" t="s">
        <v>15173</v>
      </c>
      <c r="AB2329" t="s">
        <v>19413</v>
      </c>
    </row>
    <row r="2330" spans="1:28" x14ac:dyDescent="0.25">
      <c r="A2330" t="s">
        <v>2334</v>
      </c>
      <c r="B2330">
        <v>0.99876560204751996</v>
      </c>
      <c r="C2330">
        <v>1.00461903736657</v>
      </c>
      <c r="D2330">
        <v>0.92945416777777901</v>
      </c>
      <c r="E2330">
        <v>0.83209914108702698</v>
      </c>
      <c r="F2330">
        <v>0.73015971282068803</v>
      </c>
      <c r="G2330">
        <v>0.50883347138574797</v>
      </c>
      <c r="H2330">
        <v>0.39390462009919802</v>
      </c>
      <c r="I2330">
        <v>0.34590161529119601</v>
      </c>
      <c r="J2330">
        <v>0.42709975870449202</v>
      </c>
      <c r="K2330">
        <v>0.38530830866263599</v>
      </c>
      <c r="L2330">
        <v>954.93644110567004</v>
      </c>
      <c r="M2330">
        <v>17.926004640215201</v>
      </c>
      <c r="N2330">
        <v>57.397897011718598</v>
      </c>
      <c r="O2330">
        <v>52.621341025496001</v>
      </c>
      <c r="P2330">
        <v>-5.4320235791775098E-2</v>
      </c>
      <c r="Q2330">
        <v>0.36220915546996602</v>
      </c>
      <c r="R2330">
        <v>0.98724330461759102</v>
      </c>
      <c r="S2330" t="s">
        <v>6626</v>
      </c>
      <c r="T2330" t="s">
        <v>8590</v>
      </c>
      <c r="U2330" t="s">
        <v>8590</v>
      </c>
      <c r="V2330" t="s">
        <v>8590</v>
      </c>
      <c r="W2330">
        <v>3</v>
      </c>
      <c r="X2330" t="s">
        <v>10920</v>
      </c>
      <c r="Y2330">
        <v>0.65480069574530009</v>
      </c>
      <c r="Z2330" t="str">
        <f>HYPERLINK("Melting_Curves/meltCurve_sp_Q8N108_17_MIER1_HUMAN_.pdf", "Melting_Curves/meltCurve_sp_Q8N108_17_MIER1_HUMAN_.pdf")</f>
        <v>Melting_Curves/meltCurve_sp_Q8N108_17_MIER1_HUMAN_.pdf</v>
      </c>
      <c r="AA2330" t="s">
        <v>15174</v>
      </c>
      <c r="AB2330" t="s">
        <v>19414</v>
      </c>
    </row>
    <row r="2331" spans="1:28" x14ac:dyDescent="0.25">
      <c r="A2331" t="s">
        <v>2335</v>
      </c>
      <c r="B2331">
        <v>0.99876560204751996</v>
      </c>
      <c r="C2331">
        <v>1.0694149334630301</v>
      </c>
      <c r="D2331">
        <v>1.0883740319623101</v>
      </c>
      <c r="E2331">
        <v>0.98014212332487505</v>
      </c>
      <c r="F2331">
        <v>1.0394824425134499</v>
      </c>
      <c r="G2331">
        <v>0.77900095030719796</v>
      </c>
      <c r="H2331">
        <v>0.58784079149112001</v>
      </c>
      <c r="I2331">
        <v>0.45704295213783802</v>
      </c>
      <c r="J2331">
        <v>0.65974809286334302</v>
      </c>
      <c r="K2331">
        <v>0.57057273139654796</v>
      </c>
      <c r="L2331">
        <v>6173.9921921291798</v>
      </c>
      <c r="M2331">
        <v>108.364327320613</v>
      </c>
      <c r="O2331">
        <v>56.955001249555103</v>
      </c>
      <c r="P2331">
        <v>-0.20515011129364599</v>
      </c>
      <c r="Q2331">
        <v>0.56870219087420804</v>
      </c>
      <c r="R2331">
        <v>0.93068115908827398</v>
      </c>
      <c r="S2331" t="s">
        <v>6627</v>
      </c>
      <c r="T2331" t="s">
        <v>8590</v>
      </c>
      <c r="U2331" t="s">
        <v>8590</v>
      </c>
      <c r="V2331" t="s">
        <v>8590</v>
      </c>
      <c r="W2331">
        <v>4</v>
      </c>
      <c r="X2331" t="s">
        <v>10921</v>
      </c>
      <c r="Y2331">
        <v>0.81296594600434291</v>
      </c>
      <c r="Z2331" t="str">
        <f>HYPERLINK("Melting_Curves/meltCurve_sp_Q8N129_CNPY4_HUMAN_.pdf", "Melting_Curves/meltCurve_sp_Q8N129_CNPY4_HUMAN_.pdf")</f>
        <v>Melting_Curves/meltCurve_sp_Q8N129_CNPY4_HUMAN_.pdf</v>
      </c>
      <c r="AA2331" t="s">
        <v>15175</v>
      </c>
      <c r="AB2331" t="s">
        <v>19415</v>
      </c>
    </row>
    <row r="2332" spans="1:28" x14ac:dyDescent="0.25">
      <c r="A2332" t="s">
        <v>2336</v>
      </c>
      <c r="B2332">
        <v>0.99876560204751996</v>
      </c>
      <c r="C2332">
        <v>0.95479914116582398</v>
      </c>
      <c r="D2332">
        <v>0.83911141773501396</v>
      </c>
      <c r="E2332">
        <v>0.83054371340962696</v>
      </c>
      <c r="F2332">
        <v>0.43233740652094499</v>
      </c>
      <c r="G2332">
        <v>0.17871386546571899</v>
      </c>
      <c r="H2332">
        <v>8.9671017346519097E-2</v>
      </c>
      <c r="I2332">
        <v>6.2590879552415393E-2</v>
      </c>
      <c r="J2332">
        <v>5.5131216043372198E-2</v>
      </c>
      <c r="K2332">
        <v>3.9195316981335299E-2</v>
      </c>
      <c r="L2332">
        <v>1152.62878437054</v>
      </c>
      <c r="M2332">
        <v>21.972907930577598</v>
      </c>
      <c r="N2332">
        <v>52.662648389444001</v>
      </c>
      <c r="O2332">
        <v>52.028146718476798</v>
      </c>
      <c r="P2332">
        <v>-0.10124003720420401</v>
      </c>
      <c r="Q2332">
        <v>4.1144440523118199E-2</v>
      </c>
      <c r="R2332">
        <v>0.98539837864138602</v>
      </c>
      <c r="S2332" t="s">
        <v>6628</v>
      </c>
      <c r="T2332" t="s">
        <v>8590</v>
      </c>
      <c r="U2332" t="s">
        <v>8590</v>
      </c>
      <c r="V2332" t="s">
        <v>8590</v>
      </c>
      <c r="W2332">
        <v>27</v>
      </c>
      <c r="X2332" t="s">
        <v>10922</v>
      </c>
      <c r="Y2332">
        <v>0.45047339928462432</v>
      </c>
      <c r="Z2332" t="str">
        <f>HYPERLINK("Melting_Curves/meltCurve_sp_Q8N142_PURA1_HUMAN_.pdf", "Melting_Curves/meltCurve_sp_Q8N142_PURA1_HUMAN_.pdf")</f>
        <v>Melting_Curves/meltCurve_sp_Q8N142_PURA1_HUMAN_.pdf</v>
      </c>
      <c r="AA2332" t="s">
        <v>15176</v>
      </c>
      <c r="AB2332" t="s">
        <v>19416</v>
      </c>
    </row>
    <row r="2333" spans="1:28" x14ac:dyDescent="0.25">
      <c r="A2333" t="s">
        <v>2337</v>
      </c>
      <c r="B2333">
        <v>0.99876560204751996</v>
      </c>
      <c r="C2333">
        <v>1.0971171030229201</v>
      </c>
      <c r="D2333">
        <v>0.91900098939945596</v>
      </c>
      <c r="E2333">
        <v>0.99190707334191297</v>
      </c>
      <c r="F2333">
        <v>0.799642527129241</v>
      </c>
      <c r="G2333">
        <v>0.42453318859554401</v>
      </c>
      <c r="H2333">
        <v>0.168354882489126</v>
      </c>
      <c r="I2333">
        <v>0.11388925748577899</v>
      </c>
      <c r="J2333">
        <v>9.2167514106362702E-2</v>
      </c>
      <c r="K2333">
        <v>6.4955422618470093E-2</v>
      </c>
      <c r="L2333">
        <v>1415.6592542339199</v>
      </c>
      <c r="M2333">
        <v>25.3358370481569</v>
      </c>
      <c r="N2333">
        <v>56.218083771100098</v>
      </c>
      <c r="O2333">
        <v>55.531151111295003</v>
      </c>
      <c r="P2333">
        <v>-0.105909483951643</v>
      </c>
      <c r="Q2333">
        <v>7.1481166619510497E-2</v>
      </c>
      <c r="R2333">
        <v>0.98979739803740396</v>
      </c>
      <c r="S2333" t="s">
        <v>6629</v>
      </c>
      <c r="T2333" t="s">
        <v>8590</v>
      </c>
      <c r="U2333" t="s">
        <v>8590</v>
      </c>
      <c r="V2333" t="s">
        <v>8590</v>
      </c>
      <c r="W2333">
        <v>24</v>
      </c>
      <c r="X2333" t="s">
        <v>10923</v>
      </c>
      <c r="Y2333">
        <v>0.57119284886786825</v>
      </c>
      <c r="Z2333" t="str">
        <f>HYPERLINK("Melting_Curves/meltCurve_sp_Q8N163_K1967_HUMAN_.pdf", "Melting_Curves/meltCurve_sp_Q8N163_K1967_HUMAN_.pdf")</f>
        <v>Melting_Curves/meltCurve_sp_Q8N163_K1967_HUMAN_.pdf</v>
      </c>
      <c r="AA2333" t="s">
        <v>15177</v>
      </c>
      <c r="AB2333" t="s">
        <v>19417</v>
      </c>
    </row>
    <row r="2334" spans="1:28" x14ac:dyDescent="0.25">
      <c r="A2334" t="s">
        <v>2338</v>
      </c>
      <c r="B2334">
        <v>0.99876560204751996</v>
      </c>
      <c r="C2334">
        <v>1.0725360831600399</v>
      </c>
      <c r="D2334">
        <v>0.95319513426073799</v>
      </c>
      <c r="E2334">
        <v>0.73750136274563205</v>
      </c>
      <c r="F2334">
        <v>0.29258120930037301</v>
      </c>
      <c r="G2334">
        <v>0.112212116967605</v>
      </c>
      <c r="H2334">
        <v>3.9757444324100097E-2</v>
      </c>
      <c r="I2334">
        <v>4.7362589986460903E-2</v>
      </c>
      <c r="J2334">
        <v>2.76959029398842E-2</v>
      </c>
      <c r="K2334">
        <v>3.5114405517665002E-2</v>
      </c>
      <c r="L2334">
        <v>1652.753590909</v>
      </c>
      <c r="M2334">
        <v>32.136853239708898</v>
      </c>
      <c r="N2334">
        <v>51.565387098168003</v>
      </c>
      <c r="O2334">
        <v>51.230697411081302</v>
      </c>
      <c r="P2334">
        <v>-0.15041817800156099</v>
      </c>
      <c r="Q2334">
        <v>4.0853198792097603E-2</v>
      </c>
      <c r="R2334">
        <v>0.99575694801346204</v>
      </c>
      <c r="S2334" t="s">
        <v>6630</v>
      </c>
      <c r="T2334" t="s">
        <v>8590</v>
      </c>
      <c r="U2334" t="s">
        <v>8590</v>
      </c>
      <c r="V2334" t="s">
        <v>8590</v>
      </c>
      <c r="W2334">
        <v>4</v>
      </c>
      <c r="X2334" t="s">
        <v>10924</v>
      </c>
      <c r="Y2334">
        <v>0.41153602139975509</v>
      </c>
      <c r="Z2334" t="str">
        <f>HYPERLINK("Melting_Curves/meltCurve_sp_Q8N1B4_VPS52_HUMAN_.pdf", "Melting_Curves/meltCurve_sp_Q8N1B4_VPS52_HUMAN_.pdf")</f>
        <v>Melting_Curves/meltCurve_sp_Q8N1B4_VPS52_HUMAN_.pdf</v>
      </c>
      <c r="AA2334" t="s">
        <v>15178</v>
      </c>
      <c r="AB2334" t="s">
        <v>19418</v>
      </c>
    </row>
    <row r="2335" spans="1:28" x14ac:dyDescent="0.25">
      <c r="A2335" t="s">
        <v>2339</v>
      </c>
      <c r="B2335">
        <v>0.99876560204751996</v>
      </c>
      <c r="C2335">
        <v>0.88913850155923102</v>
      </c>
      <c r="D2335">
        <v>0.87504274927663195</v>
      </c>
      <c r="E2335">
        <v>0.553912264357585</v>
      </c>
      <c r="F2335">
        <v>4.8657538071899299E-2</v>
      </c>
      <c r="G2335">
        <v>6.4273235543338803E-2</v>
      </c>
      <c r="H2335">
        <v>0.1148125638802</v>
      </c>
      <c r="I2335">
        <v>8.5180134216691197E-2</v>
      </c>
      <c r="J2335">
        <v>3.8231770026418303E-2</v>
      </c>
      <c r="K2335">
        <v>0</v>
      </c>
      <c r="L2335">
        <v>12505.241125620299</v>
      </c>
      <c r="M2335">
        <v>250</v>
      </c>
      <c r="N2335">
        <v>50.045888633355297</v>
      </c>
      <c r="O2335">
        <v>50.017774681340903</v>
      </c>
      <c r="P2335">
        <v>-1.17642486042448</v>
      </c>
      <c r="Q2335">
        <v>5.8525753401392898E-2</v>
      </c>
      <c r="R2335">
        <v>0.97683811093779505</v>
      </c>
      <c r="S2335" t="s">
        <v>6631</v>
      </c>
      <c r="T2335" t="s">
        <v>8590</v>
      </c>
      <c r="U2335" t="s">
        <v>8590</v>
      </c>
      <c r="V2335" t="s">
        <v>8590</v>
      </c>
      <c r="W2335">
        <v>7</v>
      </c>
      <c r="X2335" t="s">
        <v>10925</v>
      </c>
      <c r="Y2335">
        <v>0.37309106851180618</v>
      </c>
      <c r="Z2335" t="str">
        <f>HYPERLINK("Melting_Curves/meltCurve_sp_Q8N1F7_NUP93_HUMAN_.pdf", "Melting_Curves/meltCurve_sp_Q8N1F7_NUP93_HUMAN_.pdf")</f>
        <v>Melting_Curves/meltCurve_sp_Q8N1F7_NUP93_HUMAN_.pdf</v>
      </c>
      <c r="AA2335" t="s">
        <v>15179</v>
      </c>
      <c r="AB2335" t="s">
        <v>19419</v>
      </c>
    </row>
    <row r="2336" spans="1:28" x14ac:dyDescent="0.25">
      <c r="A2336" t="s">
        <v>2340</v>
      </c>
      <c r="B2336">
        <v>0.99876560204751996</v>
      </c>
      <c r="C2336">
        <v>1.04609783650749</v>
      </c>
      <c r="D2336">
        <v>0.94488709165224005</v>
      </c>
      <c r="E2336">
        <v>0.56626977815288304</v>
      </c>
      <c r="F2336">
        <v>0.328408863728121</v>
      </c>
      <c r="G2336">
        <v>0.220606444107532</v>
      </c>
      <c r="H2336">
        <v>0.16132854183567499</v>
      </c>
      <c r="I2336">
        <v>0.156517409894597</v>
      </c>
      <c r="J2336">
        <v>0.168649329475073</v>
      </c>
      <c r="K2336">
        <v>0.16911449661207201</v>
      </c>
      <c r="L2336">
        <v>1374.66640036748</v>
      </c>
      <c r="M2336">
        <v>27.494404883750398</v>
      </c>
      <c r="N2336">
        <v>50.758812151211202</v>
      </c>
      <c r="O2336">
        <v>49.735791239648798</v>
      </c>
      <c r="P2336">
        <v>-0.114865716054854</v>
      </c>
      <c r="Q2336">
        <v>0.16886586176190299</v>
      </c>
      <c r="R2336">
        <v>0.99636389648143298</v>
      </c>
      <c r="S2336" t="s">
        <v>6632</v>
      </c>
      <c r="T2336" t="s">
        <v>8590</v>
      </c>
      <c r="U2336" t="s">
        <v>8590</v>
      </c>
      <c r="V2336" t="s">
        <v>8590</v>
      </c>
      <c r="W2336">
        <v>7</v>
      </c>
      <c r="X2336" t="s">
        <v>10926</v>
      </c>
      <c r="Y2336">
        <v>0.45198842416714857</v>
      </c>
      <c r="Z2336" t="str">
        <f>HYPERLINK("Melting_Curves/meltCurve_sp_Q8N1G2_MTR1_HUMAN_.pdf", "Melting_Curves/meltCurve_sp_Q8N1G2_MTR1_HUMAN_.pdf")</f>
        <v>Melting_Curves/meltCurve_sp_Q8N1G2_MTR1_HUMAN_.pdf</v>
      </c>
      <c r="AA2336" t="s">
        <v>15180</v>
      </c>
      <c r="AB2336" t="s">
        <v>19420</v>
      </c>
    </row>
    <row r="2337" spans="1:28" x14ac:dyDescent="0.25">
      <c r="A2337" t="s">
        <v>2341</v>
      </c>
      <c r="B2337">
        <v>0.99876560204751996</v>
      </c>
      <c r="C2337">
        <v>0.921625398889652</v>
      </c>
      <c r="D2337">
        <v>0.98243986231668401</v>
      </c>
      <c r="E2337">
        <v>0.86415806699656195</v>
      </c>
      <c r="F2337">
        <v>0.52699310329643101</v>
      </c>
      <c r="G2337">
        <v>0.213641877007409</v>
      </c>
      <c r="H2337">
        <v>8.3701038356474203E-2</v>
      </c>
      <c r="I2337">
        <v>7.6160253475340306E-2</v>
      </c>
      <c r="J2337">
        <v>6.2270858985426301E-2</v>
      </c>
      <c r="K2337">
        <v>6.1947709457702602E-2</v>
      </c>
      <c r="L2337">
        <v>1386.68854955136</v>
      </c>
      <c r="M2337">
        <v>26.1081723860345</v>
      </c>
      <c r="N2337">
        <v>53.381074059719502</v>
      </c>
      <c r="O2337">
        <v>52.804532749428702</v>
      </c>
      <c r="P2337">
        <v>-0.116019704574197</v>
      </c>
      <c r="Q2337">
        <v>6.1397809360651402E-2</v>
      </c>
      <c r="R2337">
        <v>0.99572667118347802</v>
      </c>
      <c r="S2337" t="s">
        <v>6633</v>
      </c>
      <c r="T2337" t="s">
        <v>8590</v>
      </c>
      <c r="U2337" t="s">
        <v>8590</v>
      </c>
      <c r="V2337" t="s">
        <v>8590</v>
      </c>
      <c r="W2337">
        <v>14</v>
      </c>
      <c r="X2337" t="s">
        <v>10927</v>
      </c>
      <c r="Y2337">
        <v>0.47963694865515932</v>
      </c>
      <c r="Z2337" t="str">
        <f>HYPERLINK("Melting_Curves/meltCurve_sp_Q8N1G4_LRC47_HUMAN_.pdf", "Melting_Curves/meltCurve_sp_Q8N1G4_LRC47_HUMAN_.pdf")</f>
        <v>Melting_Curves/meltCurve_sp_Q8N1G4_LRC47_HUMAN_.pdf</v>
      </c>
      <c r="AA2337" t="s">
        <v>15181</v>
      </c>
      <c r="AB2337" t="s">
        <v>19421</v>
      </c>
    </row>
    <row r="2338" spans="1:28" x14ac:dyDescent="0.25">
      <c r="A2338" t="s">
        <v>2342</v>
      </c>
      <c r="B2338">
        <v>0.99876560204751996</v>
      </c>
      <c r="C2338">
        <v>1.0913719265009301</v>
      </c>
      <c r="D2338">
        <v>1.0863873243623501</v>
      </c>
      <c r="E2338">
        <v>0.87056531462175202</v>
      </c>
      <c r="F2338">
        <v>0.76341512128343703</v>
      </c>
      <c r="G2338">
        <v>0.61574488666997595</v>
      </c>
      <c r="H2338">
        <v>0.50962703195499304</v>
      </c>
      <c r="I2338">
        <v>0.46335267481349302</v>
      </c>
      <c r="J2338">
        <v>0.48501852617527103</v>
      </c>
      <c r="K2338">
        <v>0.53908454464837596</v>
      </c>
      <c r="L2338">
        <v>1224.9678472261201</v>
      </c>
      <c r="M2338">
        <v>22.9760110266655</v>
      </c>
      <c r="N2338">
        <v>65.687791464975007</v>
      </c>
      <c r="O2338">
        <v>52.916135430097803</v>
      </c>
      <c r="P2338">
        <v>-5.4991954210018401E-2</v>
      </c>
      <c r="Q2338">
        <v>0.493400915388921</v>
      </c>
      <c r="R2338">
        <v>0.95728419461970904</v>
      </c>
      <c r="S2338" t="s">
        <v>6634</v>
      </c>
      <c r="T2338" t="s">
        <v>8590</v>
      </c>
      <c r="U2338" t="s">
        <v>8590</v>
      </c>
      <c r="V2338" t="s">
        <v>8590</v>
      </c>
      <c r="W2338">
        <v>4</v>
      </c>
      <c r="X2338" t="s">
        <v>10928</v>
      </c>
      <c r="Y2338">
        <v>0.7237034793565762</v>
      </c>
      <c r="Z2338" t="str">
        <f>HYPERLINK("Melting_Curves/meltCurve_sp_Q8N1I0_DOCK4_HUMAN_.pdf", "Melting_Curves/meltCurve_sp_Q8N1I0_DOCK4_HUMAN_.pdf")</f>
        <v>Melting_Curves/meltCurve_sp_Q8N1I0_DOCK4_HUMAN_.pdf</v>
      </c>
      <c r="AA2338" t="s">
        <v>15182</v>
      </c>
      <c r="AB2338" t="s">
        <v>19422</v>
      </c>
    </row>
    <row r="2339" spans="1:28" x14ac:dyDescent="0.25">
      <c r="A2339" t="s">
        <v>2343</v>
      </c>
      <c r="B2339">
        <v>0.99876560204751996</v>
      </c>
      <c r="C2339">
        <v>0.99177935378688298</v>
      </c>
      <c r="D2339">
        <v>1.09045348509202</v>
      </c>
      <c r="E2339">
        <v>0.94693931559414302</v>
      </c>
      <c r="F2339">
        <v>0.73848446530695899</v>
      </c>
      <c r="G2339">
        <v>0.57826636021750399</v>
      </c>
      <c r="H2339">
        <v>0.50623273180756401</v>
      </c>
      <c r="I2339">
        <v>0.53695601831573403</v>
      </c>
      <c r="J2339">
        <v>0.55619615613437101</v>
      </c>
      <c r="K2339">
        <v>0.704532778612322</v>
      </c>
      <c r="L2339">
        <v>2376.2331310826398</v>
      </c>
      <c r="M2339">
        <v>45.345519473659799</v>
      </c>
      <c r="O2339">
        <v>52.301210038370698</v>
      </c>
      <c r="P2339">
        <v>-9.2213221855023897E-2</v>
      </c>
      <c r="Q2339">
        <v>0.57456815475581202</v>
      </c>
      <c r="R2339">
        <v>0.928451631524979</v>
      </c>
      <c r="S2339" t="s">
        <v>6635</v>
      </c>
      <c r="T2339" t="s">
        <v>8590</v>
      </c>
      <c r="U2339" t="s">
        <v>8590</v>
      </c>
      <c r="V2339" t="s">
        <v>8590</v>
      </c>
      <c r="W2339">
        <v>2</v>
      </c>
      <c r="X2339" t="s">
        <v>10929</v>
      </c>
      <c r="Y2339">
        <v>0.75165006845351356</v>
      </c>
      <c r="Z2339" t="str">
        <f>HYPERLINK("Melting_Curves/meltCurve_sp_Q8N201_INT1_HUMAN_.pdf", "Melting_Curves/meltCurve_sp_Q8N201_INT1_HUMAN_.pdf")</f>
        <v>Melting_Curves/meltCurve_sp_Q8N201_INT1_HUMAN_.pdf</v>
      </c>
      <c r="AA2339" t="s">
        <v>15183</v>
      </c>
      <c r="AB2339" t="s">
        <v>19423</v>
      </c>
    </row>
    <row r="2340" spans="1:28" x14ac:dyDescent="0.25">
      <c r="A2340" t="s">
        <v>2344</v>
      </c>
      <c r="B2340">
        <v>0.99876560204751996</v>
      </c>
      <c r="C2340">
        <v>1.0213010861971099</v>
      </c>
      <c r="D2340">
        <v>0.53951060097138204</v>
      </c>
      <c r="E2340">
        <v>0.54530571663515703</v>
      </c>
      <c r="F2340">
        <v>0.24486570563783</v>
      </c>
      <c r="G2340">
        <v>0.121380768324534</v>
      </c>
      <c r="H2340">
        <v>5.9709062128920798E-2</v>
      </c>
      <c r="I2340">
        <v>4.67236301508588E-2</v>
      </c>
      <c r="J2340">
        <v>6.1042470314972203E-2</v>
      </c>
      <c r="K2340">
        <v>6.1536379735395899E-2</v>
      </c>
      <c r="L2340">
        <v>712.54950082354901</v>
      </c>
      <c r="M2340">
        <v>14.5976614905695</v>
      </c>
      <c r="N2340">
        <v>49.0285717736705</v>
      </c>
      <c r="O2340">
        <v>47.923996339255901</v>
      </c>
      <c r="P2340">
        <v>-7.3786879233625494E-2</v>
      </c>
      <c r="Q2340">
        <v>3.1142539350667901E-2</v>
      </c>
      <c r="R2340">
        <v>0.95089515620349097</v>
      </c>
      <c r="S2340" t="s">
        <v>6636</v>
      </c>
      <c r="T2340" t="s">
        <v>8590</v>
      </c>
      <c r="U2340" t="s">
        <v>8590</v>
      </c>
      <c r="V2340" t="s">
        <v>8590</v>
      </c>
      <c r="W2340">
        <v>2</v>
      </c>
      <c r="X2340" t="s">
        <v>10930</v>
      </c>
      <c r="Y2340">
        <v>0.34109935357604332</v>
      </c>
      <c r="Z2340" t="str">
        <f>HYPERLINK("Melting_Curves/meltCurve_sp_Q8N283_ANR35_HUMAN_.pdf", "Melting_Curves/meltCurve_sp_Q8N283_ANR35_HUMAN_.pdf")</f>
        <v>Melting_Curves/meltCurve_sp_Q8N283_ANR35_HUMAN_.pdf</v>
      </c>
      <c r="AA2340" t="s">
        <v>15184</v>
      </c>
      <c r="AB2340" t="s">
        <v>19424</v>
      </c>
    </row>
    <row r="2341" spans="1:28" x14ac:dyDescent="0.25">
      <c r="A2341" t="s">
        <v>2345</v>
      </c>
      <c r="B2341">
        <v>0.99876560204751996</v>
      </c>
      <c r="C2341">
        <v>0.843555518024249</v>
      </c>
      <c r="D2341">
        <v>0.717401836111907</v>
      </c>
      <c r="E2341">
        <v>0.69121783288922101</v>
      </c>
      <c r="F2341">
        <v>0.52867221237444795</v>
      </c>
      <c r="G2341">
        <v>0.34578282037421598</v>
      </c>
      <c r="H2341">
        <v>0.28179494693581503</v>
      </c>
      <c r="I2341">
        <v>0.18672101482384301</v>
      </c>
      <c r="J2341">
        <v>0.19157488207304299</v>
      </c>
      <c r="K2341">
        <v>0.108579911966478</v>
      </c>
      <c r="L2341">
        <v>428.61594061497698</v>
      </c>
      <c r="M2341">
        <v>8.0304188679850093</v>
      </c>
      <c r="N2341">
        <v>53.374044939730297</v>
      </c>
      <c r="O2341">
        <v>50.369474148991799</v>
      </c>
      <c r="P2341">
        <v>-3.9902014825270102E-2</v>
      </c>
      <c r="Q2341">
        <v>0</v>
      </c>
      <c r="R2341">
        <v>0.98175851572663397</v>
      </c>
      <c r="S2341" t="s">
        <v>6637</v>
      </c>
      <c r="T2341" t="s">
        <v>8590</v>
      </c>
      <c r="U2341" t="s">
        <v>8590</v>
      </c>
      <c r="V2341" t="s">
        <v>8590</v>
      </c>
      <c r="W2341">
        <v>3</v>
      </c>
      <c r="X2341" t="s">
        <v>10931</v>
      </c>
      <c r="Y2341">
        <v>0.48399366690539303</v>
      </c>
      <c r="Z2341" t="str">
        <f>HYPERLINK("Melting_Curves/meltCurve_sp_Q8N2H3_PYRD2_HUMAN_.pdf", "Melting_Curves/meltCurve_sp_Q8N2H3_PYRD2_HUMAN_.pdf")</f>
        <v>Melting_Curves/meltCurve_sp_Q8N2H3_PYRD2_HUMAN_.pdf</v>
      </c>
      <c r="AA2341" t="s">
        <v>15185</v>
      </c>
      <c r="AB2341" t="s">
        <v>19425</v>
      </c>
    </row>
    <row r="2342" spans="1:28" x14ac:dyDescent="0.25">
      <c r="A2342" t="s">
        <v>2346</v>
      </c>
      <c r="B2342">
        <v>0.99876560204751996</v>
      </c>
      <c r="C2342">
        <v>0.87243019429750202</v>
      </c>
      <c r="D2342">
        <v>0.79726265539993901</v>
      </c>
      <c r="E2342">
        <v>0.79770420817265497</v>
      </c>
      <c r="F2342">
        <v>0.62361360163662105</v>
      </c>
      <c r="G2342">
        <v>0.206324967656211</v>
      </c>
      <c r="H2342">
        <v>0.10025858539190401</v>
      </c>
      <c r="I2342">
        <v>7.6898032689519599E-2</v>
      </c>
      <c r="J2342">
        <v>6.57563984394441E-2</v>
      </c>
      <c r="K2342">
        <v>6.1891599546520799E-2</v>
      </c>
      <c r="L2342">
        <v>817.39748464793104</v>
      </c>
      <c r="M2342">
        <v>15.2622283109688</v>
      </c>
      <c r="N2342">
        <v>53.570238697573799</v>
      </c>
      <c r="O2342">
        <v>52.662687703336204</v>
      </c>
      <c r="P2342">
        <v>-7.2322098448070707E-2</v>
      </c>
      <c r="Q2342">
        <v>1.89762075485858E-3</v>
      </c>
      <c r="R2342">
        <v>0.96654093373628402</v>
      </c>
      <c r="S2342" t="s">
        <v>6638</v>
      </c>
      <c r="T2342" t="s">
        <v>8590</v>
      </c>
      <c r="U2342" t="s">
        <v>8590</v>
      </c>
      <c r="V2342" t="s">
        <v>8590</v>
      </c>
      <c r="W2342">
        <v>3</v>
      </c>
      <c r="X2342" t="s">
        <v>10932</v>
      </c>
      <c r="Y2342">
        <v>0.47340843261199128</v>
      </c>
      <c r="Z2342" t="str">
        <f>HYPERLINK("Melting_Curves/meltCurve_sp_Q8N371_KDM8_HUMAN_.pdf", "Melting_Curves/meltCurve_sp_Q8N371_KDM8_HUMAN_.pdf")</f>
        <v>Melting_Curves/meltCurve_sp_Q8N371_KDM8_HUMAN_.pdf</v>
      </c>
      <c r="AA2342" t="s">
        <v>15186</v>
      </c>
      <c r="AB2342" t="s">
        <v>19426</v>
      </c>
    </row>
    <row r="2343" spans="1:28" x14ac:dyDescent="0.25">
      <c r="A2343" t="s">
        <v>2347</v>
      </c>
      <c r="B2343">
        <v>0.99876560204751996</v>
      </c>
      <c r="C2343">
        <v>1.0840569064935199</v>
      </c>
      <c r="D2343">
        <v>1.02112661935219</v>
      </c>
      <c r="E2343">
        <v>0.968502559155488</v>
      </c>
      <c r="F2343">
        <v>0.61003262629871602</v>
      </c>
      <c r="G2343">
        <v>0.28446550717610802</v>
      </c>
      <c r="H2343">
        <v>0.18960206834839299</v>
      </c>
      <c r="I2343">
        <v>0.19586200785997801</v>
      </c>
      <c r="J2343">
        <v>0.20612155556306999</v>
      </c>
      <c r="K2343">
        <v>0.18214449505978</v>
      </c>
      <c r="L2343">
        <v>2091.6762624490698</v>
      </c>
      <c r="M2343">
        <v>39.329663476250602</v>
      </c>
      <c r="N2343">
        <v>53.874313855114202</v>
      </c>
      <c r="O2343">
        <v>53.0462538646334</v>
      </c>
      <c r="P2343">
        <v>-0.14863480787348299</v>
      </c>
      <c r="Q2343">
        <v>0.19811170472346501</v>
      </c>
      <c r="R2343">
        <v>0.99295624689554995</v>
      </c>
      <c r="S2343" t="s">
        <v>6639</v>
      </c>
      <c r="T2343" t="s">
        <v>8590</v>
      </c>
      <c r="U2343" t="s">
        <v>8590</v>
      </c>
      <c r="V2343" t="s">
        <v>8590</v>
      </c>
      <c r="W2343">
        <v>6</v>
      </c>
      <c r="X2343" t="s">
        <v>10933</v>
      </c>
      <c r="Y2343">
        <v>0.55353853444407319</v>
      </c>
      <c r="Z2343" t="str">
        <f>HYPERLINK("Melting_Curves/meltCurve_sp_Q8N3F8_MILK1_HUMAN_.pdf", "Melting_Curves/meltCurve_sp_Q8N3F8_MILK1_HUMAN_.pdf")</f>
        <v>Melting_Curves/meltCurve_sp_Q8N3F8_MILK1_HUMAN_.pdf</v>
      </c>
      <c r="AA2343" t="s">
        <v>15187</v>
      </c>
      <c r="AB2343" t="s">
        <v>19427</v>
      </c>
    </row>
    <row r="2344" spans="1:28" x14ac:dyDescent="0.25">
      <c r="A2344" t="s">
        <v>2348</v>
      </c>
      <c r="B2344">
        <v>0.99876560204751996</v>
      </c>
      <c r="C2344">
        <v>0.91882982810885505</v>
      </c>
      <c r="D2344">
        <v>0.895970084266695</v>
      </c>
      <c r="E2344">
        <v>0.84136925443081301</v>
      </c>
      <c r="F2344">
        <v>0.72072690562158803</v>
      </c>
      <c r="G2344">
        <v>0.54604239727980497</v>
      </c>
      <c r="H2344">
        <v>0.44016244512306302</v>
      </c>
      <c r="I2344">
        <v>0.40515072333026497</v>
      </c>
      <c r="J2344">
        <v>0.49620135784855501</v>
      </c>
      <c r="K2344">
        <v>0.46776697282852697</v>
      </c>
      <c r="L2344">
        <v>783.14868837204006</v>
      </c>
      <c r="M2344">
        <v>14.913532397949499</v>
      </c>
      <c r="N2344">
        <v>59.961382482043703</v>
      </c>
      <c r="O2344">
        <v>51.595572749654899</v>
      </c>
      <c r="P2344">
        <v>-4.1801259861710099E-2</v>
      </c>
      <c r="Q2344">
        <v>0.42158919171947301</v>
      </c>
      <c r="R2344">
        <v>0.96521497068925499</v>
      </c>
      <c r="S2344" t="s">
        <v>6640</v>
      </c>
      <c r="T2344" t="s">
        <v>8590</v>
      </c>
      <c r="U2344" t="s">
        <v>8590</v>
      </c>
      <c r="V2344" t="s">
        <v>8590</v>
      </c>
      <c r="W2344">
        <v>12</v>
      </c>
      <c r="X2344" t="s">
        <v>10934</v>
      </c>
      <c r="Y2344">
        <v>0.67563647905136415</v>
      </c>
      <c r="Z2344" t="str">
        <f>HYPERLINK("Melting_Curves/meltCurve_sp_Q8N3V7_2_SYNPO_HUMAN_.pdf", "Melting_Curves/meltCurve_sp_Q8N3V7_2_SYNPO_HUMAN_.pdf")</f>
        <v>Melting_Curves/meltCurve_sp_Q8N3V7_2_SYNPO_HUMAN_.pdf</v>
      </c>
      <c r="AA2344" t="s">
        <v>15188</v>
      </c>
      <c r="AB2344" t="s">
        <v>19428</v>
      </c>
    </row>
    <row r="2345" spans="1:28" x14ac:dyDescent="0.25">
      <c r="A2345" t="s">
        <v>2349</v>
      </c>
      <c r="B2345">
        <v>0.99876560204751996</v>
      </c>
      <c r="C2345">
        <v>1.0642960766398799</v>
      </c>
      <c r="D2345">
        <v>1.12392442973046</v>
      </c>
      <c r="E2345">
        <v>1.00118737048151</v>
      </c>
      <c r="F2345">
        <v>0.88874199505151896</v>
      </c>
      <c r="G2345">
        <v>0.56992827196101004</v>
      </c>
      <c r="H2345">
        <v>0.45074777895755302</v>
      </c>
      <c r="I2345">
        <v>0.44092778012447298</v>
      </c>
      <c r="J2345">
        <v>0.49856737677873397</v>
      </c>
      <c r="K2345">
        <v>0.48004332830698898</v>
      </c>
      <c r="L2345">
        <v>2214.9238330977601</v>
      </c>
      <c r="M2345">
        <v>40.382854187357999</v>
      </c>
      <c r="N2345">
        <v>58.7764603016942</v>
      </c>
      <c r="O2345">
        <v>54.714140751578</v>
      </c>
      <c r="P2345">
        <v>-9.8465453513002496E-2</v>
      </c>
      <c r="Q2345">
        <v>0.46636344097252402</v>
      </c>
      <c r="R2345">
        <v>0.96967980579170598</v>
      </c>
      <c r="S2345" t="s">
        <v>6641</v>
      </c>
      <c r="T2345" t="s">
        <v>8590</v>
      </c>
      <c r="U2345" t="s">
        <v>8590</v>
      </c>
      <c r="V2345" t="s">
        <v>8590</v>
      </c>
      <c r="W2345">
        <v>2</v>
      </c>
      <c r="X2345" t="s">
        <v>10935</v>
      </c>
      <c r="Y2345">
        <v>0.73245867019872268</v>
      </c>
      <c r="Z2345" t="str">
        <f>HYPERLINK("Melting_Curves/meltCurve_sp_Q8N3X1_FNBP4_HUMAN_.pdf", "Melting_Curves/meltCurve_sp_Q8N3X1_FNBP4_HUMAN_.pdf")</f>
        <v>Melting_Curves/meltCurve_sp_Q8N3X1_FNBP4_HUMAN_.pdf</v>
      </c>
      <c r="AA2345" t="s">
        <v>15189</v>
      </c>
      <c r="AB2345" t="s">
        <v>19429</v>
      </c>
    </row>
    <row r="2346" spans="1:28" x14ac:dyDescent="0.25">
      <c r="A2346" t="s">
        <v>2350</v>
      </c>
      <c r="B2346">
        <v>0.99876560204751996</v>
      </c>
      <c r="C2346">
        <v>0.97547065065583505</v>
      </c>
      <c r="D2346">
        <v>0.87382086921019497</v>
      </c>
      <c r="E2346">
        <v>0.93717646915502095</v>
      </c>
      <c r="F2346">
        <v>0.78653000125038097</v>
      </c>
      <c r="G2346">
        <v>0.50013598015711103</v>
      </c>
      <c r="H2346">
        <v>0.18096413390739099</v>
      </c>
      <c r="I2346">
        <v>0.100741241205989</v>
      </c>
      <c r="J2346">
        <v>5.68546458318809E-2</v>
      </c>
      <c r="K2346">
        <v>4.1453612130320797E-2</v>
      </c>
      <c r="L2346">
        <v>1069.7130889310199</v>
      </c>
      <c r="M2346">
        <v>18.864167171353401</v>
      </c>
      <c r="N2346">
        <v>56.713188587772201</v>
      </c>
      <c r="O2346">
        <v>56.080369749602703</v>
      </c>
      <c r="P2346">
        <v>-8.3998564971329195E-2</v>
      </c>
      <c r="Q2346">
        <v>1.17984265136016E-3</v>
      </c>
      <c r="R2346">
        <v>0.99006601089169999</v>
      </c>
      <c r="S2346" t="s">
        <v>6642</v>
      </c>
      <c r="T2346" t="s">
        <v>8590</v>
      </c>
      <c r="U2346" t="s">
        <v>8590</v>
      </c>
      <c r="V2346" t="s">
        <v>8590</v>
      </c>
      <c r="W2346">
        <v>11</v>
      </c>
      <c r="X2346" t="s">
        <v>10936</v>
      </c>
      <c r="Y2346">
        <v>0.57072701902685563</v>
      </c>
      <c r="Z2346" t="str">
        <f>HYPERLINK("Melting_Curves/meltCurve_sp_Q8N465_D2HDH_HUMAN_.pdf", "Melting_Curves/meltCurve_sp_Q8N465_D2HDH_HUMAN_.pdf")</f>
        <v>Melting_Curves/meltCurve_sp_Q8N465_D2HDH_HUMAN_.pdf</v>
      </c>
      <c r="AA2346" t="s">
        <v>15190</v>
      </c>
      <c r="AB2346" t="s">
        <v>19430</v>
      </c>
    </row>
    <row r="2347" spans="1:28" x14ac:dyDescent="0.25">
      <c r="A2347" t="s">
        <v>2351</v>
      </c>
      <c r="B2347">
        <v>0.99876560204751996</v>
      </c>
      <c r="C2347">
        <v>1.0662712375886101</v>
      </c>
      <c r="D2347">
        <v>0.87168117260784495</v>
      </c>
      <c r="E2347">
        <v>0.62430019837402895</v>
      </c>
      <c r="F2347">
        <v>0.41443130640040798</v>
      </c>
      <c r="G2347">
        <v>0.19487035343486001</v>
      </c>
      <c r="H2347">
        <v>0.11785885059533301</v>
      </c>
      <c r="I2347">
        <v>8.8733578336482696E-2</v>
      </c>
      <c r="J2347">
        <v>0.12802008065465401</v>
      </c>
      <c r="K2347">
        <v>7.0056011524494102E-2</v>
      </c>
      <c r="L2347">
        <v>961.72448206855097</v>
      </c>
      <c r="M2347">
        <v>18.806521036538498</v>
      </c>
      <c r="N2347">
        <v>51.632956077175201</v>
      </c>
      <c r="O2347">
        <v>50.570169699249199</v>
      </c>
      <c r="P2347">
        <v>-8.5304892855774306E-2</v>
      </c>
      <c r="Q2347">
        <v>8.2509325553817597E-2</v>
      </c>
      <c r="R2347">
        <v>0.99213127546937996</v>
      </c>
      <c r="S2347" t="s">
        <v>6643</v>
      </c>
      <c r="T2347" t="s">
        <v>8590</v>
      </c>
      <c r="U2347" t="s">
        <v>8590</v>
      </c>
      <c r="V2347" t="s">
        <v>8590</v>
      </c>
      <c r="W2347">
        <v>2</v>
      </c>
      <c r="X2347" t="s">
        <v>10937</v>
      </c>
      <c r="Y2347">
        <v>0.43739696977736647</v>
      </c>
      <c r="Z2347" t="str">
        <f>HYPERLINK("Melting_Curves/meltCurve_sp_Q8N490_4_PNKD_HUMAN_.pdf", "Melting_Curves/meltCurve_sp_Q8N490_4_PNKD_HUMAN_.pdf")</f>
        <v>Melting_Curves/meltCurve_sp_Q8N490_4_PNKD_HUMAN_.pdf</v>
      </c>
      <c r="AA2347" t="s">
        <v>15191</v>
      </c>
      <c r="AB2347" t="s">
        <v>19431</v>
      </c>
    </row>
    <row r="2348" spans="1:28" x14ac:dyDescent="0.25">
      <c r="A2348" t="s">
        <v>2352</v>
      </c>
      <c r="B2348">
        <v>0.99876560204751996</v>
      </c>
      <c r="C2348">
        <v>0.69139993257670496</v>
      </c>
      <c r="D2348">
        <v>0.68067159691847001</v>
      </c>
      <c r="E2348">
        <v>0.63396021942881797</v>
      </c>
      <c r="F2348">
        <v>0.58746119668085195</v>
      </c>
      <c r="G2348">
        <v>0.470980841537047</v>
      </c>
      <c r="H2348">
        <v>0.39877998362057399</v>
      </c>
      <c r="I2348">
        <v>0.31915708080552702</v>
      </c>
      <c r="J2348">
        <v>0.58898158112937304</v>
      </c>
      <c r="K2348">
        <v>0.38417625286932</v>
      </c>
      <c r="L2348">
        <v>450.35698232598003</v>
      </c>
      <c r="M2348">
        <v>9.7834349295813308</v>
      </c>
      <c r="N2348">
        <v>55.161679951056499</v>
      </c>
      <c r="O2348">
        <v>44.232954711261698</v>
      </c>
      <c r="P2348">
        <v>-3.3141162117293801E-2</v>
      </c>
      <c r="Q2348">
        <v>0.40096415268897601</v>
      </c>
      <c r="R2348">
        <v>0.78878033269748504</v>
      </c>
      <c r="S2348" t="s">
        <v>6644</v>
      </c>
      <c r="T2348" t="s">
        <v>8590</v>
      </c>
      <c r="U2348" t="s">
        <v>8590</v>
      </c>
      <c r="V2348" t="s">
        <v>8590</v>
      </c>
      <c r="W2348">
        <v>4</v>
      </c>
      <c r="X2348" t="s">
        <v>10938</v>
      </c>
      <c r="Y2348">
        <v>0.56014482839123425</v>
      </c>
      <c r="Z2348" t="str">
        <f>HYPERLINK("Melting_Curves/meltCurve_sp_Q8N4C8_4_MINK1_HUMAN_.pdf", "Melting_Curves/meltCurve_sp_Q8N4C8_4_MINK1_HUMAN_.pdf")</f>
        <v>Melting_Curves/meltCurve_sp_Q8N4C8_4_MINK1_HUMAN_.pdf</v>
      </c>
      <c r="AA2348" t="s">
        <v>15192</v>
      </c>
      <c r="AB2348" t="s">
        <v>19432</v>
      </c>
    </row>
    <row r="2349" spans="1:28" x14ac:dyDescent="0.25">
      <c r="A2349" t="s">
        <v>2353</v>
      </c>
      <c r="B2349">
        <v>0.99876560204751996</v>
      </c>
      <c r="C2349">
        <v>0.98983429204432605</v>
      </c>
      <c r="D2349">
        <v>0.97208906804634398</v>
      </c>
      <c r="E2349">
        <v>1.0190683156113101</v>
      </c>
      <c r="F2349">
        <v>0.51667351050230503</v>
      </c>
      <c r="G2349">
        <v>0.17160648874720699</v>
      </c>
      <c r="H2349">
        <v>0.12129757365315599</v>
      </c>
      <c r="I2349">
        <v>9.0619560649272901E-2</v>
      </c>
      <c r="J2349">
        <v>9.89174458938578E-2</v>
      </c>
      <c r="K2349">
        <v>9.1494424373609898E-2</v>
      </c>
      <c r="L2349">
        <v>13240.220295729099</v>
      </c>
      <c r="M2349">
        <v>250</v>
      </c>
      <c r="N2349">
        <v>53.016191708483497</v>
      </c>
      <c r="O2349">
        <v>52.957484799556497</v>
      </c>
      <c r="P2349">
        <v>-1.0447210518024801</v>
      </c>
      <c r="Q2349">
        <v>0.11478709225756401</v>
      </c>
      <c r="R2349">
        <v>0.99658628427243401</v>
      </c>
      <c r="S2349" t="s">
        <v>6645</v>
      </c>
      <c r="T2349" t="s">
        <v>8590</v>
      </c>
      <c r="U2349" t="s">
        <v>8590</v>
      </c>
      <c r="V2349" t="s">
        <v>8590</v>
      </c>
      <c r="W2349">
        <v>1</v>
      </c>
      <c r="X2349" t="s">
        <v>10939</v>
      </c>
      <c r="Y2349">
        <v>0.49730734612800831</v>
      </c>
      <c r="Z2349" t="str">
        <f>HYPERLINK("Melting_Curves/meltCurve_sp_Q8N4J0_CI041_HUMAN_.pdf", "Melting_Curves/meltCurve_sp_Q8N4J0_CI041_HUMAN_.pdf")</f>
        <v>Melting_Curves/meltCurve_sp_Q8N4J0_CI041_HUMAN_.pdf</v>
      </c>
      <c r="AA2349" t="s">
        <v>15193</v>
      </c>
      <c r="AB2349" t="s">
        <v>19433</v>
      </c>
    </row>
    <row r="2350" spans="1:28" x14ac:dyDescent="0.25">
      <c r="A2350" t="s">
        <v>2354</v>
      </c>
      <c r="B2350">
        <v>0.99876560204751996</v>
      </c>
      <c r="C2350">
        <v>0.876980137787986</v>
      </c>
      <c r="D2350">
        <v>0.94082940054356701</v>
      </c>
      <c r="E2350">
        <v>0.81363978061846698</v>
      </c>
      <c r="F2350">
        <v>0.72711357699147305</v>
      </c>
      <c r="G2350">
        <v>0.41166329207276797</v>
      </c>
      <c r="H2350">
        <v>0.19308439980112399</v>
      </c>
      <c r="I2350">
        <v>0.14303644800739099</v>
      </c>
      <c r="J2350">
        <v>0.15441027491485801</v>
      </c>
      <c r="K2350">
        <v>0.13615895139349901</v>
      </c>
      <c r="L2350">
        <v>898.44580897326205</v>
      </c>
      <c r="M2350">
        <v>16.3634262734987</v>
      </c>
      <c r="N2350">
        <v>55.5479565985882</v>
      </c>
      <c r="O2350">
        <v>54.105361549193098</v>
      </c>
      <c r="P2350">
        <v>-6.9097683752546005E-2</v>
      </c>
      <c r="Q2350">
        <v>8.6184836885723995E-2</v>
      </c>
      <c r="R2350">
        <v>0.982602008264852</v>
      </c>
      <c r="S2350" t="s">
        <v>6646</v>
      </c>
      <c r="T2350" t="s">
        <v>8590</v>
      </c>
      <c r="U2350" t="s">
        <v>8590</v>
      </c>
      <c r="V2350" t="s">
        <v>8590</v>
      </c>
      <c r="W2350">
        <v>8</v>
      </c>
      <c r="X2350" t="s">
        <v>10940</v>
      </c>
      <c r="Y2350">
        <v>0.55626953457625161</v>
      </c>
      <c r="Z2350" t="str">
        <f>HYPERLINK("Melting_Curves/meltCurve_sp_Q8N4P3_MESH1_HUMAN_.pdf", "Melting_Curves/meltCurve_sp_Q8N4P3_MESH1_HUMAN_.pdf")</f>
        <v>Melting_Curves/meltCurve_sp_Q8N4P3_MESH1_HUMAN_.pdf</v>
      </c>
      <c r="AA2350" t="s">
        <v>15194</v>
      </c>
      <c r="AB2350" t="s">
        <v>19434</v>
      </c>
    </row>
    <row r="2351" spans="1:28" x14ac:dyDescent="0.25">
      <c r="A2351" t="s">
        <v>2355</v>
      </c>
      <c r="B2351">
        <v>0.99876560204751996</v>
      </c>
      <c r="C2351">
        <v>0.82501372215956104</v>
      </c>
      <c r="D2351">
        <v>0.75730210794227504</v>
      </c>
      <c r="E2351">
        <v>0.437568897137396</v>
      </c>
      <c r="F2351">
        <v>0.211654625683285</v>
      </c>
      <c r="G2351">
        <v>0.14143095762027999</v>
      </c>
      <c r="H2351">
        <v>8.7070399036134699E-2</v>
      </c>
      <c r="I2351">
        <v>6.6731130211918802E-2</v>
      </c>
      <c r="J2351">
        <v>6.3352490211537493E-2</v>
      </c>
      <c r="K2351">
        <v>4.63923604004658E-2</v>
      </c>
      <c r="L2351">
        <v>756.33101406839296</v>
      </c>
      <c r="M2351">
        <v>15.5524128637561</v>
      </c>
      <c r="N2351">
        <v>48.914380106143298</v>
      </c>
      <c r="O2351">
        <v>47.848382912895303</v>
      </c>
      <c r="P2351">
        <v>-7.7766221536124197E-2</v>
      </c>
      <c r="Q2351">
        <v>4.3065475913013601E-2</v>
      </c>
      <c r="R2351">
        <v>0.992568600681488</v>
      </c>
      <c r="S2351" t="s">
        <v>6647</v>
      </c>
      <c r="T2351" t="s">
        <v>8590</v>
      </c>
      <c r="U2351" t="s">
        <v>8590</v>
      </c>
      <c r="V2351" t="s">
        <v>8590</v>
      </c>
      <c r="W2351">
        <v>10</v>
      </c>
      <c r="X2351" t="s">
        <v>10941</v>
      </c>
      <c r="Y2351">
        <v>0.34071928469789958</v>
      </c>
      <c r="Z2351" t="str">
        <f>HYPERLINK("Melting_Curves/meltCurve_sp_Q8N4Q0_ZADH2_HUMAN_.pdf", "Melting_Curves/meltCurve_sp_Q8N4Q0_ZADH2_HUMAN_.pdf")</f>
        <v>Melting_Curves/meltCurve_sp_Q8N4Q0_ZADH2_HUMAN_.pdf</v>
      </c>
      <c r="AA2351" t="s">
        <v>15195</v>
      </c>
      <c r="AB2351" t="s">
        <v>19435</v>
      </c>
    </row>
    <row r="2352" spans="1:28" x14ac:dyDescent="0.25">
      <c r="A2352" t="s">
        <v>2356</v>
      </c>
      <c r="B2352">
        <v>0.99876560204751996</v>
      </c>
      <c r="C2352">
        <v>1.1413343430860701</v>
      </c>
      <c r="D2352">
        <v>0.95515916612837504</v>
      </c>
      <c r="E2352">
        <v>1.0584800349861101</v>
      </c>
      <c r="F2352">
        <v>1.04279563652075</v>
      </c>
      <c r="G2352">
        <v>0.86211699863711699</v>
      </c>
      <c r="H2352">
        <v>0.85376159974111399</v>
      </c>
      <c r="I2352">
        <v>0.71554886815102103</v>
      </c>
      <c r="J2352">
        <v>0.843075244075011</v>
      </c>
      <c r="K2352">
        <v>0.76010279235754497</v>
      </c>
      <c r="L2352">
        <v>6833.7586937507504</v>
      </c>
      <c r="M2352">
        <v>120.580355240836</v>
      </c>
      <c r="O2352">
        <v>56.658313141556803</v>
      </c>
      <c r="P2352">
        <v>-0.110083754076234</v>
      </c>
      <c r="Q2352">
        <v>0.79309533022636403</v>
      </c>
      <c r="R2352">
        <v>0.76389130431431995</v>
      </c>
      <c r="S2352" t="s">
        <v>6648</v>
      </c>
      <c r="T2352" t="s">
        <v>8590</v>
      </c>
      <c r="U2352" t="s">
        <v>8590</v>
      </c>
      <c r="V2352" t="s">
        <v>8590</v>
      </c>
      <c r="W2352">
        <v>2</v>
      </c>
      <c r="X2352" t="s">
        <v>10942</v>
      </c>
      <c r="Y2352">
        <v>0.90818076479333409</v>
      </c>
      <c r="Z2352" t="str">
        <f>HYPERLINK("Melting_Curves/meltCurve_sp_Q8N4Q1_MIA40_HUMAN_.pdf", "Melting_Curves/meltCurve_sp_Q8N4Q1_MIA40_HUMAN_.pdf")</f>
        <v>Melting_Curves/meltCurve_sp_Q8N4Q1_MIA40_HUMAN_.pdf</v>
      </c>
      <c r="AA2352" t="s">
        <v>15196</v>
      </c>
      <c r="AB2352" t="s">
        <v>19436</v>
      </c>
    </row>
    <row r="2353" spans="1:28" x14ac:dyDescent="0.25">
      <c r="A2353" t="s">
        <v>2357</v>
      </c>
      <c r="B2353">
        <v>0.99876560204751996</v>
      </c>
      <c r="C2353">
        <v>1.0084990737383901</v>
      </c>
      <c r="D2353">
        <v>0.937637058013292</v>
      </c>
      <c r="E2353">
        <v>0.97373824939394404</v>
      </c>
      <c r="F2353">
        <v>0.89439098167323505</v>
      </c>
      <c r="G2353">
        <v>0.78185663043044096</v>
      </c>
      <c r="H2353">
        <v>0.62499993257431896</v>
      </c>
      <c r="I2353">
        <v>0.61298407262538301</v>
      </c>
      <c r="J2353">
        <v>0.58738392364349001</v>
      </c>
      <c r="K2353">
        <v>0.42186364390964298</v>
      </c>
      <c r="L2353">
        <v>592.00668810968398</v>
      </c>
      <c r="M2353">
        <v>9.4996286222662292</v>
      </c>
      <c r="N2353">
        <v>68.112391426651598</v>
      </c>
      <c r="O2353">
        <v>59.744791341308598</v>
      </c>
      <c r="P2353">
        <v>-2.87517689917147E-2</v>
      </c>
      <c r="Q2353">
        <v>0.27712838990504401</v>
      </c>
      <c r="R2353">
        <v>0.96860953178136999</v>
      </c>
      <c r="S2353" t="s">
        <v>6649</v>
      </c>
      <c r="T2353" t="s">
        <v>8590</v>
      </c>
      <c r="U2353" t="s">
        <v>8590</v>
      </c>
      <c r="V2353" t="s">
        <v>8590</v>
      </c>
      <c r="W2353">
        <v>15</v>
      </c>
      <c r="X2353" t="s">
        <v>10943</v>
      </c>
      <c r="Y2353">
        <v>0.79489574530522766</v>
      </c>
      <c r="Z2353" t="str">
        <f>HYPERLINK("Melting_Curves/meltCurve_sp_Q8N4T8_CBR4_HUMAN_.pdf", "Melting_Curves/meltCurve_sp_Q8N4T8_CBR4_HUMAN_.pdf")</f>
        <v>Melting_Curves/meltCurve_sp_Q8N4T8_CBR4_HUMAN_.pdf</v>
      </c>
      <c r="AA2353" t="s">
        <v>15197</v>
      </c>
      <c r="AB2353" t="s">
        <v>19437</v>
      </c>
    </row>
    <row r="2354" spans="1:28" x14ac:dyDescent="0.25">
      <c r="A2354" t="s">
        <v>2358</v>
      </c>
      <c r="B2354">
        <v>0.99876560204751996</v>
      </c>
      <c r="C2354">
        <v>0.98969583247674298</v>
      </c>
      <c r="D2354">
        <v>1.0467015854383801</v>
      </c>
      <c r="E2354">
        <v>0.95081254961867501</v>
      </c>
      <c r="F2354">
        <v>0.93096071865742402</v>
      </c>
      <c r="G2354">
        <v>0.708866612346848</v>
      </c>
      <c r="H2354">
        <v>0.55081849511998304</v>
      </c>
      <c r="I2354">
        <v>0.43214119488582903</v>
      </c>
      <c r="J2354">
        <v>0.52230295142052596</v>
      </c>
      <c r="K2354">
        <v>0.399643643456776</v>
      </c>
      <c r="L2354">
        <v>1314.6217482270099</v>
      </c>
      <c r="M2354">
        <v>23.057804552679102</v>
      </c>
      <c r="N2354">
        <v>62.438088229095797</v>
      </c>
      <c r="O2354">
        <v>56.590548841393598</v>
      </c>
      <c r="P2354">
        <v>-5.7804453555183599E-2</v>
      </c>
      <c r="Q2354">
        <v>0.43253505052935998</v>
      </c>
      <c r="R2354">
        <v>0.97910998453700004</v>
      </c>
      <c r="S2354" t="s">
        <v>6650</v>
      </c>
      <c r="T2354" t="s">
        <v>8590</v>
      </c>
      <c r="U2354" t="s">
        <v>8590</v>
      </c>
      <c r="V2354" t="s">
        <v>8590</v>
      </c>
      <c r="W2354">
        <v>9</v>
      </c>
      <c r="X2354" t="s">
        <v>10944</v>
      </c>
      <c r="Y2354">
        <v>0.76012904470639364</v>
      </c>
      <c r="Z2354" t="str">
        <f>HYPERLINK("Melting_Curves/meltCurve_sp_Q8N573_8_OXR1_HUMAN_.pdf", "Melting_Curves/meltCurve_sp_Q8N573_8_OXR1_HUMAN_.pdf")</f>
        <v>Melting_Curves/meltCurve_sp_Q8N573_8_OXR1_HUMAN_.pdf</v>
      </c>
      <c r="AA2354" t="s">
        <v>15198</v>
      </c>
      <c r="AB2354" t="s">
        <v>19438</v>
      </c>
    </row>
    <row r="2355" spans="1:28" x14ac:dyDescent="0.25">
      <c r="A2355" t="s">
        <v>2359</v>
      </c>
      <c r="B2355">
        <v>0.99876560204751996</v>
      </c>
      <c r="C2355">
        <v>0.96227028296265404</v>
      </c>
      <c r="D2355">
        <v>0.97335560153562795</v>
      </c>
      <c r="E2355">
        <v>0.93502656126027295</v>
      </c>
      <c r="F2355">
        <v>1.03142633580827</v>
      </c>
      <c r="G2355">
        <v>0.80478940386970199</v>
      </c>
      <c r="H2355">
        <v>0.44832210609533002</v>
      </c>
      <c r="I2355">
        <v>0.22793390535543001</v>
      </c>
      <c r="J2355">
        <v>0.16784775456435699</v>
      </c>
      <c r="K2355">
        <v>0.115627837117947</v>
      </c>
      <c r="L2355">
        <v>1650.6560798474</v>
      </c>
      <c r="M2355">
        <v>27.582988365718599</v>
      </c>
      <c r="N2355">
        <v>60.382097812676299</v>
      </c>
      <c r="O2355">
        <v>59.531369963144797</v>
      </c>
      <c r="P2355">
        <v>-0.103197927654629</v>
      </c>
      <c r="Q2355">
        <v>0.10909463422978199</v>
      </c>
      <c r="R2355">
        <v>0.99261876146493</v>
      </c>
      <c r="S2355" t="s">
        <v>6651</v>
      </c>
      <c r="T2355" t="s">
        <v>8590</v>
      </c>
      <c r="U2355" t="s">
        <v>8590</v>
      </c>
      <c r="V2355" t="s">
        <v>8590</v>
      </c>
      <c r="W2355">
        <v>6</v>
      </c>
      <c r="X2355" t="s">
        <v>10945</v>
      </c>
      <c r="Y2355">
        <v>0.70445369155293436</v>
      </c>
      <c r="Z2355" t="str">
        <f>HYPERLINK("Melting_Curves/meltCurve_sp_Q8N584_TT39C_HUMAN_.pdf", "Melting_Curves/meltCurve_sp_Q8N584_TT39C_HUMAN_.pdf")</f>
        <v>Melting_Curves/meltCurve_sp_Q8N584_TT39C_HUMAN_.pdf</v>
      </c>
      <c r="AA2355" t="s">
        <v>15199</v>
      </c>
      <c r="AB2355" t="s">
        <v>19439</v>
      </c>
    </row>
    <row r="2356" spans="1:28" x14ac:dyDescent="0.25">
      <c r="A2356" t="s">
        <v>2360</v>
      </c>
      <c r="B2356">
        <v>0.99876560204751996</v>
      </c>
      <c r="C2356">
        <v>0.99460524461719702</v>
      </c>
      <c r="D2356">
        <v>0.90682063037858096</v>
      </c>
      <c r="E2356">
        <v>0.82727085425519897</v>
      </c>
      <c r="F2356">
        <v>0.78531143967956296</v>
      </c>
      <c r="G2356">
        <v>0.59894209182786096</v>
      </c>
      <c r="H2356">
        <v>0.43785631809192699</v>
      </c>
      <c r="I2356">
        <v>0.476608951168706</v>
      </c>
      <c r="J2356">
        <v>0.66220852590060397</v>
      </c>
      <c r="K2356">
        <v>0.59497135573910997</v>
      </c>
      <c r="L2356">
        <v>974.29933203927601</v>
      </c>
      <c r="M2356">
        <v>18.812438709358901</v>
      </c>
      <c r="O2356">
        <v>51.215607005875498</v>
      </c>
      <c r="P2356">
        <v>-4.2421727394113602E-2</v>
      </c>
      <c r="Q2356">
        <v>0.53805787964267704</v>
      </c>
      <c r="R2356">
        <v>0.87888866509020402</v>
      </c>
      <c r="S2356" t="s">
        <v>6652</v>
      </c>
      <c r="T2356" t="s">
        <v>8590</v>
      </c>
      <c r="U2356" t="s">
        <v>8590</v>
      </c>
      <c r="V2356" t="s">
        <v>8590</v>
      </c>
      <c r="W2356">
        <v>5</v>
      </c>
      <c r="X2356" t="s">
        <v>10946</v>
      </c>
      <c r="Y2356">
        <v>0.72674092929149059</v>
      </c>
      <c r="Z2356" t="str">
        <f>HYPERLINK("Melting_Curves/meltCurve_sp_Q8N5G2_MACOI_HUMAN_.pdf", "Melting_Curves/meltCurve_sp_Q8N5G2_MACOI_HUMAN_.pdf")</f>
        <v>Melting_Curves/meltCurve_sp_Q8N5G2_MACOI_HUMAN_.pdf</v>
      </c>
      <c r="AA2356" t="s">
        <v>15200</v>
      </c>
      <c r="AB2356" t="s">
        <v>19440</v>
      </c>
    </row>
    <row r="2357" spans="1:28" x14ac:dyDescent="0.25">
      <c r="A2357" t="s">
        <v>2361</v>
      </c>
      <c r="B2357">
        <v>0.99876560204751996</v>
      </c>
      <c r="C2357">
        <v>0.89067784009185302</v>
      </c>
      <c r="D2357">
        <v>0.91733689052350198</v>
      </c>
      <c r="E2357">
        <v>0.68578843909182097</v>
      </c>
      <c r="F2357">
        <v>0.28488334244687602</v>
      </c>
      <c r="G2357">
        <v>0.100818477343963</v>
      </c>
      <c r="H2357">
        <v>7.2570648581279595E-2</v>
      </c>
      <c r="I2357">
        <v>4.27297757456492E-2</v>
      </c>
      <c r="J2357">
        <v>6.7399108675194594E-2</v>
      </c>
      <c r="K2357">
        <v>4.8219681664316401E-2</v>
      </c>
      <c r="L2357">
        <v>1382.6721744521401</v>
      </c>
      <c r="M2357">
        <v>27.083999535703601</v>
      </c>
      <c r="N2357">
        <v>51.253511975730902</v>
      </c>
      <c r="O2357">
        <v>50.775377752116597</v>
      </c>
      <c r="P2357">
        <v>-0.12659472035214001</v>
      </c>
      <c r="Q2357">
        <v>5.0682038704914903E-2</v>
      </c>
      <c r="R2357">
        <v>0.99083348342980604</v>
      </c>
      <c r="S2357" t="s">
        <v>6653</v>
      </c>
      <c r="T2357" t="s">
        <v>8590</v>
      </c>
      <c r="U2357" t="s">
        <v>8590</v>
      </c>
      <c r="V2357" t="s">
        <v>8590</v>
      </c>
      <c r="W2357">
        <v>3</v>
      </c>
      <c r="X2357" t="s">
        <v>10947</v>
      </c>
      <c r="Y2357">
        <v>0.4077124438644269</v>
      </c>
      <c r="Z2357" t="str">
        <f>HYPERLINK("Melting_Curves/meltCurve_sp_Q8N5J2_FA63A_HUMAN_.pdf", "Melting_Curves/meltCurve_sp_Q8N5J2_FA63A_HUMAN_.pdf")</f>
        <v>Melting_Curves/meltCurve_sp_Q8N5J2_FA63A_HUMAN_.pdf</v>
      </c>
      <c r="AA2357" t="s">
        <v>15201</v>
      </c>
      <c r="AB2357" t="s">
        <v>19441</v>
      </c>
    </row>
    <row r="2358" spans="1:28" x14ac:dyDescent="0.25">
      <c r="A2358" t="s">
        <v>2362</v>
      </c>
      <c r="B2358">
        <v>0.99876560204751996</v>
      </c>
      <c r="C2358">
        <v>1.02627503660274</v>
      </c>
      <c r="D2358">
        <v>1.0434256386740799</v>
      </c>
      <c r="E2358">
        <v>0.95683870541119498</v>
      </c>
      <c r="F2358">
        <v>0.737795628891319</v>
      </c>
      <c r="G2358">
        <v>0.52522506857761098</v>
      </c>
      <c r="H2358">
        <v>0.31209217467333</v>
      </c>
      <c r="I2358">
        <v>0.21447107971318699</v>
      </c>
      <c r="J2358">
        <v>0.243931160492211</v>
      </c>
      <c r="K2358">
        <v>0.17333206785560801</v>
      </c>
      <c r="L2358">
        <v>1095.8996603363501</v>
      </c>
      <c r="M2358">
        <v>19.6530803451286</v>
      </c>
      <c r="N2358">
        <v>57.050138713167598</v>
      </c>
      <c r="O2358">
        <v>55.194539702726402</v>
      </c>
      <c r="P2358">
        <v>-7.3071487794759707E-2</v>
      </c>
      <c r="Q2358">
        <v>0.17916066453019</v>
      </c>
      <c r="R2358">
        <v>0.99184633521450905</v>
      </c>
      <c r="S2358" t="s">
        <v>6654</v>
      </c>
      <c r="T2358" t="s">
        <v>8590</v>
      </c>
      <c r="U2358" t="s">
        <v>8590</v>
      </c>
      <c r="V2358" t="s">
        <v>8590</v>
      </c>
      <c r="W2358">
        <v>1</v>
      </c>
      <c r="X2358" t="s">
        <v>10948</v>
      </c>
      <c r="Y2358">
        <v>0.62136900964559094</v>
      </c>
      <c r="Z2358" t="str">
        <f>HYPERLINK("Melting_Curves/meltCurve_sp_Q8N5L8_RP25L_HUMAN_.pdf", "Melting_Curves/meltCurve_sp_Q8N5L8_RP25L_HUMAN_.pdf")</f>
        <v>Melting_Curves/meltCurve_sp_Q8N5L8_RP25L_HUMAN_.pdf</v>
      </c>
      <c r="AA2358" t="s">
        <v>15202</v>
      </c>
      <c r="AB2358" t="s">
        <v>19442</v>
      </c>
    </row>
    <row r="2359" spans="1:28" x14ac:dyDescent="0.25">
      <c r="A2359" t="s">
        <v>2363</v>
      </c>
      <c r="B2359">
        <v>0.99876560204751996</v>
      </c>
      <c r="C2359">
        <v>1.0019223650425499</v>
      </c>
      <c r="D2359">
        <v>1.0121862998026401</v>
      </c>
      <c r="E2359">
        <v>0.97612810416830098</v>
      </c>
      <c r="F2359">
        <v>0.95019773556004605</v>
      </c>
      <c r="G2359">
        <v>0.78906285753048699</v>
      </c>
      <c r="H2359">
        <v>0.48189553974024801</v>
      </c>
      <c r="I2359">
        <v>0.17996362709792099</v>
      </c>
      <c r="J2359">
        <v>7.2045994088090995E-2</v>
      </c>
      <c r="K2359">
        <v>7.0444790443989394E-2</v>
      </c>
      <c r="L2359">
        <v>1426.2139366582901</v>
      </c>
      <c r="M2359">
        <v>23.610641388784298</v>
      </c>
      <c r="N2359">
        <v>60.425306980101801</v>
      </c>
      <c r="O2359">
        <v>59.977238897813699</v>
      </c>
      <c r="P2359">
        <v>-9.8037951306291102E-2</v>
      </c>
      <c r="Q2359">
        <v>3.8481076895524099E-3</v>
      </c>
      <c r="R2359">
        <v>0.99695236123103703</v>
      </c>
      <c r="S2359" t="s">
        <v>6655</v>
      </c>
      <c r="T2359" t="s">
        <v>8590</v>
      </c>
      <c r="U2359" t="s">
        <v>8590</v>
      </c>
      <c r="V2359" t="s">
        <v>8590</v>
      </c>
      <c r="W2359">
        <v>7</v>
      </c>
      <c r="X2359" t="s">
        <v>10949</v>
      </c>
      <c r="Y2359">
        <v>0.68864806482168595</v>
      </c>
      <c r="Z2359" t="str">
        <f>HYPERLINK("Melting_Curves/meltCurve_sp_Q8N5M1_ATPF2_HUMAN_.pdf", "Melting_Curves/meltCurve_sp_Q8N5M1_ATPF2_HUMAN_.pdf")</f>
        <v>Melting_Curves/meltCurve_sp_Q8N5M1_ATPF2_HUMAN_.pdf</v>
      </c>
      <c r="AA2359" t="s">
        <v>15203</v>
      </c>
      <c r="AB2359" t="s">
        <v>19443</v>
      </c>
    </row>
    <row r="2360" spans="1:28" x14ac:dyDescent="0.25">
      <c r="A2360" t="s">
        <v>2364</v>
      </c>
      <c r="B2360">
        <v>0.99876560204751996</v>
      </c>
      <c r="C2360">
        <v>1.04951291724322</v>
      </c>
      <c r="D2360">
        <v>0.90561041072238102</v>
      </c>
      <c r="E2360">
        <v>0.82490567406127502</v>
      </c>
      <c r="F2360">
        <v>0.70441807821509295</v>
      </c>
      <c r="G2360">
        <v>0.35118085199857202</v>
      </c>
      <c r="H2360">
        <v>0.42769664390574702</v>
      </c>
      <c r="I2360">
        <v>0.36897925297975998</v>
      </c>
      <c r="J2360">
        <v>0.41205119248892602</v>
      </c>
      <c r="K2360">
        <v>0.28647136680982099</v>
      </c>
      <c r="L2360">
        <v>1162.65920923675</v>
      </c>
      <c r="M2360">
        <v>22.117356548433399</v>
      </c>
      <c r="N2360">
        <v>55.543406670865899</v>
      </c>
      <c r="O2360">
        <v>52.143650883363797</v>
      </c>
      <c r="P2360">
        <v>-6.9233867330303803E-2</v>
      </c>
      <c r="Q2360">
        <v>0.34711407428652502</v>
      </c>
      <c r="R2360">
        <v>0.96083049245123997</v>
      </c>
      <c r="S2360" t="s">
        <v>6656</v>
      </c>
      <c r="T2360" t="s">
        <v>8590</v>
      </c>
      <c r="U2360" t="s">
        <v>8590</v>
      </c>
      <c r="V2360" t="s">
        <v>8590</v>
      </c>
      <c r="W2360">
        <v>2</v>
      </c>
      <c r="X2360" t="s">
        <v>10950</v>
      </c>
      <c r="Y2360">
        <v>0.62815105213449252</v>
      </c>
      <c r="Z2360" t="str">
        <f>HYPERLINK("Melting_Curves/meltCurve_sp_Q8N5N7_RM50_HUMAN_.pdf", "Melting_Curves/meltCurve_sp_Q8N5N7_RM50_HUMAN_.pdf")</f>
        <v>Melting_Curves/meltCurve_sp_Q8N5N7_RM50_HUMAN_.pdf</v>
      </c>
      <c r="AA2360" t="s">
        <v>15204</v>
      </c>
      <c r="AB2360" t="s">
        <v>19444</v>
      </c>
    </row>
    <row r="2361" spans="1:28" x14ac:dyDescent="0.25">
      <c r="A2361" t="s">
        <v>2365</v>
      </c>
      <c r="B2361">
        <v>0.99876560204751996</v>
      </c>
      <c r="C2361">
        <v>0.89906673841768103</v>
      </c>
      <c r="D2361">
        <v>1.0201835667183501</v>
      </c>
      <c r="E2361">
        <v>0.92592004040624099</v>
      </c>
      <c r="F2361">
        <v>1.0399446197275699</v>
      </c>
      <c r="G2361">
        <v>0.76611841888552101</v>
      </c>
      <c r="H2361">
        <v>0.82252915068874399</v>
      </c>
      <c r="I2361">
        <v>0.92582180569536798</v>
      </c>
      <c r="J2361">
        <v>1.3173953368836699</v>
      </c>
      <c r="K2361">
        <v>0.98261733043251598</v>
      </c>
      <c r="L2361">
        <v>1891.23927169679</v>
      </c>
      <c r="M2361">
        <v>28.759276562403301</v>
      </c>
      <c r="O2361">
        <v>65.4455258225601</v>
      </c>
      <c r="P2361">
        <v>1.26429875754743E-2</v>
      </c>
      <c r="Q2361">
        <v>1.1150822499426301</v>
      </c>
      <c r="R2361">
        <v>3.66938363628476E-2</v>
      </c>
      <c r="S2361" t="s">
        <v>6657</v>
      </c>
      <c r="T2361" t="s">
        <v>8590</v>
      </c>
      <c r="U2361" t="s">
        <v>8590</v>
      </c>
      <c r="V2361" t="s">
        <v>8590</v>
      </c>
      <c r="W2361">
        <v>2</v>
      </c>
      <c r="X2361" t="s">
        <v>10951</v>
      </c>
      <c r="Y2361">
        <v>1.0169854034760599</v>
      </c>
      <c r="Z2361" t="str">
        <f>HYPERLINK("Melting_Curves/meltCurve_sp_Q8N5P1_ZC3H8_HUMAN_.pdf", "Melting_Curves/meltCurve_sp_Q8N5P1_ZC3H8_HUMAN_.pdf")</f>
        <v>Melting_Curves/meltCurve_sp_Q8N5P1_ZC3H8_HUMAN_.pdf</v>
      </c>
      <c r="AA2361" t="s">
        <v>15205</v>
      </c>
      <c r="AB2361" t="s">
        <v>19445</v>
      </c>
    </row>
    <row r="2362" spans="1:28" x14ac:dyDescent="0.25">
      <c r="A2362" t="s">
        <v>2366</v>
      </c>
      <c r="B2362">
        <v>0.99876560204751996</v>
      </c>
      <c r="C2362">
        <v>0.96201203210984398</v>
      </c>
      <c r="D2362">
        <v>0.8452017546924</v>
      </c>
      <c r="E2362">
        <v>0.76472549324677397</v>
      </c>
      <c r="F2362">
        <v>0.590737107424952</v>
      </c>
      <c r="G2362">
        <v>0.38824326445961499</v>
      </c>
      <c r="H2362">
        <v>0.33067164607909899</v>
      </c>
      <c r="I2362">
        <v>0.35687007293955098</v>
      </c>
      <c r="J2362">
        <v>0.45121391089704899</v>
      </c>
      <c r="K2362">
        <v>0.34543693552163302</v>
      </c>
      <c r="L2362">
        <v>855.91517618679097</v>
      </c>
      <c r="M2362">
        <v>16.827885806735399</v>
      </c>
      <c r="N2362">
        <v>54.736039918299497</v>
      </c>
      <c r="O2362">
        <v>50.160916151498803</v>
      </c>
      <c r="P2362">
        <v>-5.4686219036870397E-2</v>
      </c>
      <c r="Q2362">
        <v>0.348002618326543</v>
      </c>
      <c r="R2362">
        <v>0.96786087031595303</v>
      </c>
      <c r="S2362" t="s">
        <v>6658</v>
      </c>
      <c r="T2362" t="s">
        <v>8590</v>
      </c>
      <c r="U2362" t="s">
        <v>8590</v>
      </c>
      <c r="V2362" t="s">
        <v>8590</v>
      </c>
      <c r="W2362">
        <v>5</v>
      </c>
      <c r="X2362" t="s">
        <v>10952</v>
      </c>
      <c r="Y2362">
        <v>0.5965035805525607</v>
      </c>
      <c r="Z2362" t="str">
        <f>HYPERLINK("Melting_Curves/meltCurve_sp_Q8N5V2_NGEF_HUMAN_.pdf", "Melting_Curves/meltCurve_sp_Q8N5V2_NGEF_HUMAN_.pdf")</f>
        <v>Melting_Curves/meltCurve_sp_Q8N5V2_NGEF_HUMAN_.pdf</v>
      </c>
      <c r="AA2362" t="s">
        <v>15206</v>
      </c>
      <c r="AB2362" t="s">
        <v>19446</v>
      </c>
    </row>
    <row r="2363" spans="1:28" x14ac:dyDescent="0.25">
      <c r="A2363" t="s">
        <v>2367</v>
      </c>
      <c r="B2363">
        <v>0.99876560204751996</v>
      </c>
      <c r="C2363">
        <v>1.00006165208866</v>
      </c>
      <c r="D2363">
        <v>0.93139767506735605</v>
      </c>
      <c r="E2363">
        <v>0.94091583177844496</v>
      </c>
      <c r="F2363">
        <v>0.67346448702717598</v>
      </c>
      <c r="G2363">
        <v>0.32917537820568699</v>
      </c>
      <c r="H2363">
        <v>0.21819076853618999</v>
      </c>
      <c r="I2363">
        <v>0.187379087381602</v>
      </c>
      <c r="J2363">
        <v>0.16346136944280501</v>
      </c>
      <c r="K2363">
        <v>0.12832431190989901</v>
      </c>
      <c r="L2363">
        <v>1392.36333624853</v>
      </c>
      <c r="M2363">
        <v>25.747639056304099</v>
      </c>
      <c r="N2363">
        <v>54.874448546672703</v>
      </c>
      <c r="O2363">
        <v>53.754277597926801</v>
      </c>
      <c r="P2363">
        <v>-0.101065407776756</v>
      </c>
      <c r="Q2363">
        <v>0.15601847156277801</v>
      </c>
      <c r="R2363">
        <v>0.99524555215462696</v>
      </c>
      <c r="S2363" t="s">
        <v>6659</v>
      </c>
      <c r="T2363" t="s">
        <v>8590</v>
      </c>
      <c r="U2363" t="s">
        <v>8590</v>
      </c>
      <c r="V2363" t="s">
        <v>8590</v>
      </c>
      <c r="W2363">
        <v>16</v>
      </c>
      <c r="X2363" t="s">
        <v>10953</v>
      </c>
      <c r="Y2363">
        <v>0.559453796683687</v>
      </c>
      <c r="Z2363" t="str">
        <f>HYPERLINK("Melting_Curves/meltCurve_sp_Q8N5Z0_AADAT_HUMAN_.pdf", "Melting_Curves/meltCurve_sp_Q8N5Z0_AADAT_HUMAN_.pdf")</f>
        <v>Melting_Curves/meltCurve_sp_Q8N5Z0_AADAT_HUMAN_.pdf</v>
      </c>
      <c r="AA2363" t="s">
        <v>15207</v>
      </c>
      <c r="AB2363" t="s">
        <v>19447</v>
      </c>
    </row>
    <row r="2364" spans="1:28" x14ac:dyDescent="0.25">
      <c r="A2364" t="s">
        <v>2368</v>
      </c>
      <c r="B2364">
        <v>0.99876560204751996</v>
      </c>
      <c r="C2364">
        <v>1.03530381004585</v>
      </c>
      <c r="D2364">
        <v>0.902889819529756</v>
      </c>
      <c r="E2364">
        <v>0.66983236328986895</v>
      </c>
      <c r="F2364">
        <v>0.36969700032497099</v>
      </c>
      <c r="G2364">
        <v>0.18979078252190601</v>
      </c>
      <c r="H2364">
        <v>0.12783954724003199</v>
      </c>
      <c r="I2364">
        <v>0.114201274014804</v>
      </c>
      <c r="J2364">
        <v>0.121823211177976</v>
      </c>
      <c r="K2364">
        <v>9.7941588006743602E-2</v>
      </c>
      <c r="L2364">
        <v>1146.4226124716999</v>
      </c>
      <c r="M2364">
        <v>22.452659843236901</v>
      </c>
      <c r="N2364">
        <v>51.608529244436099</v>
      </c>
      <c r="O2364">
        <v>50.659672098003398</v>
      </c>
      <c r="P2364">
        <v>-9.9033124525523805E-2</v>
      </c>
      <c r="Q2364">
        <v>0.106229057277949</v>
      </c>
      <c r="R2364">
        <v>0.99751519023962398</v>
      </c>
      <c r="S2364" t="s">
        <v>6660</v>
      </c>
      <c r="T2364" t="s">
        <v>8590</v>
      </c>
      <c r="U2364" t="s">
        <v>8590</v>
      </c>
      <c r="V2364" t="s">
        <v>8590</v>
      </c>
      <c r="W2364">
        <v>7</v>
      </c>
      <c r="X2364" t="s">
        <v>10954</v>
      </c>
      <c r="Y2364">
        <v>0.44567873624975862</v>
      </c>
      <c r="Z2364" t="str">
        <f>HYPERLINK("Melting_Curves/meltCurve_sp_Q8N612_F16A2_HUMAN_.pdf", "Melting_Curves/meltCurve_sp_Q8N612_F16A2_HUMAN_.pdf")</f>
        <v>Melting_Curves/meltCurve_sp_Q8N612_F16A2_HUMAN_.pdf</v>
      </c>
      <c r="AA2364" t="s">
        <v>15208</v>
      </c>
      <c r="AB2364" t="s">
        <v>19448</v>
      </c>
    </row>
    <row r="2365" spans="1:28" x14ac:dyDescent="0.25">
      <c r="A2365" t="s">
        <v>2369</v>
      </c>
      <c r="B2365">
        <v>0.99876560204751996</v>
      </c>
      <c r="C2365">
        <v>0.97663098978127505</v>
      </c>
      <c r="D2365">
        <v>0.95782566057384</v>
      </c>
      <c r="E2365">
        <v>0.81043494499165303</v>
      </c>
      <c r="F2365">
        <v>0.75601783464171501</v>
      </c>
      <c r="G2365">
        <v>0.59500545058934995</v>
      </c>
      <c r="H2365">
        <v>0.47472600983305202</v>
      </c>
      <c r="I2365">
        <v>0.48751685106166998</v>
      </c>
      <c r="J2365">
        <v>0.57893157392500805</v>
      </c>
      <c r="K2365">
        <v>0.54752867365494595</v>
      </c>
      <c r="L2365">
        <v>952.81458996738604</v>
      </c>
      <c r="M2365">
        <v>18.345089532449101</v>
      </c>
      <c r="O2365">
        <v>51.333037860436498</v>
      </c>
      <c r="P2365">
        <v>-4.34788384732522E-2</v>
      </c>
      <c r="Q2365">
        <v>0.51337415211088799</v>
      </c>
      <c r="R2365">
        <v>0.965209833784202</v>
      </c>
      <c r="S2365" t="s">
        <v>6661</v>
      </c>
      <c r="T2365" t="s">
        <v>8590</v>
      </c>
      <c r="U2365" t="s">
        <v>8590</v>
      </c>
      <c r="V2365" t="s">
        <v>8590</v>
      </c>
      <c r="W2365">
        <v>9</v>
      </c>
      <c r="X2365" t="s">
        <v>10955</v>
      </c>
      <c r="Y2365">
        <v>0.71486951177635261</v>
      </c>
      <c r="Z2365" t="str">
        <f>HYPERLINK("Melting_Curves/meltCurve_sp_Q8N684_2_CPSF7_HUMAN_.pdf", "Melting_Curves/meltCurve_sp_Q8N684_2_CPSF7_HUMAN_.pdf")</f>
        <v>Melting_Curves/meltCurve_sp_Q8N684_2_CPSF7_HUMAN_.pdf</v>
      </c>
      <c r="AA2365" t="s">
        <v>15209</v>
      </c>
      <c r="AB2365" t="s">
        <v>19449</v>
      </c>
    </row>
    <row r="2366" spans="1:28" x14ac:dyDescent="0.25">
      <c r="A2366" t="s">
        <v>2370</v>
      </c>
      <c r="B2366">
        <v>0.99876560204751996</v>
      </c>
      <c r="C2366">
        <v>0.93462194661822595</v>
      </c>
      <c r="D2366">
        <v>0.960220796676998</v>
      </c>
      <c r="E2366">
        <v>0.85870747946988502</v>
      </c>
      <c r="F2366">
        <v>0.826112054176799</v>
      </c>
      <c r="G2366">
        <v>0.57914532529190199</v>
      </c>
      <c r="H2366">
        <v>0.490641949055454</v>
      </c>
      <c r="I2366">
        <v>0.48470502515820202</v>
      </c>
      <c r="J2366">
        <v>0.57063747209231197</v>
      </c>
      <c r="K2366">
        <v>0.58165929326967603</v>
      </c>
      <c r="L2366">
        <v>1208.95881936569</v>
      </c>
      <c r="M2366">
        <v>22.773029466640001</v>
      </c>
      <c r="O2366">
        <v>52.683046078402697</v>
      </c>
      <c r="P2366">
        <v>-5.1623737526001898E-2</v>
      </c>
      <c r="Q2366">
        <v>0.52230469645593203</v>
      </c>
      <c r="R2366">
        <v>0.94278281167345601</v>
      </c>
      <c r="S2366" t="s">
        <v>6662</v>
      </c>
      <c r="T2366" t="s">
        <v>8590</v>
      </c>
      <c r="U2366" t="s">
        <v>8590</v>
      </c>
      <c r="V2366" t="s">
        <v>8590</v>
      </c>
      <c r="W2366">
        <v>14</v>
      </c>
      <c r="X2366" t="s">
        <v>10956</v>
      </c>
      <c r="Y2366">
        <v>0.73592254218349806</v>
      </c>
      <c r="Z2366" t="str">
        <f>HYPERLINK("Melting_Curves/meltCurve_sp_Q8N6H7_ARFG2_HUMAN_.pdf", "Melting_Curves/meltCurve_sp_Q8N6H7_ARFG2_HUMAN_.pdf")</f>
        <v>Melting_Curves/meltCurve_sp_Q8N6H7_ARFG2_HUMAN_.pdf</v>
      </c>
      <c r="AA2366" t="s">
        <v>15210</v>
      </c>
      <c r="AB2366" t="s">
        <v>19450</v>
      </c>
    </row>
    <row r="2367" spans="1:28" x14ac:dyDescent="0.25">
      <c r="A2367" t="s">
        <v>2371</v>
      </c>
      <c r="B2367">
        <v>0.99876560204751996</v>
      </c>
      <c r="C2367">
        <v>0.90388071028424</v>
      </c>
      <c r="D2367">
        <v>0.6635063899218</v>
      </c>
      <c r="E2367">
        <v>0.89715300192314695</v>
      </c>
      <c r="F2367">
        <v>0.69179277439390197</v>
      </c>
      <c r="G2367">
        <v>0.39367317070414198</v>
      </c>
      <c r="H2367">
        <v>0.26605182993277199</v>
      </c>
      <c r="I2367">
        <v>0.241634279538359</v>
      </c>
      <c r="J2367">
        <v>0.317954492324166</v>
      </c>
      <c r="K2367">
        <v>0.27681653730164901</v>
      </c>
      <c r="L2367">
        <v>530.86824240433305</v>
      </c>
      <c r="M2367">
        <v>9.8572665229092795</v>
      </c>
      <c r="N2367">
        <v>55.869037766407402</v>
      </c>
      <c r="O2367">
        <v>51.779497353460201</v>
      </c>
      <c r="P2367">
        <v>-4.0498059009159697E-2</v>
      </c>
      <c r="Q2367">
        <v>0.14950381929629</v>
      </c>
      <c r="R2367">
        <v>0.87649714267838197</v>
      </c>
      <c r="S2367" t="s">
        <v>6663</v>
      </c>
      <c r="T2367" t="s">
        <v>8590</v>
      </c>
      <c r="U2367" t="s">
        <v>8590</v>
      </c>
      <c r="V2367" t="s">
        <v>8590</v>
      </c>
      <c r="W2367">
        <v>1</v>
      </c>
      <c r="X2367" t="s">
        <v>10957</v>
      </c>
      <c r="Y2367">
        <v>0.5687742627756982</v>
      </c>
      <c r="Z2367" t="str">
        <f>HYPERLINK("Melting_Curves/meltCurve_sp_Q8N6N3_2_CA052_HUMAN_.pdf", "Melting_Curves/meltCurve_sp_Q8N6N3_2_CA052_HUMAN_.pdf")</f>
        <v>Melting_Curves/meltCurve_sp_Q8N6N3_2_CA052_HUMAN_.pdf</v>
      </c>
      <c r="AA2367" t="s">
        <v>15211</v>
      </c>
      <c r="AB2367" t="s">
        <v>19451</v>
      </c>
    </row>
    <row r="2368" spans="1:28" x14ac:dyDescent="0.25">
      <c r="A2368" t="s">
        <v>2372</v>
      </c>
      <c r="B2368">
        <v>0.99876560204751996</v>
      </c>
      <c r="C2368">
        <v>0.86097053091183096</v>
      </c>
      <c r="D2368">
        <v>0.89097174319012995</v>
      </c>
      <c r="E2368">
        <v>0.36993981860303099</v>
      </c>
      <c r="F2368">
        <v>0.19033566939694599</v>
      </c>
      <c r="G2368">
        <v>0.11033480642393</v>
      </c>
      <c r="H2368">
        <v>7.4384025335791401E-2</v>
      </c>
      <c r="I2368">
        <v>5.9527672084746498E-2</v>
      </c>
      <c r="J2368">
        <v>6.13381935195116E-2</v>
      </c>
      <c r="K2368">
        <v>3.8756178400657398E-2</v>
      </c>
      <c r="L2368">
        <v>1222.89982532351</v>
      </c>
      <c r="M2368">
        <v>25.0329716152497</v>
      </c>
      <c r="N2368">
        <v>49.108312711460599</v>
      </c>
      <c r="O2368">
        <v>48.543015317426899</v>
      </c>
      <c r="P2368">
        <v>-0.12101552509725701</v>
      </c>
      <c r="Q2368">
        <v>6.1337194993786801E-2</v>
      </c>
      <c r="R2368">
        <v>0.987468690532188</v>
      </c>
      <c r="S2368" t="s">
        <v>6664</v>
      </c>
      <c r="T2368" t="s">
        <v>8590</v>
      </c>
      <c r="U2368" t="s">
        <v>8590</v>
      </c>
      <c r="V2368" t="s">
        <v>8590</v>
      </c>
      <c r="W2368">
        <v>7</v>
      </c>
      <c r="X2368" t="s">
        <v>10958</v>
      </c>
      <c r="Y2368">
        <v>0.3465795732480022</v>
      </c>
      <c r="Z2368" t="str">
        <f>HYPERLINK("Melting_Curves/meltCurve_sp_Q8N8N7_PTGR2_HUMAN_.pdf", "Melting_Curves/meltCurve_sp_Q8N8N7_PTGR2_HUMAN_.pdf")</f>
        <v>Melting_Curves/meltCurve_sp_Q8N8N7_PTGR2_HUMAN_.pdf</v>
      </c>
      <c r="AA2368" t="s">
        <v>15212</v>
      </c>
      <c r="AB2368" t="s">
        <v>19452</v>
      </c>
    </row>
    <row r="2369" spans="1:28" x14ac:dyDescent="0.25">
      <c r="A2369" t="s">
        <v>2373</v>
      </c>
      <c r="B2369">
        <v>0.99876560204751996</v>
      </c>
      <c r="C2369">
        <v>0.89361936598091296</v>
      </c>
      <c r="D2369">
        <v>0.96494157025550797</v>
      </c>
      <c r="E2369">
        <v>0.76153980286558498</v>
      </c>
      <c r="F2369">
        <v>0.73936206194213605</v>
      </c>
      <c r="G2369">
        <v>0.48050050140416301</v>
      </c>
      <c r="H2369">
        <v>0.168554481571971</v>
      </c>
      <c r="I2369">
        <v>7.88415888637128E-2</v>
      </c>
      <c r="J2369">
        <v>2.8678418488605299E-2</v>
      </c>
      <c r="K2369">
        <v>6.9034472657783799E-2</v>
      </c>
      <c r="L2369">
        <v>860.19275231221695</v>
      </c>
      <c r="M2369">
        <v>15.423773465794399</v>
      </c>
      <c r="N2369">
        <v>55.770578650918601</v>
      </c>
      <c r="O2369">
        <v>54.8582934260006</v>
      </c>
      <c r="P2369">
        <v>-7.0295526616557594E-2</v>
      </c>
      <c r="Q2369">
        <v>0</v>
      </c>
      <c r="R2369">
        <v>0.97879865619597395</v>
      </c>
      <c r="S2369" t="s">
        <v>6665</v>
      </c>
      <c r="T2369" t="s">
        <v>8590</v>
      </c>
      <c r="U2369" t="s">
        <v>8590</v>
      </c>
      <c r="V2369" t="s">
        <v>8590</v>
      </c>
      <c r="W2369">
        <v>2</v>
      </c>
      <c r="X2369" t="s">
        <v>10959</v>
      </c>
      <c r="Y2369">
        <v>0.54334987698505988</v>
      </c>
      <c r="Z2369" t="str">
        <f>HYPERLINK("Melting_Curves/meltCurve_sp_Q8N8R5_CB069_HUMAN_.pdf", "Melting_Curves/meltCurve_sp_Q8N8R5_CB069_HUMAN_.pdf")</f>
        <v>Melting_Curves/meltCurve_sp_Q8N8R5_CB069_HUMAN_.pdf</v>
      </c>
      <c r="AA2369" t="s">
        <v>15213</v>
      </c>
      <c r="AB2369" t="s">
        <v>19453</v>
      </c>
    </row>
    <row r="2370" spans="1:28" x14ac:dyDescent="0.25">
      <c r="A2370" t="s">
        <v>2374</v>
      </c>
      <c r="B2370">
        <v>0.99876560204751996</v>
      </c>
      <c r="C2370">
        <v>0.96697437474242598</v>
      </c>
      <c r="D2370">
        <v>1.0976989077303501</v>
      </c>
      <c r="E2370">
        <v>0.96119929184352704</v>
      </c>
      <c r="F2370">
        <v>0.95169050500297303</v>
      </c>
      <c r="G2370">
        <v>0.76476725568780601</v>
      </c>
      <c r="H2370">
        <v>0.57310772200436599</v>
      </c>
      <c r="I2370">
        <v>0.49958972514081301</v>
      </c>
      <c r="J2370">
        <v>0.65325130910893903</v>
      </c>
      <c r="K2370">
        <v>0.52840250655667897</v>
      </c>
      <c r="L2370">
        <v>2059.6609490359301</v>
      </c>
      <c r="M2370">
        <v>36.351057405239501</v>
      </c>
      <c r="O2370">
        <v>56.489600456231102</v>
      </c>
      <c r="P2370">
        <v>-7.1560187584861906E-2</v>
      </c>
      <c r="Q2370">
        <v>0.55518261459880502</v>
      </c>
      <c r="R2370">
        <v>0.94053881586665999</v>
      </c>
      <c r="S2370" t="s">
        <v>6666</v>
      </c>
      <c r="T2370" t="s">
        <v>8590</v>
      </c>
      <c r="U2370" t="s">
        <v>8590</v>
      </c>
      <c r="V2370" t="s">
        <v>8590</v>
      </c>
      <c r="W2370">
        <v>3</v>
      </c>
      <c r="X2370" t="s">
        <v>10960</v>
      </c>
      <c r="Y2370">
        <v>0.80428546475009588</v>
      </c>
      <c r="Z2370" t="str">
        <f>HYPERLINK("Melting_Curves/meltCurve_sp_Q8N8S7_ENAH_HUMAN_.pdf", "Melting_Curves/meltCurve_sp_Q8N8S7_ENAH_HUMAN_.pdf")</f>
        <v>Melting_Curves/meltCurve_sp_Q8N8S7_ENAH_HUMAN_.pdf</v>
      </c>
      <c r="AA2370" t="s">
        <v>15214</v>
      </c>
      <c r="AB2370" t="s">
        <v>19454</v>
      </c>
    </row>
    <row r="2371" spans="1:28" x14ac:dyDescent="0.25">
      <c r="A2371" t="s">
        <v>2375</v>
      </c>
      <c r="B2371">
        <v>0.99876560204751996</v>
      </c>
      <c r="C2371">
        <v>0.93393860675906304</v>
      </c>
      <c r="D2371">
        <v>0.85331550579604998</v>
      </c>
      <c r="E2371">
        <v>0.55845792000084404</v>
      </c>
      <c r="F2371">
        <v>0.32039044739303402</v>
      </c>
      <c r="G2371">
        <v>0.149201211121022</v>
      </c>
      <c r="H2371">
        <v>9.7749260022218995E-2</v>
      </c>
      <c r="I2371">
        <v>7.7919707379625697E-2</v>
      </c>
      <c r="J2371">
        <v>0.132779185060525</v>
      </c>
      <c r="K2371">
        <v>0.129661860068815</v>
      </c>
      <c r="L2371">
        <v>982.57926923211198</v>
      </c>
      <c r="M2371">
        <v>19.665426152202599</v>
      </c>
      <c r="N2371">
        <v>50.5089792722544</v>
      </c>
      <c r="O2371">
        <v>49.456770797145701</v>
      </c>
      <c r="P2371">
        <v>-8.9920442770637501E-2</v>
      </c>
      <c r="Q2371">
        <v>9.5464665875699503E-2</v>
      </c>
      <c r="R2371">
        <v>0.99608009230126004</v>
      </c>
      <c r="S2371" t="s">
        <v>6667</v>
      </c>
      <c r="T2371" t="s">
        <v>8590</v>
      </c>
      <c r="U2371" t="s">
        <v>8590</v>
      </c>
      <c r="V2371" t="s">
        <v>8590</v>
      </c>
      <c r="W2371">
        <v>2</v>
      </c>
      <c r="X2371" t="s">
        <v>10961</v>
      </c>
      <c r="Y2371">
        <v>0.40893064728478229</v>
      </c>
      <c r="Z2371" t="str">
        <f>HYPERLINK("Melting_Curves/meltCurve_sp_Q8N8V2_GBP7_HUMAN_.pdf", "Melting_Curves/meltCurve_sp_Q8N8V2_GBP7_HUMAN_.pdf")</f>
        <v>Melting_Curves/meltCurve_sp_Q8N8V2_GBP7_HUMAN_.pdf</v>
      </c>
      <c r="AA2371" t="s">
        <v>15215</v>
      </c>
      <c r="AB2371" t="s">
        <v>19455</v>
      </c>
    </row>
    <row r="2372" spans="1:28" x14ac:dyDescent="0.25">
      <c r="A2372" t="s">
        <v>2376</v>
      </c>
      <c r="B2372">
        <v>0.99876560204751996</v>
      </c>
      <c r="C2372">
        <v>1.0243191873187101</v>
      </c>
      <c r="D2372">
        <v>0.84913899804193704</v>
      </c>
      <c r="E2372">
        <v>0.78745997765134801</v>
      </c>
      <c r="F2372">
        <v>0.74631232952008497</v>
      </c>
      <c r="G2372">
        <v>0.36481200519770102</v>
      </c>
      <c r="H2372">
        <v>0.43982732863400797</v>
      </c>
      <c r="I2372">
        <v>0.38738282509070598</v>
      </c>
      <c r="J2372">
        <v>0.34059339114909498</v>
      </c>
      <c r="K2372">
        <v>0.39754110851565699</v>
      </c>
      <c r="L2372">
        <v>854.01710294397697</v>
      </c>
      <c r="M2372">
        <v>16.300443067318401</v>
      </c>
      <c r="N2372">
        <v>56.525250869449501</v>
      </c>
      <c r="O2372">
        <v>51.622767977064697</v>
      </c>
      <c r="P2372">
        <v>-5.14593102662457E-2</v>
      </c>
      <c r="Q2372">
        <v>0.348170262836416</v>
      </c>
      <c r="R2372">
        <v>0.94383500217018301</v>
      </c>
      <c r="S2372" t="s">
        <v>6668</v>
      </c>
      <c r="T2372" t="s">
        <v>8590</v>
      </c>
      <c r="U2372" t="s">
        <v>8590</v>
      </c>
      <c r="V2372" t="s">
        <v>8590</v>
      </c>
      <c r="W2372">
        <v>1</v>
      </c>
      <c r="X2372" t="s">
        <v>10962</v>
      </c>
      <c r="Y2372">
        <v>0.63008592448090561</v>
      </c>
      <c r="Z2372" t="str">
        <f>HYPERLINK("Melting_Curves/meltCurve_sp_Q8N954_GPT11_HUMAN_.pdf", "Melting_Curves/meltCurve_sp_Q8N954_GPT11_HUMAN_.pdf")</f>
        <v>Melting_Curves/meltCurve_sp_Q8N954_GPT11_HUMAN_.pdf</v>
      </c>
      <c r="AA2372" t="s">
        <v>15216</v>
      </c>
      <c r="AB2372" t="s">
        <v>19456</v>
      </c>
    </row>
    <row r="2373" spans="1:28" x14ac:dyDescent="0.25">
      <c r="A2373" t="s">
        <v>2377</v>
      </c>
      <c r="B2373">
        <v>0.99876560204751996</v>
      </c>
      <c r="C2373">
        <v>0.96192003608453902</v>
      </c>
      <c r="D2373">
        <v>0.79729054933974197</v>
      </c>
      <c r="E2373">
        <v>0.50790295893952098</v>
      </c>
      <c r="F2373">
        <v>0.27093410355969899</v>
      </c>
      <c r="G2373">
        <v>0.15664659001859099</v>
      </c>
      <c r="H2373">
        <v>8.3157496034328995E-2</v>
      </c>
      <c r="I2373">
        <v>8.4559837815825795E-2</v>
      </c>
      <c r="J2373">
        <v>8.54355843856347E-2</v>
      </c>
      <c r="K2373">
        <v>5.0440184485023999E-2</v>
      </c>
      <c r="L2373">
        <v>892.027916142153</v>
      </c>
      <c r="M2373">
        <v>17.997097156636698</v>
      </c>
      <c r="N2373">
        <v>49.934128954624001</v>
      </c>
      <c r="O2373">
        <v>48.9652952238892</v>
      </c>
      <c r="P2373">
        <v>-8.6169520021243007E-2</v>
      </c>
      <c r="Q2373">
        <v>6.2269289900993403E-2</v>
      </c>
      <c r="R2373">
        <v>0.99864305311203305</v>
      </c>
      <c r="S2373" t="s">
        <v>6669</v>
      </c>
      <c r="T2373" t="s">
        <v>8590</v>
      </c>
      <c r="U2373" t="s">
        <v>8590</v>
      </c>
      <c r="V2373" t="s">
        <v>8590</v>
      </c>
      <c r="W2373">
        <v>11</v>
      </c>
      <c r="X2373" t="s">
        <v>10963</v>
      </c>
      <c r="Y2373">
        <v>0.37734622852767857</v>
      </c>
      <c r="Z2373" t="str">
        <f>HYPERLINK("Melting_Curves/meltCurve_sp_Q8N9L9_ACOT4_HUMAN_.pdf", "Melting_Curves/meltCurve_sp_Q8N9L9_ACOT4_HUMAN_.pdf")</f>
        <v>Melting_Curves/meltCurve_sp_Q8N9L9_ACOT4_HUMAN_.pdf</v>
      </c>
      <c r="AA2373" t="s">
        <v>15217</v>
      </c>
      <c r="AB2373" t="s">
        <v>19457</v>
      </c>
    </row>
    <row r="2374" spans="1:28" x14ac:dyDescent="0.25">
      <c r="A2374" t="s">
        <v>2378</v>
      </c>
      <c r="B2374">
        <v>0.99876560204751996</v>
      </c>
      <c r="C2374">
        <v>0.98507226366418699</v>
      </c>
      <c r="D2374">
        <v>0.95970014073312604</v>
      </c>
      <c r="E2374">
        <v>0.89405486810771395</v>
      </c>
      <c r="F2374">
        <v>0.77322677642112003</v>
      </c>
      <c r="G2374">
        <v>0.42099309226510701</v>
      </c>
      <c r="H2374">
        <v>0.16779632850909099</v>
      </c>
      <c r="I2374">
        <v>9.7675454809497506E-2</v>
      </c>
      <c r="J2374">
        <v>0.130514904993248</v>
      </c>
      <c r="K2374">
        <v>3.4275150310931E-2</v>
      </c>
      <c r="L2374">
        <v>1140.2486397417999</v>
      </c>
      <c r="M2374">
        <v>20.4551836533597</v>
      </c>
      <c r="N2374">
        <v>56.016410383261999</v>
      </c>
      <c r="O2374">
        <v>55.219182758118997</v>
      </c>
      <c r="P2374">
        <v>-8.8223319504974904E-2</v>
      </c>
      <c r="Q2374">
        <v>4.7385804791882702E-2</v>
      </c>
      <c r="R2374">
        <v>0.99610068704118304</v>
      </c>
      <c r="S2374" t="s">
        <v>6670</v>
      </c>
      <c r="T2374" t="s">
        <v>8590</v>
      </c>
      <c r="U2374" t="s">
        <v>8590</v>
      </c>
      <c r="V2374" t="s">
        <v>8590</v>
      </c>
      <c r="W2374">
        <v>2</v>
      </c>
      <c r="X2374" t="s">
        <v>10964</v>
      </c>
      <c r="Y2374">
        <v>0.55931516854400332</v>
      </c>
      <c r="Z2374" t="str">
        <f>HYPERLINK("Melting_Curves/meltCurve_sp_Q8N9N7_LRC57_HUMAN_.pdf", "Melting_Curves/meltCurve_sp_Q8N9N7_LRC57_HUMAN_.pdf")</f>
        <v>Melting_Curves/meltCurve_sp_Q8N9N7_LRC57_HUMAN_.pdf</v>
      </c>
      <c r="AA2374" t="s">
        <v>15218</v>
      </c>
      <c r="AB2374" t="s">
        <v>19458</v>
      </c>
    </row>
    <row r="2375" spans="1:28" x14ac:dyDescent="0.25">
      <c r="A2375" t="s">
        <v>2379</v>
      </c>
      <c r="B2375">
        <v>0.99876560204751996</v>
      </c>
      <c r="C2375">
        <v>1.11663077959658</v>
      </c>
      <c r="D2375">
        <v>1.1515405655739701</v>
      </c>
      <c r="E2375">
        <v>1.2038941521069999</v>
      </c>
      <c r="F2375">
        <v>0.86115365201358796</v>
      </c>
      <c r="G2375">
        <v>0.81932041901635999</v>
      </c>
      <c r="H2375">
        <v>0.42029808263899898</v>
      </c>
      <c r="I2375">
        <v>0.23994988609618501</v>
      </c>
      <c r="J2375">
        <v>0.12592769869599699</v>
      </c>
      <c r="K2375">
        <v>6.7249259143639398E-2</v>
      </c>
      <c r="L2375">
        <v>1442.9977263364001</v>
      </c>
      <c r="M2375">
        <v>24.0171018388818</v>
      </c>
      <c r="N2375">
        <v>60.328242510905604</v>
      </c>
      <c r="O2375">
        <v>59.6702016083348</v>
      </c>
      <c r="P2375">
        <v>-9.59294355302652E-2</v>
      </c>
      <c r="Q2375">
        <v>4.6672900813724098E-2</v>
      </c>
      <c r="R2375">
        <v>0.94774316809468395</v>
      </c>
      <c r="S2375" t="s">
        <v>6671</v>
      </c>
      <c r="T2375" t="s">
        <v>8590</v>
      </c>
      <c r="U2375" t="s">
        <v>8590</v>
      </c>
      <c r="V2375" t="s">
        <v>8590</v>
      </c>
      <c r="W2375">
        <v>4</v>
      </c>
      <c r="X2375" t="s">
        <v>10965</v>
      </c>
      <c r="Y2375">
        <v>0.69205734253907025</v>
      </c>
      <c r="Z2375" t="str">
        <f>HYPERLINK("Melting_Curves/meltCurve_sp_Q8N9V3_2_WSDU1_HUMAN_.pdf", "Melting_Curves/meltCurve_sp_Q8N9V3_2_WSDU1_HUMAN_.pdf")</f>
        <v>Melting_Curves/meltCurve_sp_Q8N9V3_2_WSDU1_HUMAN_.pdf</v>
      </c>
      <c r="AA2375" t="s">
        <v>15219</v>
      </c>
      <c r="AB2375" t="s">
        <v>19459</v>
      </c>
    </row>
    <row r="2376" spans="1:28" x14ac:dyDescent="0.25">
      <c r="A2376" t="s">
        <v>2380</v>
      </c>
      <c r="B2376">
        <v>0.99876560204751996</v>
      </c>
      <c r="C2376">
        <v>1.0199914673891799</v>
      </c>
      <c r="D2376">
        <v>0.68538095601887905</v>
      </c>
      <c r="E2376">
        <v>0.72192670890327704</v>
      </c>
      <c r="F2376">
        <v>0.46377495869406998</v>
      </c>
      <c r="G2376">
        <v>0.23998287783236799</v>
      </c>
      <c r="H2376">
        <v>0.15860712524669501</v>
      </c>
      <c r="I2376">
        <v>7.6311867272648895E-2</v>
      </c>
      <c r="J2376">
        <v>0.121783883728058</v>
      </c>
      <c r="K2376">
        <v>9.06127364140593E-2</v>
      </c>
      <c r="L2376">
        <v>650.16442605299096</v>
      </c>
      <c r="M2376">
        <v>12.5231375982613</v>
      </c>
      <c r="N2376">
        <v>52.220836694167502</v>
      </c>
      <c r="O2376">
        <v>50.646554905483001</v>
      </c>
      <c r="P2376">
        <v>-5.9656916064724202E-2</v>
      </c>
      <c r="Q2376">
        <v>3.51299355622623E-2</v>
      </c>
      <c r="R2376">
        <v>0.96516114296413302</v>
      </c>
      <c r="S2376" t="s">
        <v>6672</v>
      </c>
      <c r="T2376" t="s">
        <v>8590</v>
      </c>
      <c r="U2376" t="s">
        <v>8590</v>
      </c>
      <c r="V2376" t="s">
        <v>8590</v>
      </c>
      <c r="W2376">
        <v>1</v>
      </c>
      <c r="X2376" t="s">
        <v>10966</v>
      </c>
      <c r="Y2376">
        <v>0.44647613392439228</v>
      </c>
      <c r="Z2376" t="str">
        <f>HYPERLINK("Melting_Curves/meltCurve_sp_Q8NB15_2_ZN511_HUMAN_.pdf", "Melting_Curves/meltCurve_sp_Q8NB15_2_ZN511_HUMAN_.pdf")</f>
        <v>Melting_Curves/meltCurve_sp_Q8NB15_2_ZN511_HUMAN_.pdf</v>
      </c>
      <c r="AA2376" t="s">
        <v>15220</v>
      </c>
      <c r="AB2376" t="s">
        <v>19460</v>
      </c>
    </row>
    <row r="2377" spans="1:28" x14ac:dyDescent="0.25">
      <c r="A2377" t="s">
        <v>2381</v>
      </c>
      <c r="B2377">
        <v>0.99876560204751996</v>
      </c>
      <c r="C2377">
        <v>0.93999195784685696</v>
      </c>
      <c r="D2377">
        <v>0.87800194819863597</v>
      </c>
      <c r="E2377">
        <v>0.699925786998849</v>
      </c>
      <c r="F2377">
        <v>0.474259861303508</v>
      </c>
      <c r="G2377">
        <v>0.32658038709774301</v>
      </c>
      <c r="H2377">
        <v>0.19328813682225901</v>
      </c>
      <c r="I2377">
        <v>0.142279095478309</v>
      </c>
      <c r="J2377">
        <v>0.127515953357106</v>
      </c>
      <c r="K2377">
        <v>7.1626085867945805E-2</v>
      </c>
      <c r="L2377">
        <v>680.90809071914896</v>
      </c>
      <c r="M2377">
        <v>12.9402960560493</v>
      </c>
      <c r="N2377">
        <v>53.100871208411903</v>
      </c>
      <c r="O2377">
        <v>51.410120727232602</v>
      </c>
      <c r="P2377">
        <v>-5.94528721598978E-2</v>
      </c>
      <c r="Q2377">
        <v>5.5375746144222297E-2</v>
      </c>
      <c r="R2377">
        <v>0.99778272516416</v>
      </c>
      <c r="S2377" t="s">
        <v>6673</v>
      </c>
      <c r="T2377" t="s">
        <v>8590</v>
      </c>
      <c r="U2377" t="s">
        <v>8590</v>
      </c>
      <c r="V2377" t="s">
        <v>8590</v>
      </c>
      <c r="W2377">
        <v>2</v>
      </c>
      <c r="X2377" t="s">
        <v>10967</v>
      </c>
      <c r="Y2377">
        <v>0.47795544440866172</v>
      </c>
      <c r="Z2377" t="str">
        <f>HYPERLINK("Melting_Curves/meltCurve_sp_Q8NB37_PDDC1_HUMAN_.pdf", "Melting_Curves/meltCurve_sp_Q8NB37_PDDC1_HUMAN_.pdf")</f>
        <v>Melting_Curves/meltCurve_sp_Q8NB37_PDDC1_HUMAN_.pdf</v>
      </c>
      <c r="AA2377" t="s">
        <v>15221</v>
      </c>
      <c r="AB2377" t="s">
        <v>19461</v>
      </c>
    </row>
    <row r="2378" spans="1:28" x14ac:dyDescent="0.25">
      <c r="A2378" t="s">
        <v>2382</v>
      </c>
      <c r="B2378">
        <v>0.99876560204751996</v>
      </c>
      <c r="C2378">
        <v>0.91645635959143301</v>
      </c>
      <c r="D2378">
        <v>0.90145075567413202</v>
      </c>
      <c r="E2378">
        <v>0.59528880890105396</v>
      </c>
      <c r="F2378">
        <v>0.25095269524052399</v>
      </c>
      <c r="G2378">
        <v>0.118487753326914</v>
      </c>
      <c r="H2378">
        <v>6.3547571368375105E-2</v>
      </c>
      <c r="I2378">
        <v>4.9332395984914498E-2</v>
      </c>
      <c r="J2378">
        <v>3.9208733026849303E-2</v>
      </c>
      <c r="K2378">
        <v>3.4513458387460998E-2</v>
      </c>
      <c r="L2378">
        <v>1138.87210866893</v>
      </c>
      <c r="M2378">
        <v>22.5660915699547</v>
      </c>
      <c r="N2378">
        <v>50.646310714432303</v>
      </c>
      <c r="O2378">
        <v>50.076977439557098</v>
      </c>
      <c r="P2378">
        <v>-0.108363931873716</v>
      </c>
      <c r="Q2378">
        <v>3.8127014754658101E-2</v>
      </c>
      <c r="R2378">
        <v>0.99588156092373004</v>
      </c>
      <c r="S2378" t="s">
        <v>6674</v>
      </c>
      <c r="T2378" t="s">
        <v>8590</v>
      </c>
      <c r="U2378" t="s">
        <v>8590</v>
      </c>
      <c r="V2378" t="s">
        <v>8590</v>
      </c>
      <c r="W2378">
        <v>15</v>
      </c>
      <c r="X2378" t="s">
        <v>10968</v>
      </c>
      <c r="Y2378">
        <v>0.38434495187676698</v>
      </c>
      <c r="Z2378" t="str">
        <f>HYPERLINK("Melting_Curves/meltCurve_sp_Q8NBF2_NHLC2_HUMAN_.pdf", "Melting_Curves/meltCurve_sp_Q8NBF2_NHLC2_HUMAN_.pdf")</f>
        <v>Melting_Curves/meltCurve_sp_Q8NBF2_NHLC2_HUMAN_.pdf</v>
      </c>
      <c r="AA2378" t="s">
        <v>15222</v>
      </c>
      <c r="AB2378" t="s">
        <v>19462</v>
      </c>
    </row>
    <row r="2379" spans="1:28" x14ac:dyDescent="0.25">
      <c r="A2379" t="s">
        <v>2383</v>
      </c>
      <c r="B2379">
        <v>0.99876560204751996</v>
      </c>
      <c r="C2379">
        <v>1.01728772598657</v>
      </c>
      <c r="D2379">
        <v>1.2102495737711301</v>
      </c>
      <c r="E2379">
        <v>1.1496993419169801</v>
      </c>
      <c r="F2379">
        <v>0.79858952063071398</v>
      </c>
      <c r="G2379">
        <v>0.67722198909472398</v>
      </c>
      <c r="H2379">
        <v>0.42634106520786702</v>
      </c>
      <c r="I2379">
        <v>0.45146849771196301</v>
      </c>
      <c r="J2379">
        <v>0.54710910539052005</v>
      </c>
      <c r="K2379">
        <v>0.48632756659484599</v>
      </c>
      <c r="L2379">
        <v>1762.2874778898699</v>
      </c>
      <c r="M2379">
        <v>31.968271491183099</v>
      </c>
      <c r="N2379">
        <v>61.228779105285597</v>
      </c>
      <c r="O2379">
        <v>54.911775121004403</v>
      </c>
      <c r="P2379">
        <v>-7.5779688818017499E-2</v>
      </c>
      <c r="Q2379">
        <v>0.479336732796668</v>
      </c>
      <c r="R2379">
        <v>0.881000078297411</v>
      </c>
      <c r="S2379" t="s">
        <v>6675</v>
      </c>
      <c r="T2379" t="s">
        <v>8590</v>
      </c>
      <c r="U2379" t="s">
        <v>8590</v>
      </c>
      <c r="V2379" t="s">
        <v>8590</v>
      </c>
      <c r="W2379">
        <v>3</v>
      </c>
      <c r="X2379" t="s">
        <v>10969</v>
      </c>
      <c r="Y2379">
        <v>0.74492154880479733</v>
      </c>
      <c r="Z2379" t="str">
        <f>HYPERLINK("Melting_Curves/meltCurve_sp_Q8NBJ4_2_GOLM1_HUMAN_.pdf", "Melting_Curves/meltCurve_sp_Q8NBJ4_2_GOLM1_HUMAN_.pdf")</f>
        <v>Melting_Curves/meltCurve_sp_Q8NBJ4_2_GOLM1_HUMAN_.pdf</v>
      </c>
      <c r="AA2379" t="s">
        <v>15223</v>
      </c>
      <c r="AB2379" t="s">
        <v>19463</v>
      </c>
    </row>
    <row r="2380" spans="1:28" x14ac:dyDescent="0.25">
      <c r="A2380" t="s">
        <v>2384</v>
      </c>
      <c r="B2380">
        <v>0.99876560204751996</v>
      </c>
      <c r="C2380">
        <v>0.88891297285741899</v>
      </c>
      <c r="D2380">
        <v>0.83364314855617305</v>
      </c>
      <c r="E2380">
        <v>0.46965275507731502</v>
      </c>
      <c r="F2380">
        <v>0.21147459821256701</v>
      </c>
      <c r="G2380">
        <v>0.111943716072213</v>
      </c>
      <c r="H2380">
        <v>7.0738112945415405E-2</v>
      </c>
      <c r="I2380">
        <v>5.7639464549845899E-2</v>
      </c>
      <c r="J2380">
        <v>6.41362061943863E-2</v>
      </c>
      <c r="K2380">
        <v>6.2065718591007298E-2</v>
      </c>
      <c r="L2380">
        <v>985.96500089000995</v>
      </c>
      <c r="M2380">
        <v>20.024159462392401</v>
      </c>
      <c r="N2380">
        <v>49.511961481244803</v>
      </c>
      <c r="O2380">
        <v>48.755570523619802</v>
      </c>
      <c r="P2380">
        <v>-9.7309337502973603E-2</v>
      </c>
      <c r="Q2380">
        <v>5.2300812540579097E-2</v>
      </c>
      <c r="R2380">
        <v>0.99588980333208499</v>
      </c>
      <c r="S2380" t="s">
        <v>6676</v>
      </c>
      <c r="T2380" t="s">
        <v>8590</v>
      </c>
      <c r="U2380" t="s">
        <v>8590</v>
      </c>
      <c r="V2380" t="s">
        <v>8590</v>
      </c>
      <c r="W2380">
        <v>9</v>
      </c>
      <c r="X2380" t="s">
        <v>10970</v>
      </c>
      <c r="Y2380">
        <v>0.35736958426791499</v>
      </c>
      <c r="Z2380" t="str">
        <f>HYPERLINK("Melting_Curves/meltCurve_sp_Q8NBJ7_SUMF2_HUMAN_.pdf", "Melting_Curves/meltCurve_sp_Q8NBJ7_SUMF2_HUMAN_.pdf")</f>
        <v>Melting_Curves/meltCurve_sp_Q8NBJ7_SUMF2_HUMAN_.pdf</v>
      </c>
      <c r="AA2380" t="s">
        <v>15224</v>
      </c>
      <c r="AB2380" t="s">
        <v>19464</v>
      </c>
    </row>
    <row r="2381" spans="1:28" x14ac:dyDescent="0.25">
      <c r="A2381" t="s">
        <v>2385</v>
      </c>
      <c r="B2381">
        <v>0.99876560204751996</v>
      </c>
      <c r="C2381">
        <v>0.955025032172375</v>
      </c>
      <c r="D2381">
        <v>0.94714627152484898</v>
      </c>
      <c r="E2381">
        <v>0.94698906311498299</v>
      </c>
      <c r="F2381">
        <v>0.84119259483294495</v>
      </c>
      <c r="G2381">
        <v>0.69262337471069102</v>
      </c>
      <c r="H2381">
        <v>0.48156469417320402</v>
      </c>
      <c r="I2381">
        <v>0.358379886284728</v>
      </c>
      <c r="J2381">
        <v>0.21762294942634999</v>
      </c>
      <c r="K2381">
        <v>0.21524993420934499</v>
      </c>
      <c r="L2381">
        <v>759.07219824254901</v>
      </c>
      <c r="M2381">
        <v>12.645233509922299</v>
      </c>
      <c r="N2381">
        <v>60.595596850814097</v>
      </c>
      <c r="O2381">
        <v>58.586443523147103</v>
      </c>
      <c r="P2381">
        <v>-5.0957687618540498E-2</v>
      </c>
      <c r="Q2381">
        <v>5.5820537517456401E-2</v>
      </c>
      <c r="R2381">
        <v>0.99424513981384</v>
      </c>
      <c r="S2381" t="s">
        <v>6677</v>
      </c>
      <c r="T2381" t="s">
        <v>8590</v>
      </c>
      <c r="U2381" t="s">
        <v>8590</v>
      </c>
      <c r="V2381" t="s">
        <v>8590</v>
      </c>
      <c r="W2381">
        <v>3</v>
      </c>
      <c r="X2381" t="s">
        <v>10971</v>
      </c>
      <c r="Y2381">
        <v>0.68954896126497622</v>
      </c>
      <c r="Z2381" t="str">
        <f>HYPERLINK("Melting_Curves/meltCurve_sp_Q8NBK3_4_SUMF1_HUMAN_.pdf", "Melting_Curves/meltCurve_sp_Q8NBK3_4_SUMF1_HUMAN_.pdf")</f>
        <v>Melting_Curves/meltCurve_sp_Q8NBK3_4_SUMF1_HUMAN_.pdf</v>
      </c>
      <c r="AA2381" t="s">
        <v>15225</v>
      </c>
      <c r="AB2381" t="s">
        <v>19465</v>
      </c>
    </row>
    <row r="2382" spans="1:28" x14ac:dyDescent="0.25">
      <c r="A2382" t="s">
        <v>2386</v>
      </c>
      <c r="B2382">
        <v>0.99876560204751996</v>
      </c>
      <c r="C2382">
        <v>0.97936255957734897</v>
      </c>
      <c r="D2382">
        <v>1.10744134863961</v>
      </c>
      <c r="E2382">
        <v>0.92083548983492303</v>
      </c>
      <c r="F2382">
        <v>0.43482931927755197</v>
      </c>
      <c r="G2382">
        <v>0.31167569124852901</v>
      </c>
      <c r="H2382">
        <v>0.19708846109419201</v>
      </c>
      <c r="I2382">
        <v>0.15930515417733701</v>
      </c>
      <c r="J2382">
        <v>0.166669128900158</v>
      </c>
      <c r="K2382">
        <v>0.13591024727697901</v>
      </c>
      <c r="L2382">
        <v>2400.7269813830499</v>
      </c>
      <c r="M2382">
        <v>46.017047761041397</v>
      </c>
      <c r="N2382">
        <v>52.711099128367003</v>
      </c>
      <c r="O2382">
        <v>52.072134334486599</v>
      </c>
      <c r="P2382">
        <v>-0.17936426889601001</v>
      </c>
      <c r="Q2382">
        <v>0.188138186625259</v>
      </c>
      <c r="R2382">
        <v>0.98088710889356401</v>
      </c>
      <c r="S2382" t="s">
        <v>6678</v>
      </c>
      <c r="T2382" t="s">
        <v>8590</v>
      </c>
      <c r="U2382" t="s">
        <v>8590</v>
      </c>
      <c r="V2382" t="s">
        <v>8590</v>
      </c>
      <c r="W2382">
        <v>2</v>
      </c>
      <c r="X2382" t="s">
        <v>10972</v>
      </c>
      <c r="Y2382">
        <v>0.51970131951220244</v>
      </c>
      <c r="Z2382" t="str">
        <f>HYPERLINK("Melting_Curves/meltCurve_sp_Q8NBL1_PGLT1_HUMAN_.pdf", "Melting_Curves/meltCurve_sp_Q8NBL1_PGLT1_HUMAN_.pdf")</f>
        <v>Melting_Curves/meltCurve_sp_Q8NBL1_PGLT1_HUMAN_.pdf</v>
      </c>
      <c r="AA2382" t="s">
        <v>15226</v>
      </c>
      <c r="AB2382" t="s">
        <v>19466</v>
      </c>
    </row>
    <row r="2383" spans="1:28" x14ac:dyDescent="0.25">
      <c r="A2383" t="s">
        <v>2387</v>
      </c>
      <c r="B2383">
        <v>0.99876560204751996</v>
      </c>
      <c r="C2383">
        <v>0.76921175859345403</v>
      </c>
      <c r="D2383">
        <v>0.45740546406858801</v>
      </c>
      <c r="E2383">
        <v>0.35927197853436799</v>
      </c>
      <c r="F2383">
        <v>0.155109030994001</v>
      </c>
      <c r="G2383">
        <v>7.3878476129226003E-2</v>
      </c>
      <c r="H2383">
        <v>6.3803175319779901E-2</v>
      </c>
      <c r="I2383">
        <v>7.4907047146463804E-2</v>
      </c>
      <c r="J2383">
        <v>2.8783323084505898E-2</v>
      </c>
      <c r="K2383">
        <v>5.60506816554815E-2</v>
      </c>
      <c r="L2383">
        <v>703.51462285012303</v>
      </c>
      <c r="M2383">
        <v>15.236300607114</v>
      </c>
      <c r="N2383">
        <v>46.462684553031202</v>
      </c>
      <c r="O2383">
        <v>45.400103570324497</v>
      </c>
      <c r="P2383">
        <v>-8.0113455148706103E-2</v>
      </c>
      <c r="Q2383">
        <v>4.5223997446321197E-2</v>
      </c>
      <c r="R2383">
        <v>0.97903421882739905</v>
      </c>
      <c r="S2383" t="s">
        <v>6679</v>
      </c>
      <c r="T2383" t="s">
        <v>8590</v>
      </c>
      <c r="U2383" t="s">
        <v>8590</v>
      </c>
      <c r="V2383" t="s">
        <v>8590</v>
      </c>
      <c r="W2383">
        <v>1</v>
      </c>
      <c r="X2383" t="s">
        <v>10973</v>
      </c>
      <c r="Y2383">
        <v>0.2683086781488388</v>
      </c>
      <c r="Z2383" t="str">
        <f>HYPERLINK("Melting_Curves/meltCurve_sp_Q8NBN7_2_RDH13_HUMAN_.pdf", "Melting_Curves/meltCurve_sp_Q8NBN7_2_RDH13_HUMAN_.pdf")</f>
        <v>Melting_Curves/meltCurve_sp_Q8NBN7_2_RDH13_HUMAN_.pdf</v>
      </c>
      <c r="AA2383" t="s">
        <v>15227</v>
      </c>
      <c r="AB2383" t="s">
        <v>19467</v>
      </c>
    </row>
    <row r="2384" spans="1:28" x14ac:dyDescent="0.25">
      <c r="A2384" t="s">
        <v>2388</v>
      </c>
      <c r="B2384">
        <v>0.99876560204751996</v>
      </c>
      <c r="C2384">
        <v>1.0667409460033701</v>
      </c>
      <c r="D2384">
        <v>0.72827949931811498</v>
      </c>
      <c r="E2384">
        <v>0.47564418893778099</v>
      </c>
      <c r="F2384">
        <v>0.24244115565799301</v>
      </c>
      <c r="G2384">
        <v>8.9998121422622507E-2</v>
      </c>
      <c r="H2384">
        <v>4.0996407153143198E-2</v>
      </c>
      <c r="I2384">
        <v>1.9551168591877499E-2</v>
      </c>
      <c r="J2384">
        <v>1.8932328056491501E-2</v>
      </c>
      <c r="K2384">
        <v>1.8449990355938702E-2</v>
      </c>
      <c r="L2384">
        <v>915.81808538528901</v>
      </c>
      <c r="M2384">
        <v>18.512998517751399</v>
      </c>
      <c r="N2384">
        <v>49.535271545576897</v>
      </c>
      <c r="O2384">
        <v>48.902557071058197</v>
      </c>
      <c r="P2384">
        <v>-9.3487420580935801E-2</v>
      </c>
      <c r="Q2384">
        <v>1.2246010499385399E-2</v>
      </c>
      <c r="R2384">
        <v>0.98678031166629598</v>
      </c>
      <c r="S2384" t="s">
        <v>6680</v>
      </c>
      <c r="T2384" t="s">
        <v>8590</v>
      </c>
      <c r="U2384" t="s">
        <v>8590</v>
      </c>
      <c r="V2384" t="s">
        <v>8590</v>
      </c>
      <c r="W2384">
        <v>4</v>
      </c>
      <c r="X2384" t="s">
        <v>10974</v>
      </c>
      <c r="Y2384">
        <v>0.34007585365532372</v>
      </c>
      <c r="Z2384" t="str">
        <f>HYPERLINK("Melting_Curves/meltCurve_sp_Q8NBX0_SCPDL_HUMAN_.pdf", "Melting_Curves/meltCurve_sp_Q8NBX0_SCPDL_HUMAN_.pdf")</f>
        <v>Melting_Curves/meltCurve_sp_Q8NBX0_SCPDL_HUMAN_.pdf</v>
      </c>
      <c r="AA2384" t="s">
        <v>15228</v>
      </c>
      <c r="AB2384" t="s">
        <v>19468</v>
      </c>
    </row>
    <row r="2385" spans="1:28" x14ac:dyDescent="0.25">
      <c r="A2385" t="s">
        <v>2389</v>
      </c>
      <c r="B2385">
        <v>0.99876560204751996</v>
      </c>
      <c r="C2385">
        <v>0.91615424389393496</v>
      </c>
      <c r="D2385">
        <v>1.1012167253826799</v>
      </c>
      <c r="E2385">
        <v>0.68641386328519105</v>
      </c>
      <c r="F2385">
        <v>0.51133245319963905</v>
      </c>
      <c r="G2385">
        <v>0.335332673960961</v>
      </c>
      <c r="H2385">
        <v>0.38875747497572599</v>
      </c>
      <c r="I2385">
        <v>0.46624012447193902</v>
      </c>
      <c r="J2385">
        <v>0.223771059913839</v>
      </c>
      <c r="K2385">
        <v>0.129061502292139</v>
      </c>
      <c r="L2385">
        <v>1347.9499658202401</v>
      </c>
      <c r="M2385">
        <v>26.428814875028401</v>
      </c>
      <c r="N2385">
        <v>52.816447493251502</v>
      </c>
      <c r="O2385">
        <v>50.713721436834902</v>
      </c>
      <c r="P2385">
        <v>-9.1432471858738401E-2</v>
      </c>
      <c r="Q2385">
        <v>0.29821585199578199</v>
      </c>
      <c r="R2385">
        <v>0.90422398183047603</v>
      </c>
      <c r="S2385" t="s">
        <v>6681</v>
      </c>
      <c r="T2385" t="s">
        <v>8590</v>
      </c>
      <c r="U2385" t="s">
        <v>8590</v>
      </c>
      <c r="V2385" t="s">
        <v>8590</v>
      </c>
      <c r="W2385">
        <v>1</v>
      </c>
      <c r="X2385" t="s">
        <v>10975</v>
      </c>
      <c r="Y2385">
        <v>0.56128891953613191</v>
      </c>
      <c r="Z2385" t="str">
        <f>HYPERLINK("Melting_Curves/meltCurve_sp_Q8NC06_ACBD4_HUMAN_.pdf", "Melting_Curves/meltCurve_sp_Q8NC06_ACBD4_HUMAN_.pdf")</f>
        <v>Melting_Curves/meltCurve_sp_Q8NC06_ACBD4_HUMAN_.pdf</v>
      </c>
      <c r="AA2385" t="s">
        <v>15229</v>
      </c>
      <c r="AB2385" t="s">
        <v>19469</v>
      </c>
    </row>
    <row r="2386" spans="1:28" x14ac:dyDescent="0.25">
      <c r="A2386" t="s">
        <v>2390</v>
      </c>
      <c r="B2386">
        <v>0.99876560204751996</v>
      </c>
      <c r="C2386">
        <v>0.92389616856498602</v>
      </c>
      <c r="D2386">
        <v>0.95339212177650401</v>
      </c>
      <c r="E2386">
        <v>0.88669549445188101</v>
      </c>
      <c r="F2386">
        <v>0.92558089921912601</v>
      </c>
      <c r="G2386">
        <v>0.67979606150661998</v>
      </c>
      <c r="H2386">
        <v>0.69822886790578498</v>
      </c>
      <c r="I2386">
        <v>0.680196207390249</v>
      </c>
      <c r="J2386">
        <v>0.830137373031551</v>
      </c>
      <c r="K2386">
        <v>0.90396201009348298</v>
      </c>
      <c r="L2386">
        <v>1107.51224165135</v>
      </c>
      <c r="M2386">
        <v>21.735730532319</v>
      </c>
      <c r="O2386">
        <v>50.528116217676398</v>
      </c>
      <c r="P2386">
        <v>-2.5309584406466398E-2</v>
      </c>
      <c r="Q2386">
        <v>0.76466110756213201</v>
      </c>
      <c r="R2386">
        <v>0.52183145953964005</v>
      </c>
      <c r="S2386" t="s">
        <v>6682</v>
      </c>
      <c r="T2386" t="s">
        <v>8590</v>
      </c>
      <c r="U2386" t="s">
        <v>8590</v>
      </c>
      <c r="V2386" t="s">
        <v>8590</v>
      </c>
      <c r="W2386">
        <v>11</v>
      </c>
      <c r="X2386" t="s">
        <v>10976</v>
      </c>
      <c r="Y2386">
        <v>0.8533774463951489</v>
      </c>
      <c r="Z2386" t="str">
        <f>HYPERLINK("Melting_Curves/meltCurve_sp_Q8NC51_4_PAIRB_HUMAN_.pdf", "Melting_Curves/meltCurve_sp_Q8NC51_4_PAIRB_HUMAN_.pdf")</f>
        <v>Melting_Curves/meltCurve_sp_Q8NC51_4_PAIRB_HUMAN_.pdf</v>
      </c>
      <c r="AA2386" t="s">
        <v>15230</v>
      </c>
      <c r="AB2386" t="s">
        <v>19470</v>
      </c>
    </row>
    <row r="2387" spans="1:28" x14ac:dyDescent="0.25">
      <c r="A2387" t="s">
        <v>2391</v>
      </c>
      <c r="B2387">
        <v>0.99876560204751996</v>
      </c>
      <c r="C2387">
        <v>0.91176080392252101</v>
      </c>
      <c r="D2387">
        <v>0.95608707655717196</v>
      </c>
      <c r="E2387">
        <v>0.79696062354770802</v>
      </c>
      <c r="F2387">
        <v>0.73025071336686798</v>
      </c>
      <c r="G2387">
        <v>0.477444962987432</v>
      </c>
      <c r="H2387">
        <v>0.38594777575290301</v>
      </c>
      <c r="I2387">
        <v>0.29249855157740101</v>
      </c>
      <c r="J2387">
        <v>0.31162769526586898</v>
      </c>
      <c r="K2387">
        <v>0.20862339727249299</v>
      </c>
      <c r="L2387">
        <v>649.34433307784298</v>
      </c>
      <c r="M2387">
        <v>11.738457443349001</v>
      </c>
      <c r="N2387">
        <v>57.339554336822701</v>
      </c>
      <c r="O2387">
        <v>53.785456606788898</v>
      </c>
      <c r="P2387">
        <v>-4.5326784033820802E-2</v>
      </c>
      <c r="Q2387">
        <v>0.16947114829683199</v>
      </c>
      <c r="R2387">
        <v>0.98659766153995199</v>
      </c>
      <c r="S2387" t="s">
        <v>6683</v>
      </c>
      <c r="T2387" t="s">
        <v>8590</v>
      </c>
      <c r="U2387" t="s">
        <v>8590</v>
      </c>
      <c r="V2387" t="s">
        <v>8590</v>
      </c>
      <c r="W2387">
        <v>2</v>
      </c>
      <c r="X2387" t="s">
        <v>10977</v>
      </c>
      <c r="Y2387">
        <v>0.61248000731336549</v>
      </c>
      <c r="Z2387" t="str">
        <f>HYPERLINK("Melting_Curves/meltCurve_sp_Q8NC96_NECP1_HUMAN_.pdf", "Melting_Curves/meltCurve_sp_Q8NC96_NECP1_HUMAN_.pdf")</f>
        <v>Melting_Curves/meltCurve_sp_Q8NC96_NECP1_HUMAN_.pdf</v>
      </c>
      <c r="AA2387" t="s">
        <v>15231</v>
      </c>
      <c r="AB2387" t="s">
        <v>19471</v>
      </c>
    </row>
    <row r="2388" spans="1:28" x14ac:dyDescent="0.25">
      <c r="A2388" t="s">
        <v>2392</v>
      </c>
      <c r="B2388">
        <v>0.99876560204751996</v>
      </c>
      <c r="C2388">
        <v>0.94232328893508899</v>
      </c>
      <c r="D2388">
        <v>0.88666763693398798</v>
      </c>
      <c r="E2388">
        <v>0.65665906034135002</v>
      </c>
      <c r="F2388">
        <v>0.46347607921078499</v>
      </c>
      <c r="G2388">
        <v>0.25682181475712801</v>
      </c>
      <c r="H2388">
        <v>0.12722753767402101</v>
      </c>
      <c r="I2388">
        <v>0.103621696131144</v>
      </c>
      <c r="J2388">
        <v>0.12567455114178699</v>
      </c>
      <c r="K2388">
        <v>6.3130147392896893E-2</v>
      </c>
      <c r="L2388">
        <v>781.23221161495906</v>
      </c>
      <c r="M2388">
        <v>15.0524713384627</v>
      </c>
      <c r="N2388">
        <v>52.336342618354401</v>
      </c>
      <c r="O2388">
        <v>51.010415779879999</v>
      </c>
      <c r="P2388">
        <v>-6.9433688054820905E-2</v>
      </c>
      <c r="Q2388">
        <v>5.8895161716296503E-2</v>
      </c>
      <c r="R2388">
        <v>0.997977764576364</v>
      </c>
      <c r="S2388" t="s">
        <v>6684</v>
      </c>
      <c r="T2388" t="s">
        <v>8590</v>
      </c>
      <c r="U2388" t="s">
        <v>8590</v>
      </c>
      <c r="V2388" t="s">
        <v>8590</v>
      </c>
      <c r="W2388">
        <v>4</v>
      </c>
      <c r="X2388" t="s">
        <v>10978</v>
      </c>
      <c r="Y2388">
        <v>0.45321776624724031</v>
      </c>
      <c r="Z2388" t="str">
        <f>HYPERLINK("Melting_Curves/meltCurve_sp_Q8NCA5_2_FA98A_HUMAN_.pdf", "Melting_Curves/meltCurve_sp_Q8NCA5_2_FA98A_HUMAN_.pdf")</f>
        <v>Melting_Curves/meltCurve_sp_Q8NCA5_2_FA98A_HUMAN_.pdf</v>
      </c>
      <c r="AA2388" t="s">
        <v>15232</v>
      </c>
      <c r="AB2388" t="s">
        <v>19472</v>
      </c>
    </row>
    <row r="2389" spans="1:28" x14ac:dyDescent="0.25">
      <c r="A2389" t="s">
        <v>2393</v>
      </c>
      <c r="B2389">
        <v>0.99876560204751996</v>
      </c>
      <c r="C2389">
        <v>0.91442019312113898</v>
      </c>
      <c r="D2389">
        <v>1.0403727019964599</v>
      </c>
      <c r="E2389">
        <v>0.97195531399149504</v>
      </c>
      <c r="F2389">
        <v>0.88421010031934899</v>
      </c>
      <c r="G2389">
        <v>0.83991406728509699</v>
      </c>
      <c r="H2389">
        <v>0.649244132633925</v>
      </c>
      <c r="I2389">
        <v>0.72632528586283496</v>
      </c>
      <c r="J2389">
        <v>0.80837370163498201</v>
      </c>
      <c r="K2389">
        <v>0.64890775960096003</v>
      </c>
      <c r="L2389">
        <v>1233.03101456639</v>
      </c>
      <c r="M2389">
        <v>22.486497715772199</v>
      </c>
      <c r="O2389">
        <v>54.406140601189698</v>
      </c>
      <c r="P2389">
        <v>-3.0498498651292599E-2</v>
      </c>
      <c r="Q2389">
        <v>0.7048412573742</v>
      </c>
      <c r="R2389">
        <v>0.81828890375458996</v>
      </c>
      <c r="S2389" t="s">
        <v>6685</v>
      </c>
      <c r="T2389" t="s">
        <v>8590</v>
      </c>
      <c r="U2389" t="s">
        <v>8590</v>
      </c>
      <c r="V2389" t="s">
        <v>8590</v>
      </c>
      <c r="W2389">
        <v>2</v>
      </c>
      <c r="X2389" t="s">
        <v>10979</v>
      </c>
      <c r="Y2389">
        <v>0.85406589004706046</v>
      </c>
      <c r="Z2389" t="str">
        <f>HYPERLINK("Melting_Curves/meltCurve_sp_Q8NCC3_PAG15_HUMAN_.pdf", "Melting_Curves/meltCurve_sp_Q8NCC3_PAG15_HUMAN_.pdf")</f>
        <v>Melting_Curves/meltCurve_sp_Q8NCC3_PAG15_HUMAN_.pdf</v>
      </c>
      <c r="AA2389" t="s">
        <v>15233</v>
      </c>
      <c r="AB2389" t="s">
        <v>19473</v>
      </c>
    </row>
    <row r="2390" spans="1:28" x14ac:dyDescent="0.25">
      <c r="A2390" t="s">
        <v>2394</v>
      </c>
      <c r="B2390">
        <v>0.99876560204751996</v>
      </c>
      <c r="C2390">
        <v>1.0361891409066599</v>
      </c>
      <c r="D2390">
        <v>0.911040803452701</v>
      </c>
      <c r="E2390">
        <v>0.93018034580060105</v>
      </c>
      <c r="F2390">
        <v>0.83758440428999803</v>
      </c>
      <c r="G2390">
        <v>0.46441345418667701</v>
      </c>
      <c r="H2390">
        <v>0.19674913945216399</v>
      </c>
      <c r="I2390">
        <v>0.15751754389246</v>
      </c>
      <c r="J2390">
        <v>0.164465015629842</v>
      </c>
      <c r="K2390">
        <v>0.16901679799378899</v>
      </c>
      <c r="L2390">
        <v>1487.1926019571699</v>
      </c>
      <c r="M2390">
        <v>26.669321505964898</v>
      </c>
      <c r="N2390">
        <v>56.488614918780897</v>
      </c>
      <c r="O2390">
        <v>55.453470273068497</v>
      </c>
      <c r="P2390">
        <v>-0.102820492968085</v>
      </c>
      <c r="Q2390">
        <v>0.144831096387293</v>
      </c>
      <c r="R2390">
        <v>0.99162831609066304</v>
      </c>
      <c r="S2390" t="s">
        <v>6686</v>
      </c>
      <c r="T2390" t="s">
        <v>8590</v>
      </c>
      <c r="U2390" t="s">
        <v>8590</v>
      </c>
      <c r="V2390" t="s">
        <v>8590</v>
      </c>
      <c r="W2390">
        <v>1</v>
      </c>
      <c r="X2390" t="s">
        <v>10980</v>
      </c>
      <c r="Y2390">
        <v>0.60124260060773471</v>
      </c>
      <c r="Z2390" t="str">
        <f>HYPERLINK("Melting_Curves/meltCurve_sp_Q8NCE2_3_MTMRE_HUMAN_.pdf", "Melting_Curves/meltCurve_sp_Q8NCE2_3_MTMRE_HUMAN_.pdf")</f>
        <v>Melting_Curves/meltCurve_sp_Q8NCE2_3_MTMRE_HUMAN_.pdf</v>
      </c>
      <c r="AA2390" t="s">
        <v>15234</v>
      </c>
      <c r="AB2390" t="s">
        <v>19474</v>
      </c>
    </row>
    <row r="2391" spans="1:28" x14ac:dyDescent="0.25">
      <c r="A2391" t="s">
        <v>2395</v>
      </c>
      <c r="B2391">
        <v>0.99876560204751996</v>
      </c>
      <c r="C2391">
        <v>1.1206238936984501</v>
      </c>
      <c r="D2391">
        <v>1.2034522332573301</v>
      </c>
      <c r="E2391">
        <v>1.0040070543789701</v>
      </c>
      <c r="F2391">
        <v>0.99394520428937805</v>
      </c>
      <c r="G2391">
        <v>0.67272054392949199</v>
      </c>
      <c r="H2391">
        <v>0.431636773916456</v>
      </c>
      <c r="I2391">
        <v>0.43071242624911099</v>
      </c>
      <c r="J2391">
        <v>0.65134259128321303</v>
      </c>
      <c r="K2391">
        <v>0.49037934390329102</v>
      </c>
      <c r="L2391">
        <v>14213.232169163201</v>
      </c>
      <c r="M2391">
        <v>250</v>
      </c>
      <c r="O2391">
        <v>56.849275496317503</v>
      </c>
      <c r="P2391">
        <v>-0.54858008621458298</v>
      </c>
      <c r="Q2391">
        <v>0.501017781399406</v>
      </c>
      <c r="R2391">
        <v>0.88809657379164497</v>
      </c>
      <c r="S2391" t="s">
        <v>6687</v>
      </c>
      <c r="T2391" t="s">
        <v>8590</v>
      </c>
      <c r="U2391" t="s">
        <v>8590</v>
      </c>
      <c r="V2391" t="s">
        <v>8590</v>
      </c>
      <c r="W2391">
        <v>3</v>
      </c>
      <c r="X2391" t="s">
        <v>10981</v>
      </c>
      <c r="Y2391">
        <v>0.78137795921820385</v>
      </c>
      <c r="Z2391" t="str">
        <f>HYPERLINK("Melting_Curves/meltCurve_sp_Q8NCN4_RN169_HUMAN_.pdf", "Melting_Curves/meltCurve_sp_Q8NCN4_RN169_HUMAN_.pdf")</f>
        <v>Melting_Curves/meltCurve_sp_Q8NCN4_RN169_HUMAN_.pdf</v>
      </c>
      <c r="AA2391" t="s">
        <v>15235</v>
      </c>
      <c r="AB2391" t="s">
        <v>19475</v>
      </c>
    </row>
    <row r="2392" spans="1:28" x14ac:dyDescent="0.25">
      <c r="A2392" t="s">
        <v>2396</v>
      </c>
      <c r="B2392">
        <v>0.99876560204751996</v>
      </c>
      <c r="C2392">
        <v>0.93781005513481197</v>
      </c>
      <c r="D2392">
        <v>0.88046135383662705</v>
      </c>
      <c r="E2392">
        <v>0.81105110560508797</v>
      </c>
      <c r="F2392">
        <v>0.40264208389963702</v>
      </c>
      <c r="G2392">
        <v>0.17232381652137299</v>
      </c>
      <c r="H2392">
        <v>0.105848981811287</v>
      </c>
      <c r="I2392">
        <v>8.8159907855666797E-2</v>
      </c>
      <c r="J2392">
        <v>9.1354624367250906E-2</v>
      </c>
      <c r="K2392">
        <v>7.3471203124226406E-2</v>
      </c>
      <c r="L2392">
        <v>1382.13950326498</v>
      </c>
      <c r="M2392">
        <v>26.572123985507901</v>
      </c>
      <c r="N2392">
        <v>52.369944917065197</v>
      </c>
      <c r="O2392">
        <v>51.722724924864799</v>
      </c>
      <c r="P2392">
        <v>-0.117843602122658</v>
      </c>
      <c r="Q2392">
        <v>8.2477864765474806E-2</v>
      </c>
      <c r="R2392">
        <v>0.98969450753392796</v>
      </c>
      <c r="S2392" t="s">
        <v>6688</v>
      </c>
      <c r="T2392" t="s">
        <v>8590</v>
      </c>
      <c r="U2392" t="s">
        <v>8590</v>
      </c>
      <c r="V2392" t="s">
        <v>8590</v>
      </c>
      <c r="W2392">
        <v>10</v>
      </c>
      <c r="X2392" t="s">
        <v>10982</v>
      </c>
      <c r="Y2392">
        <v>0.457378561272136</v>
      </c>
      <c r="Z2392" t="str">
        <f>HYPERLINK("Melting_Curves/meltCurve_sp_Q8NCN5_PDPR_HUMAN_.pdf", "Melting_Curves/meltCurve_sp_Q8NCN5_PDPR_HUMAN_.pdf")</f>
        <v>Melting_Curves/meltCurve_sp_Q8NCN5_PDPR_HUMAN_.pdf</v>
      </c>
      <c r="AA2392" t="s">
        <v>15236</v>
      </c>
      <c r="AB2392" t="s">
        <v>19476</v>
      </c>
    </row>
    <row r="2393" spans="1:28" x14ac:dyDescent="0.25">
      <c r="A2393" t="s">
        <v>2397</v>
      </c>
      <c r="B2393">
        <v>0.99876560204751996</v>
      </c>
      <c r="C2393">
        <v>0.95424863232420598</v>
      </c>
      <c r="D2393">
        <v>0.96368528721577995</v>
      </c>
      <c r="E2393">
        <v>0.92462513217925801</v>
      </c>
      <c r="F2393">
        <v>0.83621244861064903</v>
      </c>
      <c r="G2393">
        <v>0.73122633180673502</v>
      </c>
      <c r="H2393">
        <v>0.52303665139378097</v>
      </c>
      <c r="I2393">
        <v>0.29577178311873098</v>
      </c>
      <c r="J2393">
        <v>0.107218435347139</v>
      </c>
      <c r="K2393">
        <v>8.9148386448648004E-2</v>
      </c>
      <c r="L2393">
        <v>944.03872340404996</v>
      </c>
      <c r="M2393">
        <v>15.631801129668901</v>
      </c>
      <c r="N2393">
        <v>60.392191303233602</v>
      </c>
      <c r="O2393">
        <v>59.429739942456699</v>
      </c>
      <c r="P2393">
        <v>-6.5763138874495197E-2</v>
      </c>
      <c r="Q2393">
        <v>0</v>
      </c>
      <c r="R2393">
        <v>0.98546298285186795</v>
      </c>
      <c r="S2393" t="s">
        <v>6689</v>
      </c>
      <c r="T2393" t="s">
        <v>8590</v>
      </c>
      <c r="U2393" t="s">
        <v>8590</v>
      </c>
      <c r="V2393" t="s">
        <v>8590</v>
      </c>
      <c r="W2393">
        <v>14</v>
      </c>
      <c r="X2393" t="s">
        <v>10983</v>
      </c>
      <c r="Y2393">
        <v>0.68559588747619882</v>
      </c>
      <c r="Z2393" t="str">
        <f>HYPERLINK("Melting_Curves/meltCurve_sp_Q8NCW5_NNRE_HUMAN_.pdf", "Melting_Curves/meltCurve_sp_Q8NCW5_NNRE_HUMAN_.pdf")</f>
        <v>Melting_Curves/meltCurve_sp_Q8NCW5_NNRE_HUMAN_.pdf</v>
      </c>
      <c r="AA2393" t="s">
        <v>15237</v>
      </c>
      <c r="AB2393" t="s">
        <v>19477</v>
      </c>
    </row>
    <row r="2394" spans="1:28" x14ac:dyDescent="0.25">
      <c r="A2394" t="s">
        <v>2398</v>
      </c>
      <c r="B2394">
        <v>0.99876560204751996</v>
      </c>
      <c r="C2394">
        <v>0.99065998175845005</v>
      </c>
      <c r="D2394">
        <v>0.92075282876366704</v>
      </c>
      <c r="E2394">
        <v>0.97745987879284202</v>
      </c>
      <c r="F2394">
        <v>1.25212101936156</v>
      </c>
      <c r="G2394">
        <v>0.78945620222703905</v>
      </c>
      <c r="H2394">
        <v>0.88066890389264896</v>
      </c>
      <c r="I2394">
        <v>1.05781104644713</v>
      </c>
      <c r="J2394">
        <v>1.1637905669131401</v>
      </c>
      <c r="K2394">
        <v>1.0124518695295099</v>
      </c>
      <c r="L2394">
        <v>15000</v>
      </c>
      <c r="M2394">
        <v>235.02042035320301</v>
      </c>
      <c r="O2394">
        <v>63.819619757374497</v>
      </c>
      <c r="P2394">
        <v>8.1128792356172805E-2</v>
      </c>
      <c r="Q2394">
        <v>1.0881218518865501</v>
      </c>
      <c r="R2394">
        <v>0.117374243384155</v>
      </c>
      <c r="S2394" t="s">
        <v>6690</v>
      </c>
      <c r="T2394" t="s">
        <v>8590</v>
      </c>
      <c r="U2394" t="s">
        <v>8590</v>
      </c>
      <c r="V2394" t="s">
        <v>8590</v>
      </c>
      <c r="W2394">
        <v>4</v>
      </c>
      <c r="X2394" t="s">
        <v>10984</v>
      </c>
      <c r="Y2394">
        <v>1.0181294741041851</v>
      </c>
      <c r="Z2394" t="str">
        <f>HYPERLINK("Melting_Curves/meltCurve_sp_Q8ND23_2_LR16B_HUMAN_.pdf", "Melting_Curves/meltCurve_sp_Q8ND23_2_LR16B_HUMAN_.pdf")</f>
        <v>Melting_Curves/meltCurve_sp_Q8ND23_2_LR16B_HUMAN_.pdf</v>
      </c>
      <c r="AA2394" t="s">
        <v>15238</v>
      </c>
      <c r="AB2394" t="s">
        <v>19478</v>
      </c>
    </row>
    <row r="2395" spans="1:28" x14ac:dyDescent="0.25">
      <c r="A2395" t="s">
        <v>2399</v>
      </c>
      <c r="B2395">
        <v>0.99876560204751996</v>
      </c>
      <c r="C2395">
        <v>0.91437991735170598</v>
      </c>
      <c r="D2395">
        <v>0.73472916581518199</v>
      </c>
      <c r="E2395">
        <v>0.80361507275675204</v>
      </c>
      <c r="F2395">
        <v>0.52235662741875799</v>
      </c>
      <c r="G2395">
        <v>0.36506294949616203</v>
      </c>
      <c r="H2395">
        <v>0.245128159891189</v>
      </c>
      <c r="I2395">
        <v>0.22829955150987299</v>
      </c>
      <c r="J2395">
        <v>0.300778178418797</v>
      </c>
      <c r="K2395">
        <v>0.292693616290986</v>
      </c>
      <c r="L2395">
        <v>631.69964854351304</v>
      </c>
      <c r="M2395">
        <v>12.298114285721701</v>
      </c>
      <c r="N2395">
        <v>53.7715224284131</v>
      </c>
      <c r="O2395">
        <v>50.064061085330998</v>
      </c>
      <c r="P2395">
        <v>-4.8427602683014798E-2</v>
      </c>
      <c r="Q2395">
        <v>0.211602028354959</v>
      </c>
      <c r="R2395">
        <v>0.94493271035196003</v>
      </c>
      <c r="S2395" t="s">
        <v>6691</v>
      </c>
      <c r="T2395" t="s">
        <v>8590</v>
      </c>
      <c r="U2395" t="s">
        <v>8590</v>
      </c>
      <c r="V2395" t="s">
        <v>8590</v>
      </c>
      <c r="W2395">
        <v>4</v>
      </c>
      <c r="X2395" t="s">
        <v>10985</v>
      </c>
      <c r="Y2395">
        <v>0.53458347103775883</v>
      </c>
      <c r="Z2395" t="str">
        <f>HYPERLINK("Melting_Curves/meltCurve_sp_Q8ND24_RN214_HUMAN_.pdf", "Melting_Curves/meltCurve_sp_Q8ND24_RN214_HUMAN_.pdf")</f>
        <v>Melting_Curves/meltCurve_sp_Q8ND24_RN214_HUMAN_.pdf</v>
      </c>
      <c r="AA2395" t="s">
        <v>15239</v>
      </c>
      <c r="AB2395" t="s">
        <v>19479</v>
      </c>
    </row>
    <row r="2396" spans="1:28" x14ac:dyDescent="0.25">
      <c r="A2396" t="s">
        <v>2400</v>
      </c>
      <c r="B2396">
        <v>0.99876560204751996</v>
      </c>
      <c r="C2396">
        <v>0.94313861878122296</v>
      </c>
      <c r="D2396">
        <v>0.87119058225780099</v>
      </c>
      <c r="E2396">
        <v>0.72118350159399602</v>
      </c>
      <c r="F2396">
        <v>0.44383748221714597</v>
      </c>
      <c r="G2396">
        <v>0.28110150194903699</v>
      </c>
      <c r="H2396">
        <v>0.21609240832819199</v>
      </c>
      <c r="I2396">
        <v>0.199106211264342</v>
      </c>
      <c r="J2396">
        <v>0.22253625499190299</v>
      </c>
      <c r="K2396">
        <v>0.19973153882973199</v>
      </c>
      <c r="L2396">
        <v>945.69667844022399</v>
      </c>
      <c r="M2396">
        <v>18.506478452758401</v>
      </c>
      <c r="N2396">
        <v>52.442572369832497</v>
      </c>
      <c r="O2396">
        <v>50.515382419600698</v>
      </c>
      <c r="P2396">
        <v>-7.4319387587859206E-2</v>
      </c>
      <c r="Q2396">
        <v>0.188585354280284</v>
      </c>
      <c r="R2396">
        <v>0.99420567958892003</v>
      </c>
      <c r="S2396" t="s">
        <v>6692</v>
      </c>
      <c r="T2396" t="s">
        <v>8590</v>
      </c>
      <c r="U2396" t="s">
        <v>8590</v>
      </c>
      <c r="V2396" t="s">
        <v>8590</v>
      </c>
      <c r="W2396">
        <v>19</v>
      </c>
      <c r="X2396" t="s">
        <v>10986</v>
      </c>
      <c r="Y2396">
        <v>0.50182058466099722</v>
      </c>
      <c r="Z2396" t="str">
        <f>HYPERLINK("Melting_Curves/meltCurve_sp_Q8ND30_LIPB2_HUMAN_.pdf", "Melting_Curves/meltCurve_sp_Q8ND30_LIPB2_HUMAN_.pdf")</f>
        <v>Melting_Curves/meltCurve_sp_Q8ND30_LIPB2_HUMAN_.pdf</v>
      </c>
      <c r="AA2396" t="s">
        <v>15240</v>
      </c>
      <c r="AB2396" t="s">
        <v>19480</v>
      </c>
    </row>
    <row r="2397" spans="1:28" x14ac:dyDescent="0.25">
      <c r="A2397" t="s">
        <v>2401</v>
      </c>
      <c r="B2397">
        <v>0.99876560204751996</v>
      </c>
      <c r="C2397">
        <v>0.95591073335599597</v>
      </c>
      <c r="D2397">
        <v>0.87369279702244595</v>
      </c>
      <c r="E2397">
        <v>0.79245515360651297</v>
      </c>
      <c r="F2397">
        <v>0.42158478341865602</v>
      </c>
      <c r="G2397">
        <v>0.15485576204384799</v>
      </c>
      <c r="H2397">
        <v>9.7861187296303595E-2</v>
      </c>
      <c r="I2397">
        <v>0.14041117151770999</v>
      </c>
      <c r="J2397">
        <v>9.5062111960623003E-2</v>
      </c>
      <c r="K2397">
        <v>0.133993196011817</v>
      </c>
      <c r="L2397">
        <v>1425.5267580949701</v>
      </c>
      <c r="M2397">
        <v>27.487932559817398</v>
      </c>
      <c r="N2397">
        <v>52.318880862356202</v>
      </c>
      <c r="O2397">
        <v>51.587951064346001</v>
      </c>
      <c r="P2397">
        <v>-0.118943992966872</v>
      </c>
      <c r="Q2397">
        <v>0.107096165605504</v>
      </c>
      <c r="R2397">
        <v>0.98897511515163605</v>
      </c>
      <c r="S2397" t="s">
        <v>6693</v>
      </c>
      <c r="T2397" t="s">
        <v>8590</v>
      </c>
      <c r="U2397" t="s">
        <v>8590</v>
      </c>
      <c r="V2397" t="s">
        <v>8590</v>
      </c>
      <c r="W2397">
        <v>2</v>
      </c>
      <c r="X2397" t="s">
        <v>10987</v>
      </c>
      <c r="Y2397">
        <v>0.46685975833685989</v>
      </c>
      <c r="Z2397" t="str">
        <f>HYPERLINK("Melting_Curves/meltCurve_sp_Q8ND76_3_CCNY_HUMAN_.pdf", "Melting_Curves/meltCurve_sp_Q8ND76_3_CCNY_HUMAN_.pdf")</f>
        <v>Melting_Curves/meltCurve_sp_Q8ND76_3_CCNY_HUMAN_.pdf</v>
      </c>
      <c r="AA2397" t="s">
        <v>15241</v>
      </c>
      <c r="AB2397" t="s">
        <v>19481</v>
      </c>
    </row>
    <row r="2398" spans="1:28" x14ac:dyDescent="0.25">
      <c r="A2398" t="s">
        <v>2402</v>
      </c>
      <c r="B2398">
        <v>0.99876560204751996</v>
      </c>
      <c r="C2398">
        <v>1.03829937578956</v>
      </c>
      <c r="D2398">
        <v>0.83568118980019401</v>
      </c>
      <c r="E2398">
        <v>0.84430233087844397</v>
      </c>
      <c r="F2398">
        <v>0.66481944236146595</v>
      </c>
      <c r="G2398">
        <v>0.51656132080803896</v>
      </c>
      <c r="H2398">
        <v>0.29345408259807798</v>
      </c>
      <c r="I2398">
        <v>0.176127504073152</v>
      </c>
      <c r="J2398">
        <v>0.118408905146835</v>
      </c>
      <c r="K2398">
        <v>6.1798673447050402E-2</v>
      </c>
      <c r="L2398">
        <v>677.09825017453204</v>
      </c>
      <c r="M2398">
        <v>11.9992223781231</v>
      </c>
      <c r="N2398">
        <v>56.428510850531602</v>
      </c>
      <c r="O2398">
        <v>54.929794385116899</v>
      </c>
      <c r="P2398">
        <v>-5.4624820429311799E-2</v>
      </c>
      <c r="Q2398">
        <v>0</v>
      </c>
      <c r="R2398">
        <v>0.98525917326771395</v>
      </c>
      <c r="S2398" t="s">
        <v>6694</v>
      </c>
      <c r="T2398" t="s">
        <v>8590</v>
      </c>
      <c r="U2398" t="s">
        <v>8590</v>
      </c>
      <c r="V2398" t="s">
        <v>8590</v>
      </c>
      <c r="W2398">
        <v>5</v>
      </c>
      <c r="X2398" t="s">
        <v>10988</v>
      </c>
      <c r="Y2398">
        <v>0.56654366652261667</v>
      </c>
      <c r="Z2398" t="str">
        <f>HYPERLINK("Melting_Curves/meltCurve_sp_Q8NDH3_PEPL1_HUMAN_.pdf", "Melting_Curves/meltCurve_sp_Q8NDH3_PEPL1_HUMAN_.pdf")</f>
        <v>Melting_Curves/meltCurve_sp_Q8NDH3_PEPL1_HUMAN_.pdf</v>
      </c>
      <c r="AA2398" t="s">
        <v>15242</v>
      </c>
      <c r="AB2398" t="s">
        <v>19482</v>
      </c>
    </row>
    <row r="2399" spans="1:28" x14ac:dyDescent="0.25">
      <c r="A2399" t="s">
        <v>2403</v>
      </c>
      <c r="B2399">
        <v>0.99876560204751996</v>
      </c>
      <c r="C2399">
        <v>0.94692148035251</v>
      </c>
      <c r="D2399">
        <v>0.93401210980854799</v>
      </c>
      <c r="E2399">
        <v>0.746349713405147</v>
      </c>
      <c r="F2399">
        <v>0.64934844443070505</v>
      </c>
      <c r="G2399">
        <v>0.44292472129189903</v>
      </c>
      <c r="H2399">
        <v>0.36550448009224101</v>
      </c>
      <c r="I2399">
        <v>0.32255853741914198</v>
      </c>
      <c r="J2399">
        <v>0.43756261379161299</v>
      </c>
      <c r="K2399">
        <v>0.37525659372223202</v>
      </c>
      <c r="L2399">
        <v>894.22170461528697</v>
      </c>
      <c r="M2399">
        <v>17.3219714312634</v>
      </c>
      <c r="N2399">
        <v>55.620043191707303</v>
      </c>
      <c r="O2399">
        <v>50.950264636305597</v>
      </c>
      <c r="P2399">
        <v>-5.4741446411494699E-2</v>
      </c>
      <c r="Q2399">
        <v>0.35597836282343098</v>
      </c>
      <c r="R2399">
        <v>0.97998023973910597</v>
      </c>
      <c r="S2399" t="s">
        <v>6695</v>
      </c>
      <c r="T2399" t="s">
        <v>8590</v>
      </c>
      <c r="U2399" t="s">
        <v>8590</v>
      </c>
      <c r="V2399" t="s">
        <v>8590</v>
      </c>
      <c r="W2399">
        <v>17</v>
      </c>
      <c r="X2399" t="s">
        <v>10989</v>
      </c>
      <c r="Y2399">
        <v>0.61701441631621867</v>
      </c>
      <c r="Z2399" t="str">
        <f>HYPERLINK("Melting_Curves/meltCurve_sp_Q8NDI1_3_EHBP1_HUMAN_.pdf", "Melting_Curves/meltCurve_sp_Q8NDI1_3_EHBP1_HUMAN_.pdf")</f>
        <v>Melting_Curves/meltCurve_sp_Q8NDI1_3_EHBP1_HUMAN_.pdf</v>
      </c>
      <c r="AA2399" t="s">
        <v>15243</v>
      </c>
      <c r="AB2399" t="s">
        <v>19483</v>
      </c>
    </row>
    <row r="2400" spans="1:28" x14ac:dyDescent="0.25">
      <c r="A2400" t="s">
        <v>2404</v>
      </c>
      <c r="B2400">
        <v>0.99876560204751996</v>
      </c>
      <c r="C2400">
        <v>0.98452401718510496</v>
      </c>
      <c r="D2400">
        <v>1.0349314633012801</v>
      </c>
      <c r="E2400">
        <v>1.08395990370337</v>
      </c>
      <c r="F2400">
        <v>0.95610068779632096</v>
      </c>
      <c r="G2400">
        <v>0.77139788807120102</v>
      </c>
      <c r="H2400">
        <v>0.72825732682281896</v>
      </c>
      <c r="I2400">
        <v>0.66487570283334496</v>
      </c>
      <c r="J2400">
        <v>0.93034114663006096</v>
      </c>
      <c r="K2400">
        <v>0.99597673282281196</v>
      </c>
      <c r="L2400">
        <v>13310.6773271727</v>
      </c>
      <c r="M2400">
        <v>250</v>
      </c>
      <c r="O2400">
        <v>53.239302143142801</v>
      </c>
      <c r="P2400">
        <v>-0.21345866131333299</v>
      </c>
      <c r="Q2400">
        <v>0.81816975762762201</v>
      </c>
      <c r="R2400">
        <v>0.523056703794061</v>
      </c>
      <c r="S2400" t="s">
        <v>6696</v>
      </c>
      <c r="T2400" t="s">
        <v>8590</v>
      </c>
      <c r="U2400" t="s">
        <v>8590</v>
      </c>
      <c r="V2400" t="s">
        <v>8590</v>
      </c>
      <c r="W2400">
        <v>2</v>
      </c>
      <c r="X2400" t="s">
        <v>10990</v>
      </c>
      <c r="Y2400">
        <v>0.89845091597728888</v>
      </c>
      <c r="Z2400" t="str">
        <f>HYPERLINK("Melting_Curves/meltCurve_sp_Q8NDX1_2_PSD4_HUMAN_.pdf", "Melting_Curves/meltCurve_sp_Q8NDX1_2_PSD4_HUMAN_.pdf")</f>
        <v>Melting_Curves/meltCurve_sp_Q8NDX1_2_PSD4_HUMAN_.pdf</v>
      </c>
      <c r="AA2400" t="s">
        <v>15244</v>
      </c>
      <c r="AB2400" t="s">
        <v>19484</v>
      </c>
    </row>
    <row r="2401" spans="1:28" x14ac:dyDescent="0.25">
      <c r="A2401" t="s">
        <v>2405</v>
      </c>
      <c r="B2401">
        <v>0.99876560204751996</v>
      </c>
      <c r="C2401">
        <v>1.03811220602263</v>
      </c>
      <c r="D2401">
        <v>0.97211200585347102</v>
      </c>
      <c r="E2401">
        <v>0.89102975005940499</v>
      </c>
      <c r="F2401">
        <v>0.79567560156220896</v>
      </c>
      <c r="G2401">
        <v>0.67589330616708798</v>
      </c>
      <c r="H2401">
        <v>0.47941869317921698</v>
      </c>
      <c r="I2401">
        <v>0.39176412129639798</v>
      </c>
      <c r="J2401">
        <v>0.46735889155907701</v>
      </c>
      <c r="K2401">
        <v>0.51979579466436598</v>
      </c>
      <c r="L2401">
        <v>1009.26263524049</v>
      </c>
      <c r="M2401">
        <v>18.445704121923299</v>
      </c>
      <c r="N2401">
        <v>61.8344655245524</v>
      </c>
      <c r="O2401">
        <v>54.084399707111899</v>
      </c>
      <c r="P2401">
        <v>-4.7732176197500698E-2</v>
      </c>
      <c r="Q2401">
        <v>0.440205608283743</v>
      </c>
      <c r="R2401">
        <v>0.96583602962051096</v>
      </c>
      <c r="S2401" t="s">
        <v>6697</v>
      </c>
      <c r="T2401" t="s">
        <v>8590</v>
      </c>
      <c r="U2401" t="s">
        <v>8590</v>
      </c>
      <c r="V2401" t="s">
        <v>8590</v>
      </c>
      <c r="W2401">
        <v>1</v>
      </c>
      <c r="X2401" t="s">
        <v>10991</v>
      </c>
      <c r="Y2401">
        <v>0.72324965794468099</v>
      </c>
      <c r="Z2401" t="str">
        <f>HYPERLINK("Melting_Curves/meltCurve_sp_Q8NDX5_2_PHC3_HUMAN_.pdf", "Melting_Curves/meltCurve_sp_Q8NDX5_2_PHC3_HUMAN_.pdf")</f>
        <v>Melting_Curves/meltCurve_sp_Q8NDX5_2_PHC3_HUMAN_.pdf</v>
      </c>
      <c r="AA2401" t="s">
        <v>15245</v>
      </c>
      <c r="AB2401" t="s">
        <v>19485</v>
      </c>
    </row>
    <row r="2402" spans="1:28" x14ac:dyDescent="0.25">
      <c r="A2402" t="s">
        <v>2406</v>
      </c>
      <c r="B2402">
        <v>0.99876560204751996</v>
      </c>
      <c r="C2402">
        <v>0.81574061024312505</v>
      </c>
      <c r="D2402">
        <v>0.55054954653898902</v>
      </c>
      <c r="E2402">
        <v>0.32099569722287802</v>
      </c>
      <c r="F2402">
        <v>0.16630128982380901</v>
      </c>
      <c r="G2402">
        <v>0.104165585820573</v>
      </c>
      <c r="H2402">
        <v>6.6825710889472603E-2</v>
      </c>
      <c r="I2402">
        <v>5.44896469908892E-2</v>
      </c>
      <c r="J2402">
        <v>5.3790672725053501E-2</v>
      </c>
      <c r="K2402">
        <v>5.31600498093742E-2</v>
      </c>
      <c r="L2402">
        <v>765.342787985158</v>
      </c>
      <c r="M2402">
        <v>16.389873283144102</v>
      </c>
      <c r="N2402">
        <v>47.001373523728297</v>
      </c>
      <c r="O2402">
        <v>46.0175276117048</v>
      </c>
      <c r="P2402">
        <v>-8.4551396490084793E-2</v>
      </c>
      <c r="Q2402">
        <v>5.0494523275158999E-2</v>
      </c>
      <c r="R2402">
        <v>0.99518432964250303</v>
      </c>
      <c r="S2402" t="s">
        <v>6698</v>
      </c>
      <c r="T2402" t="s">
        <v>8590</v>
      </c>
      <c r="U2402" t="s">
        <v>8590</v>
      </c>
      <c r="V2402" t="s">
        <v>8590</v>
      </c>
      <c r="W2402">
        <v>7</v>
      </c>
      <c r="X2402" t="s">
        <v>10992</v>
      </c>
      <c r="Y2402">
        <v>0.28424983134010923</v>
      </c>
      <c r="Z2402" t="str">
        <f>HYPERLINK("Melting_Curves/meltCurve_sp_Q8NE62_CHDH_HUMAN_.pdf", "Melting_Curves/meltCurve_sp_Q8NE62_CHDH_HUMAN_.pdf")</f>
        <v>Melting_Curves/meltCurve_sp_Q8NE62_CHDH_HUMAN_.pdf</v>
      </c>
      <c r="AA2402" t="s">
        <v>15246</v>
      </c>
      <c r="AB2402" t="s">
        <v>19486</v>
      </c>
    </row>
    <row r="2403" spans="1:28" x14ac:dyDescent="0.25">
      <c r="A2403" t="s">
        <v>2407</v>
      </c>
      <c r="B2403">
        <v>0.99876560204751996</v>
      </c>
      <c r="C2403">
        <v>0.90390378804169402</v>
      </c>
      <c r="D2403">
        <v>0.72774888044470798</v>
      </c>
      <c r="E2403">
        <v>0.53146846948661497</v>
      </c>
      <c r="F2403">
        <v>0.43402708999853001</v>
      </c>
      <c r="G2403">
        <v>0.37407924655607799</v>
      </c>
      <c r="H2403">
        <v>0.283575622310696</v>
      </c>
      <c r="I2403">
        <v>0.31864286778115902</v>
      </c>
      <c r="J2403">
        <v>0.34738334921411002</v>
      </c>
      <c r="K2403">
        <v>0.36304709973796301</v>
      </c>
      <c r="L2403">
        <v>803.04152653549795</v>
      </c>
      <c r="M2403">
        <v>16.956134331243401</v>
      </c>
      <c r="N2403">
        <v>50.514071234894999</v>
      </c>
      <c r="O2403">
        <v>46.715908865573198</v>
      </c>
      <c r="P2403">
        <v>-6.1112594248510697E-2</v>
      </c>
      <c r="Q2403">
        <v>0.32655565478716803</v>
      </c>
      <c r="R2403">
        <v>0.98922534851334998</v>
      </c>
      <c r="S2403" t="s">
        <v>6699</v>
      </c>
      <c r="T2403" t="s">
        <v>8590</v>
      </c>
      <c r="U2403" t="s">
        <v>8590</v>
      </c>
      <c r="V2403" t="s">
        <v>8590</v>
      </c>
      <c r="W2403">
        <v>9</v>
      </c>
      <c r="X2403" t="s">
        <v>10993</v>
      </c>
      <c r="Y2403">
        <v>0.50565745863597777</v>
      </c>
      <c r="Z2403" t="str">
        <f>HYPERLINK("Melting_Curves/meltCurve_sp_Q8NE71_ABCF1_HUMAN_.pdf", "Melting_Curves/meltCurve_sp_Q8NE71_ABCF1_HUMAN_.pdf")</f>
        <v>Melting_Curves/meltCurve_sp_Q8NE71_ABCF1_HUMAN_.pdf</v>
      </c>
      <c r="AA2403" t="s">
        <v>15247</v>
      </c>
      <c r="AB2403" t="s">
        <v>19487</v>
      </c>
    </row>
    <row r="2404" spans="1:28" x14ac:dyDescent="0.25">
      <c r="A2404" t="s">
        <v>2408</v>
      </c>
      <c r="B2404">
        <v>0.99876560204751996</v>
      </c>
      <c r="C2404">
        <v>0.68078821964067904</v>
      </c>
      <c r="D2404">
        <v>0.76126304561083402</v>
      </c>
      <c r="E2404">
        <v>0.41810250687391298</v>
      </c>
      <c r="F2404">
        <v>0.16758217117972299</v>
      </c>
      <c r="G2404">
        <v>0.14769534569557999</v>
      </c>
      <c r="H2404">
        <v>2.2679803427871001E-2</v>
      </c>
      <c r="I2404">
        <v>2.4879443729555899E-2</v>
      </c>
      <c r="J2404">
        <v>3.4701591504524301E-2</v>
      </c>
      <c r="K2404">
        <v>5.6248639965423099E-2</v>
      </c>
      <c r="L2404">
        <v>632.29350550360198</v>
      </c>
      <c r="M2404">
        <v>13.0898769202335</v>
      </c>
      <c r="N2404">
        <v>48.303988622725697</v>
      </c>
      <c r="O2404">
        <v>47.2183616653722</v>
      </c>
      <c r="P2404">
        <v>-6.9316936037484705E-2</v>
      </c>
      <c r="Q2404">
        <v>0</v>
      </c>
      <c r="R2404">
        <v>0.95809126830370805</v>
      </c>
      <c r="S2404" t="s">
        <v>6700</v>
      </c>
      <c r="T2404" t="s">
        <v>8590</v>
      </c>
      <c r="U2404" t="s">
        <v>8590</v>
      </c>
      <c r="V2404" t="s">
        <v>8590</v>
      </c>
      <c r="W2404">
        <v>3</v>
      </c>
      <c r="X2404" t="s">
        <v>10994</v>
      </c>
      <c r="Y2404">
        <v>0.30964782780105637</v>
      </c>
      <c r="Z2404" t="str">
        <f>HYPERLINK("Melting_Curves/meltCurve_sp_Q8NEB9_PK3C3_HUMAN_.pdf", "Melting_Curves/meltCurve_sp_Q8NEB9_PK3C3_HUMAN_.pdf")</f>
        <v>Melting_Curves/meltCurve_sp_Q8NEB9_PK3C3_HUMAN_.pdf</v>
      </c>
      <c r="AA2404" t="s">
        <v>15248</v>
      </c>
      <c r="AB2404" t="s">
        <v>19488</v>
      </c>
    </row>
    <row r="2405" spans="1:28" x14ac:dyDescent="0.25">
      <c r="A2405" t="s">
        <v>2409</v>
      </c>
      <c r="B2405">
        <v>0.99876560204751996</v>
      </c>
      <c r="C2405">
        <v>0.95254058863277002</v>
      </c>
      <c r="D2405">
        <v>0.92056328592039705</v>
      </c>
      <c r="E2405">
        <v>0.91331647902384305</v>
      </c>
      <c r="F2405">
        <v>0.80007162540002497</v>
      </c>
      <c r="G2405">
        <v>0.59727024282909003</v>
      </c>
      <c r="H2405">
        <v>0.44208980842704498</v>
      </c>
      <c r="I2405">
        <v>0.36665417449015902</v>
      </c>
      <c r="J2405">
        <v>0.62420026539504003</v>
      </c>
      <c r="K2405">
        <v>0.49534963607409699</v>
      </c>
      <c r="L2405">
        <v>1349.56445756521</v>
      </c>
      <c r="M2405">
        <v>25.1162190776143</v>
      </c>
      <c r="N2405">
        <v>61.363458940188004</v>
      </c>
      <c r="O2405">
        <v>53.3956441385765</v>
      </c>
      <c r="P2405">
        <v>-6.1386164270752601E-2</v>
      </c>
      <c r="Q2405">
        <v>0.47799314219821598</v>
      </c>
      <c r="R2405">
        <v>0.90428430983979202</v>
      </c>
      <c r="S2405" t="s">
        <v>6701</v>
      </c>
      <c r="T2405" t="s">
        <v>8590</v>
      </c>
      <c r="U2405" t="s">
        <v>8590</v>
      </c>
      <c r="V2405" t="s">
        <v>8590</v>
      </c>
      <c r="W2405">
        <v>2</v>
      </c>
      <c r="X2405" t="s">
        <v>10995</v>
      </c>
      <c r="Y2405">
        <v>0.72173189460743759</v>
      </c>
      <c r="Z2405" t="str">
        <f>HYPERLINK("Melting_Curves/meltCurve_sp_Q8NEN9_PDZD8_HUMAN_.pdf", "Melting_Curves/meltCurve_sp_Q8NEN9_PDZD8_HUMAN_.pdf")</f>
        <v>Melting_Curves/meltCurve_sp_Q8NEN9_PDZD8_HUMAN_.pdf</v>
      </c>
      <c r="AA2405" t="s">
        <v>15249</v>
      </c>
      <c r="AB2405" t="s">
        <v>19489</v>
      </c>
    </row>
    <row r="2406" spans="1:28" x14ac:dyDescent="0.25">
      <c r="A2406" t="s">
        <v>2410</v>
      </c>
      <c r="B2406">
        <v>0.99876560204751996</v>
      </c>
      <c r="C2406">
        <v>1.0306287712751401</v>
      </c>
      <c r="D2406">
        <v>0.93454124205313005</v>
      </c>
      <c r="E2406">
        <v>0.49656596446124901</v>
      </c>
      <c r="F2406">
        <v>0.28608102553660503</v>
      </c>
      <c r="G2406">
        <v>0.16537105534282501</v>
      </c>
      <c r="H2406">
        <v>0.11859111951404799</v>
      </c>
      <c r="I2406">
        <v>0.104726233195386</v>
      </c>
      <c r="J2406">
        <v>0.122243521287711</v>
      </c>
      <c r="K2406">
        <v>0.10042446333363</v>
      </c>
      <c r="L2406">
        <v>1342.86385474961</v>
      </c>
      <c r="M2406">
        <v>27.008212467927098</v>
      </c>
      <c r="N2406">
        <v>50.217504912299503</v>
      </c>
      <c r="O2406">
        <v>49.450383388311103</v>
      </c>
      <c r="P2406">
        <v>-0.12053141322579999</v>
      </c>
      <c r="Q2406">
        <v>0.117266035091525</v>
      </c>
      <c r="R2406">
        <v>0.99649912845066202</v>
      </c>
      <c r="S2406" t="s">
        <v>6702</v>
      </c>
      <c r="T2406" t="s">
        <v>8590</v>
      </c>
      <c r="U2406" t="s">
        <v>8590</v>
      </c>
      <c r="V2406" t="s">
        <v>8590</v>
      </c>
      <c r="W2406">
        <v>8</v>
      </c>
      <c r="X2406" t="s">
        <v>10996</v>
      </c>
      <c r="Y2406">
        <v>0.41001629476485107</v>
      </c>
      <c r="Z2406" t="str">
        <f>HYPERLINK("Melting_Curves/meltCurve_sp_Q8NEU8_DP13B_HUMAN_.pdf", "Melting_Curves/meltCurve_sp_Q8NEU8_DP13B_HUMAN_.pdf")</f>
        <v>Melting_Curves/meltCurve_sp_Q8NEU8_DP13B_HUMAN_.pdf</v>
      </c>
      <c r="AA2406" t="s">
        <v>15250</v>
      </c>
      <c r="AB2406" t="s">
        <v>19490</v>
      </c>
    </row>
    <row r="2407" spans="1:28" x14ac:dyDescent="0.25">
      <c r="A2407" t="s">
        <v>2411</v>
      </c>
      <c r="B2407">
        <v>0.99876560204751996</v>
      </c>
      <c r="C2407">
        <v>0.99811402160608398</v>
      </c>
      <c r="D2407">
        <v>0.93785514334231002</v>
      </c>
      <c r="E2407">
        <v>0.86394414192679403</v>
      </c>
      <c r="F2407">
        <v>0.85038503054302095</v>
      </c>
      <c r="G2407">
        <v>0.67070987369889401</v>
      </c>
      <c r="H2407">
        <v>0.56550739389653903</v>
      </c>
      <c r="I2407">
        <v>0.52915291764380601</v>
      </c>
      <c r="J2407">
        <v>0.758068077043483</v>
      </c>
      <c r="K2407">
        <v>0.78628640059577104</v>
      </c>
      <c r="L2407">
        <v>1150.0119221928901</v>
      </c>
      <c r="M2407">
        <v>22.220122766802401</v>
      </c>
      <c r="O2407">
        <v>51.341702975891401</v>
      </c>
      <c r="P2407">
        <v>-3.7049070046291897E-2</v>
      </c>
      <c r="Q2407">
        <v>0.65758577539339003</v>
      </c>
      <c r="R2407">
        <v>0.75338211836440905</v>
      </c>
      <c r="S2407" t="s">
        <v>6703</v>
      </c>
      <c r="T2407" t="s">
        <v>8590</v>
      </c>
      <c r="U2407" t="s">
        <v>8590</v>
      </c>
      <c r="V2407" t="s">
        <v>8590</v>
      </c>
      <c r="W2407">
        <v>2</v>
      </c>
      <c r="X2407" t="s">
        <v>10997</v>
      </c>
      <c r="Y2407">
        <v>0.79566504404519001</v>
      </c>
      <c r="Z2407" t="str">
        <f>HYPERLINK("Melting_Curves/meltCurve_sp_Q8NEY8_6_PPHLN_HUMAN_.pdf", "Melting_Curves/meltCurve_sp_Q8NEY8_6_PPHLN_HUMAN_.pdf")</f>
        <v>Melting_Curves/meltCurve_sp_Q8NEY8_6_PPHLN_HUMAN_.pdf</v>
      </c>
      <c r="AA2407" t="s">
        <v>15251</v>
      </c>
      <c r="AB2407" t="s">
        <v>19491</v>
      </c>
    </row>
    <row r="2408" spans="1:28" x14ac:dyDescent="0.25">
      <c r="A2408" t="s">
        <v>2412</v>
      </c>
      <c r="B2408">
        <v>0.99876560204751996</v>
      </c>
      <c r="C2408">
        <v>0.90250725840935497</v>
      </c>
      <c r="D2408">
        <v>0.65296178275408301</v>
      </c>
      <c r="E2408">
        <v>0.613102017807029</v>
      </c>
      <c r="F2408">
        <v>0.54584471378918897</v>
      </c>
      <c r="G2408">
        <v>0.33640731539822699</v>
      </c>
      <c r="H2408">
        <v>0.31069733568729802</v>
      </c>
      <c r="I2408">
        <v>0.28754033011598101</v>
      </c>
      <c r="J2408">
        <v>0.106387801572473</v>
      </c>
      <c r="K2408">
        <v>0.11118102795312</v>
      </c>
      <c r="L2408">
        <v>404.13701294134597</v>
      </c>
      <c r="M2408">
        <v>7.6118967953258503</v>
      </c>
      <c r="N2408">
        <v>53.092812531750603</v>
      </c>
      <c r="O2408">
        <v>49.8002453812502</v>
      </c>
      <c r="P2408">
        <v>-3.8264151373937898E-2</v>
      </c>
      <c r="Q2408">
        <v>0</v>
      </c>
      <c r="R2408">
        <v>0.95980929160435302</v>
      </c>
      <c r="S2408" t="s">
        <v>6704</v>
      </c>
      <c r="T2408" t="s">
        <v>8590</v>
      </c>
      <c r="U2408" t="s">
        <v>8590</v>
      </c>
      <c r="V2408" t="s">
        <v>8590</v>
      </c>
      <c r="W2408">
        <v>1</v>
      </c>
      <c r="X2408" t="s">
        <v>10998</v>
      </c>
      <c r="Y2408">
        <v>0.47781266076524392</v>
      </c>
      <c r="Z2408" t="str">
        <f>HYPERLINK("Melting_Curves/meltCurve_sp_Q8NEZ2_2_VP37A_HUMAN_.pdf", "Melting_Curves/meltCurve_sp_Q8NEZ2_2_VP37A_HUMAN_.pdf")</f>
        <v>Melting_Curves/meltCurve_sp_Q8NEZ2_2_VP37A_HUMAN_.pdf</v>
      </c>
      <c r="AA2408" t="s">
        <v>15252</v>
      </c>
      <c r="AB2408" t="s">
        <v>19492</v>
      </c>
    </row>
    <row r="2409" spans="1:28" x14ac:dyDescent="0.25">
      <c r="A2409" t="s">
        <v>2413</v>
      </c>
      <c r="B2409">
        <v>0.99876560204751996</v>
      </c>
      <c r="C2409">
        <v>0.92765583820178099</v>
      </c>
      <c r="D2409">
        <v>0.93704951200546305</v>
      </c>
      <c r="E2409">
        <v>0.84344318905242999</v>
      </c>
      <c r="F2409">
        <v>0.48652206487405802</v>
      </c>
      <c r="G2409">
        <v>0.12671449626314901</v>
      </c>
      <c r="H2409">
        <v>8.6019948025880505E-2</v>
      </c>
      <c r="I2409">
        <v>4.3686244126854498E-2</v>
      </c>
      <c r="J2409">
        <v>3.3866605914552997E-2</v>
      </c>
      <c r="K2409">
        <v>1.36126953471606E-2</v>
      </c>
      <c r="L2409">
        <v>1463.20579933052</v>
      </c>
      <c r="M2409">
        <v>27.724973643888099</v>
      </c>
      <c r="N2409">
        <v>52.903836885121102</v>
      </c>
      <c r="O2409">
        <v>52.503461803344798</v>
      </c>
      <c r="P2409">
        <v>-0.127730202806738</v>
      </c>
      <c r="Q2409">
        <v>3.2465428828606403E-2</v>
      </c>
      <c r="R2409">
        <v>0.99464964430787595</v>
      </c>
      <c r="S2409" t="s">
        <v>6705</v>
      </c>
      <c r="T2409" t="s">
        <v>8590</v>
      </c>
      <c r="U2409" t="s">
        <v>8590</v>
      </c>
      <c r="V2409" t="s">
        <v>8590</v>
      </c>
      <c r="W2409">
        <v>4</v>
      </c>
      <c r="X2409" t="s">
        <v>10999</v>
      </c>
      <c r="Y2409">
        <v>0.45179289771142173</v>
      </c>
      <c r="Z2409" t="str">
        <f>HYPERLINK("Melting_Curves/meltCurve_sp_Q8NEZ5_FBX22_HUMAN_.pdf", "Melting_Curves/meltCurve_sp_Q8NEZ5_FBX22_HUMAN_.pdf")</f>
        <v>Melting_Curves/meltCurve_sp_Q8NEZ5_FBX22_HUMAN_.pdf</v>
      </c>
      <c r="AA2409" t="s">
        <v>15253</v>
      </c>
      <c r="AB2409" t="s">
        <v>19493</v>
      </c>
    </row>
    <row r="2410" spans="1:28" x14ac:dyDescent="0.25">
      <c r="A2410" t="s">
        <v>2414</v>
      </c>
      <c r="B2410">
        <v>0.99876560204751996</v>
      </c>
      <c r="C2410">
        <v>0.94761244049509796</v>
      </c>
      <c r="D2410">
        <v>1.0211860232391801</v>
      </c>
      <c r="E2410">
        <v>0.88801221895205396</v>
      </c>
      <c r="F2410">
        <v>0.82014787600015604</v>
      </c>
      <c r="G2410">
        <v>0.61684076024312695</v>
      </c>
      <c r="H2410">
        <v>0.50012799978778899</v>
      </c>
      <c r="I2410">
        <v>0.48503388406875297</v>
      </c>
      <c r="J2410">
        <v>0.60984110343312603</v>
      </c>
      <c r="K2410">
        <v>0.61376980511700097</v>
      </c>
      <c r="L2410">
        <v>1430.71690718318</v>
      </c>
      <c r="M2410">
        <v>26.8640557472777</v>
      </c>
      <c r="O2410">
        <v>52.9651768965579</v>
      </c>
      <c r="P2410">
        <v>-5.7110079003999899E-2</v>
      </c>
      <c r="Q2410">
        <v>0.54961159347806698</v>
      </c>
      <c r="R2410">
        <v>0.94114682076707001</v>
      </c>
      <c r="S2410" t="s">
        <v>6706</v>
      </c>
      <c r="T2410" t="s">
        <v>8590</v>
      </c>
      <c r="U2410" t="s">
        <v>8590</v>
      </c>
      <c r="V2410" t="s">
        <v>8590</v>
      </c>
      <c r="W2410">
        <v>15</v>
      </c>
      <c r="X2410" t="s">
        <v>11000</v>
      </c>
      <c r="Y2410">
        <v>0.752275453249166</v>
      </c>
      <c r="Z2410" t="str">
        <f>HYPERLINK("Melting_Curves/meltCurve_sp_Q8NFC6_BD1L1_HUMAN_.pdf", "Melting_Curves/meltCurve_sp_Q8NFC6_BD1L1_HUMAN_.pdf")</f>
        <v>Melting_Curves/meltCurve_sp_Q8NFC6_BD1L1_HUMAN_.pdf</v>
      </c>
      <c r="AA2410" t="s">
        <v>15254</v>
      </c>
      <c r="AB2410" t="s">
        <v>19494</v>
      </c>
    </row>
    <row r="2411" spans="1:28" x14ac:dyDescent="0.25">
      <c r="A2411" t="s">
        <v>2415</v>
      </c>
      <c r="B2411">
        <v>0.99876560204751996</v>
      </c>
      <c r="C2411">
        <v>0.92352709935880295</v>
      </c>
      <c r="D2411">
        <v>0.77861240693296796</v>
      </c>
      <c r="E2411">
        <v>0.36186888444210202</v>
      </c>
      <c r="F2411">
        <v>0.183648681379217</v>
      </c>
      <c r="G2411">
        <v>0.13788804591046799</v>
      </c>
      <c r="H2411">
        <v>8.0423851787430306E-2</v>
      </c>
      <c r="I2411">
        <v>7.0430484274343702E-2</v>
      </c>
      <c r="J2411">
        <v>6.3412230060228003E-2</v>
      </c>
      <c r="K2411">
        <v>6.1455883231059702E-2</v>
      </c>
      <c r="L2411">
        <v>1040.35676979091</v>
      </c>
      <c r="M2411">
        <v>21.539241971376899</v>
      </c>
      <c r="N2411">
        <v>48.641815629896001</v>
      </c>
      <c r="O2411">
        <v>47.889978254227501</v>
      </c>
      <c r="P2411">
        <v>-0.104558256841183</v>
      </c>
      <c r="Q2411">
        <v>7.0130523055494207E-2</v>
      </c>
      <c r="R2411">
        <v>0.99835765496747597</v>
      </c>
      <c r="S2411" t="s">
        <v>6707</v>
      </c>
      <c r="T2411" t="s">
        <v>8590</v>
      </c>
      <c r="U2411" t="s">
        <v>8590</v>
      </c>
      <c r="V2411" t="s">
        <v>8590</v>
      </c>
      <c r="W2411">
        <v>14</v>
      </c>
      <c r="X2411" t="s">
        <v>11001</v>
      </c>
      <c r="Y2411">
        <v>0.33865726410616442</v>
      </c>
      <c r="Z2411" t="str">
        <f>HYPERLINK("Melting_Curves/meltCurve_sp_Q8NFF5_2_FAD1_HUMAN_.pdf", "Melting_Curves/meltCurve_sp_Q8NFF5_2_FAD1_HUMAN_.pdf")</f>
        <v>Melting_Curves/meltCurve_sp_Q8NFF5_2_FAD1_HUMAN_.pdf</v>
      </c>
      <c r="AA2411" t="s">
        <v>15255</v>
      </c>
      <c r="AB2411" t="s">
        <v>19495</v>
      </c>
    </row>
    <row r="2412" spans="1:28" x14ac:dyDescent="0.25">
      <c r="A2412" t="s">
        <v>2416</v>
      </c>
      <c r="B2412">
        <v>0.99876560204751996</v>
      </c>
      <c r="C2412">
        <v>1.0588068260191501</v>
      </c>
      <c r="D2412">
        <v>0.97318798783362703</v>
      </c>
      <c r="E2412">
        <v>0.84542655871544103</v>
      </c>
      <c r="F2412">
        <v>0.71299836219433499</v>
      </c>
      <c r="G2412">
        <v>0.30043338577607498</v>
      </c>
      <c r="H2412">
        <v>9.1603869402891697E-2</v>
      </c>
      <c r="I2412">
        <v>4.5631255149077801E-2</v>
      </c>
      <c r="J2412">
        <v>2.9106310493542901E-2</v>
      </c>
      <c r="K2412">
        <v>1.8281365397646399E-2</v>
      </c>
      <c r="L2412">
        <v>1179.7640837966101</v>
      </c>
      <c r="M2412">
        <v>21.510976500698899</v>
      </c>
      <c r="N2412">
        <v>54.858088514899599</v>
      </c>
      <c r="O2412">
        <v>54.377361934412903</v>
      </c>
      <c r="P2412">
        <v>-9.8641009802975396E-2</v>
      </c>
      <c r="Q2412">
        <v>2.6102247488838299E-3</v>
      </c>
      <c r="R2412">
        <v>0.99599267081156195</v>
      </c>
      <c r="S2412" t="s">
        <v>6708</v>
      </c>
      <c r="T2412" t="s">
        <v>8590</v>
      </c>
      <c r="U2412" t="s">
        <v>8590</v>
      </c>
      <c r="V2412" t="s">
        <v>8590</v>
      </c>
      <c r="W2412">
        <v>3</v>
      </c>
      <c r="X2412" t="s">
        <v>11002</v>
      </c>
      <c r="Y2412">
        <v>0.50804196581518768</v>
      </c>
      <c r="Z2412" t="str">
        <f>HYPERLINK("Melting_Curves/meltCurve_sp_Q8NFH3_NUP43_HUMAN_.pdf", "Melting_Curves/meltCurve_sp_Q8NFH3_NUP43_HUMAN_.pdf")</f>
        <v>Melting_Curves/meltCurve_sp_Q8NFH3_NUP43_HUMAN_.pdf</v>
      </c>
      <c r="AA2412" t="s">
        <v>15256</v>
      </c>
      <c r="AB2412" t="s">
        <v>19496</v>
      </c>
    </row>
    <row r="2413" spans="1:28" x14ac:dyDescent="0.25">
      <c r="A2413" t="s">
        <v>2417</v>
      </c>
      <c r="B2413">
        <v>0.99876560204751996</v>
      </c>
      <c r="C2413">
        <v>0.97433216776187603</v>
      </c>
      <c r="D2413">
        <v>0.93925290495258196</v>
      </c>
      <c r="E2413">
        <v>0.84417683654327702</v>
      </c>
      <c r="F2413">
        <v>0.67829008970413895</v>
      </c>
      <c r="G2413">
        <v>0.36925811192986102</v>
      </c>
      <c r="H2413">
        <v>0.118139559118839</v>
      </c>
      <c r="I2413">
        <v>8.9808766548798602E-2</v>
      </c>
      <c r="J2413">
        <v>8.3451289052519695E-2</v>
      </c>
      <c r="K2413">
        <v>6.6671263013565005E-2</v>
      </c>
      <c r="L2413">
        <v>1012.7864170315599</v>
      </c>
      <c r="M2413">
        <v>18.487875891383201</v>
      </c>
      <c r="N2413">
        <v>54.995222605063098</v>
      </c>
      <c r="O2413">
        <v>54.152255884290803</v>
      </c>
      <c r="P2413">
        <v>-8.23912663963252E-2</v>
      </c>
      <c r="Q2413">
        <v>3.4724190599519901E-2</v>
      </c>
      <c r="R2413">
        <v>0.99681487016727999</v>
      </c>
      <c r="S2413" t="s">
        <v>6709</v>
      </c>
      <c r="T2413" t="s">
        <v>8590</v>
      </c>
      <c r="U2413" t="s">
        <v>8590</v>
      </c>
      <c r="V2413" t="s">
        <v>8590</v>
      </c>
      <c r="W2413">
        <v>4</v>
      </c>
      <c r="X2413" t="s">
        <v>11003</v>
      </c>
      <c r="Y2413">
        <v>0.52482623316164068</v>
      </c>
      <c r="Z2413" t="str">
        <f>HYPERLINK("Melting_Curves/meltCurve_sp_Q8NFH4_NUP37_HUMAN_.pdf", "Melting_Curves/meltCurve_sp_Q8NFH4_NUP37_HUMAN_.pdf")</f>
        <v>Melting_Curves/meltCurve_sp_Q8NFH4_NUP37_HUMAN_.pdf</v>
      </c>
      <c r="AA2413" t="s">
        <v>15257</v>
      </c>
      <c r="AB2413" t="s">
        <v>19497</v>
      </c>
    </row>
    <row r="2414" spans="1:28" x14ac:dyDescent="0.25">
      <c r="A2414" t="s">
        <v>2418</v>
      </c>
      <c r="B2414">
        <v>0.99876560204751996</v>
      </c>
      <c r="C2414">
        <v>0.90240472864255605</v>
      </c>
      <c r="D2414">
        <v>0.92723039695670495</v>
      </c>
      <c r="E2414">
        <v>0.80370338050786205</v>
      </c>
      <c r="F2414">
        <v>0.68478718294419305</v>
      </c>
      <c r="G2414">
        <v>0.496589736756335</v>
      </c>
      <c r="H2414">
        <v>0.41031300368040102</v>
      </c>
      <c r="I2414">
        <v>0.342561650255233</v>
      </c>
      <c r="J2414">
        <v>0.38133803912237402</v>
      </c>
      <c r="K2414">
        <v>0.35760231522762098</v>
      </c>
      <c r="L2414">
        <v>716.85532747146794</v>
      </c>
      <c r="M2414">
        <v>13.495769591994399</v>
      </c>
      <c r="N2414">
        <v>57.3777433966318</v>
      </c>
      <c r="O2414">
        <v>51.991478134067698</v>
      </c>
      <c r="P2414">
        <v>-4.4364742164023002E-2</v>
      </c>
      <c r="Q2414">
        <v>0.31645651069109099</v>
      </c>
      <c r="R2414">
        <v>0.98672151457400104</v>
      </c>
      <c r="S2414" t="s">
        <v>6710</v>
      </c>
      <c r="T2414" t="s">
        <v>8590</v>
      </c>
      <c r="U2414" t="s">
        <v>8590</v>
      </c>
      <c r="V2414" t="s">
        <v>8590</v>
      </c>
      <c r="W2414">
        <v>9</v>
      </c>
      <c r="X2414" t="s">
        <v>11004</v>
      </c>
      <c r="Y2414">
        <v>0.63213272681404742</v>
      </c>
      <c r="Z2414" t="str">
        <f>HYPERLINK("Melting_Curves/meltCurve_sp_Q8NFH8_4_REPS2_HUMAN_.pdf", "Melting_Curves/meltCurve_sp_Q8NFH8_4_REPS2_HUMAN_.pdf")</f>
        <v>Melting_Curves/meltCurve_sp_Q8NFH8_4_REPS2_HUMAN_.pdf</v>
      </c>
      <c r="AA2414" t="s">
        <v>15258</v>
      </c>
      <c r="AB2414" t="s">
        <v>19498</v>
      </c>
    </row>
    <row r="2415" spans="1:28" x14ac:dyDescent="0.25">
      <c r="A2415" t="s">
        <v>2419</v>
      </c>
      <c r="B2415">
        <v>0.99876560204751996</v>
      </c>
      <c r="C2415">
        <v>0.92577304969122798</v>
      </c>
      <c r="D2415">
        <v>0.85622894217559498</v>
      </c>
      <c r="E2415">
        <v>0.846921516816181</v>
      </c>
      <c r="F2415">
        <v>0.76254003054809205</v>
      </c>
      <c r="G2415">
        <v>0.406512833996864</v>
      </c>
      <c r="H2415">
        <v>0.167309599232803</v>
      </c>
      <c r="I2415">
        <v>0.117332390231655</v>
      </c>
      <c r="J2415">
        <v>0.10811613710147</v>
      </c>
      <c r="K2415">
        <v>0.105546301631338</v>
      </c>
      <c r="L2415">
        <v>961.58218140332303</v>
      </c>
      <c r="M2415">
        <v>17.369273086947398</v>
      </c>
      <c r="N2415">
        <v>55.709237183455798</v>
      </c>
      <c r="O2415">
        <v>54.642915503277798</v>
      </c>
      <c r="P2415">
        <v>-7.5384779703846896E-2</v>
      </c>
      <c r="Q2415">
        <v>5.1425992978991197E-2</v>
      </c>
      <c r="R2415">
        <v>0.98021895814606097</v>
      </c>
      <c r="S2415" t="s">
        <v>6711</v>
      </c>
      <c r="T2415" t="s">
        <v>8590</v>
      </c>
      <c r="U2415" t="s">
        <v>8590</v>
      </c>
      <c r="V2415" t="s">
        <v>8590</v>
      </c>
      <c r="W2415">
        <v>9</v>
      </c>
      <c r="X2415" t="s">
        <v>11005</v>
      </c>
      <c r="Y2415">
        <v>0.55224503984297257</v>
      </c>
      <c r="Z2415" t="str">
        <f>HYPERLINK("Melting_Curves/meltCurve_sp_Q8NFI3_ENASE_HUMAN_.pdf", "Melting_Curves/meltCurve_sp_Q8NFI3_ENASE_HUMAN_.pdf")</f>
        <v>Melting_Curves/meltCurve_sp_Q8NFI3_ENASE_HUMAN_.pdf</v>
      </c>
      <c r="AA2415" t="s">
        <v>15259</v>
      </c>
      <c r="AB2415" t="s">
        <v>19499</v>
      </c>
    </row>
    <row r="2416" spans="1:28" x14ac:dyDescent="0.25">
      <c r="A2416" t="s">
        <v>2420</v>
      </c>
      <c r="B2416">
        <v>0.99876560204751996</v>
      </c>
      <c r="C2416">
        <v>0.90345128404257702</v>
      </c>
      <c r="D2416">
        <v>1.1896362577998001</v>
      </c>
      <c r="E2416">
        <v>0.97853588370225797</v>
      </c>
      <c r="F2416">
        <v>0.99421664323333903</v>
      </c>
      <c r="G2416">
        <v>0.839099630017071</v>
      </c>
      <c r="H2416">
        <v>0.72661597357818097</v>
      </c>
      <c r="I2416">
        <v>0.73959021806616099</v>
      </c>
      <c r="J2416">
        <v>1.0987635977928301</v>
      </c>
      <c r="K2416">
        <v>1.01758936458984</v>
      </c>
      <c r="L2416">
        <v>13406.052567197001</v>
      </c>
      <c r="M2416">
        <v>250</v>
      </c>
      <c r="O2416">
        <v>53.620779014941199</v>
      </c>
      <c r="P2416">
        <v>-0.134822087707484</v>
      </c>
      <c r="Q2416">
        <v>0.88433175492805205</v>
      </c>
      <c r="R2416">
        <v>0.204843268337734</v>
      </c>
      <c r="S2416" t="s">
        <v>6712</v>
      </c>
      <c r="T2416" t="s">
        <v>8590</v>
      </c>
      <c r="U2416" t="s">
        <v>8590</v>
      </c>
      <c r="V2416" t="s">
        <v>8590</v>
      </c>
      <c r="W2416">
        <v>2</v>
      </c>
      <c r="X2416" t="s">
        <v>11006</v>
      </c>
      <c r="Y2416">
        <v>0.93687225683602449</v>
      </c>
      <c r="Z2416" t="str">
        <f>HYPERLINK("Melting_Curves/meltCurve_sp_Q8NFQ8_TOIP2_HUMAN_.pdf", "Melting_Curves/meltCurve_sp_Q8NFQ8_TOIP2_HUMAN_.pdf")</f>
        <v>Melting_Curves/meltCurve_sp_Q8NFQ8_TOIP2_HUMAN_.pdf</v>
      </c>
      <c r="AA2416" t="s">
        <v>15260</v>
      </c>
      <c r="AB2416" t="s">
        <v>19500</v>
      </c>
    </row>
    <row r="2417" spans="1:28" x14ac:dyDescent="0.25">
      <c r="A2417" t="s">
        <v>2421</v>
      </c>
      <c r="B2417">
        <v>0.99876560204751996</v>
      </c>
      <c r="C2417">
        <v>0.98866210843646296</v>
      </c>
      <c r="D2417">
        <v>1.02244047644272</v>
      </c>
      <c r="E2417">
        <v>0.93615451268634498</v>
      </c>
      <c r="F2417">
        <v>0.926618886408623</v>
      </c>
      <c r="G2417">
        <v>0.84486244613568495</v>
      </c>
      <c r="H2417">
        <v>0.77516481144126204</v>
      </c>
      <c r="I2417">
        <v>0.78514067520627195</v>
      </c>
      <c r="J2417">
        <v>0.95127164370527295</v>
      </c>
      <c r="K2417">
        <v>0.89791257792309098</v>
      </c>
      <c r="L2417">
        <v>1517.01199904242</v>
      </c>
      <c r="M2417">
        <v>29.348740242899101</v>
      </c>
      <c r="O2417">
        <v>51.450973333531302</v>
      </c>
      <c r="P2417">
        <v>-2.1189729322633102E-2</v>
      </c>
      <c r="Q2417">
        <v>0.85141107715290198</v>
      </c>
      <c r="R2417">
        <v>0.63009168420328798</v>
      </c>
      <c r="S2417" t="s">
        <v>6713</v>
      </c>
      <c r="T2417" t="s">
        <v>8590</v>
      </c>
      <c r="U2417" t="s">
        <v>8590</v>
      </c>
      <c r="V2417" t="s">
        <v>8590</v>
      </c>
      <c r="W2417">
        <v>9</v>
      </c>
      <c r="X2417" t="s">
        <v>11007</v>
      </c>
      <c r="Y2417">
        <v>0.91029396523599704</v>
      </c>
      <c r="Z2417" t="str">
        <f>HYPERLINK("Melting_Curves/meltCurve_sp_Q8NFU3_4_TSTD1_HUMAN_.pdf", "Melting_Curves/meltCurve_sp_Q8NFU3_4_TSTD1_HUMAN_.pdf")</f>
        <v>Melting_Curves/meltCurve_sp_Q8NFU3_4_TSTD1_HUMAN_.pdf</v>
      </c>
      <c r="AA2417" t="s">
        <v>15261</v>
      </c>
      <c r="AB2417" t="s">
        <v>19501</v>
      </c>
    </row>
    <row r="2418" spans="1:28" x14ac:dyDescent="0.25">
      <c r="A2418" t="s">
        <v>2422</v>
      </c>
      <c r="B2418">
        <v>0.99876560204751996</v>
      </c>
      <c r="C2418">
        <v>0.91447513896264498</v>
      </c>
      <c r="D2418">
        <v>1.1157615551356901</v>
      </c>
      <c r="E2418">
        <v>0.995042168978298</v>
      </c>
      <c r="F2418">
        <v>0.93561435026692497</v>
      </c>
      <c r="G2418">
        <v>0.64968186903442904</v>
      </c>
      <c r="H2418">
        <v>0.54829968898576398</v>
      </c>
      <c r="I2418">
        <v>0.58663353289235198</v>
      </c>
      <c r="J2418">
        <v>0.78514655539023204</v>
      </c>
      <c r="K2418">
        <v>0.766060003385866</v>
      </c>
      <c r="L2418">
        <v>13325.6720097412</v>
      </c>
      <c r="M2418">
        <v>250</v>
      </c>
      <c r="O2418">
        <v>53.299277022011204</v>
      </c>
      <c r="P2418">
        <v>-0.39029103018996503</v>
      </c>
      <c r="Q2418">
        <v>0.667164324602879</v>
      </c>
      <c r="R2418">
        <v>0.803641185840691</v>
      </c>
      <c r="S2418" t="s">
        <v>6714</v>
      </c>
      <c r="T2418" t="s">
        <v>8590</v>
      </c>
      <c r="U2418" t="s">
        <v>8590</v>
      </c>
      <c r="V2418" t="s">
        <v>8590</v>
      </c>
      <c r="W2418">
        <v>10</v>
      </c>
      <c r="X2418" t="s">
        <v>11008</v>
      </c>
      <c r="Y2418">
        <v>0.81478243178012066</v>
      </c>
      <c r="Z2418" t="str">
        <f>HYPERLINK("Melting_Curves/meltCurve_sp_Q8NFU3_TSTD1_HUMAN_.pdf", "Melting_Curves/meltCurve_sp_Q8NFU3_TSTD1_HUMAN_.pdf")</f>
        <v>Melting_Curves/meltCurve_sp_Q8NFU3_TSTD1_HUMAN_.pdf</v>
      </c>
      <c r="AA2418" t="s">
        <v>15261</v>
      </c>
      <c r="AB2418" t="s">
        <v>19502</v>
      </c>
    </row>
    <row r="2419" spans="1:28" x14ac:dyDescent="0.25">
      <c r="A2419" t="s">
        <v>2423</v>
      </c>
      <c r="B2419">
        <v>0.99876560204751996</v>
      </c>
      <c r="C2419">
        <v>0.88769222412235604</v>
      </c>
      <c r="D2419">
        <v>0.96480826887184701</v>
      </c>
      <c r="E2419">
        <v>0.78491754120531299</v>
      </c>
      <c r="F2419">
        <v>0.40871218289545802</v>
      </c>
      <c r="G2419">
        <v>0.118604182861938</v>
      </c>
      <c r="H2419">
        <v>6.6799213177647199E-2</v>
      </c>
      <c r="I2419">
        <v>4.5419253351000603E-2</v>
      </c>
      <c r="J2419">
        <v>3.6820443385958697E-2</v>
      </c>
      <c r="K2419">
        <v>2.9061111497930801E-2</v>
      </c>
      <c r="L2419">
        <v>1429.2561540960101</v>
      </c>
      <c r="M2419">
        <v>27.4043947643138</v>
      </c>
      <c r="N2419">
        <v>52.2992806078258</v>
      </c>
      <c r="O2419">
        <v>51.878924072799798</v>
      </c>
      <c r="P2419">
        <v>-0.12722923192465799</v>
      </c>
      <c r="Q2419">
        <v>3.6584598588436101E-2</v>
      </c>
      <c r="R2419">
        <v>0.99232202026604199</v>
      </c>
      <c r="S2419" t="s">
        <v>6715</v>
      </c>
      <c r="T2419" t="s">
        <v>8590</v>
      </c>
      <c r="U2419" t="s">
        <v>8590</v>
      </c>
      <c r="V2419" t="s">
        <v>8590</v>
      </c>
      <c r="W2419">
        <v>9</v>
      </c>
      <c r="X2419" t="s">
        <v>11009</v>
      </c>
      <c r="Y2419">
        <v>0.43427772882930399</v>
      </c>
      <c r="Z2419" t="str">
        <f>HYPERLINK("Melting_Curves/meltCurve_sp_Q8NFV4_ABHDB_HUMAN_.pdf", "Melting_Curves/meltCurve_sp_Q8NFV4_ABHDB_HUMAN_.pdf")</f>
        <v>Melting_Curves/meltCurve_sp_Q8NFV4_ABHDB_HUMAN_.pdf</v>
      </c>
      <c r="AA2419" t="s">
        <v>15262</v>
      </c>
      <c r="AB2419" t="s">
        <v>19503</v>
      </c>
    </row>
    <row r="2420" spans="1:28" x14ac:dyDescent="0.25">
      <c r="A2420" t="s">
        <v>2424</v>
      </c>
      <c r="B2420">
        <v>0.99876560204751996</v>
      </c>
      <c r="C2420">
        <v>1.01190476696403</v>
      </c>
      <c r="D2420">
        <v>0.906357616529331</v>
      </c>
      <c r="E2420">
        <v>0.80707600208514796</v>
      </c>
      <c r="F2420">
        <v>0.180174754307521</v>
      </c>
      <c r="G2420">
        <v>0.102146697585972</v>
      </c>
      <c r="H2420">
        <v>5.9106111744468698E-2</v>
      </c>
      <c r="I2420">
        <v>4.7573564417883803E-2</v>
      </c>
      <c r="J2420">
        <v>4.8909951422675998E-2</v>
      </c>
      <c r="K2420">
        <v>3.9784970088960397E-2</v>
      </c>
      <c r="L2420">
        <v>2815.4853470500302</v>
      </c>
      <c r="M2420">
        <v>54.9779256247867</v>
      </c>
      <c r="N2420">
        <v>51.3262331155033</v>
      </c>
      <c r="O2420">
        <v>51.143598080328097</v>
      </c>
      <c r="P2420">
        <v>-0.25316531112333202</v>
      </c>
      <c r="Q2420">
        <v>5.7965821661743099E-2</v>
      </c>
      <c r="R2420">
        <v>0.99394609413999002</v>
      </c>
      <c r="S2420" t="s">
        <v>6716</v>
      </c>
      <c r="T2420" t="s">
        <v>8590</v>
      </c>
      <c r="U2420" t="s">
        <v>8590</v>
      </c>
      <c r="V2420" t="s">
        <v>8590</v>
      </c>
      <c r="W2420">
        <v>17</v>
      </c>
      <c r="X2420" t="s">
        <v>11010</v>
      </c>
      <c r="Y2420">
        <v>0.41176852655369539</v>
      </c>
      <c r="Z2420" t="str">
        <f>HYPERLINK("Melting_Curves/meltCurve_sp_Q8NFW8_NEUA_HUMAN_.pdf", "Melting_Curves/meltCurve_sp_Q8NFW8_NEUA_HUMAN_.pdf")</f>
        <v>Melting_Curves/meltCurve_sp_Q8NFW8_NEUA_HUMAN_.pdf</v>
      </c>
      <c r="AA2420" t="s">
        <v>15263</v>
      </c>
      <c r="AB2420" t="s">
        <v>19504</v>
      </c>
    </row>
    <row r="2421" spans="1:28" x14ac:dyDescent="0.25">
      <c r="A2421" t="s">
        <v>2425</v>
      </c>
      <c r="B2421">
        <v>0.99876560204751996</v>
      </c>
      <c r="C2421">
        <v>0.80252993819185003</v>
      </c>
      <c r="D2421">
        <v>0.968128596284625</v>
      </c>
      <c r="E2421">
        <v>1.03691603172986</v>
      </c>
      <c r="F2421">
        <v>0.88297946690671403</v>
      </c>
      <c r="G2421">
        <v>0.62996907141284997</v>
      </c>
      <c r="H2421">
        <v>0.512192830210626</v>
      </c>
      <c r="I2421">
        <v>0.45629805151530201</v>
      </c>
      <c r="J2421">
        <v>0.57284088804470101</v>
      </c>
      <c r="K2421">
        <v>0.60087505967890598</v>
      </c>
      <c r="L2421">
        <v>2178.8525966370798</v>
      </c>
      <c r="M2421">
        <v>39.838349606185098</v>
      </c>
      <c r="O2421">
        <v>54.5550753787359</v>
      </c>
      <c r="P2421">
        <v>-8.46513096345963E-2</v>
      </c>
      <c r="Q2421">
        <v>0.53631123575191197</v>
      </c>
      <c r="R2421">
        <v>0.86787759036874002</v>
      </c>
      <c r="S2421" t="s">
        <v>6717</v>
      </c>
      <c r="T2421" t="s">
        <v>8590</v>
      </c>
      <c r="U2421" t="s">
        <v>8590</v>
      </c>
      <c r="V2421" t="s">
        <v>8590</v>
      </c>
      <c r="W2421">
        <v>1</v>
      </c>
      <c r="X2421" t="s">
        <v>11011</v>
      </c>
      <c r="Y2421">
        <v>0.76516208720353052</v>
      </c>
      <c r="Z2421" t="str">
        <f>HYPERLINK("Melting_Curves/meltCurve_sp_Q8NFW9_5_MYRIP_HUMAN_.pdf", "Melting_Curves/meltCurve_sp_Q8NFW9_5_MYRIP_HUMAN_.pdf")</f>
        <v>Melting_Curves/meltCurve_sp_Q8NFW9_5_MYRIP_HUMAN_.pdf</v>
      </c>
      <c r="AA2421" t="s">
        <v>15264</v>
      </c>
      <c r="AB2421" t="s">
        <v>19505</v>
      </c>
    </row>
    <row r="2422" spans="1:28" x14ac:dyDescent="0.25">
      <c r="A2422" t="s">
        <v>2426</v>
      </c>
      <c r="B2422">
        <v>0.99876560204751996</v>
      </c>
      <c r="C2422">
        <v>1.02254881324647</v>
      </c>
      <c r="D2422">
        <v>1.0481623447114801</v>
      </c>
      <c r="E2422">
        <v>1.04506004874544</v>
      </c>
      <c r="F2422">
        <v>1.0030893040884199</v>
      </c>
      <c r="G2422">
        <v>0.72873755263992701</v>
      </c>
      <c r="H2422">
        <v>0.67533287626169203</v>
      </c>
      <c r="I2422">
        <v>0.74813021419696402</v>
      </c>
      <c r="J2422">
        <v>0.891537253263195</v>
      </c>
      <c r="K2422">
        <v>0.77657775166215604</v>
      </c>
      <c r="L2422">
        <v>13667.657530113</v>
      </c>
      <c r="M2422">
        <v>250</v>
      </c>
      <c r="O2422">
        <v>54.667131584049699</v>
      </c>
      <c r="P2422">
        <v>-0.26974400619111899</v>
      </c>
      <c r="Q2422">
        <v>0.76406190308115596</v>
      </c>
      <c r="R2422">
        <v>0.84376071981587497</v>
      </c>
      <c r="S2422" t="s">
        <v>6718</v>
      </c>
      <c r="T2422" t="s">
        <v>8590</v>
      </c>
      <c r="U2422" t="s">
        <v>8590</v>
      </c>
      <c r="V2422" t="s">
        <v>8590</v>
      </c>
      <c r="W2422">
        <v>3</v>
      </c>
      <c r="X2422" t="s">
        <v>11012</v>
      </c>
      <c r="Y2422">
        <v>0.87946322546323286</v>
      </c>
      <c r="Z2422" t="str">
        <f>HYPERLINK("Melting_Curves/meltCurve_sp_Q8NHG8_ZNRF2_HUMAN_.pdf", "Melting_Curves/meltCurve_sp_Q8NHG8_ZNRF2_HUMAN_.pdf")</f>
        <v>Melting_Curves/meltCurve_sp_Q8NHG8_ZNRF2_HUMAN_.pdf</v>
      </c>
      <c r="AA2422" t="s">
        <v>15265</v>
      </c>
      <c r="AB2422" t="s">
        <v>19506</v>
      </c>
    </row>
    <row r="2423" spans="1:28" x14ac:dyDescent="0.25">
      <c r="A2423" t="s">
        <v>2427</v>
      </c>
      <c r="B2423">
        <v>0.99876560204751996</v>
      </c>
      <c r="C2423">
        <v>0.93476724540311795</v>
      </c>
      <c r="D2423">
        <v>1.0262866171045899</v>
      </c>
      <c r="E2423">
        <v>0.99706503493708198</v>
      </c>
      <c r="F2423">
        <v>0.94224402884120295</v>
      </c>
      <c r="G2423">
        <v>0.53718546516821497</v>
      </c>
      <c r="H2423">
        <v>0.51617903209787497</v>
      </c>
      <c r="I2423">
        <v>0.474822800658461</v>
      </c>
      <c r="J2423">
        <v>0.69626595179169803</v>
      </c>
      <c r="K2423">
        <v>0.58984140069798596</v>
      </c>
      <c r="L2423">
        <v>13349.7631969548</v>
      </c>
      <c r="M2423">
        <v>250</v>
      </c>
      <c r="O2423">
        <v>53.395635669329799</v>
      </c>
      <c r="P2423">
        <v>-0.51167697995154804</v>
      </c>
      <c r="Q2423">
        <v>0.56285891942843802</v>
      </c>
      <c r="R2423">
        <v>0.92751349379020598</v>
      </c>
      <c r="S2423" t="s">
        <v>6719</v>
      </c>
      <c r="T2423" t="s">
        <v>8590</v>
      </c>
      <c r="U2423" t="s">
        <v>8590</v>
      </c>
      <c r="V2423" t="s">
        <v>8590</v>
      </c>
      <c r="W2423">
        <v>2</v>
      </c>
      <c r="X2423" t="s">
        <v>11013</v>
      </c>
      <c r="Y2423">
        <v>0.75814243303252882</v>
      </c>
      <c r="Z2423" t="str">
        <f>HYPERLINK("Melting_Curves/meltCurve_sp_Q8NHM4_TRY6_HUMAN_.pdf", "Melting_Curves/meltCurve_sp_Q8NHM4_TRY6_HUMAN_.pdf")</f>
        <v>Melting_Curves/meltCurve_sp_Q8NHM4_TRY6_HUMAN_.pdf</v>
      </c>
      <c r="AA2423" t="s">
        <v>15266</v>
      </c>
      <c r="AB2423" t="s">
        <v>19507</v>
      </c>
    </row>
    <row r="2424" spans="1:28" x14ac:dyDescent="0.25">
      <c r="A2424" t="s">
        <v>2428</v>
      </c>
      <c r="B2424">
        <v>0.99876560204751996</v>
      </c>
      <c r="C2424">
        <v>1.0007691288026099</v>
      </c>
      <c r="D2424">
        <v>1.10277931208776</v>
      </c>
      <c r="E2424">
        <v>0.92550969290349805</v>
      </c>
      <c r="F2424">
        <v>0.88444575245686097</v>
      </c>
      <c r="G2424">
        <v>0.51996845303308603</v>
      </c>
      <c r="H2424">
        <v>0.32147490740708101</v>
      </c>
      <c r="I2424">
        <v>0.28427112412620997</v>
      </c>
      <c r="J2424">
        <v>0.28025870175753798</v>
      </c>
      <c r="K2424">
        <v>0.26531564953675701</v>
      </c>
      <c r="L2424">
        <v>1621.78716243906</v>
      </c>
      <c r="M2424">
        <v>29.075037144185099</v>
      </c>
      <c r="N2424">
        <v>57.287628522398499</v>
      </c>
      <c r="O2424">
        <v>55.517499005881803</v>
      </c>
      <c r="P2424">
        <v>-9.5912116669672795E-2</v>
      </c>
      <c r="Q2424">
        <v>0.267445633879419</v>
      </c>
      <c r="R2424">
        <v>0.98780889558012597</v>
      </c>
      <c r="S2424" t="s">
        <v>6720</v>
      </c>
      <c r="T2424" t="s">
        <v>8590</v>
      </c>
      <c r="U2424" t="s">
        <v>8590</v>
      </c>
      <c r="V2424" t="s">
        <v>8590</v>
      </c>
      <c r="W2424">
        <v>5</v>
      </c>
      <c r="X2424" t="s">
        <v>11014</v>
      </c>
      <c r="Y2424">
        <v>0.65792419094521315</v>
      </c>
      <c r="Z2424" t="str">
        <f>HYPERLINK("Melting_Curves/meltCurve_sp_Q8NI35_INADL_HUMAN_.pdf", "Melting_Curves/meltCurve_sp_Q8NI35_INADL_HUMAN_.pdf")</f>
        <v>Melting_Curves/meltCurve_sp_Q8NI35_INADL_HUMAN_.pdf</v>
      </c>
      <c r="AA2424" t="s">
        <v>15267</v>
      </c>
      <c r="AB2424" t="s">
        <v>19508</v>
      </c>
    </row>
    <row r="2425" spans="1:28" x14ac:dyDescent="0.25">
      <c r="A2425" t="s">
        <v>2429</v>
      </c>
      <c r="B2425">
        <v>0.99876560204751996</v>
      </c>
      <c r="C2425">
        <v>1.0144834986853499</v>
      </c>
      <c r="D2425">
        <v>0.90585000744516198</v>
      </c>
      <c r="E2425">
        <v>0.99650676733251597</v>
      </c>
      <c r="F2425">
        <v>0.96816602284446696</v>
      </c>
      <c r="G2425">
        <v>0.75744134075006497</v>
      </c>
      <c r="H2425">
        <v>0.72683482680847999</v>
      </c>
      <c r="I2425">
        <v>0.75173441794124396</v>
      </c>
      <c r="J2425">
        <v>1.01341631113342</v>
      </c>
      <c r="K2425">
        <v>0.95366023549795098</v>
      </c>
      <c r="L2425">
        <v>13323.5619612758</v>
      </c>
      <c r="M2425">
        <v>250</v>
      </c>
      <c r="O2425">
        <v>53.290837369124098</v>
      </c>
      <c r="P2425">
        <v>-0.18692539520559701</v>
      </c>
      <c r="Q2425">
        <v>0.84061742681699403</v>
      </c>
      <c r="R2425">
        <v>0.35964536902572802</v>
      </c>
      <c r="S2425" t="s">
        <v>6721</v>
      </c>
      <c r="T2425" t="s">
        <v>8590</v>
      </c>
      <c r="U2425" t="s">
        <v>8590</v>
      </c>
      <c r="V2425" t="s">
        <v>8590</v>
      </c>
      <c r="W2425">
        <v>1</v>
      </c>
      <c r="X2425" t="s">
        <v>11015</v>
      </c>
      <c r="Y2425">
        <v>0.91126138163029857</v>
      </c>
      <c r="Z2425" t="str">
        <f>HYPERLINK("Melting_Curves/meltCurve_sp_Q8TAP9_MPLKI_HUMAN_.pdf", "Melting_Curves/meltCurve_sp_Q8TAP9_MPLKI_HUMAN_.pdf")</f>
        <v>Melting_Curves/meltCurve_sp_Q8TAP9_MPLKI_HUMAN_.pdf</v>
      </c>
      <c r="AA2425" t="s">
        <v>15268</v>
      </c>
      <c r="AB2425" t="s">
        <v>19509</v>
      </c>
    </row>
    <row r="2426" spans="1:28" x14ac:dyDescent="0.25">
      <c r="A2426" t="s">
        <v>2430</v>
      </c>
      <c r="B2426">
        <v>0.99876560204751996</v>
      </c>
      <c r="C2426">
        <v>1.05177052522726</v>
      </c>
      <c r="D2426">
        <v>0.92555105901313905</v>
      </c>
      <c r="E2426">
        <v>0.69749158896405306</v>
      </c>
      <c r="F2426">
        <v>0.45458187808166101</v>
      </c>
      <c r="G2426">
        <v>0.28459263411594998</v>
      </c>
      <c r="H2426">
        <v>0.16973416369791</v>
      </c>
      <c r="I2426">
        <v>0.118315874729518</v>
      </c>
      <c r="J2426">
        <v>0.107031102736015</v>
      </c>
      <c r="K2426">
        <v>9.3502526937391306E-2</v>
      </c>
      <c r="L2426">
        <v>928.83891783565298</v>
      </c>
      <c r="M2426">
        <v>17.8504276939553</v>
      </c>
      <c r="N2426">
        <v>52.662827588239203</v>
      </c>
      <c r="O2426">
        <v>51.394672908703797</v>
      </c>
      <c r="P2426">
        <v>-7.8506680738150994E-2</v>
      </c>
      <c r="Q2426">
        <v>9.5905133845089904E-2</v>
      </c>
      <c r="R2426">
        <v>0.99498831378199704</v>
      </c>
      <c r="S2426" t="s">
        <v>6722</v>
      </c>
      <c r="T2426" t="s">
        <v>8590</v>
      </c>
      <c r="U2426" t="s">
        <v>8590</v>
      </c>
      <c r="V2426" t="s">
        <v>8590</v>
      </c>
      <c r="W2426">
        <v>8</v>
      </c>
      <c r="X2426" t="s">
        <v>11016</v>
      </c>
      <c r="Y2426">
        <v>0.47383658618378138</v>
      </c>
      <c r="Z2426" t="str">
        <f>HYPERLINK("Melting_Curves/meltCurve_sp_Q8TAQ2_2_SMRC2_HUMAN_.pdf", "Melting_Curves/meltCurve_sp_Q8TAQ2_2_SMRC2_HUMAN_.pdf")</f>
        <v>Melting_Curves/meltCurve_sp_Q8TAQ2_2_SMRC2_HUMAN_.pdf</v>
      </c>
      <c r="AA2426" t="s">
        <v>15269</v>
      </c>
      <c r="AB2426" t="s">
        <v>19510</v>
      </c>
    </row>
    <row r="2427" spans="1:28" x14ac:dyDescent="0.25">
      <c r="A2427" t="s">
        <v>2431</v>
      </c>
      <c r="B2427">
        <v>0.99876560204751996</v>
      </c>
      <c r="C2427">
        <v>0.98647654614290303</v>
      </c>
      <c r="D2427">
        <v>1.0122007431287401</v>
      </c>
      <c r="E2427">
        <v>0.79367952411495701</v>
      </c>
      <c r="F2427">
        <v>0.49478453897635699</v>
      </c>
      <c r="G2427">
        <v>0.212317579343725</v>
      </c>
      <c r="H2427">
        <v>0.11739548723413699</v>
      </c>
      <c r="I2427">
        <v>8.4378826690708106E-2</v>
      </c>
      <c r="J2427">
        <v>7.4504054721111004E-2</v>
      </c>
      <c r="K2427">
        <v>6.5217980577419302E-2</v>
      </c>
      <c r="L2427">
        <v>1261.6411689415399</v>
      </c>
      <c r="M2427">
        <v>23.952136997781601</v>
      </c>
      <c r="N2427">
        <v>53.021353313876503</v>
      </c>
      <c r="O2427">
        <v>52.310388184252403</v>
      </c>
      <c r="P2427">
        <v>-0.106148186080548</v>
      </c>
      <c r="Q2427">
        <v>7.27233472264808E-2</v>
      </c>
      <c r="R2427">
        <v>0.998686770395668</v>
      </c>
      <c r="S2427" t="s">
        <v>6723</v>
      </c>
      <c r="T2427" t="s">
        <v>8590</v>
      </c>
      <c r="U2427" t="s">
        <v>8590</v>
      </c>
      <c r="V2427" t="s">
        <v>8590</v>
      </c>
      <c r="W2427">
        <v>12</v>
      </c>
      <c r="X2427" t="s">
        <v>11017</v>
      </c>
      <c r="Y2427">
        <v>0.47368022088738088</v>
      </c>
      <c r="Z2427" t="str">
        <f>HYPERLINK("Melting_Curves/meltCurve_sp_Q8TAT6_NPL4_HUMAN_.pdf", "Melting_Curves/meltCurve_sp_Q8TAT6_NPL4_HUMAN_.pdf")</f>
        <v>Melting_Curves/meltCurve_sp_Q8TAT6_NPL4_HUMAN_.pdf</v>
      </c>
      <c r="AA2427" t="s">
        <v>15270</v>
      </c>
      <c r="AB2427" t="s">
        <v>19511</v>
      </c>
    </row>
    <row r="2428" spans="1:28" x14ac:dyDescent="0.25">
      <c r="A2428" t="s">
        <v>2432</v>
      </c>
      <c r="B2428">
        <v>0.99876560204751996</v>
      </c>
      <c r="C2428">
        <v>1.0125328731404299</v>
      </c>
      <c r="D2428">
        <v>1.2813157545265501</v>
      </c>
      <c r="E2428">
        <v>1.1848051872760099</v>
      </c>
      <c r="F2428">
        <v>1.1638946260310801</v>
      </c>
      <c r="G2428">
        <v>0.71722049948440603</v>
      </c>
      <c r="H2428">
        <v>0.60235241850250498</v>
      </c>
      <c r="I2428">
        <v>0.60870778189516395</v>
      </c>
      <c r="J2428">
        <v>0.81773915769521299</v>
      </c>
      <c r="K2428">
        <v>0.61653638408612099</v>
      </c>
      <c r="L2428">
        <v>14157.583480183899</v>
      </c>
      <c r="M2428">
        <v>250</v>
      </c>
      <c r="O2428">
        <v>56.626717775663202</v>
      </c>
      <c r="P2428">
        <v>-0.37379232432116499</v>
      </c>
      <c r="Q2428">
        <v>0.66133392777254696</v>
      </c>
      <c r="R2428">
        <v>0.71752388950440105</v>
      </c>
      <c r="S2428" t="s">
        <v>6724</v>
      </c>
      <c r="T2428" t="s">
        <v>8590</v>
      </c>
      <c r="U2428" t="s">
        <v>8590</v>
      </c>
      <c r="V2428" t="s">
        <v>8590</v>
      </c>
      <c r="W2428">
        <v>1</v>
      </c>
      <c r="X2428" t="s">
        <v>11018</v>
      </c>
      <c r="Y2428">
        <v>0.84910524851246605</v>
      </c>
      <c r="Z2428" t="str">
        <f>HYPERLINK("Melting_Curves/meltCurve_sp_Q8TAV0_5_FA76A_HUMAN_.pdf", "Melting_Curves/meltCurve_sp_Q8TAV0_5_FA76A_HUMAN_.pdf")</f>
        <v>Melting_Curves/meltCurve_sp_Q8TAV0_5_FA76A_HUMAN_.pdf</v>
      </c>
      <c r="AA2428" t="s">
        <v>15271</v>
      </c>
      <c r="AB2428" t="s">
        <v>19512</v>
      </c>
    </row>
    <row r="2429" spans="1:28" x14ac:dyDescent="0.25">
      <c r="A2429" t="s">
        <v>2433</v>
      </c>
      <c r="B2429">
        <v>0.99876560204751996</v>
      </c>
      <c r="C2429">
        <v>0.88418240093040401</v>
      </c>
      <c r="D2429">
        <v>0.92641781087741903</v>
      </c>
      <c r="E2429">
        <v>0.74703491847556602</v>
      </c>
      <c r="F2429">
        <v>0.61038603190450302</v>
      </c>
      <c r="G2429">
        <v>0.20889646286939401</v>
      </c>
      <c r="H2429">
        <v>4.7640441286826603E-2</v>
      </c>
      <c r="I2429">
        <v>3.9265898409946598E-2</v>
      </c>
      <c r="J2429">
        <v>1.18739381601207E-2</v>
      </c>
      <c r="K2429">
        <v>1.283178494277E-2</v>
      </c>
      <c r="L2429">
        <v>1010.96054447004</v>
      </c>
      <c r="M2429">
        <v>18.911970493315401</v>
      </c>
      <c r="N2429">
        <v>53.4561193397506</v>
      </c>
      <c r="O2429">
        <v>52.869189722277397</v>
      </c>
      <c r="P2429">
        <v>-8.9431757523955505E-2</v>
      </c>
      <c r="Q2429">
        <v>0</v>
      </c>
      <c r="R2429">
        <v>0.98684232938124306</v>
      </c>
      <c r="S2429" t="s">
        <v>6725</v>
      </c>
      <c r="T2429" t="s">
        <v>8590</v>
      </c>
      <c r="U2429" t="s">
        <v>8590</v>
      </c>
      <c r="V2429" t="s">
        <v>8590</v>
      </c>
      <c r="W2429">
        <v>2</v>
      </c>
      <c r="X2429" t="s">
        <v>11019</v>
      </c>
      <c r="Y2429">
        <v>0.46354014482375372</v>
      </c>
      <c r="Z2429" t="str">
        <f>HYPERLINK("Melting_Curves/meltCurve_sp_Q8TB03_CX038_HUMAN_.pdf", "Melting_Curves/meltCurve_sp_Q8TB03_CX038_HUMAN_.pdf")</f>
        <v>Melting_Curves/meltCurve_sp_Q8TB03_CX038_HUMAN_.pdf</v>
      </c>
      <c r="AA2429" t="s">
        <v>15272</v>
      </c>
      <c r="AB2429" t="s">
        <v>19513</v>
      </c>
    </row>
    <row r="2430" spans="1:28" x14ac:dyDescent="0.25">
      <c r="A2430" t="s">
        <v>2434</v>
      </c>
      <c r="B2430">
        <v>0.99876560204751996</v>
      </c>
      <c r="C2430">
        <v>0.94661820531922503</v>
      </c>
      <c r="D2430">
        <v>0.92893460765435798</v>
      </c>
      <c r="E2430">
        <v>0.78863751573351504</v>
      </c>
      <c r="F2430">
        <v>0.39266645619757701</v>
      </c>
      <c r="G2430">
        <v>0.17241510465920301</v>
      </c>
      <c r="H2430">
        <v>0.102036772031317</v>
      </c>
      <c r="I2430">
        <v>8.3322194882449699E-2</v>
      </c>
      <c r="J2430">
        <v>8.4931833077372398E-2</v>
      </c>
      <c r="K2430">
        <v>7.1906782331723901E-2</v>
      </c>
      <c r="L2430">
        <v>1414.9016517161899</v>
      </c>
      <c r="M2430">
        <v>27.255067438853999</v>
      </c>
      <c r="N2430">
        <v>52.253685169004498</v>
      </c>
      <c r="O2430">
        <v>51.6362856949197</v>
      </c>
      <c r="P2430">
        <v>-0.12122701521232</v>
      </c>
      <c r="Q2430">
        <v>8.1322688905315604E-2</v>
      </c>
      <c r="R2430">
        <v>0.99585137295872295</v>
      </c>
      <c r="S2430" t="s">
        <v>6726</v>
      </c>
      <c r="T2430" t="s">
        <v>8590</v>
      </c>
      <c r="U2430" t="s">
        <v>8590</v>
      </c>
      <c r="V2430" t="s">
        <v>8590</v>
      </c>
      <c r="W2430">
        <v>15</v>
      </c>
      <c r="X2430" t="s">
        <v>11020</v>
      </c>
      <c r="Y2430">
        <v>0.45322362184249793</v>
      </c>
      <c r="Z2430" t="str">
        <f>HYPERLINK("Melting_Curves/meltCurve_sp_Q8TB22_SPT20_HUMAN_.pdf", "Melting_Curves/meltCurve_sp_Q8TB22_SPT20_HUMAN_.pdf")</f>
        <v>Melting_Curves/meltCurve_sp_Q8TB22_SPT20_HUMAN_.pdf</v>
      </c>
      <c r="AA2430" t="s">
        <v>15273</v>
      </c>
      <c r="AB2430" t="s">
        <v>19514</v>
      </c>
    </row>
    <row r="2431" spans="1:28" x14ac:dyDescent="0.25">
      <c r="A2431" t="s">
        <v>2435</v>
      </c>
      <c r="B2431">
        <v>0.99876560204751996</v>
      </c>
      <c r="C2431">
        <v>0.97090964983370198</v>
      </c>
      <c r="D2431">
        <v>1.0649568949925099</v>
      </c>
      <c r="E2431">
        <v>0.70538438347511301</v>
      </c>
      <c r="F2431">
        <v>0.45099932785698799</v>
      </c>
      <c r="G2431">
        <v>0.19571399415443999</v>
      </c>
      <c r="H2431">
        <v>0.110121846795802</v>
      </c>
      <c r="I2431">
        <v>0.104071022221545</v>
      </c>
      <c r="J2431">
        <v>0.128883999362392</v>
      </c>
      <c r="K2431">
        <v>2.5828733222823801E-2</v>
      </c>
      <c r="L2431">
        <v>1249.6644761661701</v>
      </c>
      <c r="M2431">
        <v>24.036497559493299</v>
      </c>
      <c r="N2431">
        <v>52.394245939766101</v>
      </c>
      <c r="O2431">
        <v>51.634423797278799</v>
      </c>
      <c r="P2431">
        <v>-0.106536809144478</v>
      </c>
      <c r="Q2431">
        <v>8.4578425294533605E-2</v>
      </c>
      <c r="R2431">
        <v>0.98835809569561095</v>
      </c>
      <c r="S2431" t="s">
        <v>6727</v>
      </c>
      <c r="T2431" t="s">
        <v>8590</v>
      </c>
      <c r="U2431" t="s">
        <v>8590</v>
      </c>
      <c r="V2431" t="s">
        <v>8590</v>
      </c>
      <c r="W2431">
        <v>2</v>
      </c>
      <c r="X2431" t="s">
        <v>11021</v>
      </c>
      <c r="Y2431">
        <v>0.45946050635780011</v>
      </c>
      <c r="Z2431" t="str">
        <f>HYPERLINK("Melting_Curves/meltCurve_sp_Q8TB24_RIN3_HUMAN_.pdf", "Melting_Curves/meltCurve_sp_Q8TB24_RIN3_HUMAN_.pdf")</f>
        <v>Melting_Curves/meltCurve_sp_Q8TB24_RIN3_HUMAN_.pdf</v>
      </c>
      <c r="AA2431" t="s">
        <v>15274</v>
      </c>
      <c r="AB2431" t="s">
        <v>19515</v>
      </c>
    </row>
    <row r="2432" spans="1:28" x14ac:dyDescent="0.25">
      <c r="A2432" t="s">
        <v>2436</v>
      </c>
      <c r="B2432">
        <v>0.99876560204751996</v>
      </c>
      <c r="C2432">
        <v>0.95481471987113797</v>
      </c>
      <c r="D2432">
        <v>0.81834574280601302</v>
      </c>
      <c r="E2432">
        <v>0.51590692564113305</v>
      </c>
      <c r="F2432">
        <v>0.28440917739193999</v>
      </c>
      <c r="G2432">
        <v>0.54130761912138503</v>
      </c>
      <c r="H2432">
        <v>0.43357429137896702</v>
      </c>
      <c r="I2432">
        <v>0.39504933633139799</v>
      </c>
      <c r="J2432">
        <v>0.156144519909832</v>
      </c>
      <c r="K2432">
        <v>7.9299368187272595E-2</v>
      </c>
      <c r="S2432" t="s">
        <v>6728</v>
      </c>
      <c r="T2432" t="s">
        <v>8590</v>
      </c>
      <c r="U2432" t="s">
        <v>8591</v>
      </c>
      <c r="V2432" t="s">
        <v>8590</v>
      </c>
      <c r="W2432">
        <v>3</v>
      </c>
      <c r="X2432" t="s">
        <v>11022</v>
      </c>
      <c r="Z2432" t="str">
        <f>HYPERLINK("Melting_Curves/meltCurve_sp_Q8TB37_NUBPL_HUMAN_.pdf", "Melting_Curves/meltCurve_sp_Q8TB37_NUBPL_HUMAN_.pdf")</f>
        <v>Melting_Curves/meltCurve_sp_Q8TB37_NUBPL_HUMAN_.pdf</v>
      </c>
      <c r="AA2432" t="s">
        <v>15275</v>
      </c>
      <c r="AB2432" t="s">
        <v>19516</v>
      </c>
    </row>
    <row r="2433" spans="1:28" x14ac:dyDescent="0.25">
      <c r="A2433" t="s">
        <v>2437</v>
      </c>
      <c r="B2433">
        <v>0.99876560204751996</v>
      </c>
      <c r="C2433">
        <v>0.95264005744668301</v>
      </c>
      <c r="D2433">
        <v>0.99798274295473699</v>
      </c>
      <c r="E2433">
        <v>0.879807922813441</v>
      </c>
      <c r="F2433">
        <v>0.96728838684671803</v>
      </c>
      <c r="G2433">
        <v>0.66064156129090301</v>
      </c>
      <c r="H2433">
        <v>0.27327701418412398</v>
      </c>
      <c r="I2433">
        <v>6.6422422447583604E-2</v>
      </c>
      <c r="J2433">
        <v>1.6794341700120601E-2</v>
      </c>
      <c r="K2433">
        <v>1.94545532266149E-2</v>
      </c>
      <c r="L2433">
        <v>1551.4072286268899</v>
      </c>
      <c r="M2433">
        <v>26.518979014657202</v>
      </c>
      <c r="N2433">
        <v>58.501773634467099</v>
      </c>
      <c r="O2433">
        <v>58.1721430226075</v>
      </c>
      <c r="P2433">
        <v>-0.113968902310502</v>
      </c>
      <c r="Q2433">
        <v>0</v>
      </c>
      <c r="R2433">
        <v>0.99046366990830403</v>
      </c>
      <c r="S2433" t="s">
        <v>6729</v>
      </c>
      <c r="T2433" t="s">
        <v>8590</v>
      </c>
      <c r="U2433" t="s">
        <v>8590</v>
      </c>
      <c r="V2433" t="s">
        <v>8590</v>
      </c>
      <c r="W2433">
        <v>5</v>
      </c>
      <c r="X2433" t="s">
        <v>11023</v>
      </c>
      <c r="Y2433">
        <v>0.62455226701146171</v>
      </c>
      <c r="Z2433" t="str">
        <f>HYPERLINK("Melting_Curves/meltCurve_sp_Q8TB45_DPTOR_HUMAN_.pdf", "Melting_Curves/meltCurve_sp_Q8TB45_DPTOR_HUMAN_.pdf")</f>
        <v>Melting_Curves/meltCurve_sp_Q8TB45_DPTOR_HUMAN_.pdf</v>
      </c>
      <c r="AA2433" t="s">
        <v>15276</v>
      </c>
      <c r="AB2433" t="s">
        <v>19517</v>
      </c>
    </row>
    <row r="2434" spans="1:28" x14ac:dyDescent="0.25">
      <c r="A2434" t="s">
        <v>2438</v>
      </c>
      <c r="B2434">
        <v>0.99876560204751996</v>
      </c>
      <c r="C2434">
        <v>0.87805597708068395</v>
      </c>
      <c r="D2434">
        <v>0.92166275415233301</v>
      </c>
      <c r="E2434">
        <v>0.80449737989653802</v>
      </c>
      <c r="F2434">
        <v>0.629928288177798</v>
      </c>
      <c r="G2434">
        <v>0.508655559860829</v>
      </c>
      <c r="H2434">
        <v>0.39667956505630098</v>
      </c>
      <c r="I2434">
        <v>0.36516085718629598</v>
      </c>
      <c r="J2434">
        <v>0.43233325948019802</v>
      </c>
      <c r="K2434">
        <v>0.43060883207250999</v>
      </c>
      <c r="L2434">
        <v>788.70484660919601</v>
      </c>
      <c r="M2434">
        <v>15.239004094069999</v>
      </c>
      <c r="N2434">
        <v>57.114281037525103</v>
      </c>
      <c r="O2434">
        <v>50.888977048157003</v>
      </c>
      <c r="P2434">
        <v>-4.6396319219392003E-2</v>
      </c>
      <c r="Q2434">
        <v>0.38031723751811403</v>
      </c>
      <c r="R2434">
        <v>0.96816436680662799</v>
      </c>
      <c r="S2434" t="s">
        <v>6730</v>
      </c>
      <c r="T2434" t="s">
        <v>8590</v>
      </c>
      <c r="U2434" t="s">
        <v>8590</v>
      </c>
      <c r="V2434" t="s">
        <v>8590</v>
      </c>
      <c r="W2434">
        <v>5</v>
      </c>
      <c r="X2434" t="s">
        <v>11024</v>
      </c>
      <c r="Y2434">
        <v>0.63677203208516464</v>
      </c>
      <c r="Z2434" t="str">
        <f>HYPERLINK("Melting_Curves/meltCurve_sp_Q8TBA6_2_GOGA5_HUMAN_.pdf", "Melting_Curves/meltCurve_sp_Q8TBA6_2_GOGA5_HUMAN_.pdf")</f>
        <v>Melting_Curves/meltCurve_sp_Q8TBA6_2_GOGA5_HUMAN_.pdf</v>
      </c>
      <c r="AA2434" t="s">
        <v>15277</v>
      </c>
      <c r="AB2434" t="s">
        <v>19518</v>
      </c>
    </row>
    <row r="2435" spans="1:28" x14ac:dyDescent="0.25">
      <c r="A2435" t="s">
        <v>2439</v>
      </c>
      <c r="B2435">
        <v>0.99876560204751996</v>
      </c>
      <c r="C2435">
        <v>0.98773562692570904</v>
      </c>
      <c r="D2435">
        <v>0.80436559045330502</v>
      </c>
      <c r="E2435">
        <v>0.69945791715919003</v>
      </c>
      <c r="F2435">
        <v>0.314777206069903</v>
      </c>
      <c r="G2435">
        <v>0.14467959123972601</v>
      </c>
      <c r="H2435">
        <v>0.108908138864574</v>
      </c>
      <c r="I2435">
        <v>7.5615684977101499E-2</v>
      </c>
      <c r="J2435">
        <v>7.8031867766163096E-2</v>
      </c>
      <c r="K2435">
        <v>6.3862698910096299E-2</v>
      </c>
      <c r="L2435">
        <v>980.53847239170102</v>
      </c>
      <c r="M2435">
        <v>19.2406650150769</v>
      </c>
      <c r="N2435">
        <v>51.286076447890402</v>
      </c>
      <c r="O2435">
        <v>50.420856832129701</v>
      </c>
      <c r="P2435">
        <v>-8.9939426534485598E-2</v>
      </c>
      <c r="Q2435">
        <v>5.7277733380342997E-2</v>
      </c>
      <c r="R2435">
        <v>0.98705768917057601</v>
      </c>
      <c r="S2435" t="s">
        <v>6731</v>
      </c>
      <c r="T2435" t="s">
        <v>8590</v>
      </c>
      <c r="U2435" t="s">
        <v>8590</v>
      </c>
      <c r="V2435" t="s">
        <v>8590</v>
      </c>
      <c r="W2435">
        <v>11</v>
      </c>
      <c r="X2435" t="s">
        <v>11025</v>
      </c>
      <c r="Y2435">
        <v>0.41580795858879938</v>
      </c>
      <c r="Z2435" t="str">
        <f>HYPERLINK("Melting_Curves/meltCurve_sp_Q8TBC4_UBA3_HUMAN_.pdf", "Melting_Curves/meltCurve_sp_Q8TBC4_UBA3_HUMAN_.pdf")</f>
        <v>Melting_Curves/meltCurve_sp_Q8TBC4_UBA3_HUMAN_.pdf</v>
      </c>
      <c r="AA2435" t="s">
        <v>15278</v>
      </c>
      <c r="AB2435" t="s">
        <v>19519</v>
      </c>
    </row>
    <row r="2436" spans="1:28" x14ac:dyDescent="0.25">
      <c r="A2436" t="s">
        <v>2440</v>
      </c>
      <c r="B2436">
        <v>0.99876560204751996</v>
      </c>
      <c r="C2436">
        <v>0.90237529034896802</v>
      </c>
      <c r="D2436">
        <v>1.0372817267844401</v>
      </c>
      <c r="E2436">
        <v>1.12158879718225</v>
      </c>
      <c r="F2436">
        <v>0.75453915725132903</v>
      </c>
      <c r="G2436">
        <v>0.59381355525592905</v>
      </c>
      <c r="H2436">
        <v>0.351645425803851</v>
      </c>
      <c r="I2436">
        <v>0.39618173159020498</v>
      </c>
      <c r="J2436">
        <v>0.45748639000326302</v>
      </c>
      <c r="K2436">
        <v>0.53743652144421294</v>
      </c>
      <c r="L2436">
        <v>2051.4173082959401</v>
      </c>
      <c r="M2436">
        <v>38.0163155389737</v>
      </c>
      <c r="N2436">
        <v>57.391050089257298</v>
      </c>
      <c r="O2436">
        <v>53.812833971926501</v>
      </c>
      <c r="P2436">
        <v>-9.7414136547584906E-2</v>
      </c>
      <c r="Q2436">
        <v>0.44843498970779799</v>
      </c>
      <c r="R2436">
        <v>0.91177523228172597</v>
      </c>
      <c r="S2436" t="s">
        <v>6732</v>
      </c>
      <c r="T2436" t="s">
        <v>8590</v>
      </c>
      <c r="U2436" t="s">
        <v>8590</v>
      </c>
      <c r="V2436" t="s">
        <v>8590</v>
      </c>
      <c r="W2436">
        <v>2</v>
      </c>
      <c r="X2436" t="s">
        <v>11026</v>
      </c>
      <c r="Y2436">
        <v>0.70739679623791285</v>
      </c>
      <c r="Z2436" t="str">
        <f>HYPERLINK("Melting_Curves/meltCurve_sp_Q8TBC5_ZSC18_HUMAN_.pdf", "Melting_Curves/meltCurve_sp_Q8TBC5_ZSC18_HUMAN_.pdf")</f>
        <v>Melting_Curves/meltCurve_sp_Q8TBC5_ZSC18_HUMAN_.pdf</v>
      </c>
      <c r="AA2436" t="s">
        <v>15279</v>
      </c>
      <c r="AB2436" t="s">
        <v>19520</v>
      </c>
    </row>
    <row r="2437" spans="1:28" x14ac:dyDescent="0.25">
      <c r="A2437" t="s">
        <v>2441</v>
      </c>
      <c r="B2437">
        <v>0.99876560204751996</v>
      </c>
      <c r="C2437">
        <v>1.0928841192533001</v>
      </c>
      <c r="D2437">
        <v>1.0603132214328499</v>
      </c>
      <c r="E2437">
        <v>0.98993351788510797</v>
      </c>
      <c r="F2437">
        <v>0.763867393143564</v>
      </c>
      <c r="G2437">
        <v>0.43900128145422601</v>
      </c>
      <c r="H2437">
        <v>0.32869228831236802</v>
      </c>
      <c r="I2437">
        <v>0.27988773543614798</v>
      </c>
      <c r="J2437">
        <v>0.38805686613784801</v>
      </c>
      <c r="K2437">
        <v>0.22831938819838199</v>
      </c>
      <c r="L2437">
        <v>1735.2213151516601</v>
      </c>
      <c r="M2437">
        <v>31.949048428747499</v>
      </c>
      <c r="N2437">
        <v>55.921546830876601</v>
      </c>
      <c r="O2437">
        <v>54.100690481200402</v>
      </c>
      <c r="P2437">
        <v>-0.103252306414652</v>
      </c>
      <c r="Q2437">
        <v>0.30063736849887901</v>
      </c>
      <c r="R2437">
        <v>0.976047025362765</v>
      </c>
      <c r="S2437" t="s">
        <v>6733</v>
      </c>
      <c r="T2437" t="s">
        <v>8590</v>
      </c>
      <c r="U2437" t="s">
        <v>8590</v>
      </c>
      <c r="V2437" t="s">
        <v>8590</v>
      </c>
      <c r="W2437">
        <v>1</v>
      </c>
      <c r="X2437" t="s">
        <v>11027</v>
      </c>
      <c r="Y2437">
        <v>0.63836548304177276</v>
      </c>
      <c r="Z2437" t="str">
        <f>HYPERLINK("Melting_Curves/meltCurve_sp_Q8TBF2_4_PGFS_HUMAN_.pdf", "Melting_Curves/meltCurve_sp_Q8TBF2_4_PGFS_HUMAN_.pdf")</f>
        <v>Melting_Curves/meltCurve_sp_Q8TBF2_4_PGFS_HUMAN_.pdf</v>
      </c>
      <c r="AA2437" t="s">
        <v>15280</v>
      </c>
      <c r="AB2437" t="s">
        <v>19521</v>
      </c>
    </row>
    <row r="2438" spans="1:28" x14ac:dyDescent="0.25">
      <c r="A2438" t="s">
        <v>2442</v>
      </c>
      <c r="B2438">
        <v>0.99876560204751996</v>
      </c>
      <c r="C2438">
        <v>0.95697969414859496</v>
      </c>
      <c r="D2438">
        <v>0.78436462282506103</v>
      </c>
      <c r="E2438">
        <v>0.53017140769474302</v>
      </c>
      <c r="F2438">
        <v>0.25612326192423401</v>
      </c>
      <c r="G2438">
        <v>0.165219276793446</v>
      </c>
      <c r="H2438">
        <v>0.114188955924668</v>
      </c>
      <c r="I2438">
        <v>0.10015292674093799</v>
      </c>
      <c r="J2438">
        <v>9.9782262223949494E-2</v>
      </c>
      <c r="K2438">
        <v>9.6668409717375101E-2</v>
      </c>
      <c r="L2438">
        <v>910.63910058484703</v>
      </c>
      <c r="M2438">
        <v>18.4431635982877</v>
      </c>
      <c r="N2438">
        <v>49.903826437420904</v>
      </c>
      <c r="O2438">
        <v>48.805936182947598</v>
      </c>
      <c r="P2438">
        <v>-8.6096270614332004E-2</v>
      </c>
      <c r="Q2438">
        <v>8.8698666687864899E-2</v>
      </c>
      <c r="R2438">
        <v>0.997083168349439</v>
      </c>
      <c r="S2438" t="s">
        <v>6734</v>
      </c>
      <c r="T2438" t="s">
        <v>8590</v>
      </c>
      <c r="U2438" t="s">
        <v>8590</v>
      </c>
      <c r="V2438" t="s">
        <v>8590</v>
      </c>
      <c r="W2438">
        <v>8</v>
      </c>
      <c r="X2438" t="s">
        <v>11028</v>
      </c>
      <c r="Y2438">
        <v>0.38844346986712502</v>
      </c>
      <c r="Z2438" t="str">
        <f>HYPERLINK("Melting_Curves/meltCurve_sp_Q8TBG4_3_AT2L1_HUMAN_.pdf", "Melting_Curves/meltCurve_sp_Q8TBG4_3_AT2L1_HUMAN_.pdf")</f>
        <v>Melting_Curves/meltCurve_sp_Q8TBG4_3_AT2L1_HUMAN_.pdf</v>
      </c>
      <c r="AA2438" t="s">
        <v>15281</v>
      </c>
      <c r="AB2438" t="s">
        <v>19522</v>
      </c>
    </row>
    <row r="2439" spans="1:28" x14ac:dyDescent="0.25">
      <c r="A2439" t="s">
        <v>2443</v>
      </c>
      <c r="B2439">
        <v>0.99876560204751996</v>
      </c>
      <c r="C2439">
        <v>0.87268654320707995</v>
      </c>
      <c r="D2439">
        <v>0.79299854741028097</v>
      </c>
      <c r="E2439">
        <v>0.59741863185843103</v>
      </c>
      <c r="F2439">
        <v>0.40408984744237703</v>
      </c>
      <c r="G2439">
        <v>0.19346786880783901</v>
      </c>
      <c r="H2439">
        <v>0.12616917598277499</v>
      </c>
      <c r="I2439">
        <v>9.0995535481367601E-2</v>
      </c>
      <c r="J2439">
        <v>0.10622740466413901</v>
      </c>
      <c r="K2439">
        <v>7.6545652449839796E-2</v>
      </c>
      <c r="L2439">
        <v>659.84094272763502</v>
      </c>
      <c r="M2439">
        <v>12.9999924077486</v>
      </c>
      <c r="N2439">
        <v>51.097104924749402</v>
      </c>
      <c r="O2439">
        <v>49.601009455075499</v>
      </c>
      <c r="P2439">
        <v>-6.2818493312879198E-2</v>
      </c>
      <c r="Q2439">
        <v>4.14423971830973E-2</v>
      </c>
      <c r="R2439">
        <v>0.99477446811576697</v>
      </c>
      <c r="S2439" t="s">
        <v>6735</v>
      </c>
      <c r="T2439" t="s">
        <v>8590</v>
      </c>
      <c r="U2439" t="s">
        <v>8590</v>
      </c>
      <c r="V2439" t="s">
        <v>8590</v>
      </c>
      <c r="W2439">
        <v>6</v>
      </c>
      <c r="X2439" t="s">
        <v>11029</v>
      </c>
      <c r="Y2439">
        <v>0.41327388416168392</v>
      </c>
      <c r="Z2439" t="str">
        <f>HYPERLINK("Melting_Curves/meltCurve_sp_Q8TBX8_PI42C_HUMAN_.pdf", "Melting_Curves/meltCurve_sp_Q8TBX8_PI42C_HUMAN_.pdf")</f>
        <v>Melting_Curves/meltCurve_sp_Q8TBX8_PI42C_HUMAN_.pdf</v>
      </c>
      <c r="AA2439" t="s">
        <v>15282</v>
      </c>
      <c r="AB2439" t="s">
        <v>19523</v>
      </c>
    </row>
    <row r="2440" spans="1:28" x14ac:dyDescent="0.25">
      <c r="A2440" t="s">
        <v>2444</v>
      </c>
      <c r="B2440">
        <v>0.99876560204751996</v>
      </c>
      <c r="C2440">
        <v>1.03912004982359</v>
      </c>
      <c r="D2440">
        <v>0.94926940891481404</v>
      </c>
      <c r="E2440">
        <v>0.79027123969583202</v>
      </c>
      <c r="F2440">
        <v>0.435061926958143</v>
      </c>
      <c r="G2440">
        <v>0.21501339052503099</v>
      </c>
      <c r="H2440">
        <v>0.120895979971752</v>
      </c>
      <c r="I2440">
        <v>0.10036562963165301</v>
      </c>
      <c r="J2440">
        <v>9.5555128739271994E-2</v>
      </c>
      <c r="K2440">
        <v>8.9657193028966797E-2</v>
      </c>
      <c r="L2440">
        <v>1314.93167246188</v>
      </c>
      <c r="M2440">
        <v>25.2153540462404</v>
      </c>
      <c r="N2440">
        <v>52.591870813482899</v>
      </c>
      <c r="O2440">
        <v>51.823406281244097</v>
      </c>
      <c r="P2440">
        <v>-0.109985093426992</v>
      </c>
      <c r="Q2440">
        <v>9.5832559188819999E-2</v>
      </c>
      <c r="R2440">
        <v>0.99751358842545301</v>
      </c>
      <c r="S2440" t="s">
        <v>6736</v>
      </c>
      <c r="T2440" t="s">
        <v>8590</v>
      </c>
      <c r="U2440" t="s">
        <v>8590</v>
      </c>
      <c r="V2440" t="s">
        <v>8590</v>
      </c>
      <c r="W2440">
        <v>12</v>
      </c>
      <c r="X2440" t="s">
        <v>11030</v>
      </c>
      <c r="Y2440">
        <v>0.47009264017506891</v>
      </c>
      <c r="Z2440" t="str">
        <f>HYPERLINK("Melting_Curves/meltCurve_sp_Q8TC07_2_TBC15_HUMAN_.pdf", "Melting_Curves/meltCurve_sp_Q8TC07_2_TBC15_HUMAN_.pdf")</f>
        <v>Melting_Curves/meltCurve_sp_Q8TC07_2_TBC15_HUMAN_.pdf</v>
      </c>
      <c r="AA2440" t="s">
        <v>15283</v>
      </c>
      <c r="AB2440" t="s">
        <v>19524</v>
      </c>
    </row>
    <row r="2441" spans="1:28" x14ac:dyDescent="0.25">
      <c r="A2441" t="s">
        <v>2445</v>
      </c>
      <c r="B2441">
        <v>0.99876560204751996</v>
      </c>
      <c r="C2441">
        <v>1.07156985212707</v>
      </c>
      <c r="D2441">
        <v>0.76533365176299695</v>
      </c>
      <c r="E2441">
        <v>0.57283857183359699</v>
      </c>
      <c r="F2441">
        <v>0.31202579047022799</v>
      </c>
      <c r="G2441">
        <v>0.12472720942808301</v>
      </c>
      <c r="H2441">
        <v>7.9808902527835401E-2</v>
      </c>
      <c r="I2441">
        <v>6.2195381992994299E-2</v>
      </c>
      <c r="J2441">
        <v>5.3304872145445097E-2</v>
      </c>
      <c r="K2441">
        <v>4.4024341738459698E-2</v>
      </c>
      <c r="L2441">
        <v>903.86641637572802</v>
      </c>
      <c r="M2441">
        <v>17.979906358624401</v>
      </c>
      <c r="N2441">
        <v>50.497659934364201</v>
      </c>
      <c r="O2441">
        <v>49.6614508603109</v>
      </c>
      <c r="P2441">
        <v>-8.7006699733227305E-2</v>
      </c>
      <c r="Q2441">
        <v>3.8779593591864801E-2</v>
      </c>
      <c r="R2441">
        <v>0.98622536845547604</v>
      </c>
      <c r="S2441" t="s">
        <v>6737</v>
      </c>
      <c r="T2441" t="s">
        <v>8590</v>
      </c>
      <c r="U2441" t="s">
        <v>8590</v>
      </c>
      <c r="V2441" t="s">
        <v>8590</v>
      </c>
      <c r="W2441">
        <v>6</v>
      </c>
      <c r="X2441" t="s">
        <v>11031</v>
      </c>
      <c r="Y2441">
        <v>0.38423712032170931</v>
      </c>
      <c r="Z2441" t="str">
        <f>HYPERLINK("Melting_Curves/meltCurve_sp_Q8TC12_RDH11_HUMAN_.pdf", "Melting_Curves/meltCurve_sp_Q8TC12_RDH11_HUMAN_.pdf")</f>
        <v>Melting_Curves/meltCurve_sp_Q8TC12_RDH11_HUMAN_.pdf</v>
      </c>
      <c r="AA2441" t="s">
        <v>15284</v>
      </c>
      <c r="AB2441" t="s">
        <v>19525</v>
      </c>
    </row>
    <row r="2442" spans="1:28" x14ac:dyDescent="0.25">
      <c r="A2442" t="s">
        <v>2446</v>
      </c>
      <c r="B2442">
        <v>0.99876560204751996</v>
      </c>
      <c r="C2442">
        <v>0.88649092210976099</v>
      </c>
      <c r="D2442">
        <v>0.88958382483296405</v>
      </c>
      <c r="E2442">
        <v>0.82722935842148004</v>
      </c>
      <c r="F2442">
        <v>0.70012461623559996</v>
      </c>
      <c r="G2442">
        <v>0.35946024555459999</v>
      </c>
      <c r="H2442">
        <v>0.27379857389831602</v>
      </c>
      <c r="I2442">
        <v>0.234260121085656</v>
      </c>
      <c r="J2442">
        <v>0.16087330204953201</v>
      </c>
      <c r="K2442">
        <v>9.9305998018864194E-2</v>
      </c>
      <c r="L2442">
        <v>678.88422716698199</v>
      </c>
      <c r="M2442">
        <v>12.2999880110372</v>
      </c>
      <c r="N2442">
        <v>55.688704147745902</v>
      </c>
      <c r="O2442">
        <v>53.795825587179401</v>
      </c>
      <c r="P2442">
        <v>-5.42135226345467E-2</v>
      </c>
      <c r="Q2442">
        <v>5.17643836211698E-2</v>
      </c>
      <c r="R2442">
        <v>0.98135221836261199</v>
      </c>
      <c r="S2442" t="s">
        <v>6738</v>
      </c>
      <c r="T2442" t="s">
        <v>8590</v>
      </c>
      <c r="U2442" t="s">
        <v>8590</v>
      </c>
      <c r="V2442" t="s">
        <v>8590</v>
      </c>
      <c r="W2442">
        <v>2</v>
      </c>
      <c r="X2442" t="s">
        <v>11032</v>
      </c>
      <c r="Y2442">
        <v>0.5533658382525426</v>
      </c>
      <c r="Z2442" t="str">
        <f>HYPERLINK("Melting_Curves/meltCurve_sp_Q8TCA0_LRC20_HUMAN_.pdf", "Melting_Curves/meltCurve_sp_Q8TCA0_LRC20_HUMAN_.pdf")</f>
        <v>Melting_Curves/meltCurve_sp_Q8TCA0_LRC20_HUMAN_.pdf</v>
      </c>
      <c r="AA2442" t="s">
        <v>15285</v>
      </c>
      <c r="AB2442" t="s">
        <v>19526</v>
      </c>
    </row>
    <row r="2443" spans="1:28" x14ac:dyDescent="0.25">
      <c r="A2443" t="s">
        <v>2447</v>
      </c>
      <c r="B2443">
        <v>0.99876560204751996</v>
      </c>
      <c r="C2443">
        <v>0.93615812206509696</v>
      </c>
      <c r="D2443">
        <v>0.89635102298206704</v>
      </c>
      <c r="E2443">
        <v>0.80903816455505695</v>
      </c>
      <c r="F2443">
        <v>0.69391405897900205</v>
      </c>
      <c r="G2443">
        <v>0.52020298895128503</v>
      </c>
      <c r="H2443">
        <v>0.35353905619710202</v>
      </c>
      <c r="I2443">
        <v>0.19137469022526599</v>
      </c>
      <c r="J2443">
        <v>0.14458338295374901</v>
      </c>
      <c r="K2443">
        <v>0.125535682388833</v>
      </c>
      <c r="L2443">
        <v>608.82005656384899</v>
      </c>
      <c r="M2443">
        <v>10.700736185721899</v>
      </c>
      <c r="N2443">
        <v>56.895167555163802</v>
      </c>
      <c r="O2443">
        <v>55.016126982827601</v>
      </c>
      <c r="P2443">
        <v>-4.8643696935086203E-2</v>
      </c>
      <c r="Q2443">
        <v>0</v>
      </c>
      <c r="R2443">
        <v>0.99451958149214903</v>
      </c>
      <c r="S2443" t="s">
        <v>6739</v>
      </c>
      <c r="T2443" t="s">
        <v>8590</v>
      </c>
      <c r="U2443" t="s">
        <v>8590</v>
      </c>
      <c r="V2443" t="s">
        <v>8590</v>
      </c>
      <c r="W2443">
        <v>8</v>
      </c>
      <c r="X2443" t="s">
        <v>11033</v>
      </c>
      <c r="Y2443">
        <v>0.58008622051221748</v>
      </c>
      <c r="Z2443" t="str">
        <f>HYPERLINK("Melting_Curves/meltCurve_sp_Q8TCD5_NT5C_HUMAN_.pdf", "Melting_Curves/meltCurve_sp_Q8TCD5_NT5C_HUMAN_.pdf")</f>
        <v>Melting_Curves/meltCurve_sp_Q8TCD5_NT5C_HUMAN_.pdf</v>
      </c>
      <c r="AA2443" t="s">
        <v>15286</v>
      </c>
      <c r="AB2443" t="s">
        <v>19527</v>
      </c>
    </row>
    <row r="2444" spans="1:28" x14ac:dyDescent="0.25">
      <c r="A2444" t="s">
        <v>2448</v>
      </c>
      <c r="B2444">
        <v>0.99876560204751996</v>
      </c>
      <c r="C2444">
        <v>1.08972295621857</v>
      </c>
      <c r="D2444">
        <v>0.94369189023589595</v>
      </c>
      <c r="E2444">
        <v>0.67820236628413899</v>
      </c>
      <c r="F2444">
        <v>0.16132374778842901</v>
      </c>
      <c r="G2444">
        <v>9.0926038419565106E-2</v>
      </c>
      <c r="H2444">
        <v>4.5457512345518397E-2</v>
      </c>
      <c r="I2444">
        <v>4.86763326846451E-2</v>
      </c>
      <c r="J2444">
        <v>3.47424767277233E-2</v>
      </c>
      <c r="K2444">
        <v>2.1184269924418402E-2</v>
      </c>
      <c r="L2444">
        <v>2218.09560614364</v>
      </c>
      <c r="M2444">
        <v>43.715741446771403</v>
      </c>
      <c r="N2444">
        <v>50.848208785319301</v>
      </c>
      <c r="O2444">
        <v>50.633226651864</v>
      </c>
      <c r="P2444">
        <v>-0.206178923607478</v>
      </c>
      <c r="Q2444">
        <v>4.4784425576712E-2</v>
      </c>
      <c r="R2444">
        <v>0.99334827144390703</v>
      </c>
      <c r="S2444" t="s">
        <v>6740</v>
      </c>
      <c r="T2444" t="s">
        <v>8590</v>
      </c>
      <c r="U2444" t="s">
        <v>8590</v>
      </c>
      <c r="V2444" t="s">
        <v>8590</v>
      </c>
      <c r="W2444">
        <v>3</v>
      </c>
      <c r="X2444" t="s">
        <v>11034</v>
      </c>
      <c r="Y2444">
        <v>0.38952298614327507</v>
      </c>
      <c r="Z2444" t="str">
        <f>HYPERLINK("Melting_Curves/meltCurve_sp_Q8TCE6_2_FA45A_HUMAN_.pdf", "Melting_Curves/meltCurve_sp_Q8TCE6_2_FA45A_HUMAN_.pdf")</f>
        <v>Melting_Curves/meltCurve_sp_Q8TCE6_2_FA45A_HUMAN_.pdf</v>
      </c>
      <c r="AA2444" t="s">
        <v>15287</v>
      </c>
      <c r="AB2444" t="s">
        <v>19528</v>
      </c>
    </row>
    <row r="2445" spans="1:28" x14ac:dyDescent="0.25">
      <c r="A2445" t="s">
        <v>2449</v>
      </c>
      <c r="B2445">
        <v>0.99876560204751996</v>
      </c>
      <c r="C2445">
        <v>1.02407275636064</v>
      </c>
      <c r="D2445">
        <v>0.85954175238508801</v>
      </c>
      <c r="E2445">
        <v>0.90555722296700603</v>
      </c>
      <c r="F2445">
        <v>0.39377348765623099</v>
      </c>
      <c r="G2445">
        <v>0.114174257016619</v>
      </c>
      <c r="H2445">
        <v>6.1064691217060901E-2</v>
      </c>
      <c r="I2445">
        <v>5.02263311914702E-2</v>
      </c>
      <c r="J2445">
        <v>4.1857768019468701E-2</v>
      </c>
      <c r="K2445">
        <v>3.33409250730392E-2</v>
      </c>
      <c r="L2445">
        <v>2209.3084410115998</v>
      </c>
      <c r="M2445">
        <v>42.2056787376359</v>
      </c>
      <c r="N2445">
        <v>52.483968865404002</v>
      </c>
      <c r="O2445">
        <v>52.229139738071403</v>
      </c>
      <c r="P2445">
        <v>-0.191431450173909</v>
      </c>
      <c r="Q2445">
        <v>5.2423122469613399E-2</v>
      </c>
      <c r="R2445">
        <v>0.98777629147184398</v>
      </c>
      <c r="S2445" t="s">
        <v>6741</v>
      </c>
      <c r="T2445" t="s">
        <v>8590</v>
      </c>
      <c r="U2445" t="s">
        <v>8590</v>
      </c>
      <c r="V2445" t="s">
        <v>8590</v>
      </c>
      <c r="W2445">
        <v>24</v>
      </c>
      <c r="X2445" t="s">
        <v>11035</v>
      </c>
      <c r="Y2445">
        <v>0.44546606302972341</v>
      </c>
      <c r="Z2445" t="str">
        <f>HYPERLINK("Melting_Curves/meltCurve_sp_Q8TCS8_PNPT1_HUMAN_.pdf", "Melting_Curves/meltCurve_sp_Q8TCS8_PNPT1_HUMAN_.pdf")</f>
        <v>Melting_Curves/meltCurve_sp_Q8TCS8_PNPT1_HUMAN_.pdf</v>
      </c>
      <c r="AA2445" t="s">
        <v>15288</v>
      </c>
      <c r="AB2445" t="s">
        <v>19529</v>
      </c>
    </row>
    <row r="2446" spans="1:28" x14ac:dyDescent="0.25">
      <c r="A2446" t="s">
        <v>2450</v>
      </c>
      <c r="B2446">
        <v>0.99876560204751996</v>
      </c>
      <c r="C2446">
        <v>1.0916454672915401</v>
      </c>
      <c r="D2446">
        <v>0.94127784031399897</v>
      </c>
      <c r="E2446">
        <v>0.90895843128555198</v>
      </c>
      <c r="F2446">
        <v>0.77805884089262201</v>
      </c>
      <c r="G2446">
        <v>0.48656662798941103</v>
      </c>
      <c r="H2446">
        <v>0.35374059786689499</v>
      </c>
      <c r="I2446">
        <v>0.22415150693750499</v>
      </c>
      <c r="J2446">
        <v>0.24770009930850601</v>
      </c>
      <c r="K2446">
        <v>0.195054364025084</v>
      </c>
      <c r="L2446">
        <v>1019.60193566216</v>
      </c>
      <c r="M2446">
        <v>18.331100494193201</v>
      </c>
      <c r="N2446">
        <v>57.094658524024503</v>
      </c>
      <c r="O2446">
        <v>54.972188110253001</v>
      </c>
      <c r="P2446">
        <v>-6.7659432218496698E-2</v>
      </c>
      <c r="Q2446">
        <v>0.188436123936083</v>
      </c>
      <c r="R2446">
        <v>0.98774838747409399</v>
      </c>
      <c r="S2446" t="s">
        <v>6742</v>
      </c>
      <c r="T2446" t="s">
        <v>8590</v>
      </c>
      <c r="U2446" t="s">
        <v>8590</v>
      </c>
      <c r="V2446" t="s">
        <v>8590</v>
      </c>
      <c r="W2446">
        <v>5</v>
      </c>
      <c r="X2446" t="s">
        <v>11036</v>
      </c>
      <c r="Y2446">
        <v>0.62295583318774772</v>
      </c>
      <c r="Z2446" t="str">
        <f>HYPERLINK("Melting_Curves/meltCurve_sp_Q8TD16_BICD2_HUMAN_.pdf", "Melting_Curves/meltCurve_sp_Q8TD16_BICD2_HUMAN_.pdf")</f>
        <v>Melting_Curves/meltCurve_sp_Q8TD16_BICD2_HUMAN_.pdf</v>
      </c>
      <c r="AA2446" t="s">
        <v>15289</v>
      </c>
      <c r="AB2446" t="s">
        <v>19530</v>
      </c>
    </row>
    <row r="2447" spans="1:28" x14ac:dyDescent="0.25">
      <c r="A2447" t="s">
        <v>2451</v>
      </c>
      <c r="B2447">
        <v>0.99876560204751996</v>
      </c>
      <c r="C2447">
        <v>1.0420181959444399</v>
      </c>
      <c r="D2447">
        <v>1.0171059053467399</v>
      </c>
      <c r="E2447">
        <v>0.90979611918280701</v>
      </c>
      <c r="F2447">
        <v>0.56522552662036496</v>
      </c>
      <c r="G2447">
        <v>0.20672068403681501</v>
      </c>
      <c r="H2447">
        <v>0.119609380224051</v>
      </c>
      <c r="I2447">
        <v>0.109353403626072</v>
      </c>
      <c r="J2447">
        <v>0.12263353982643301</v>
      </c>
      <c r="K2447">
        <v>0.11878346022165601</v>
      </c>
      <c r="L2447">
        <v>1806.1186172340999</v>
      </c>
      <c r="M2447">
        <v>34.017313746473597</v>
      </c>
      <c r="N2447">
        <v>53.5103710640592</v>
      </c>
      <c r="O2447">
        <v>52.911619760421203</v>
      </c>
      <c r="P2447">
        <v>-0.142042316574852</v>
      </c>
      <c r="Q2447">
        <v>0.116254812881301</v>
      </c>
      <c r="R2447">
        <v>0.998383905644179</v>
      </c>
      <c r="S2447" t="s">
        <v>6743</v>
      </c>
      <c r="T2447" t="s">
        <v>8590</v>
      </c>
      <c r="U2447" t="s">
        <v>8590</v>
      </c>
      <c r="V2447" t="s">
        <v>8590</v>
      </c>
      <c r="W2447">
        <v>14</v>
      </c>
      <c r="X2447" t="s">
        <v>11037</v>
      </c>
      <c r="Y2447">
        <v>0.50646111891280277</v>
      </c>
      <c r="Z2447" t="str">
        <f>HYPERLINK("Melting_Curves/meltCurve_sp_Q8TD19_NEK9_HUMAN_.pdf", "Melting_Curves/meltCurve_sp_Q8TD19_NEK9_HUMAN_.pdf")</f>
        <v>Melting_Curves/meltCurve_sp_Q8TD19_NEK9_HUMAN_.pdf</v>
      </c>
      <c r="AA2447" t="s">
        <v>15290</v>
      </c>
      <c r="AB2447" t="s">
        <v>19531</v>
      </c>
    </row>
    <row r="2448" spans="1:28" x14ac:dyDescent="0.25">
      <c r="A2448" t="s">
        <v>2452</v>
      </c>
      <c r="B2448">
        <v>0.99876560204751996</v>
      </c>
      <c r="C2448">
        <v>0.9071704466853</v>
      </c>
      <c r="D2448">
        <v>0.77361962115900895</v>
      </c>
      <c r="E2448">
        <v>0.474607464600803</v>
      </c>
      <c r="F2448">
        <v>0.23362442724934601</v>
      </c>
      <c r="G2448">
        <v>0.17212981460294399</v>
      </c>
      <c r="H2448">
        <v>0.10329225644602701</v>
      </c>
      <c r="I2448">
        <v>6.8833395129847E-2</v>
      </c>
      <c r="J2448">
        <v>4.3477980649060603E-2</v>
      </c>
      <c r="K2448">
        <v>5.3443789947258999E-2</v>
      </c>
      <c r="L2448">
        <v>811.91912367299699</v>
      </c>
      <c r="M2448">
        <v>16.514023921671701</v>
      </c>
      <c r="N2448">
        <v>49.484794743139503</v>
      </c>
      <c r="O2448">
        <v>48.461447530454997</v>
      </c>
      <c r="P2448">
        <v>-8.0890956476788997E-2</v>
      </c>
      <c r="Q2448">
        <v>5.0547247577022399E-2</v>
      </c>
      <c r="R2448">
        <v>0.99693698456048496</v>
      </c>
      <c r="S2448" t="s">
        <v>6744</v>
      </c>
      <c r="T2448" t="s">
        <v>8590</v>
      </c>
      <c r="U2448" t="s">
        <v>8590</v>
      </c>
      <c r="V2448" t="s">
        <v>8590</v>
      </c>
      <c r="W2448">
        <v>11</v>
      </c>
      <c r="X2448" t="s">
        <v>11038</v>
      </c>
      <c r="Y2448">
        <v>0.3600236493446437</v>
      </c>
      <c r="Z2448" t="str">
        <f>HYPERLINK("Melting_Curves/meltCurve_sp_Q8TD30_ALAT2_HUMAN_.pdf", "Melting_Curves/meltCurve_sp_Q8TD30_ALAT2_HUMAN_.pdf")</f>
        <v>Melting_Curves/meltCurve_sp_Q8TD30_ALAT2_HUMAN_.pdf</v>
      </c>
      <c r="AA2448" t="s">
        <v>15291</v>
      </c>
      <c r="AB2448" t="s">
        <v>19532</v>
      </c>
    </row>
    <row r="2449" spans="1:28" x14ac:dyDescent="0.25">
      <c r="A2449" t="s">
        <v>2453</v>
      </c>
      <c r="B2449">
        <v>0.99876560204751996</v>
      </c>
      <c r="C2449">
        <v>0.79289793047721002</v>
      </c>
      <c r="D2449">
        <v>0.62970967969787295</v>
      </c>
      <c r="E2449">
        <v>0.35685608463566298</v>
      </c>
      <c r="F2449">
        <v>0.21521887269998999</v>
      </c>
      <c r="G2449">
        <v>0.13063096255207701</v>
      </c>
      <c r="H2449">
        <v>9.0209929682168302E-2</v>
      </c>
      <c r="I2449">
        <v>7.6913579091558701E-2</v>
      </c>
      <c r="J2449">
        <v>7.8665004666407704E-2</v>
      </c>
      <c r="K2449">
        <v>7.6788006224649194E-2</v>
      </c>
      <c r="L2449">
        <v>711.320473325183</v>
      </c>
      <c r="M2449">
        <v>15.061269645285099</v>
      </c>
      <c r="N2449">
        <v>47.669257828829501</v>
      </c>
      <c r="O2449">
        <v>46.4193413136285</v>
      </c>
      <c r="P2449">
        <v>-7.5849846286164202E-2</v>
      </c>
      <c r="Q2449">
        <v>6.5006062785449806E-2</v>
      </c>
      <c r="R2449">
        <v>0.99532146234221497</v>
      </c>
      <c r="S2449" t="s">
        <v>6745</v>
      </c>
      <c r="T2449" t="s">
        <v>8590</v>
      </c>
      <c r="U2449" t="s">
        <v>8590</v>
      </c>
      <c r="V2449" t="s">
        <v>8590</v>
      </c>
      <c r="W2449">
        <v>11</v>
      </c>
      <c r="X2449" t="s">
        <v>11039</v>
      </c>
      <c r="Y2449">
        <v>0.31513891962788282</v>
      </c>
      <c r="Z2449" t="str">
        <f>HYPERLINK("Melting_Curves/meltCurve_sp_Q8TDB6_DTX3L_HUMAN_.pdf", "Melting_Curves/meltCurve_sp_Q8TDB6_DTX3L_HUMAN_.pdf")</f>
        <v>Melting_Curves/meltCurve_sp_Q8TDB6_DTX3L_HUMAN_.pdf</v>
      </c>
      <c r="AA2449" t="s">
        <v>15292</v>
      </c>
      <c r="AB2449" t="s">
        <v>19533</v>
      </c>
    </row>
    <row r="2450" spans="1:28" x14ac:dyDescent="0.25">
      <c r="A2450" t="s">
        <v>2454</v>
      </c>
      <c r="B2450">
        <v>0.99876560204751996</v>
      </c>
      <c r="C2450">
        <v>1.0302502396653499</v>
      </c>
      <c r="D2450">
        <v>0.99227744001510798</v>
      </c>
      <c r="E2450">
        <v>0.95120123723193395</v>
      </c>
      <c r="F2450">
        <v>0.92081951814464702</v>
      </c>
      <c r="G2450">
        <v>0.681106177699903</v>
      </c>
      <c r="H2450">
        <v>0.62205177251923505</v>
      </c>
      <c r="I2450">
        <v>0.61656373690565203</v>
      </c>
      <c r="J2450">
        <v>0.83702474962764795</v>
      </c>
      <c r="K2450">
        <v>0.80768080869468195</v>
      </c>
      <c r="L2450">
        <v>8623.1606875866601</v>
      </c>
      <c r="M2450">
        <v>161.73581844517099</v>
      </c>
      <c r="O2450">
        <v>53.308181887742698</v>
      </c>
      <c r="P2450">
        <v>-0.21777563961542901</v>
      </c>
      <c r="Q2450">
        <v>0.71288429689233102</v>
      </c>
      <c r="R2450">
        <v>0.79595934118115697</v>
      </c>
      <c r="S2450" t="s">
        <v>6746</v>
      </c>
      <c r="T2450" t="s">
        <v>8590</v>
      </c>
      <c r="U2450" t="s">
        <v>8590</v>
      </c>
      <c r="V2450" t="s">
        <v>8590</v>
      </c>
      <c r="W2450">
        <v>3</v>
      </c>
      <c r="X2450" t="s">
        <v>11040</v>
      </c>
      <c r="Y2450">
        <v>0.84039277838810844</v>
      </c>
      <c r="Z2450" t="str">
        <f>HYPERLINK("Melting_Curves/meltCurve_sp_Q8TDD1_2_DDX54_HUMAN_.pdf", "Melting_Curves/meltCurve_sp_Q8TDD1_2_DDX54_HUMAN_.pdf")</f>
        <v>Melting_Curves/meltCurve_sp_Q8TDD1_2_DDX54_HUMAN_.pdf</v>
      </c>
      <c r="AA2450" t="s">
        <v>15293</v>
      </c>
      <c r="AB2450" t="s">
        <v>19534</v>
      </c>
    </row>
    <row r="2451" spans="1:28" x14ac:dyDescent="0.25">
      <c r="A2451" t="s">
        <v>2455</v>
      </c>
      <c r="B2451">
        <v>0.99876560204751996</v>
      </c>
      <c r="C2451">
        <v>1.04293393039064</v>
      </c>
      <c r="D2451">
        <v>0.888734259055738</v>
      </c>
      <c r="E2451">
        <v>0.85480484355781094</v>
      </c>
      <c r="F2451">
        <v>0.67945934913019201</v>
      </c>
      <c r="G2451">
        <v>0.444112872529903</v>
      </c>
      <c r="H2451">
        <v>0.27043325634245402</v>
      </c>
      <c r="I2451">
        <v>0.19390071010774201</v>
      </c>
      <c r="J2451">
        <v>0.30362485913217102</v>
      </c>
      <c r="K2451">
        <v>0.22004593630675601</v>
      </c>
      <c r="L2451">
        <v>965.82030831724899</v>
      </c>
      <c r="M2451">
        <v>17.891363046526902</v>
      </c>
      <c r="N2451">
        <v>55.661583038278501</v>
      </c>
      <c r="O2451">
        <v>53.321640684251598</v>
      </c>
      <c r="P2451">
        <v>-6.6394116902356706E-2</v>
      </c>
      <c r="Q2451">
        <v>0.208542275042675</v>
      </c>
      <c r="R2451">
        <v>0.98230845959042901</v>
      </c>
      <c r="S2451" t="s">
        <v>6747</v>
      </c>
      <c r="T2451" t="s">
        <v>8590</v>
      </c>
      <c r="U2451" t="s">
        <v>8590</v>
      </c>
      <c r="V2451" t="s">
        <v>8590</v>
      </c>
      <c r="W2451">
        <v>3</v>
      </c>
      <c r="X2451" t="s">
        <v>11041</v>
      </c>
      <c r="Y2451">
        <v>0.59021083404378938</v>
      </c>
      <c r="Z2451" t="str">
        <f>HYPERLINK("Melting_Curves/meltCurve_sp_Q8TDH9_2_BL1S5_HUMAN_.pdf", "Melting_Curves/meltCurve_sp_Q8TDH9_2_BL1S5_HUMAN_.pdf")</f>
        <v>Melting_Curves/meltCurve_sp_Q8TDH9_2_BL1S5_HUMAN_.pdf</v>
      </c>
      <c r="AA2451" t="s">
        <v>15294</v>
      </c>
      <c r="AB2451" t="s">
        <v>19535</v>
      </c>
    </row>
    <row r="2452" spans="1:28" x14ac:dyDescent="0.25">
      <c r="A2452" t="s">
        <v>2456</v>
      </c>
      <c r="B2452">
        <v>0.99876560204751996</v>
      </c>
      <c r="C2452">
        <v>0.98290192769363904</v>
      </c>
      <c r="D2452">
        <v>0.94761304003789704</v>
      </c>
      <c r="E2452">
        <v>0.89560644060206795</v>
      </c>
      <c r="F2452">
        <v>0.80340040328050799</v>
      </c>
      <c r="G2452">
        <v>0.61819968080435095</v>
      </c>
      <c r="H2452">
        <v>0.32903154764396297</v>
      </c>
      <c r="I2452">
        <v>0.15089757011826799</v>
      </c>
      <c r="J2452">
        <v>8.8908408819118906E-2</v>
      </c>
      <c r="K2452">
        <v>6.8543186886875399E-2</v>
      </c>
      <c r="L2452">
        <v>924.73338211393104</v>
      </c>
      <c r="M2452">
        <v>15.917568398796901</v>
      </c>
      <c r="N2452">
        <v>58.0951415174018</v>
      </c>
      <c r="O2452">
        <v>57.201402173906502</v>
      </c>
      <c r="P2452">
        <v>-6.9573654572179899E-2</v>
      </c>
      <c r="Q2452">
        <v>0</v>
      </c>
      <c r="R2452">
        <v>0.99514868322565198</v>
      </c>
      <c r="S2452" t="s">
        <v>6748</v>
      </c>
      <c r="T2452" t="s">
        <v>8590</v>
      </c>
      <c r="U2452" t="s">
        <v>8590</v>
      </c>
      <c r="V2452" t="s">
        <v>8590</v>
      </c>
      <c r="W2452">
        <v>13</v>
      </c>
      <c r="X2452" t="s">
        <v>11042</v>
      </c>
      <c r="Y2452">
        <v>0.61617112092416915</v>
      </c>
      <c r="Z2452" t="str">
        <f>HYPERLINK("Melting_Curves/meltCurve_sp_Q8TDX5_ACMSD_HUMAN_.pdf", "Melting_Curves/meltCurve_sp_Q8TDX5_ACMSD_HUMAN_.pdf")</f>
        <v>Melting_Curves/meltCurve_sp_Q8TDX5_ACMSD_HUMAN_.pdf</v>
      </c>
      <c r="AA2452" t="s">
        <v>15295</v>
      </c>
      <c r="AB2452" t="s">
        <v>19536</v>
      </c>
    </row>
    <row r="2453" spans="1:28" x14ac:dyDescent="0.25">
      <c r="A2453" t="s">
        <v>2457</v>
      </c>
      <c r="B2453">
        <v>0.99876560204751996</v>
      </c>
      <c r="C2453">
        <v>0.96507519804609299</v>
      </c>
      <c r="D2453">
        <v>0.96473670564250602</v>
      </c>
      <c r="E2453">
        <v>0.76649385870437903</v>
      </c>
      <c r="F2453">
        <v>0.58051769058184</v>
      </c>
      <c r="G2453">
        <v>0.15531431645025801</v>
      </c>
      <c r="H2453">
        <v>8.3574579567020899E-2</v>
      </c>
      <c r="I2453">
        <v>5.8387029519787803E-2</v>
      </c>
      <c r="J2453">
        <v>6.4425169947302297E-2</v>
      </c>
      <c r="K2453">
        <v>5.4331630363866797E-2</v>
      </c>
      <c r="L2453">
        <v>1210.9457576746299</v>
      </c>
      <c r="M2453">
        <v>22.828920934479999</v>
      </c>
      <c r="N2453">
        <v>53.241316051013897</v>
      </c>
      <c r="O2453">
        <v>52.642377958116001</v>
      </c>
      <c r="P2453">
        <v>-0.10402745655779</v>
      </c>
      <c r="Q2453">
        <v>4.0489540976879602E-2</v>
      </c>
      <c r="R2453">
        <v>0.99472018258669204</v>
      </c>
      <c r="S2453" t="s">
        <v>6749</v>
      </c>
      <c r="T2453" t="s">
        <v>8590</v>
      </c>
      <c r="U2453" t="s">
        <v>8590</v>
      </c>
      <c r="V2453" t="s">
        <v>8590</v>
      </c>
      <c r="W2453">
        <v>6</v>
      </c>
      <c r="X2453" t="s">
        <v>11043</v>
      </c>
      <c r="Y2453">
        <v>0.46814716500646653</v>
      </c>
      <c r="Z2453" t="str">
        <f>HYPERLINK("Melting_Curves/meltCurve_sp_Q8TE04_2_PANK1_HUMAN_.pdf", "Melting_Curves/meltCurve_sp_Q8TE04_2_PANK1_HUMAN_.pdf")</f>
        <v>Melting_Curves/meltCurve_sp_Q8TE04_2_PANK1_HUMAN_.pdf</v>
      </c>
      <c r="AA2453" t="s">
        <v>15296</v>
      </c>
      <c r="AB2453" t="s">
        <v>19537</v>
      </c>
    </row>
    <row r="2454" spans="1:28" x14ac:dyDescent="0.25">
      <c r="A2454" t="s">
        <v>2458</v>
      </c>
      <c r="B2454">
        <v>0.99876560204751996</v>
      </c>
      <c r="C2454">
        <v>0.92758154602358001</v>
      </c>
      <c r="D2454">
        <v>0.89017058371696101</v>
      </c>
      <c r="E2454">
        <v>0.57834245875574697</v>
      </c>
      <c r="F2454">
        <v>0.31991725240662</v>
      </c>
      <c r="G2454">
        <v>0.18760748169284999</v>
      </c>
      <c r="H2454">
        <v>0.117226956286294</v>
      </c>
      <c r="I2454">
        <v>8.1874672742372007E-2</v>
      </c>
      <c r="J2454">
        <v>0.112463067393527</v>
      </c>
      <c r="K2454">
        <v>7.2798468868009697E-2</v>
      </c>
      <c r="L2454">
        <v>969.10220937632505</v>
      </c>
      <c r="M2454">
        <v>19.244050987149599</v>
      </c>
      <c r="N2454">
        <v>50.839186409137199</v>
      </c>
      <c r="O2454">
        <v>49.8242021141197</v>
      </c>
      <c r="P2454">
        <v>-8.85318284972169E-2</v>
      </c>
      <c r="Q2454">
        <v>8.3174230826806805E-2</v>
      </c>
      <c r="R2454">
        <v>0.99729351934490795</v>
      </c>
      <c r="S2454" t="s">
        <v>6750</v>
      </c>
      <c r="T2454" t="s">
        <v>8590</v>
      </c>
      <c r="U2454" t="s">
        <v>8590</v>
      </c>
      <c r="V2454" t="s">
        <v>8590</v>
      </c>
      <c r="W2454">
        <v>7</v>
      </c>
      <c r="X2454" t="s">
        <v>11044</v>
      </c>
      <c r="Y2454">
        <v>0.41346308915894769</v>
      </c>
      <c r="Z2454" t="str">
        <f>HYPERLINK("Melting_Curves/meltCurve_sp_Q8TE77_SSH3_HUMAN_.pdf", "Melting_Curves/meltCurve_sp_Q8TE77_SSH3_HUMAN_.pdf")</f>
        <v>Melting_Curves/meltCurve_sp_Q8TE77_SSH3_HUMAN_.pdf</v>
      </c>
      <c r="AA2454" t="s">
        <v>15297</v>
      </c>
      <c r="AB2454" t="s">
        <v>19538</v>
      </c>
    </row>
    <row r="2455" spans="1:28" x14ac:dyDescent="0.25">
      <c r="A2455" t="s">
        <v>2459</v>
      </c>
      <c r="B2455">
        <v>0.99876560204751996</v>
      </c>
      <c r="C2455">
        <v>0.92169871973081197</v>
      </c>
      <c r="D2455">
        <v>0.81737539839996098</v>
      </c>
      <c r="E2455">
        <v>0.49339884467061901</v>
      </c>
      <c r="F2455">
        <v>0.21649245183441099</v>
      </c>
      <c r="G2455">
        <v>0.116691369409073</v>
      </c>
      <c r="H2455">
        <v>9.0192723431056498E-2</v>
      </c>
      <c r="I2455">
        <v>7.9233310973022997E-2</v>
      </c>
      <c r="J2455">
        <v>9.9717475674616196E-2</v>
      </c>
      <c r="K2455">
        <v>7.2635770325795906E-2</v>
      </c>
      <c r="L2455">
        <v>1010.17357200961</v>
      </c>
      <c r="M2455">
        <v>20.5222260193671</v>
      </c>
      <c r="N2455">
        <v>49.6041438943804</v>
      </c>
      <c r="O2455">
        <v>48.763154233705798</v>
      </c>
      <c r="P2455">
        <v>-9.7549510160741704E-2</v>
      </c>
      <c r="Q2455">
        <v>7.28720371478985E-2</v>
      </c>
      <c r="R2455">
        <v>0.99712802685900903</v>
      </c>
      <c r="S2455" t="s">
        <v>6751</v>
      </c>
      <c r="T2455" t="s">
        <v>8590</v>
      </c>
      <c r="U2455" t="s">
        <v>8590</v>
      </c>
      <c r="V2455" t="s">
        <v>8590</v>
      </c>
      <c r="W2455">
        <v>11</v>
      </c>
      <c r="X2455" t="s">
        <v>11045</v>
      </c>
      <c r="Y2455">
        <v>0.37021955914402283</v>
      </c>
      <c r="Z2455" t="str">
        <f>HYPERLINK("Melting_Curves/meltCurve_sp_Q8TEA1_NSUN6_HUMAN_.pdf", "Melting_Curves/meltCurve_sp_Q8TEA1_NSUN6_HUMAN_.pdf")</f>
        <v>Melting_Curves/meltCurve_sp_Q8TEA1_NSUN6_HUMAN_.pdf</v>
      </c>
      <c r="AA2455" t="s">
        <v>15298</v>
      </c>
      <c r="AB2455" t="s">
        <v>19539</v>
      </c>
    </row>
    <row r="2456" spans="1:28" x14ac:dyDescent="0.25">
      <c r="A2456" t="s">
        <v>2460</v>
      </c>
      <c r="B2456">
        <v>0.99876560204751996</v>
      </c>
      <c r="C2456">
        <v>1.0628362864399401</v>
      </c>
      <c r="D2456">
        <v>1.0095684090022401</v>
      </c>
      <c r="E2456">
        <v>0.64430324127310301</v>
      </c>
      <c r="F2456">
        <v>0.44979572588671302</v>
      </c>
      <c r="G2456">
        <v>0.38430031667611803</v>
      </c>
      <c r="H2456">
        <v>0.13731827001347299</v>
      </c>
      <c r="I2456">
        <v>0.14132700497146899</v>
      </c>
      <c r="J2456">
        <v>0</v>
      </c>
      <c r="K2456">
        <v>0.16004703967790401</v>
      </c>
      <c r="L2456">
        <v>879.21917771903099</v>
      </c>
      <c r="M2456">
        <v>16.814165307373099</v>
      </c>
      <c r="N2456">
        <v>52.893050898294099</v>
      </c>
      <c r="O2456">
        <v>51.567535921912203</v>
      </c>
      <c r="P2456">
        <v>-7.4414077645515206E-2</v>
      </c>
      <c r="Q2456">
        <v>8.7173617760737801E-2</v>
      </c>
      <c r="R2456">
        <v>0.96515326207016705</v>
      </c>
      <c r="S2456" t="s">
        <v>6752</v>
      </c>
      <c r="T2456" t="s">
        <v>8590</v>
      </c>
      <c r="U2456" t="s">
        <v>8590</v>
      </c>
      <c r="V2456" t="s">
        <v>8590</v>
      </c>
      <c r="W2456">
        <v>2</v>
      </c>
      <c r="X2456" t="s">
        <v>11046</v>
      </c>
      <c r="Y2456">
        <v>0.47805971905095601</v>
      </c>
      <c r="Z2456" t="str">
        <f>HYPERLINK("Melting_Curves/meltCurve_sp_Q8TEA7_3_TBCK_HUMAN_.pdf", "Melting_Curves/meltCurve_sp_Q8TEA7_3_TBCK_HUMAN_.pdf")</f>
        <v>Melting_Curves/meltCurve_sp_Q8TEA7_3_TBCK_HUMAN_.pdf</v>
      </c>
      <c r="AA2456" t="s">
        <v>15299</v>
      </c>
      <c r="AB2456" t="s">
        <v>19540</v>
      </c>
    </row>
    <row r="2457" spans="1:28" x14ac:dyDescent="0.25">
      <c r="A2457" t="s">
        <v>2461</v>
      </c>
      <c r="B2457">
        <v>0.99876560204751996</v>
      </c>
      <c r="C2457">
        <v>1.03048968562427</v>
      </c>
      <c r="D2457">
        <v>0.95127261941191898</v>
      </c>
      <c r="E2457">
        <v>0.90491410278432105</v>
      </c>
      <c r="F2457">
        <v>0.55948772972680905</v>
      </c>
      <c r="G2457">
        <v>0.24401549220883301</v>
      </c>
      <c r="H2457">
        <v>0.128216760554066</v>
      </c>
      <c r="I2457">
        <v>0.102465929319263</v>
      </c>
      <c r="J2457">
        <v>8.1965934954095904E-2</v>
      </c>
      <c r="K2457">
        <v>8.8553493153268006E-2</v>
      </c>
      <c r="L2457">
        <v>1446.06590605116</v>
      </c>
      <c r="M2457">
        <v>27.115993462870101</v>
      </c>
      <c r="N2457">
        <v>53.728610048799901</v>
      </c>
      <c r="O2457">
        <v>53.041385240146198</v>
      </c>
      <c r="P2457">
        <v>-0.11613284733871899</v>
      </c>
      <c r="Q2457">
        <v>9.1342676021621105E-2</v>
      </c>
      <c r="R2457">
        <v>0.99712337548795504</v>
      </c>
      <c r="S2457" t="s">
        <v>6753</v>
      </c>
      <c r="T2457" t="s">
        <v>8590</v>
      </c>
      <c r="U2457" t="s">
        <v>8590</v>
      </c>
      <c r="V2457" t="s">
        <v>8590</v>
      </c>
      <c r="W2457">
        <v>12</v>
      </c>
      <c r="X2457" t="s">
        <v>11047</v>
      </c>
      <c r="Y2457">
        <v>0.50224969537786279</v>
      </c>
      <c r="Z2457" t="str">
        <f>HYPERLINK("Melting_Curves/meltCurve_sp_Q8TEB1_2_DCA11_HUMAN_.pdf", "Melting_Curves/meltCurve_sp_Q8TEB1_2_DCA11_HUMAN_.pdf")</f>
        <v>Melting_Curves/meltCurve_sp_Q8TEB1_2_DCA11_HUMAN_.pdf</v>
      </c>
      <c r="AA2457" t="s">
        <v>15300</v>
      </c>
      <c r="AB2457" t="s">
        <v>19541</v>
      </c>
    </row>
    <row r="2458" spans="1:28" x14ac:dyDescent="0.25">
      <c r="A2458" t="s">
        <v>2462</v>
      </c>
      <c r="B2458">
        <v>0.99876560204751996</v>
      </c>
      <c r="C2458">
        <v>1.0052879980457301</v>
      </c>
      <c r="D2458">
        <v>0.96910280461987197</v>
      </c>
      <c r="E2458">
        <v>0.79337824672774504</v>
      </c>
      <c r="F2458">
        <v>0.67784945697253296</v>
      </c>
      <c r="G2458">
        <v>0.407483809651706</v>
      </c>
      <c r="H2458">
        <v>0.331891822182108</v>
      </c>
      <c r="I2458">
        <v>0.29562163886805898</v>
      </c>
      <c r="J2458">
        <v>0.37766178585539201</v>
      </c>
      <c r="K2458">
        <v>0.29350835651828699</v>
      </c>
      <c r="L2458">
        <v>1066.90129419498</v>
      </c>
      <c r="M2458">
        <v>20.226087975393899</v>
      </c>
      <c r="N2458">
        <v>55.320018494094001</v>
      </c>
      <c r="O2458">
        <v>52.241260949375103</v>
      </c>
      <c r="P2458">
        <v>-6.7300871737026993E-2</v>
      </c>
      <c r="Q2458">
        <v>0.30470530448601901</v>
      </c>
      <c r="R2458">
        <v>0.98935677904814501</v>
      </c>
      <c r="S2458" t="s">
        <v>6754</v>
      </c>
      <c r="T2458" t="s">
        <v>8590</v>
      </c>
      <c r="U2458" t="s">
        <v>8590</v>
      </c>
      <c r="V2458" t="s">
        <v>8590</v>
      </c>
      <c r="W2458">
        <v>6</v>
      </c>
      <c r="X2458" t="s">
        <v>11048</v>
      </c>
      <c r="Y2458">
        <v>0.60957403971075386</v>
      </c>
      <c r="Z2458" t="str">
        <f>HYPERLINK("Melting_Curves/meltCurve_sp_Q8TEH3_DEN1A_HUMAN_.pdf", "Melting_Curves/meltCurve_sp_Q8TEH3_DEN1A_HUMAN_.pdf")</f>
        <v>Melting_Curves/meltCurve_sp_Q8TEH3_DEN1A_HUMAN_.pdf</v>
      </c>
      <c r="AA2458" t="s">
        <v>15301</v>
      </c>
      <c r="AB2458" t="s">
        <v>19542</v>
      </c>
    </row>
    <row r="2459" spans="1:28" x14ac:dyDescent="0.25">
      <c r="A2459" t="s">
        <v>2463</v>
      </c>
      <c r="B2459">
        <v>0.99876560204751996</v>
      </c>
      <c r="C2459">
        <v>0.95073161830270603</v>
      </c>
      <c r="D2459">
        <v>0.90218056717188699</v>
      </c>
      <c r="E2459">
        <v>0.74903912686076202</v>
      </c>
      <c r="F2459">
        <v>0.443767567720039</v>
      </c>
      <c r="G2459">
        <v>0.22665113519802399</v>
      </c>
      <c r="H2459">
        <v>0.209985527392163</v>
      </c>
      <c r="I2459">
        <v>0.14492750551988401</v>
      </c>
      <c r="J2459">
        <v>0.171172161166119</v>
      </c>
      <c r="K2459">
        <v>0.167127040543988</v>
      </c>
      <c r="L2459">
        <v>1136.8810529876</v>
      </c>
      <c r="M2459">
        <v>22.0544357564896</v>
      </c>
      <c r="N2459">
        <v>52.444715406747498</v>
      </c>
      <c r="O2459">
        <v>51.130666868806102</v>
      </c>
      <c r="P2459">
        <v>-9.0911251850846295E-2</v>
      </c>
      <c r="Q2459">
        <v>0.15694974750451901</v>
      </c>
      <c r="R2459">
        <v>0.99461259862240203</v>
      </c>
      <c r="S2459" t="s">
        <v>6755</v>
      </c>
      <c r="T2459" t="s">
        <v>8590</v>
      </c>
      <c r="U2459" t="s">
        <v>8590</v>
      </c>
      <c r="V2459" t="s">
        <v>8590</v>
      </c>
      <c r="W2459">
        <v>4</v>
      </c>
      <c r="X2459" t="s">
        <v>11049</v>
      </c>
      <c r="Y2459">
        <v>0.49123526832577258</v>
      </c>
      <c r="Z2459" t="str">
        <f>HYPERLINK("Melting_Curves/meltCurve_sp_Q8TEQ6_GEMI5_HUMAN_.pdf", "Melting_Curves/meltCurve_sp_Q8TEQ6_GEMI5_HUMAN_.pdf")</f>
        <v>Melting_Curves/meltCurve_sp_Q8TEQ6_GEMI5_HUMAN_.pdf</v>
      </c>
      <c r="AA2459" t="s">
        <v>15302</v>
      </c>
      <c r="AB2459" t="s">
        <v>19543</v>
      </c>
    </row>
    <row r="2460" spans="1:28" x14ac:dyDescent="0.25">
      <c r="A2460" t="s">
        <v>2464</v>
      </c>
      <c r="B2460">
        <v>0.99876560204751996</v>
      </c>
      <c r="C2460">
        <v>0.98314811478859299</v>
      </c>
      <c r="D2460">
        <v>1.04337479447835</v>
      </c>
      <c r="E2460">
        <v>0.84280931319962504</v>
      </c>
      <c r="F2460">
        <v>0.63327307494705098</v>
      </c>
      <c r="G2460">
        <v>0.36635451039385902</v>
      </c>
      <c r="H2460">
        <v>0.15923902420519601</v>
      </c>
      <c r="I2460">
        <v>0.11655724534848</v>
      </c>
      <c r="J2460">
        <v>0.13973436876780401</v>
      </c>
      <c r="K2460">
        <v>5.9286192462778199E-2</v>
      </c>
      <c r="L2460">
        <v>1052.0212480530599</v>
      </c>
      <c r="M2460">
        <v>19.358238794533399</v>
      </c>
      <c r="N2460">
        <v>54.812950993930897</v>
      </c>
      <c r="O2460">
        <v>53.774917110069197</v>
      </c>
      <c r="P2460">
        <v>-8.3143612916197901E-2</v>
      </c>
      <c r="Q2460">
        <v>7.6181364745657495E-2</v>
      </c>
      <c r="R2460">
        <v>0.9941570773906</v>
      </c>
      <c r="S2460" t="s">
        <v>6756</v>
      </c>
      <c r="T2460" t="s">
        <v>8590</v>
      </c>
      <c r="U2460" t="s">
        <v>8590</v>
      </c>
      <c r="V2460" t="s">
        <v>8590</v>
      </c>
      <c r="W2460">
        <v>1</v>
      </c>
      <c r="X2460" t="s">
        <v>11050</v>
      </c>
      <c r="Y2460">
        <v>0.53104741454719495</v>
      </c>
      <c r="Z2460" t="str">
        <f>HYPERLINK("Melting_Curves/meltCurve_sp_Q8TER0_5_SNED1_HUMAN_.pdf", "Melting_Curves/meltCurve_sp_Q8TER0_5_SNED1_HUMAN_.pdf")</f>
        <v>Melting_Curves/meltCurve_sp_Q8TER0_5_SNED1_HUMAN_.pdf</v>
      </c>
      <c r="AA2460" t="s">
        <v>15303</v>
      </c>
      <c r="AB2460" t="s">
        <v>19544</v>
      </c>
    </row>
    <row r="2461" spans="1:28" x14ac:dyDescent="0.25">
      <c r="A2461" t="s">
        <v>2465</v>
      </c>
      <c r="B2461">
        <v>0.99876560204751996</v>
      </c>
      <c r="C2461">
        <v>0.91254602746020597</v>
      </c>
      <c r="D2461">
        <v>0.99245391326906196</v>
      </c>
      <c r="E2461">
        <v>0.629049768752725</v>
      </c>
      <c r="F2461">
        <v>0.69259034928798502</v>
      </c>
      <c r="G2461">
        <v>0.53511553790615896</v>
      </c>
      <c r="H2461">
        <v>0.53624133753301395</v>
      </c>
      <c r="I2461">
        <v>0.50673710259601801</v>
      </c>
      <c r="J2461">
        <v>0.55927059111157995</v>
      </c>
      <c r="K2461">
        <v>0.767628439356558</v>
      </c>
      <c r="L2461">
        <v>3321.2005206751301</v>
      </c>
      <c r="M2461">
        <v>68.782495773277105</v>
      </c>
      <c r="O2461">
        <v>48.244781189837902</v>
      </c>
      <c r="P2461">
        <v>-0.14300760870106199</v>
      </c>
      <c r="Q2461">
        <v>0.59877180551657205</v>
      </c>
      <c r="R2461">
        <v>0.81471540441709001</v>
      </c>
      <c r="S2461" t="s">
        <v>6757</v>
      </c>
      <c r="T2461" t="s">
        <v>8590</v>
      </c>
      <c r="U2461" t="s">
        <v>8590</v>
      </c>
      <c r="V2461" t="s">
        <v>8590</v>
      </c>
      <c r="W2461">
        <v>2</v>
      </c>
      <c r="X2461" t="s">
        <v>11051</v>
      </c>
      <c r="Y2461">
        <v>0.71003538162552038</v>
      </c>
      <c r="Z2461" t="str">
        <f>HYPERLINK("Melting_Curves/meltCurve_sp_Q8TER5_ARH40_HUMAN_.pdf", "Melting_Curves/meltCurve_sp_Q8TER5_ARH40_HUMAN_.pdf")</f>
        <v>Melting_Curves/meltCurve_sp_Q8TER5_ARH40_HUMAN_.pdf</v>
      </c>
      <c r="AA2461" t="s">
        <v>15304</v>
      </c>
      <c r="AB2461" t="s">
        <v>19545</v>
      </c>
    </row>
    <row r="2462" spans="1:28" x14ac:dyDescent="0.25">
      <c r="A2462" t="s">
        <v>2466</v>
      </c>
      <c r="B2462">
        <v>0.99876560204751996</v>
      </c>
      <c r="C2462">
        <v>0.923581978669892</v>
      </c>
      <c r="D2462">
        <v>0.92525810027826305</v>
      </c>
      <c r="E2462">
        <v>0.80664817971886404</v>
      </c>
      <c r="F2462">
        <v>0.61126959015743698</v>
      </c>
      <c r="G2462">
        <v>0.36550722352821202</v>
      </c>
      <c r="H2462">
        <v>0.29801269676859399</v>
      </c>
      <c r="I2462">
        <v>0.233193084473405</v>
      </c>
      <c r="J2462">
        <v>0.29582326509604501</v>
      </c>
      <c r="K2462">
        <v>0.26368783007383101</v>
      </c>
      <c r="L2462">
        <v>994.14809837992198</v>
      </c>
      <c r="M2462">
        <v>18.906243814101501</v>
      </c>
      <c r="N2462">
        <v>54.5436410328115</v>
      </c>
      <c r="O2462">
        <v>52.005376584464202</v>
      </c>
      <c r="P2462">
        <v>-6.8477447808114197E-2</v>
      </c>
      <c r="Q2462">
        <v>0.24658745847110899</v>
      </c>
      <c r="R2462">
        <v>0.98994943294211701</v>
      </c>
      <c r="S2462" t="s">
        <v>6758</v>
      </c>
      <c r="T2462" t="s">
        <v>8590</v>
      </c>
      <c r="U2462" t="s">
        <v>8590</v>
      </c>
      <c r="V2462" t="s">
        <v>8590</v>
      </c>
      <c r="W2462">
        <v>6</v>
      </c>
      <c r="X2462" t="s">
        <v>11052</v>
      </c>
      <c r="Y2462">
        <v>0.57404455838479085</v>
      </c>
      <c r="Z2462" t="str">
        <f>HYPERLINK("Melting_Curves/meltCurve_sp_Q8TEW0_5_PARD3_HUMAN_.pdf", "Melting_Curves/meltCurve_sp_Q8TEW0_5_PARD3_HUMAN_.pdf")</f>
        <v>Melting_Curves/meltCurve_sp_Q8TEW0_5_PARD3_HUMAN_.pdf</v>
      </c>
      <c r="AA2462" t="s">
        <v>15305</v>
      </c>
      <c r="AB2462" t="s">
        <v>19546</v>
      </c>
    </row>
    <row r="2463" spans="1:28" x14ac:dyDescent="0.25">
      <c r="A2463" t="s">
        <v>2467</v>
      </c>
      <c r="B2463">
        <v>0.99876560204751996</v>
      </c>
      <c r="C2463">
        <v>0.70129230948918497</v>
      </c>
      <c r="D2463">
        <v>0.78357039803951301</v>
      </c>
      <c r="E2463">
        <v>0.65377580672984503</v>
      </c>
      <c r="F2463">
        <v>0.55936717396830105</v>
      </c>
      <c r="G2463">
        <v>0.41112481427572301</v>
      </c>
      <c r="H2463">
        <v>0.16637567964939101</v>
      </c>
      <c r="I2463">
        <v>1.72808457850369E-2</v>
      </c>
      <c r="J2463">
        <v>1.8838509679903501E-2</v>
      </c>
      <c r="K2463">
        <v>0</v>
      </c>
      <c r="L2463">
        <v>542.718181276466</v>
      </c>
      <c r="M2463">
        <v>10.335433516318499</v>
      </c>
      <c r="N2463">
        <v>52.510437911123901</v>
      </c>
      <c r="O2463">
        <v>50.658691427287302</v>
      </c>
      <c r="P2463">
        <v>-5.1027119810873302E-2</v>
      </c>
      <c r="Q2463">
        <v>0</v>
      </c>
      <c r="R2463">
        <v>0.92408861448036805</v>
      </c>
      <c r="S2463" t="s">
        <v>6759</v>
      </c>
      <c r="T2463" t="s">
        <v>8590</v>
      </c>
      <c r="U2463" t="s">
        <v>8590</v>
      </c>
      <c r="V2463" t="s">
        <v>8590</v>
      </c>
      <c r="W2463">
        <v>2</v>
      </c>
      <c r="X2463" t="s">
        <v>11053</v>
      </c>
      <c r="Y2463">
        <v>0.45190264496686289</v>
      </c>
      <c r="Z2463" t="str">
        <f>HYPERLINK("Melting_Curves/meltCurve_sp_Q8TEW8_5_PAR3L_HUMAN_.pdf", "Melting_Curves/meltCurve_sp_Q8TEW8_5_PAR3L_HUMAN_.pdf")</f>
        <v>Melting_Curves/meltCurve_sp_Q8TEW8_5_PAR3L_HUMAN_.pdf</v>
      </c>
      <c r="AA2463" t="s">
        <v>15306</v>
      </c>
      <c r="AB2463" t="s">
        <v>19547</v>
      </c>
    </row>
    <row r="2464" spans="1:28" x14ac:dyDescent="0.25">
      <c r="A2464" t="s">
        <v>2468</v>
      </c>
      <c r="B2464">
        <v>0.99876560204751996</v>
      </c>
      <c r="C2464">
        <v>0.95164583308859696</v>
      </c>
      <c r="D2464">
        <v>0.76572216278051397</v>
      </c>
      <c r="E2464">
        <v>0.70653268667307201</v>
      </c>
      <c r="F2464">
        <v>0.45156922421077</v>
      </c>
      <c r="G2464">
        <v>0.31892334802533001</v>
      </c>
      <c r="H2464">
        <v>0.14118649269213401</v>
      </c>
      <c r="I2464">
        <v>7.8320838793592001E-2</v>
      </c>
      <c r="J2464">
        <v>6.9361067612431507E-2</v>
      </c>
      <c r="K2464">
        <v>5.2735434505022098E-2</v>
      </c>
      <c r="L2464">
        <v>623.26042196232004</v>
      </c>
      <c r="M2464">
        <v>11.857401354410699</v>
      </c>
      <c r="N2464">
        <v>52.562999233455599</v>
      </c>
      <c r="O2464">
        <v>51.1348210287874</v>
      </c>
      <c r="P2464">
        <v>-5.79859038825861E-2</v>
      </c>
      <c r="Q2464">
        <v>0</v>
      </c>
      <c r="R2464">
        <v>0.98935405689161504</v>
      </c>
      <c r="S2464" t="s">
        <v>6760</v>
      </c>
      <c r="T2464" t="s">
        <v>8590</v>
      </c>
      <c r="U2464" t="s">
        <v>8590</v>
      </c>
      <c r="V2464" t="s">
        <v>8590</v>
      </c>
      <c r="W2464">
        <v>14</v>
      </c>
      <c r="X2464" t="s">
        <v>11054</v>
      </c>
      <c r="Y2464">
        <v>0.44861053207088442</v>
      </c>
      <c r="Z2464" t="str">
        <f>HYPERLINK("Melting_Curves/meltCurve_sp_Q8TEX9_IPO4_HUMAN_.pdf", "Melting_Curves/meltCurve_sp_Q8TEX9_IPO4_HUMAN_.pdf")</f>
        <v>Melting_Curves/meltCurve_sp_Q8TEX9_IPO4_HUMAN_.pdf</v>
      </c>
      <c r="AA2464" t="s">
        <v>15307</v>
      </c>
      <c r="AB2464" t="s">
        <v>19548</v>
      </c>
    </row>
    <row r="2465" spans="1:28" x14ac:dyDescent="0.25">
      <c r="A2465" t="s">
        <v>2469</v>
      </c>
      <c r="B2465">
        <v>0.99876560204751996</v>
      </c>
      <c r="C2465">
        <v>0.72395784711687505</v>
      </c>
      <c r="D2465">
        <v>0.68880950545585795</v>
      </c>
      <c r="E2465">
        <v>0.607126797471637</v>
      </c>
      <c r="F2465">
        <v>0.312488570682038</v>
      </c>
      <c r="G2465">
        <v>0.14687860886701501</v>
      </c>
      <c r="H2465">
        <v>0.142189254351026</v>
      </c>
      <c r="I2465">
        <v>0.108580000857962</v>
      </c>
      <c r="J2465">
        <v>0.169824650842608</v>
      </c>
      <c r="K2465">
        <v>0.108658302494925</v>
      </c>
      <c r="L2465">
        <v>541.13686884105505</v>
      </c>
      <c r="M2465">
        <v>11.0389196334921</v>
      </c>
      <c r="N2465">
        <v>49.622975605066401</v>
      </c>
      <c r="O2465">
        <v>47.494535318230298</v>
      </c>
      <c r="P2465">
        <v>-5.4482019446741602E-2</v>
      </c>
      <c r="Q2465">
        <v>6.2684626098809093E-2</v>
      </c>
      <c r="R2465">
        <v>0.95106518509971105</v>
      </c>
      <c r="S2465" t="s">
        <v>6761</v>
      </c>
      <c r="T2465" t="s">
        <v>8590</v>
      </c>
      <c r="U2465" t="s">
        <v>8590</v>
      </c>
      <c r="V2465" t="s">
        <v>8590</v>
      </c>
      <c r="W2465">
        <v>2</v>
      </c>
      <c r="X2465" t="s">
        <v>11055</v>
      </c>
      <c r="Y2465">
        <v>0.38392389877722072</v>
      </c>
      <c r="Z2465" t="str">
        <f>HYPERLINK("Melting_Curves/meltCurve_sp_Q8TF05_2_PP4R1_HUMAN_.pdf", "Melting_Curves/meltCurve_sp_Q8TF05_2_PP4R1_HUMAN_.pdf")</f>
        <v>Melting_Curves/meltCurve_sp_Q8TF05_2_PP4R1_HUMAN_.pdf</v>
      </c>
      <c r="AA2465" t="s">
        <v>15308</v>
      </c>
      <c r="AB2465" t="s">
        <v>19549</v>
      </c>
    </row>
    <row r="2466" spans="1:28" x14ac:dyDescent="0.25">
      <c r="A2466" t="s">
        <v>2470</v>
      </c>
      <c r="B2466">
        <v>0.99876560204751996</v>
      </c>
      <c r="C2466">
        <v>1.06533686728287</v>
      </c>
      <c r="D2466">
        <v>0.82606659726849796</v>
      </c>
      <c r="E2466">
        <v>0.72804452353939797</v>
      </c>
      <c r="F2466">
        <v>0.44152909718053301</v>
      </c>
      <c r="G2466">
        <v>0.31752705252911401</v>
      </c>
      <c r="H2466">
        <v>0.32072090102603501</v>
      </c>
      <c r="I2466">
        <v>0.23120322768755999</v>
      </c>
      <c r="J2466">
        <v>0.21677929996505499</v>
      </c>
      <c r="K2466">
        <v>0.29755991757978101</v>
      </c>
      <c r="L2466">
        <v>987.18617106175202</v>
      </c>
      <c r="M2466">
        <v>19.480976692556801</v>
      </c>
      <c r="N2466">
        <v>52.544681376065398</v>
      </c>
      <c r="O2466">
        <v>50.149458693973997</v>
      </c>
      <c r="P2466">
        <v>-7.2831958629518606E-2</v>
      </c>
      <c r="Q2466">
        <v>0.250068114308305</v>
      </c>
      <c r="R2466">
        <v>0.97430190086370105</v>
      </c>
      <c r="S2466" t="s">
        <v>6762</v>
      </c>
      <c r="T2466" t="s">
        <v>8590</v>
      </c>
      <c r="U2466" t="s">
        <v>8590</v>
      </c>
      <c r="V2466" t="s">
        <v>8590</v>
      </c>
      <c r="W2466">
        <v>1</v>
      </c>
      <c r="X2466" t="s">
        <v>11056</v>
      </c>
      <c r="Y2466">
        <v>0.52785259588392208</v>
      </c>
      <c r="Z2466" t="str">
        <f>HYPERLINK("Melting_Curves/meltCurve_sp_Q8TF46_2_DI3L1_HUMAN_.pdf", "Melting_Curves/meltCurve_sp_Q8TF46_2_DI3L1_HUMAN_.pdf")</f>
        <v>Melting_Curves/meltCurve_sp_Q8TF46_2_DI3L1_HUMAN_.pdf</v>
      </c>
      <c r="AA2466" t="s">
        <v>15309</v>
      </c>
      <c r="AB2466" t="s">
        <v>19550</v>
      </c>
    </row>
    <row r="2467" spans="1:28" x14ac:dyDescent="0.25">
      <c r="A2467" t="s">
        <v>2471</v>
      </c>
      <c r="B2467">
        <v>0.99876560204751996</v>
      </c>
      <c r="C2467">
        <v>0.92512952768378498</v>
      </c>
      <c r="D2467">
        <v>1.0528740663762199</v>
      </c>
      <c r="E2467">
        <v>0.88973165665123299</v>
      </c>
      <c r="F2467">
        <v>0.71115430194681795</v>
      </c>
      <c r="G2467">
        <v>0.23148779138241901</v>
      </c>
      <c r="H2467">
        <v>0.15117364118284901</v>
      </c>
      <c r="I2467">
        <v>0.112882530685937</v>
      </c>
      <c r="J2467">
        <v>0.13491442076180399</v>
      </c>
      <c r="K2467">
        <v>0.11290658874486501</v>
      </c>
      <c r="L2467">
        <v>1743.35454845967</v>
      </c>
      <c r="M2467">
        <v>32.293726796051899</v>
      </c>
      <c r="N2467">
        <v>54.435874865732202</v>
      </c>
      <c r="O2467">
        <v>53.778567081993899</v>
      </c>
      <c r="P2467">
        <v>-0.132484163923554</v>
      </c>
      <c r="Q2467">
        <v>0.11750368326843801</v>
      </c>
      <c r="R2467">
        <v>0.99188152166056498</v>
      </c>
      <c r="S2467" t="s">
        <v>6763</v>
      </c>
      <c r="T2467" t="s">
        <v>8590</v>
      </c>
      <c r="U2467" t="s">
        <v>8590</v>
      </c>
      <c r="V2467" t="s">
        <v>8590</v>
      </c>
      <c r="W2467">
        <v>9</v>
      </c>
      <c r="X2467" t="s">
        <v>11057</v>
      </c>
      <c r="Y2467">
        <v>0.53389632679399524</v>
      </c>
      <c r="Z2467" t="str">
        <f>HYPERLINK("Melting_Curves/meltCurve_sp_Q8TF65_GIPC2_HUMAN_.pdf", "Melting_Curves/meltCurve_sp_Q8TF65_GIPC2_HUMAN_.pdf")</f>
        <v>Melting_Curves/meltCurve_sp_Q8TF65_GIPC2_HUMAN_.pdf</v>
      </c>
      <c r="AA2467" t="s">
        <v>15310</v>
      </c>
      <c r="AB2467" t="s">
        <v>19551</v>
      </c>
    </row>
    <row r="2468" spans="1:28" x14ac:dyDescent="0.25">
      <c r="A2468" t="s">
        <v>2472</v>
      </c>
      <c r="B2468">
        <v>0.99876560204751996</v>
      </c>
      <c r="C2468">
        <v>0.80568079594340003</v>
      </c>
      <c r="D2468">
        <v>0.86140339299943902</v>
      </c>
      <c r="E2468">
        <v>0.71042942815079602</v>
      </c>
      <c r="F2468">
        <v>0.65281831434461202</v>
      </c>
      <c r="G2468">
        <v>0.47893548939758401</v>
      </c>
      <c r="H2468">
        <v>0.40498415479826799</v>
      </c>
      <c r="I2468">
        <v>0.362919122707342</v>
      </c>
      <c r="J2468">
        <v>0.466378380433492</v>
      </c>
      <c r="K2468">
        <v>0.43949874654936399</v>
      </c>
      <c r="L2468">
        <v>519.99859541097703</v>
      </c>
      <c r="M2468">
        <v>10.3211916417469</v>
      </c>
      <c r="N2468">
        <v>57.685931115679502</v>
      </c>
      <c r="O2468">
        <v>48.600320910678697</v>
      </c>
      <c r="P2468">
        <v>-3.3745652198890398E-2</v>
      </c>
      <c r="Q2468">
        <v>0.36466908345765697</v>
      </c>
      <c r="R2468">
        <v>0.93302300158061902</v>
      </c>
      <c r="S2468" t="s">
        <v>6764</v>
      </c>
      <c r="T2468" t="s">
        <v>8590</v>
      </c>
      <c r="U2468" t="s">
        <v>8590</v>
      </c>
      <c r="V2468" t="s">
        <v>8590</v>
      </c>
      <c r="W2468">
        <v>7</v>
      </c>
      <c r="X2468" t="s">
        <v>11058</v>
      </c>
      <c r="Y2468">
        <v>0.61121733790682353</v>
      </c>
      <c r="Z2468" t="str">
        <f>HYPERLINK("Melting_Curves/meltCurve_sp_Q8TF72_SHRM3_HUMAN_.pdf", "Melting_Curves/meltCurve_sp_Q8TF72_SHRM3_HUMAN_.pdf")</f>
        <v>Melting_Curves/meltCurve_sp_Q8TF72_SHRM3_HUMAN_.pdf</v>
      </c>
      <c r="AA2468" t="s">
        <v>15311</v>
      </c>
      <c r="AB2468" t="s">
        <v>19552</v>
      </c>
    </row>
    <row r="2469" spans="1:28" x14ac:dyDescent="0.25">
      <c r="A2469" t="s">
        <v>2473</v>
      </c>
      <c r="B2469">
        <v>0.99876560204751996</v>
      </c>
      <c r="C2469">
        <v>1.02113865651422</v>
      </c>
      <c r="D2469">
        <v>1.0388781604050299</v>
      </c>
      <c r="E2469">
        <v>0.89055864787116001</v>
      </c>
      <c r="F2469">
        <v>0.96040546000722704</v>
      </c>
      <c r="G2469">
        <v>0.69936731414632003</v>
      </c>
      <c r="H2469">
        <v>0.67735686527959804</v>
      </c>
      <c r="I2469">
        <v>0.64312338215118403</v>
      </c>
      <c r="J2469">
        <v>0.752697573386515</v>
      </c>
      <c r="K2469">
        <v>0.78761268061652401</v>
      </c>
      <c r="L2469">
        <v>8714.6864035557701</v>
      </c>
      <c r="M2469">
        <v>162.592203462963</v>
      </c>
      <c r="O2469">
        <v>53.590319687208797</v>
      </c>
      <c r="P2469">
        <v>-0.218425343863245</v>
      </c>
      <c r="Q2469">
        <v>0.71202840887532104</v>
      </c>
      <c r="R2469">
        <v>0.86913829903398399</v>
      </c>
      <c r="S2469" t="s">
        <v>6765</v>
      </c>
      <c r="T2469" t="s">
        <v>8590</v>
      </c>
      <c r="U2469" t="s">
        <v>8590</v>
      </c>
      <c r="V2469" t="s">
        <v>8590</v>
      </c>
      <c r="W2469">
        <v>7</v>
      </c>
      <c r="X2469" t="s">
        <v>11059</v>
      </c>
      <c r="Y2469">
        <v>0.84262449411510143</v>
      </c>
      <c r="Z2469" t="str">
        <f>HYPERLINK("Melting_Curves/meltCurve_sp_Q8TF74_WIPF2_HUMAN_.pdf", "Melting_Curves/meltCurve_sp_Q8TF74_WIPF2_HUMAN_.pdf")</f>
        <v>Melting_Curves/meltCurve_sp_Q8TF74_WIPF2_HUMAN_.pdf</v>
      </c>
      <c r="AA2469" t="s">
        <v>15312</v>
      </c>
      <c r="AB2469" t="s">
        <v>19553</v>
      </c>
    </row>
    <row r="2470" spans="1:28" x14ac:dyDescent="0.25">
      <c r="A2470" t="s">
        <v>2474</v>
      </c>
      <c r="B2470">
        <v>0.99876560204751996</v>
      </c>
      <c r="C2470">
        <v>0.970822084928047</v>
      </c>
      <c r="D2470">
        <v>0.95708035455253804</v>
      </c>
      <c r="E2470">
        <v>0.54717421428379198</v>
      </c>
      <c r="F2470">
        <v>0.32619159400491698</v>
      </c>
      <c r="G2470">
        <v>0.21503320125636899</v>
      </c>
      <c r="H2470">
        <v>0.20786027184773501</v>
      </c>
      <c r="I2470">
        <v>0.21378995065816001</v>
      </c>
      <c r="J2470">
        <v>0.30701369942448298</v>
      </c>
      <c r="K2470">
        <v>0.305510753230675</v>
      </c>
      <c r="L2470">
        <v>1776.4189872100401</v>
      </c>
      <c r="M2470">
        <v>35.932194941170003</v>
      </c>
      <c r="N2470">
        <v>50.414180649309401</v>
      </c>
      <c r="O2470">
        <v>49.285709738527999</v>
      </c>
      <c r="P2470">
        <v>-0.13658254061241701</v>
      </c>
      <c r="Q2470">
        <v>0.25063902606615102</v>
      </c>
      <c r="R2470">
        <v>0.98828422104139801</v>
      </c>
      <c r="S2470" t="s">
        <v>6766</v>
      </c>
      <c r="T2470" t="s">
        <v>8590</v>
      </c>
      <c r="U2470" t="s">
        <v>8590</v>
      </c>
      <c r="V2470" t="s">
        <v>8590</v>
      </c>
      <c r="W2470">
        <v>5</v>
      </c>
      <c r="X2470" t="s">
        <v>11060</v>
      </c>
      <c r="Y2470">
        <v>0.48957382341736511</v>
      </c>
      <c r="Z2470" t="str">
        <f>HYPERLINK("Melting_Curves/meltCurve_sp_Q8WTS6_SETD7_HUMAN_.pdf", "Melting_Curves/meltCurve_sp_Q8WTS6_SETD7_HUMAN_.pdf")</f>
        <v>Melting_Curves/meltCurve_sp_Q8WTS6_SETD7_HUMAN_.pdf</v>
      </c>
      <c r="AA2470" t="s">
        <v>15313</v>
      </c>
      <c r="AB2470" t="s">
        <v>19554</v>
      </c>
    </row>
    <row r="2471" spans="1:28" x14ac:dyDescent="0.25">
      <c r="A2471" t="s">
        <v>2475</v>
      </c>
      <c r="B2471">
        <v>0.99876560204751996</v>
      </c>
      <c r="C2471">
        <v>1.17635892997661</v>
      </c>
      <c r="D2471">
        <v>1.1055724791313499</v>
      </c>
      <c r="E2471">
        <v>0.81392577114348397</v>
      </c>
      <c r="F2471">
        <v>0.375734949579004</v>
      </c>
      <c r="G2471">
        <v>0.31899925669043799</v>
      </c>
      <c r="H2471">
        <v>0.19184691851556401</v>
      </c>
      <c r="I2471">
        <v>3.3183602501004501E-2</v>
      </c>
      <c r="J2471">
        <v>7.0968595604536097E-2</v>
      </c>
      <c r="K2471">
        <v>6.3722028595185998E-2</v>
      </c>
      <c r="L2471">
        <v>1431.0099282501701</v>
      </c>
      <c r="M2471">
        <v>27.432466081101101</v>
      </c>
      <c r="N2471">
        <v>52.613290119507703</v>
      </c>
      <c r="O2471">
        <v>51.8899890498218</v>
      </c>
      <c r="P2471">
        <v>-0.118389171054309</v>
      </c>
      <c r="Q2471">
        <v>0.10425033722397301</v>
      </c>
      <c r="R2471">
        <v>0.95406060506996304</v>
      </c>
      <c r="S2471" t="s">
        <v>6767</v>
      </c>
      <c r="T2471" t="s">
        <v>8590</v>
      </c>
      <c r="U2471" t="s">
        <v>8590</v>
      </c>
      <c r="V2471" t="s">
        <v>8590</v>
      </c>
      <c r="W2471">
        <v>2</v>
      </c>
      <c r="X2471" t="s">
        <v>11061</v>
      </c>
      <c r="Y2471">
        <v>0.47431397712475287</v>
      </c>
      <c r="Z2471" t="str">
        <f>HYPERLINK("Melting_Curves/meltCurve_sp_Q8WU76_2_SCFD2_HUMAN_.pdf", "Melting_Curves/meltCurve_sp_Q8WU76_2_SCFD2_HUMAN_.pdf")</f>
        <v>Melting_Curves/meltCurve_sp_Q8WU76_2_SCFD2_HUMAN_.pdf</v>
      </c>
      <c r="AA2471" t="s">
        <v>15314</v>
      </c>
      <c r="AB2471" t="s">
        <v>19555</v>
      </c>
    </row>
    <row r="2472" spans="1:28" x14ac:dyDescent="0.25">
      <c r="A2472" t="s">
        <v>2476</v>
      </c>
      <c r="B2472">
        <v>0.99876560204751996</v>
      </c>
      <c r="C2472">
        <v>0.99143441363121998</v>
      </c>
      <c r="D2472">
        <v>1.1387558453559401</v>
      </c>
      <c r="E2472">
        <v>0.87170932554639502</v>
      </c>
      <c r="F2472">
        <v>0.64829992456890495</v>
      </c>
      <c r="G2472">
        <v>0.212368745311563</v>
      </c>
      <c r="H2472">
        <v>9.83359992330924E-2</v>
      </c>
      <c r="I2472">
        <v>7.5682741291127203E-2</v>
      </c>
      <c r="J2472">
        <v>9.1948905413989798E-2</v>
      </c>
      <c r="K2472">
        <v>6.4196256057327095E-2</v>
      </c>
      <c r="L2472">
        <v>1593.0251667653799</v>
      </c>
      <c r="M2472">
        <v>29.625313364098901</v>
      </c>
      <c r="N2472">
        <v>54.057310994129502</v>
      </c>
      <c r="O2472">
        <v>53.5292104082002</v>
      </c>
      <c r="P2472">
        <v>-0.128361601372287</v>
      </c>
      <c r="Q2472">
        <v>7.2273436056945098E-2</v>
      </c>
      <c r="R2472">
        <v>0.9873717706199</v>
      </c>
      <c r="S2472" t="s">
        <v>6768</v>
      </c>
      <c r="T2472" t="s">
        <v>8590</v>
      </c>
      <c r="U2472" t="s">
        <v>8590</v>
      </c>
      <c r="V2472" t="s">
        <v>8590</v>
      </c>
      <c r="W2472">
        <v>8</v>
      </c>
      <c r="X2472" t="s">
        <v>11062</v>
      </c>
      <c r="Y2472">
        <v>0.5044022783131602</v>
      </c>
      <c r="Z2472" t="str">
        <f>HYPERLINK("Melting_Curves/meltCurve_sp_Q8WU79_2_SMAP2_HUMAN_.pdf", "Melting_Curves/meltCurve_sp_Q8WU79_2_SMAP2_HUMAN_.pdf")</f>
        <v>Melting_Curves/meltCurve_sp_Q8WU79_2_SMAP2_HUMAN_.pdf</v>
      </c>
      <c r="AA2472" t="s">
        <v>15315</v>
      </c>
      <c r="AB2472" t="s">
        <v>19556</v>
      </c>
    </row>
    <row r="2473" spans="1:28" x14ac:dyDescent="0.25">
      <c r="A2473" t="s">
        <v>2477</v>
      </c>
      <c r="B2473">
        <v>0.99876560204751996</v>
      </c>
      <c r="C2473">
        <v>0.93550253702355302</v>
      </c>
      <c r="D2473">
        <v>0.990719655674002</v>
      </c>
      <c r="E2473">
        <v>0.98823491716421097</v>
      </c>
      <c r="F2473">
        <v>0.96260701541858995</v>
      </c>
      <c r="G2473">
        <v>0.75942111170612303</v>
      </c>
      <c r="H2473">
        <v>0.638136648494393</v>
      </c>
      <c r="I2473">
        <v>0.51289038043055002</v>
      </c>
      <c r="J2473">
        <v>0.67368523950005199</v>
      </c>
      <c r="K2473">
        <v>0.64062993603989604</v>
      </c>
      <c r="L2473">
        <v>2241.2536583986398</v>
      </c>
      <c r="M2473">
        <v>39.846093147039397</v>
      </c>
      <c r="O2473">
        <v>56.106632873822797</v>
      </c>
      <c r="P2473">
        <v>-6.8946582027086506E-2</v>
      </c>
      <c r="Q2473">
        <v>0.61167048330955898</v>
      </c>
      <c r="R2473">
        <v>0.93659078687830899</v>
      </c>
      <c r="S2473" t="s">
        <v>6769</v>
      </c>
      <c r="T2473" t="s">
        <v>8590</v>
      </c>
      <c r="U2473" t="s">
        <v>8590</v>
      </c>
      <c r="V2473" t="s">
        <v>8590</v>
      </c>
      <c r="W2473">
        <v>9</v>
      </c>
      <c r="X2473" t="s">
        <v>11063</v>
      </c>
      <c r="Y2473">
        <v>0.82349670699097688</v>
      </c>
      <c r="Z2473" t="str">
        <f>HYPERLINK("Melting_Curves/meltCurve_sp_Q8WU90_ZC3HF_HUMAN_.pdf", "Melting_Curves/meltCurve_sp_Q8WU90_ZC3HF_HUMAN_.pdf")</f>
        <v>Melting_Curves/meltCurve_sp_Q8WU90_ZC3HF_HUMAN_.pdf</v>
      </c>
      <c r="AA2473" t="s">
        <v>15316</v>
      </c>
      <c r="AB2473" t="s">
        <v>19557</v>
      </c>
    </row>
    <row r="2474" spans="1:28" x14ac:dyDescent="0.25">
      <c r="A2474" t="s">
        <v>2478</v>
      </c>
      <c r="B2474">
        <v>0.99876560204751996</v>
      </c>
      <c r="C2474">
        <v>0.88489037846891805</v>
      </c>
      <c r="D2474">
        <v>0.79257417966941002</v>
      </c>
      <c r="E2474">
        <v>0.70495298705944698</v>
      </c>
      <c r="F2474">
        <v>0.353721420361088</v>
      </c>
      <c r="G2474">
        <v>0.10164038668037199</v>
      </c>
      <c r="H2474">
        <v>7.0242783260190705E-2</v>
      </c>
      <c r="I2474">
        <v>4.9110253013538198E-2</v>
      </c>
      <c r="J2474">
        <v>5.0293660452276602E-2</v>
      </c>
      <c r="K2474">
        <v>3.67506260199447E-2</v>
      </c>
      <c r="L2474">
        <v>832.83957602193004</v>
      </c>
      <c r="M2474">
        <v>16.248753994286101</v>
      </c>
      <c r="N2474">
        <v>51.295458959191897</v>
      </c>
      <c r="O2474">
        <v>50.498116157530298</v>
      </c>
      <c r="P2474">
        <v>-7.9943592283075002E-2</v>
      </c>
      <c r="Q2474">
        <v>6.2738862087008598E-3</v>
      </c>
      <c r="R2474">
        <v>0.98089793849197104</v>
      </c>
      <c r="S2474" t="s">
        <v>6770</v>
      </c>
      <c r="T2474" t="s">
        <v>8590</v>
      </c>
      <c r="U2474" t="s">
        <v>8590</v>
      </c>
      <c r="V2474" t="s">
        <v>8590</v>
      </c>
      <c r="W2474">
        <v>3</v>
      </c>
      <c r="X2474" t="s">
        <v>11064</v>
      </c>
      <c r="Y2474">
        <v>0.39905049074338439</v>
      </c>
      <c r="Z2474" t="str">
        <f>HYPERLINK("Melting_Curves/meltCurve_sp_Q8WUA2_PPIL4_HUMAN_.pdf", "Melting_Curves/meltCurve_sp_Q8WUA2_PPIL4_HUMAN_.pdf")</f>
        <v>Melting_Curves/meltCurve_sp_Q8WUA2_PPIL4_HUMAN_.pdf</v>
      </c>
      <c r="AA2474" t="s">
        <v>15317</v>
      </c>
      <c r="AB2474" t="s">
        <v>19558</v>
      </c>
    </row>
    <row r="2475" spans="1:28" x14ac:dyDescent="0.25">
      <c r="A2475" t="s">
        <v>2479</v>
      </c>
      <c r="B2475">
        <v>0.99876560204751996</v>
      </c>
      <c r="C2475">
        <v>1.0113477803262501</v>
      </c>
      <c r="D2475">
        <v>0.96653742382395502</v>
      </c>
      <c r="E2475">
        <v>1.05032313524298</v>
      </c>
      <c r="F2475">
        <v>1.1009477147337099</v>
      </c>
      <c r="G2475">
        <v>0.78545102363740005</v>
      </c>
      <c r="H2475">
        <v>0.43198981379289503</v>
      </c>
      <c r="I2475">
        <v>0.16004615848334</v>
      </c>
      <c r="J2475">
        <v>9.1060143576261798E-2</v>
      </c>
      <c r="K2475">
        <v>7.0297350831965505E-2</v>
      </c>
      <c r="L2475">
        <v>1781.71404068989</v>
      </c>
      <c r="M2475">
        <v>29.728127706654</v>
      </c>
      <c r="N2475">
        <v>60.157962276477399</v>
      </c>
      <c r="O2475">
        <v>59.664374909435097</v>
      </c>
      <c r="P2475">
        <v>-0.118028860198164</v>
      </c>
      <c r="Q2475">
        <v>5.2470371720883202E-2</v>
      </c>
      <c r="R2475">
        <v>0.98709006020438905</v>
      </c>
      <c r="S2475" t="s">
        <v>6771</v>
      </c>
      <c r="T2475" t="s">
        <v>8590</v>
      </c>
      <c r="U2475" t="s">
        <v>8590</v>
      </c>
      <c r="V2475" t="s">
        <v>8590</v>
      </c>
      <c r="W2475">
        <v>5</v>
      </c>
      <c r="X2475" t="s">
        <v>11065</v>
      </c>
      <c r="Y2475">
        <v>0.68791296322883655</v>
      </c>
      <c r="Z2475" t="str">
        <f>HYPERLINK("Melting_Curves/meltCurve_sp_Q8WUA7_3_TB22A_HUMAN_.pdf", "Melting_Curves/meltCurve_sp_Q8WUA7_3_TB22A_HUMAN_.pdf")</f>
        <v>Melting_Curves/meltCurve_sp_Q8WUA7_3_TB22A_HUMAN_.pdf</v>
      </c>
      <c r="AA2475" t="s">
        <v>15318</v>
      </c>
      <c r="AB2475" t="s">
        <v>19559</v>
      </c>
    </row>
    <row r="2476" spans="1:28" x14ac:dyDescent="0.25">
      <c r="A2476" t="s">
        <v>2480</v>
      </c>
      <c r="B2476">
        <v>0.99876560204751996</v>
      </c>
      <c r="C2476">
        <v>0.93153683252431296</v>
      </c>
      <c r="D2476">
        <v>1.0056934276190199</v>
      </c>
      <c r="E2476">
        <v>0.77922650623725098</v>
      </c>
      <c r="F2476">
        <v>0.75771126899918495</v>
      </c>
      <c r="G2476">
        <v>0.535296669036602</v>
      </c>
      <c r="H2476">
        <v>0.48059640994507102</v>
      </c>
      <c r="I2476">
        <v>0.55203957646062096</v>
      </c>
      <c r="J2476">
        <v>0.69083875812878304</v>
      </c>
      <c r="K2476">
        <v>0.54839400038180697</v>
      </c>
      <c r="L2476">
        <v>1192.59307509574</v>
      </c>
      <c r="M2476">
        <v>23.4249262941306</v>
      </c>
      <c r="O2476">
        <v>50.544600524128803</v>
      </c>
      <c r="P2476">
        <v>-5.0972580836533797E-2</v>
      </c>
      <c r="Q2476">
        <v>0.56006789791210798</v>
      </c>
      <c r="R2476">
        <v>0.88517180277163299</v>
      </c>
      <c r="S2476" t="s">
        <v>6772</v>
      </c>
      <c r="T2476" t="s">
        <v>8590</v>
      </c>
      <c r="U2476" t="s">
        <v>8590</v>
      </c>
      <c r="V2476" t="s">
        <v>8590</v>
      </c>
      <c r="W2476">
        <v>3</v>
      </c>
      <c r="X2476" t="s">
        <v>11066</v>
      </c>
      <c r="Y2476">
        <v>0.72458642684263574</v>
      </c>
      <c r="Z2476" t="str">
        <f>HYPERLINK("Melting_Curves/meltCurve_sp_Q8WUD4_CCD12_HUMAN_.pdf", "Melting_Curves/meltCurve_sp_Q8WUD4_CCD12_HUMAN_.pdf")</f>
        <v>Melting_Curves/meltCurve_sp_Q8WUD4_CCD12_HUMAN_.pdf</v>
      </c>
      <c r="AA2476" t="s">
        <v>15319</v>
      </c>
      <c r="AB2476" t="s">
        <v>19560</v>
      </c>
    </row>
    <row r="2477" spans="1:28" x14ac:dyDescent="0.25">
      <c r="A2477" t="s">
        <v>2481</v>
      </c>
      <c r="B2477">
        <v>0.99876560204751996</v>
      </c>
      <c r="C2477">
        <v>0.96109746115417205</v>
      </c>
      <c r="D2477">
        <v>0.84995085790286995</v>
      </c>
      <c r="E2477">
        <v>1.0429205091845399</v>
      </c>
      <c r="F2477">
        <v>1.1157113660526099</v>
      </c>
      <c r="G2477">
        <v>0.79504536405776105</v>
      </c>
      <c r="H2477">
        <v>0.45018094646165502</v>
      </c>
      <c r="I2477">
        <v>0.239460751869949</v>
      </c>
      <c r="J2477">
        <v>0.167136626190794</v>
      </c>
      <c r="K2477">
        <v>0.112940665850973</v>
      </c>
      <c r="L2477">
        <v>1752.5191797771699</v>
      </c>
      <c r="M2477">
        <v>29.279032071622002</v>
      </c>
      <c r="N2477">
        <v>60.4132730734418</v>
      </c>
      <c r="O2477">
        <v>59.578640940434902</v>
      </c>
      <c r="P2477">
        <v>-0.10831528284978501</v>
      </c>
      <c r="Q2477">
        <v>0.118381927119727</v>
      </c>
      <c r="R2477">
        <v>0.96617822882787396</v>
      </c>
      <c r="S2477" t="s">
        <v>6773</v>
      </c>
      <c r="T2477" t="s">
        <v>8590</v>
      </c>
      <c r="U2477" t="s">
        <v>8590</v>
      </c>
      <c r="V2477" t="s">
        <v>8590</v>
      </c>
      <c r="W2477">
        <v>1</v>
      </c>
      <c r="X2477" t="s">
        <v>11067</v>
      </c>
      <c r="Y2477">
        <v>0.70747310999808077</v>
      </c>
      <c r="Z2477" t="str">
        <f>HYPERLINK("Melting_Curves/meltCurve_sp_Q8WUF5_IASPP_HUMAN_.pdf", "Melting_Curves/meltCurve_sp_Q8WUF5_IASPP_HUMAN_.pdf")</f>
        <v>Melting_Curves/meltCurve_sp_Q8WUF5_IASPP_HUMAN_.pdf</v>
      </c>
      <c r="AA2477" t="s">
        <v>15320</v>
      </c>
      <c r="AB2477" t="s">
        <v>19561</v>
      </c>
    </row>
    <row r="2478" spans="1:28" x14ac:dyDescent="0.25">
      <c r="A2478" t="s">
        <v>2482</v>
      </c>
      <c r="B2478">
        <v>0.99876560204751996</v>
      </c>
      <c r="C2478">
        <v>0.96589304219310101</v>
      </c>
      <c r="D2478">
        <v>0.95890442391689101</v>
      </c>
      <c r="E2478">
        <v>0.67237151711430798</v>
      </c>
      <c r="F2478">
        <v>0.16265791951846501</v>
      </c>
      <c r="G2478">
        <v>9.8636711662130505E-2</v>
      </c>
      <c r="H2478">
        <v>6.2917139119086599E-2</v>
      </c>
      <c r="I2478">
        <v>5.0839463052802902E-2</v>
      </c>
      <c r="J2478">
        <v>4.8098235455137299E-2</v>
      </c>
      <c r="K2478">
        <v>4.3087678498798902E-2</v>
      </c>
      <c r="L2478">
        <v>2284.86666774576</v>
      </c>
      <c r="M2478">
        <v>45.091138003357699</v>
      </c>
      <c r="N2478">
        <v>50.810904519878903</v>
      </c>
      <c r="O2478">
        <v>50.572824016536302</v>
      </c>
      <c r="P2478">
        <v>-0.20999352879167599</v>
      </c>
      <c r="Q2478">
        <v>5.79122238116829E-2</v>
      </c>
      <c r="R2478">
        <v>0.99774532738502097</v>
      </c>
      <c r="S2478" t="s">
        <v>6774</v>
      </c>
      <c r="T2478" t="s">
        <v>8590</v>
      </c>
      <c r="U2478" t="s">
        <v>8590</v>
      </c>
      <c r="V2478" t="s">
        <v>8590</v>
      </c>
      <c r="W2478">
        <v>46</v>
      </c>
      <c r="X2478" t="s">
        <v>11068</v>
      </c>
      <c r="Y2478">
        <v>0.39564255838035212</v>
      </c>
      <c r="Z2478" t="str">
        <f>HYPERLINK("Melting_Curves/meltCurve_sp_Q8WUM4_PDC6I_HUMAN_.pdf", "Melting_Curves/meltCurve_sp_Q8WUM4_PDC6I_HUMAN_.pdf")</f>
        <v>Melting_Curves/meltCurve_sp_Q8WUM4_PDC6I_HUMAN_.pdf</v>
      </c>
      <c r="AA2478" t="s">
        <v>15321</v>
      </c>
      <c r="AB2478" t="s">
        <v>19562</v>
      </c>
    </row>
    <row r="2479" spans="1:28" x14ac:dyDescent="0.25">
      <c r="A2479" t="s">
        <v>2483</v>
      </c>
      <c r="B2479">
        <v>0.99876560204751996</v>
      </c>
      <c r="C2479">
        <v>0.91966030439980895</v>
      </c>
      <c r="D2479">
        <v>0.99500385002278002</v>
      </c>
      <c r="E2479">
        <v>0.9721370879972</v>
      </c>
      <c r="F2479">
        <v>0.86664309723549304</v>
      </c>
      <c r="G2479">
        <v>0.382264816189196</v>
      </c>
      <c r="H2479">
        <v>0.36085653811575102</v>
      </c>
      <c r="I2479">
        <v>0.36648669970743702</v>
      </c>
      <c r="J2479">
        <v>0.40494966093752099</v>
      </c>
      <c r="K2479">
        <v>0.32799901307387103</v>
      </c>
      <c r="L2479">
        <v>3539.1742496013599</v>
      </c>
      <c r="M2479">
        <v>65.463076086611096</v>
      </c>
      <c r="N2479">
        <v>55.1623947788473</v>
      </c>
      <c r="O2479">
        <v>54.013287210148597</v>
      </c>
      <c r="P2479">
        <v>-0.19262419522482199</v>
      </c>
      <c r="Q2479">
        <v>0.36426678646220001</v>
      </c>
      <c r="R2479">
        <v>0.98829675933500805</v>
      </c>
      <c r="S2479" t="s">
        <v>6775</v>
      </c>
      <c r="T2479" t="s">
        <v>8590</v>
      </c>
      <c r="U2479" t="s">
        <v>8590</v>
      </c>
      <c r="V2479" t="s">
        <v>8590</v>
      </c>
      <c r="W2479">
        <v>1</v>
      </c>
      <c r="X2479" t="s">
        <v>11069</v>
      </c>
      <c r="Y2479">
        <v>0.66317392321638902</v>
      </c>
      <c r="Z2479" t="str">
        <f>HYPERLINK("Melting_Curves/meltCurve_sp_Q8WUN7_UBTD2_HUMAN_.pdf", "Melting_Curves/meltCurve_sp_Q8WUN7_UBTD2_HUMAN_.pdf")</f>
        <v>Melting_Curves/meltCurve_sp_Q8WUN7_UBTD2_HUMAN_.pdf</v>
      </c>
      <c r="AA2479" t="s">
        <v>15322</v>
      </c>
      <c r="AB2479" t="s">
        <v>19563</v>
      </c>
    </row>
    <row r="2480" spans="1:28" x14ac:dyDescent="0.25">
      <c r="A2480" t="s">
        <v>2484</v>
      </c>
      <c r="B2480">
        <v>0.99876560204751996</v>
      </c>
      <c r="C2480">
        <v>1.07186177573823</v>
      </c>
      <c r="D2480">
        <v>1.1919959372221001</v>
      </c>
      <c r="E2480">
        <v>1.06334174415242</v>
      </c>
      <c r="F2480">
        <v>1.09468890795936</v>
      </c>
      <c r="G2480">
        <v>0.76862190911842398</v>
      </c>
      <c r="H2480">
        <v>0.65069346387406202</v>
      </c>
      <c r="I2480">
        <v>0.61985587247742702</v>
      </c>
      <c r="J2480">
        <v>0.74051173565319495</v>
      </c>
      <c r="K2480">
        <v>0.72855272395215998</v>
      </c>
      <c r="L2480">
        <v>14192.054169806601</v>
      </c>
      <c r="M2480">
        <v>250</v>
      </c>
      <c r="O2480">
        <v>56.764583907204504</v>
      </c>
      <c r="P2480">
        <v>-0.34693347974549299</v>
      </c>
      <c r="Q2480">
        <v>0.68490344652572199</v>
      </c>
      <c r="R2480">
        <v>0.83703949020402202</v>
      </c>
      <c r="S2480" t="s">
        <v>6776</v>
      </c>
      <c r="T2480" t="s">
        <v>8590</v>
      </c>
      <c r="U2480" t="s">
        <v>8590</v>
      </c>
      <c r="V2480" t="s">
        <v>8590</v>
      </c>
      <c r="W2480">
        <v>2</v>
      </c>
      <c r="X2480" t="s">
        <v>11070</v>
      </c>
      <c r="Y2480">
        <v>0.86105508154063948</v>
      </c>
      <c r="Z2480" t="str">
        <f>HYPERLINK("Melting_Curves/meltCurve_sp_Q8WUR7_CO040_HUMAN_.pdf", "Melting_Curves/meltCurve_sp_Q8WUR7_CO040_HUMAN_.pdf")</f>
        <v>Melting_Curves/meltCurve_sp_Q8WUR7_CO040_HUMAN_.pdf</v>
      </c>
      <c r="AA2480" t="s">
        <v>15323</v>
      </c>
      <c r="AB2480" t="s">
        <v>19564</v>
      </c>
    </row>
    <row r="2481" spans="1:28" x14ac:dyDescent="0.25">
      <c r="A2481" t="s">
        <v>2485</v>
      </c>
      <c r="B2481">
        <v>0.99876560204751996</v>
      </c>
      <c r="C2481">
        <v>1.05432161959861</v>
      </c>
      <c r="D2481">
        <v>1.06290749871782</v>
      </c>
      <c r="E2481">
        <v>1.0759655403211501</v>
      </c>
      <c r="F2481">
        <v>1.2120555586630399</v>
      </c>
      <c r="G2481">
        <v>0.65486908858495396</v>
      </c>
      <c r="H2481">
        <v>0.66311680089412495</v>
      </c>
      <c r="I2481">
        <v>0.705175749467019</v>
      </c>
      <c r="J2481">
        <v>0.72476902089464401</v>
      </c>
      <c r="K2481">
        <v>0.79619825170629799</v>
      </c>
      <c r="L2481">
        <v>4722.7154112194603</v>
      </c>
      <c r="M2481">
        <v>85.354758535055296</v>
      </c>
      <c r="O2481">
        <v>55.300084984027002</v>
      </c>
      <c r="P2481">
        <v>-0.113333668719253</v>
      </c>
      <c r="Q2481">
        <v>0.70629123823620299</v>
      </c>
      <c r="R2481">
        <v>0.80125520335709399</v>
      </c>
      <c r="S2481" t="s">
        <v>6777</v>
      </c>
      <c r="T2481" t="s">
        <v>8590</v>
      </c>
      <c r="U2481" t="s">
        <v>8590</v>
      </c>
      <c r="V2481" t="s">
        <v>8590</v>
      </c>
      <c r="W2481">
        <v>2</v>
      </c>
      <c r="X2481" t="s">
        <v>11071</v>
      </c>
      <c r="Y2481">
        <v>0.85662569656531085</v>
      </c>
      <c r="Z2481" t="str">
        <f>HYPERLINK("Melting_Curves/meltCurve_sp_Q8WUW1_BRK1_HUMAN_.pdf", "Melting_Curves/meltCurve_sp_Q8WUW1_BRK1_HUMAN_.pdf")</f>
        <v>Melting_Curves/meltCurve_sp_Q8WUW1_BRK1_HUMAN_.pdf</v>
      </c>
      <c r="AA2481" t="s">
        <v>15324</v>
      </c>
      <c r="AB2481" t="s">
        <v>19565</v>
      </c>
    </row>
    <row r="2482" spans="1:28" x14ac:dyDescent="0.25">
      <c r="A2482" t="s">
        <v>2486</v>
      </c>
      <c r="B2482">
        <v>0.99876560204751996</v>
      </c>
      <c r="C2482">
        <v>0.89478300084959095</v>
      </c>
      <c r="D2482">
        <v>0.88282152249578105</v>
      </c>
      <c r="E2482">
        <v>0.76166573709811702</v>
      </c>
      <c r="F2482">
        <v>0.73621385950805696</v>
      </c>
      <c r="G2482">
        <v>0.56690439039114304</v>
      </c>
      <c r="H2482">
        <v>0.41523503662552402</v>
      </c>
      <c r="I2482">
        <v>0.40531531931912101</v>
      </c>
      <c r="J2482">
        <v>0.50246626006254003</v>
      </c>
      <c r="K2482">
        <v>0.51007625838288595</v>
      </c>
      <c r="L2482">
        <v>614.75360090318202</v>
      </c>
      <c r="M2482">
        <v>11.9020301906392</v>
      </c>
      <c r="N2482">
        <v>61.175066670559701</v>
      </c>
      <c r="O2482">
        <v>50.257803457913901</v>
      </c>
      <c r="P2482">
        <v>-3.4251894266319499E-2</v>
      </c>
      <c r="Q2482">
        <v>0.421612388393931</v>
      </c>
      <c r="R2482">
        <v>0.93513690138349603</v>
      </c>
      <c r="S2482" t="s">
        <v>6778</v>
      </c>
      <c r="T2482" t="s">
        <v>8590</v>
      </c>
      <c r="U2482" t="s">
        <v>8590</v>
      </c>
      <c r="V2482" t="s">
        <v>8590</v>
      </c>
      <c r="W2482">
        <v>3</v>
      </c>
      <c r="X2482" t="s">
        <v>11072</v>
      </c>
      <c r="Y2482">
        <v>0.66455203025583642</v>
      </c>
      <c r="Z2482" t="str">
        <f>HYPERLINK("Melting_Curves/meltCurve_sp_Q8WV28_BLNK_HUMAN_.pdf", "Melting_Curves/meltCurve_sp_Q8WV28_BLNK_HUMAN_.pdf")</f>
        <v>Melting_Curves/meltCurve_sp_Q8WV28_BLNK_HUMAN_.pdf</v>
      </c>
      <c r="AA2482" t="s">
        <v>15325</v>
      </c>
      <c r="AB2482" t="s">
        <v>19566</v>
      </c>
    </row>
    <row r="2483" spans="1:28" x14ac:dyDescent="0.25">
      <c r="A2483" t="s">
        <v>2487</v>
      </c>
      <c r="B2483">
        <v>0.99876560204751996</v>
      </c>
      <c r="C2483">
        <v>0.90574378657024801</v>
      </c>
      <c r="D2483">
        <v>0.85788288660010503</v>
      </c>
      <c r="E2483">
        <v>0.55490550600244704</v>
      </c>
      <c r="F2483">
        <v>0.27226225509568602</v>
      </c>
      <c r="G2483">
        <v>0.139533920269684</v>
      </c>
      <c r="H2483">
        <v>9.2732067497778695E-2</v>
      </c>
      <c r="I2483">
        <v>8.1685887779227598E-2</v>
      </c>
      <c r="J2483">
        <v>6.2090404509412001E-2</v>
      </c>
      <c r="K2483">
        <v>6.1329028173380103E-2</v>
      </c>
      <c r="L2483">
        <v>950.86067969619103</v>
      </c>
      <c r="M2483">
        <v>19.008272128123998</v>
      </c>
      <c r="N2483">
        <v>50.3483444661154</v>
      </c>
      <c r="O2483">
        <v>49.4797430859564</v>
      </c>
      <c r="P2483">
        <v>-9.0502205801350197E-2</v>
      </c>
      <c r="Q2483">
        <v>5.7705706893609598E-2</v>
      </c>
      <c r="R2483">
        <v>0.99658791641320799</v>
      </c>
      <c r="S2483" t="s">
        <v>6779</v>
      </c>
      <c r="T2483" t="s">
        <v>8590</v>
      </c>
      <c r="U2483" t="s">
        <v>8590</v>
      </c>
      <c r="V2483" t="s">
        <v>8590</v>
      </c>
      <c r="W2483">
        <v>6</v>
      </c>
      <c r="X2483" t="s">
        <v>11073</v>
      </c>
      <c r="Y2483">
        <v>0.38701771420976172</v>
      </c>
      <c r="Z2483" t="str">
        <f>HYPERLINK("Melting_Curves/meltCurve_sp_Q8WV74_NUDT8_HUMAN_.pdf", "Melting_Curves/meltCurve_sp_Q8WV74_NUDT8_HUMAN_.pdf")</f>
        <v>Melting_Curves/meltCurve_sp_Q8WV74_NUDT8_HUMAN_.pdf</v>
      </c>
      <c r="AA2483" t="s">
        <v>15326</v>
      </c>
      <c r="AB2483" t="s">
        <v>19567</v>
      </c>
    </row>
    <row r="2484" spans="1:28" x14ac:dyDescent="0.25">
      <c r="A2484" t="s">
        <v>2488</v>
      </c>
      <c r="B2484">
        <v>0.99876560204751996</v>
      </c>
      <c r="C2484">
        <v>1.1110464786774701</v>
      </c>
      <c r="D2484">
        <v>0.982363598265797</v>
      </c>
      <c r="E2484">
        <v>0.91512892618061903</v>
      </c>
      <c r="F2484">
        <v>0.89702624175147505</v>
      </c>
      <c r="G2484">
        <v>0.68018314546856096</v>
      </c>
      <c r="H2484">
        <v>0.522428213472651</v>
      </c>
      <c r="I2484">
        <v>0.49319966268680698</v>
      </c>
      <c r="J2484">
        <v>0.66559822721260098</v>
      </c>
      <c r="K2484">
        <v>0.592277148427512</v>
      </c>
      <c r="L2484">
        <v>1665.58328590623</v>
      </c>
      <c r="M2484">
        <v>30.4581894775649</v>
      </c>
      <c r="O2484">
        <v>54.450148326838899</v>
      </c>
      <c r="P2484">
        <v>-6.06453212931162E-2</v>
      </c>
      <c r="Q2484">
        <v>0.56633975756774602</v>
      </c>
      <c r="R2484">
        <v>0.91529163584393702</v>
      </c>
      <c r="S2484" t="s">
        <v>6780</v>
      </c>
      <c r="T2484" t="s">
        <v>8590</v>
      </c>
      <c r="U2484" t="s">
        <v>8590</v>
      </c>
      <c r="V2484" t="s">
        <v>8590</v>
      </c>
      <c r="W2484">
        <v>7</v>
      </c>
      <c r="X2484" t="s">
        <v>11074</v>
      </c>
      <c r="Y2484">
        <v>0.78139282366322738</v>
      </c>
      <c r="Z2484" t="str">
        <f>HYPERLINK("Melting_Curves/meltCurve_sp_Q8WVC0_LEO1_HUMAN_.pdf", "Melting_Curves/meltCurve_sp_Q8WVC0_LEO1_HUMAN_.pdf")</f>
        <v>Melting_Curves/meltCurve_sp_Q8WVC0_LEO1_HUMAN_.pdf</v>
      </c>
      <c r="AA2484" t="s">
        <v>15327</v>
      </c>
      <c r="AB2484" t="s">
        <v>19568</v>
      </c>
    </row>
    <row r="2485" spans="1:28" x14ac:dyDescent="0.25">
      <c r="A2485" t="s">
        <v>2489</v>
      </c>
      <c r="B2485">
        <v>0.99876560204751996</v>
      </c>
      <c r="C2485">
        <v>0.92273188075371504</v>
      </c>
      <c r="D2485">
        <v>1.0633537799405199</v>
      </c>
      <c r="E2485">
        <v>0.90157088900323101</v>
      </c>
      <c r="F2485">
        <v>0.85877898120181695</v>
      </c>
      <c r="G2485">
        <v>0.47742748908399202</v>
      </c>
      <c r="H2485">
        <v>0.223663868108748</v>
      </c>
      <c r="I2485">
        <v>0.18239584096488701</v>
      </c>
      <c r="J2485">
        <v>0.19946150186596701</v>
      </c>
      <c r="K2485">
        <v>0.217623137663842</v>
      </c>
      <c r="L2485">
        <v>1579.25894779541</v>
      </c>
      <c r="M2485">
        <v>28.345131213829202</v>
      </c>
      <c r="N2485">
        <v>56.636782399882101</v>
      </c>
      <c r="O2485">
        <v>55.440249641457299</v>
      </c>
      <c r="P2485">
        <v>-0.10420846471372899</v>
      </c>
      <c r="Q2485">
        <v>0.184721203373234</v>
      </c>
      <c r="R2485">
        <v>0.98644877808661402</v>
      </c>
      <c r="S2485" t="s">
        <v>6781</v>
      </c>
      <c r="T2485" t="s">
        <v>8590</v>
      </c>
      <c r="U2485" t="s">
        <v>8590</v>
      </c>
      <c r="V2485" t="s">
        <v>8590</v>
      </c>
      <c r="W2485">
        <v>4</v>
      </c>
      <c r="X2485" t="s">
        <v>11075</v>
      </c>
      <c r="Y2485">
        <v>0.61782663375659819</v>
      </c>
      <c r="Z2485" t="str">
        <f>HYPERLINK("Melting_Curves/meltCurve_sp_Q8WVJ2_NUDC2_HUMAN_.pdf", "Melting_Curves/meltCurve_sp_Q8WVJ2_NUDC2_HUMAN_.pdf")</f>
        <v>Melting_Curves/meltCurve_sp_Q8WVJ2_NUDC2_HUMAN_.pdf</v>
      </c>
      <c r="AA2485" t="s">
        <v>15328</v>
      </c>
      <c r="AB2485" t="s">
        <v>19569</v>
      </c>
    </row>
    <row r="2486" spans="1:28" x14ac:dyDescent="0.25">
      <c r="A2486" t="s">
        <v>2490</v>
      </c>
      <c r="B2486">
        <v>0.99876560204751996</v>
      </c>
      <c r="C2486">
        <v>1.0021759946378299</v>
      </c>
      <c r="D2486">
        <v>0.91227570988969597</v>
      </c>
      <c r="E2486">
        <v>0.77444551385319604</v>
      </c>
      <c r="F2486">
        <v>0.35158006483246101</v>
      </c>
      <c r="G2486">
        <v>0.13572801618387101</v>
      </c>
      <c r="H2486">
        <v>7.6226961741943197E-2</v>
      </c>
      <c r="I2486">
        <v>6.3131400789984804E-2</v>
      </c>
      <c r="J2486">
        <v>6.1566670769224299E-2</v>
      </c>
      <c r="K2486">
        <v>4.5300037359558502E-2</v>
      </c>
      <c r="L2486">
        <v>1495.93164373166</v>
      </c>
      <c r="M2486">
        <v>28.9164286168362</v>
      </c>
      <c r="N2486">
        <v>51.958099377965603</v>
      </c>
      <c r="O2486">
        <v>51.487401106233698</v>
      </c>
      <c r="P2486">
        <v>-0.13213823135667499</v>
      </c>
      <c r="Q2486">
        <v>5.8887400087341397E-2</v>
      </c>
      <c r="R2486">
        <v>0.99654835861886704</v>
      </c>
      <c r="S2486" t="s">
        <v>6782</v>
      </c>
      <c r="T2486" t="s">
        <v>8590</v>
      </c>
      <c r="U2486" t="s">
        <v>8590</v>
      </c>
      <c r="V2486" t="s">
        <v>8590</v>
      </c>
      <c r="W2486">
        <v>16</v>
      </c>
      <c r="X2486" t="s">
        <v>11076</v>
      </c>
      <c r="Y2486">
        <v>0.43339577286316749</v>
      </c>
      <c r="Z2486" t="str">
        <f>HYPERLINK("Melting_Curves/meltCurve_sp_Q8WVM8_SCFD1_HUMAN_.pdf", "Melting_Curves/meltCurve_sp_Q8WVM8_SCFD1_HUMAN_.pdf")</f>
        <v>Melting_Curves/meltCurve_sp_Q8WVM8_SCFD1_HUMAN_.pdf</v>
      </c>
      <c r="AA2486" t="s">
        <v>15329</v>
      </c>
      <c r="AB2486" t="s">
        <v>19570</v>
      </c>
    </row>
    <row r="2487" spans="1:28" x14ac:dyDescent="0.25">
      <c r="A2487" t="s">
        <v>2491</v>
      </c>
      <c r="B2487">
        <v>0.99876560204751996</v>
      </c>
      <c r="C2487">
        <v>0.96298752850331604</v>
      </c>
      <c r="D2487">
        <v>0.933135815000253</v>
      </c>
      <c r="E2487">
        <v>0.64646612071934095</v>
      </c>
      <c r="F2487">
        <v>0.43222691810073899</v>
      </c>
      <c r="G2487">
        <v>0.16762144499999301</v>
      </c>
      <c r="H2487">
        <v>0.105405242093046</v>
      </c>
      <c r="I2487">
        <v>0.115339862147929</v>
      </c>
      <c r="J2487">
        <v>9.0817340481201006E-2</v>
      </c>
      <c r="K2487">
        <v>6.8295872665370502E-2</v>
      </c>
      <c r="L2487">
        <v>1015.80470887067</v>
      </c>
      <c r="M2487">
        <v>19.748386854968501</v>
      </c>
      <c r="N2487">
        <v>51.858935959759002</v>
      </c>
      <c r="O2487">
        <v>50.918629606450097</v>
      </c>
      <c r="P2487">
        <v>-8.9773161674170598E-2</v>
      </c>
      <c r="Q2487">
        <v>7.4158285530563903E-2</v>
      </c>
      <c r="R2487">
        <v>0.99791769365407901</v>
      </c>
      <c r="S2487" t="s">
        <v>6783</v>
      </c>
      <c r="T2487" t="s">
        <v>8590</v>
      </c>
      <c r="U2487" t="s">
        <v>8590</v>
      </c>
      <c r="V2487" t="s">
        <v>8590</v>
      </c>
      <c r="W2487">
        <v>3</v>
      </c>
      <c r="X2487" t="s">
        <v>11077</v>
      </c>
      <c r="Y2487">
        <v>0.44026967979122628</v>
      </c>
      <c r="Z2487" t="str">
        <f>HYPERLINK("Melting_Curves/meltCurve_sp_Q8WVP5_TP8L1_HUMAN_.pdf", "Melting_Curves/meltCurve_sp_Q8WVP5_TP8L1_HUMAN_.pdf")</f>
        <v>Melting_Curves/meltCurve_sp_Q8WVP5_TP8L1_HUMAN_.pdf</v>
      </c>
      <c r="AA2487" t="s">
        <v>15330</v>
      </c>
      <c r="AB2487" t="s">
        <v>19571</v>
      </c>
    </row>
    <row r="2488" spans="1:28" x14ac:dyDescent="0.25">
      <c r="A2488" t="s">
        <v>2492</v>
      </c>
      <c r="B2488">
        <v>0.99876560204751996</v>
      </c>
      <c r="C2488">
        <v>1.05784811168506</v>
      </c>
      <c r="D2488">
        <v>0.91636902477324</v>
      </c>
      <c r="E2488">
        <v>0.701566181006962</v>
      </c>
      <c r="F2488">
        <v>0.35082873291943401</v>
      </c>
      <c r="G2488">
        <v>0.203578733190587</v>
      </c>
      <c r="H2488">
        <v>0.14148402011528699</v>
      </c>
      <c r="I2488">
        <v>0.13069068316965299</v>
      </c>
      <c r="J2488">
        <v>0.13271711816072601</v>
      </c>
      <c r="K2488">
        <v>0.140109110345949</v>
      </c>
      <c r="L2488">
        <v>1356.72584845547</v>
      </c>
      <c r="M2488">
        <v>26.5845406831248</v>
      </c>
      <c r="N2488">
        <v>51.641855226664703</v>
      </c>
      <c r="O2488">
        <v>50.748242792422801</v>
      </c>
      <c r="P2488">
        <v>-0.113379137323513</v>
      </c>
      <c r="Q2488">
        <v>0.134274114348995</v>
      </c>
      <c r="R2488">
        <v>0.99525588249088104</v>
      </c>
      <c r="S2488" t="s">
        <v>6784</v>
      </c>
      <c r="T2488" t="s">
        <v>8590</v>
      </c>
      <c r="U2488" t="s">
        <v>8590</v>
      </c>
      <c r="V2488" t="s">
        <v>8590</v>
      </c>
      <c r="W2488">
        <v>4</v>
      </c>
      <c r="X2488" t="s">
        <v>11078</v>
      </c>
      <c r="Y2488">
        <v>0.45962928340540538</v>
      </c>
      <c r="Z2488" t="str">
        <f>HYPERLINK("Melting_Curves/meltCurve_sp_Q8WVT3_TPC12_HUMAN_.pdf", "Melting_Curves/meltCurve_sp_Q8WVT3_TPC12_HUMAN_.pdf")</f>
        <v>Melting_Curves/meltCurve_sp_Q8WVT3_TPC12_HUMAN_.pdf</v>
      </c>
      <c r="AA2488" t="s">
        <v>15331</v>
      </c>
      <c r="AB2488" t="s">
        <v>19572</v>
      </c>
    </row>
    <row r="2489" spans="1:28" x14ac:dyDescent="0.25">
      <c r="A2489" t="s">
        <v>2493</v>
      </c>
      <c r="B2489">
        <v>0.99876560204751996</v>
      </c>
      <c r="C2489">
        <v>0.99692489453058197</v>
      </c>
      <c r="D2489">
        <v>1.0343436074809</v>
      </c>
      <c r="E2489">
        <v>0.58161987380612201</v>
      </c>
      <c r="F2489">
        <v>0.20747711995726201</v>
      </c>
      <c r="G2489">
        <v>0.13088737100478401</v>
      </c>
      <c r="H2489">
        <v>7.2020007682579407E-2</v>
      </c>
      <c r="I2489">
        <v>4.6666686005093397E-2</v>
      </c>
      <c r="J2489">
        <v>4.8564610283345001E-2</v>
      </c>
      <c r="K2489">
        <v>5.52891332899784E-2</v>
      </c>
      <c r="L2489">
        <v>1859.4898310924</v>
      </c>
      <c r="M2489">
        <v>36.920646079127998</v>
      </c>
      <c r="N2489">
        <v>50.566568073817102</v>
      </c>
      <c r="O2489">
        <v>50.217427317863098</v>
      </c>
      <c r="P2489">
        <v>-0.17119832568616</v>
      </c>
      <c r="Q2489">
        <v>6.8584561044508496E-2</v>
      </c>
      <c r="R2489">
        <v>0.99555417455627304</v>
      </c>
      <c r="S2489" t="s">
        <v>6785</v>
      </c>
      <c r="T2489" t="s">
        <v>8590</v>
      </c>
      <c r="U2489" t="s">
        <v>8590</v>
      </c>
      <c r="V2489" t="s">
        <v>8590</v>
      </c>
      <c r="W2489">
        <v>5</v>
      </c>
      <c r="X2489" t="s">
        <v>11079</v>
      </c>
      <c r="Y2489">
        <v>0.39418503969606361</v>
      </c>
      <c r="Z2489" t="str">
        <f>HYPERLINK("Melting_Curves/meltCurve_sp_Q8WVY7_UBCP1_HUMAN_.pdf", "Melting_Curves/meltCurve_sp_Q8WVY7_UBCP1_HUMAN_.pdf")</f>
        <v>Melting_Curves/meltCurve_sp_Q8WVY7_UBCP1_HUMAN_.pdf</v>
      </c>
      <c r="AA2489" t="s">
        <v>15332</v>
      </c>
      <c r="AB2489" t="s">
        <v>19573</v>
      </c>
    </row>
    <row r="2490" spans="1:28" x14ac:dyDescent="0.25">
      <c r="A2490" t="s">
        <v>2494</v>
      </c>
      <c r="B2490">
        <v>0.99876560204751996</v>
      </c>
      <c r="C2490">
        <v>0.94902652398443399</v>
      </c>
      <c r="D2490">
        <v>1.1307567472723401</v>
      </c>
      <c r="E2490">
        <v>0.95814135470199602</v>
      </c>
      <c r="F2490">
        <v>1.0572864700601201</v>
      </c>
      <c r="G2490">
        <v>0.89455193772006503</v>
      </c>
      <c r="H2490">
        <v>0.854177424963103</v>
      </c>
      <c r="I2490">
        <v>0.90504305283754805</v>
      </c>
      <c r="J2490">
        <v>1.1329976602191301</v>
      </c>
      <c r="K2490">
        <v>1.21092422506561</v>
      </c>
      <c r="L2490">
        <v>15000</v>
      </c>
      <c r="M2490">
        <v>224.41456373751799</v>
      </c>
      <c r="O2490">
        <v>66.8352736653043</v>
      </c>
      <c r="P2490">
        <v>0.17706995010178</v>
      </c>
      <c r="Q2490">
        <v>1.2109402946068</v>
      </c>
      <c r="R2490">
        <v>0.48117923280471497</v>
      </c>
      <c r="S2490" t="s">
        <v>6786</v>
      </c>
      <c r="T2490" t="s">
        <v>8590</v>
      </c>
      <c r="U2490" t="s">
        <v>8590</v>
      </c>
      <c r="V2490" t="s">
        <v>8590</v>
      </c>
      <c r="W2490">
        <v>5</v>
      </c>
      <c r="X2490" t="s">
        <v>11080</v>
      </c>
      <c r="Y2490">
        <v>1.0221843366140679</v>
      </c>
      <c r="Z2490" t="str">
        <f>HYPERLINK("Melting_Curves/meltCurve_sp_Q8WW12_PCNP_HUMAN_.pdf", "Melting_Curves/meltCurve_sp_Q8WW12_PCNP_HUMAN_.pdf")</f>
        <v>Melting_Curves/meltCurve_sp_Q8WW12_PCNP_HUMAN_.pdf</v>
      </c>
      <c r="AA2490" t="s">
        <v>15333</v>
      </c>
      <c r="AB2490" t="s">
        <v>19574</v>
      </c>
    </row>
    <row r="2491" spans="1:28" x14ac:dyDescent="0.25">
      <c r="A2491" t="s">
        <v>2495</v>
      </c>
      <c r="B2491">
        <v>0.99876560204751996</v>
      </c>
      <c r="C2491">
        <v>0.86135534233308797</v>
      </c>
      <c r="D2491">
        <v>0.995274603044076</v>
      </c>
      <c r="E2491">
        <v>0.76727313071091896</v>
      </c>
      <c r="F2491">
        <v>0.30441111804641502</v>
      </c>
      <c r="G2491">
        <v>0.100395384528269</v>
      </c>
      <c r="H2491">
        <v>6.9770515535196406E-2</v>
      </c>
      <c r="I2491">
        <v>4.40163605609677E-2</v>
      </c>
      <c r="J2491">
        <v>4.0349538725933103E-2</v>
      </c>
      <c r="K2491">
        <v>3.1945008166429999E-2</v>
      </c>
      <c r="L2491">
        <v>1812.43806868057</v>
      </c>
      <c r="M2491">
        <v>35.151925026960299</v>
      </c>
      <c r="N2491">
        <v>51.7107648235638</v>
      </c>
      <c r="O2491">
        <v>51.394124701461301</v>
      </c>
      <c r="P2491">
        <v>-0.16267246806378199</v>
      </c>
      <c r="Q2491">
        <v>4.8657497100497299E-2</v>
      </c>
      <c r="R2491">
        <v>0.98776960420192605</v>
      </c>
      <c r="S2491" t="s">
        <v>6787</v>
      </c>
      <c r="T2491" t="s">
        <v>8590</v>
      </c>
      <c r="U2491" t="s">
        <v>8590</v>
      </c>
      <c r="V2491" t="s">
        <v>8590</v>
      </c>
      <c r="W2491">
        <v>17</v>
      </c>
      <c r="X2491" t="s">
        <v>11081</v>
      </c>
      <c r="Y2491">
        <v>0.41964116499879478</v>
      </c>
      <c r="Z2491" t="str">
        <f>HYPERLINK("Melting_Curves/meltCurve_sp_Q8WW59_SPRY4_HUMAN_.pdf", "Melting_Curves/meltCurve_sp_Q8WW59_SPRY4_HUMAN_.pdf")</f>
        <v>Melting_Curves/meltCurve_sp_Q8WW59_SPRY4_HUMAN_.pdf</v>
      </c>
      <c r="AA2491" t="s">
        <v>15334</v>
      </c>
      <c r="AB2491" t="s">
        <v>19575</v>
      </c>
    </row>
    <row r="2492" spans="1:28" x14ac:dyDescent="0.25">
      <c r="A2492" t="s">
        <v>2496</v>
      </c>
      <c r="B2492">
        <v>0.99876560204751996</v>
      </c>
      <c r="C2492">
        <v>1.07382271360891</v>
      </c>
      <c r="D2492">
        <v>1.1693969393938</v>
      </c>
      <c r="E2492">
        <v>1.0336918879236701</v>
      </c>
      <c r="F2492">
        <v>1.0171224450216501</v>
      </c>
      <c r="G2492">
        <v>0.65791408882622804</v>
      </c>
      <c r="H2492">
        <v>0.50904824805976501</v>
      </c>
      <c r="I2492">
        <v>0.47855332162030301</v>
      </c>
      <c r="J2492">
        <v>0.60538166732188703</v>
      </c>
      <c r="K2492">
        <v>0.532085867824172</v>
      </c>
      <c r="L2492">
        <v>14193.361397619101</v>
      </c>
      <c r="M2492">
        <v>250</v>
      </c>
      <c r="O2492">
        <v>56.769814359609498</v>
      </c>
      <c r="P2492">
        <v>-0.51604530963844697</v>
      </c>
      <c r="Q2492">
        <v>0.53126727330286805</v>
      </c>
      <c r="R2492">
        <v>0.93381384546497304</v>
      </c>
      <c r="S2492" t="s">
        <v>6788</v>
      </c>
      <c r="T2492" t="s">
        <v>8590</v>
      </c>
      <c r="U2492" t="s">
        <v>8590</v>
      </c>
      <c r="V2492" t="s">
        <v>8590</v>
      </c>
      <c r="W2492">
        <v>17</v>
      </c>
      <c r="X2492" t="s">
        <v>11082</v>
      </c>
      <c r="Y2492">
        <v>0.79338940578848216</v>
      </c>
      <c r="Z2492" t="str">
        <f>HYPERLINK("Melting_Curves/meltCurve_sp_Q8WWM7_ATX2L_HUMAN_.pdf", "Melting_Curves/meltCurve_sp_Q8WWM7_ATX2L_HUMAN_.pdf")</f>
        <v>Melting_Curves/meltCurve_sp_Q8WWM7_ATX2L_HUMAN_.pdf</v>
      </c>
      <c r="AA2492" t="s">
        <v>15335</v>
      </c>
      <c r="AB2492" t="s">
        <v>19576</v>
      </c>
    </row>
    <row r="2493" spans="1:28" x14ac:dyDescent="0.25">
      <c r="A2493" t="s">
        <v>2497</v>
      </c>
      <c r="B2493">
        <v>0.99876560204751996</v>
      </c>
      <c r="C2493">
        <v>0.77039850186358805</v>
      </c>
      <c r="D2493">
        <v>0.51975053927809001</v>
      </c>
      <c r="E2493">
        <v>0.24822451531388301</v>
      </c>
      <c r="F2493">
        <v>0.12643472237466</v>
      </c>
      <c r="G2493">
        <v>6.9351566591928995E-2</v>
      </c>
      <c r="H2493">
        <v>5.1215606314446799E-2</v>
      </c>
      <c r="I2493">
        <v>4.6011408178959497E-2</v>
      </c>
      <c r="J2493">
        <v>5.36043275370717E-2</v>
      </c>
      <c r="K2493">
        <v>3.5986576443030202E-2</v>
      </c>
      <c r="L2493">
        <v>822.51394974931998</v>
      </c>
      <c r="M2493">
        <v>17.858639493786399</v>
      </c>
      <c r="N2493">
        <v>46.285727317920298</v>
      </c>
      <c r="O2493">
        <v>45.491071427431798</v>
      </c>
      <c r="P2493">
        <v>-9.4002018621741401E-2</v>
      </c>
      <c r="Q2493">
        <v>4.2248463123108398E-2</v>
      </c>
      <c r="R2493">
        <v>0.99573270117615997</v>
      </c>
      <c r="S2493" t="s">
        <v>6789</v>
      </c>
      <c r="T2493" t="s">
        <v>8590</v>
      </c>
      <c r="U2493" t="s">
        <v>8590</v>
      </c>
      <c r="V2493" t="s">
        <v>8590</v>
      </c>
      <c r="W2493">
        <v>4</v>
      </c>
      <c r="X2493" t="s">
        <v>11083</v>
      </c>
      <c r="Y2493">
        <v>0.25467114327584828</v>
      </c>
      <c r="Z2493" t="str">
        <f>HYPERLINK("Melting_Curves/meltCurve_sp_Q8WWV3_RT4I1_HUMAN_.pdf", "Melting_Curves/meltCurve_sp_Q8WWV3_RT4I1_HUMAN_.pdf")</f>
        <v>Melting_Curves/meltCurve_sp_Q8WWV3_RT4I1_HUMAN_.pdf</v>
      </c>
      <c r="AA2493" t="s">
        <v>15336</v>
      </c>
      <c r="AB2493" t="s">
        <v>19577</v>
      </c>
    </row>
    <row r="2494" spans="1:28" x14ac:dyDescent="0.25">
      <c r="A2494" t="s">
        <v>2498</v>
      </c>
      <c r="B2494">
        <v>0.99876560204751996</v>
      </c>
      <c r="C2494">
        <v>1.11562123430229</v>
      </c>
      <c r="D2494">
        <v>1.0147295712252</v>
      </c>
      <c r="E2494">
        <v>0.71166830578046003</v>
      </c>
      <c r="F2494">
        <v>0.51881954778248296</v>
      </c>
      <c r="G2494">
        <v>0.28699985109693898</v>
      </c>
      <c r="H2494">
        <v>0.166077343880351</v>
      </c>
      <c r="I2494">
        <v>0.117186762389899</v>
      </c>
      <c r="J2494">
        <v>0.11526518503239699</v>
      </c>
      <c r="K2494">
        <v>0.104128452990374</v>
      </c>
      <c r="L2494">
        <v>1051.4859470435599</v>
      </c>
      <c r="M2494">
        <v>20.017095848624098</v>
      </c>
      <c r="N2494">
        <v>53.164320728695898</v>
      </c>
      <c r="O2494">
        <v>52.013559234318699</v>
      </c>
      <c r="P2494">
        <v>-8.5985098111626301E-2</v>
      </c>
      <c r="Q2494">
        <v>0.10631472568755999</v>
      </c>
      <c r="R2494">
        <v>0.984830843874689</v>
      </c>
      <c r="S2494" t="s">
        <v>6790</v>
      </c>
      <c r="T2494" t="s">
        <v>8590</v>
      </c>
      <c r="U2494" t="s">
        <v>8590</v>
      </c>
      <c r="V2494" t="s">
        <v>8590</v>
      </c>
      <c r="W2494">
        <v>4</v>
      </c>
      <c r="X2494" t="s">
        <v>11084</v>
      </c>
      <c r="Y2494">
        <v>0.49187488713132038</v>
      </c>
      <c r="Z2494" t="str">
        <f>HYPERLINK("Melting_Curves/meltCurve_sp_Q8WWY3_PRP31_HUMAN_.pdf", "Melting_Curves/meltCurve_sp_Q8WWY3_PRP31_HUMAN_.pdf")</f>
        <v>Melting_Curves/meltCurve_sp_Q8WWY3_PRP31_HUMAN_.pdf</v>
      </c>
      <c r="AA2494" t="s">
        <v>15337</v>
      </c>
      <c r="AB2494" t="s">
        <v>19578</v>
      </c>
    </row>
    <row r="2495" spans="1:28" x14ac:dyDescent="0.25">
      <c r="A2495" t="s">
        <v>2499</v>
      </c>
      <c r="B2495">
        <v>0.99876560204751996</v>
      </c>
      <c r="C2495">
        <v>0.99126033042961503</v>
      </c>
      <c r="D2495">
        <v>0.87521913164641796</v>
      </c>
      <c r="E2495">
        <v>0.77694722743702105</v>
      </c>
      <c r="F2495">
        <v>0.51703772468449904</v>
      </c>
      <c r="G2495">
        <v>0.120997089151699</v>
      </c>
      <c r="H2495">
        <v>8.0855196137928506E-2</v>
      </c>
      <c r="I2495">
        <v>6.5204479727962505E-2</v>
      </c>
      <c r="J2495">
        <v>5.2294857047558797E-2</v>
      </c>
      <c r="K2495">
        <v>7.2587299957516005E-2</v>
      </c>
      <c r="L2495">
        <v>1215.28092065804</v>
      </c>
      <c r="M2495">
        <v>23.121030383781299</v>
      </c>
      <c r="N2495">
        <v>52.773569542481297</v>
      </c>
      <c r="O2495">
        <v>52.1732541674929</v>
      </c>
      <c r="P2495">
        <v>-0.10588159026662999</v>
      </c>
      <c r="Q2495">
        <v>4.4318391874183703E-2</v>
      </c>
      <c r="R2495">
        <v>0.99112444967337299</v>
      </c>
      <c r="S2495" t="s">
        <v>6791</v>
      </c>
      <c r="T2495" t="s">
        <v>8590</v>
      </c>
      <c r="U2495" t="s">
        <v>8590</v>
      </c>
      <c r="V2495" t="s">
        <v>8590</v>
      </c>
      <c r="W2495">
        <v>4</v>
      </c>
      <c r="X2495" t="s">
        <v>11085</v>
      </c>
      <c r="Y2495">
        <v>0.45463948363683149</v>
      </c>
      <c r="Z2495" t="str">
        <f>HYPERLINK("Melting_Curves/meltCurve_sp_Q8WX92_NELFB_HUMAN_.pdf", "Melting_Curves/meltCurve_sp_Q8WX92_NELFB_HUMAN_.pdf")</f>
        <v>Melting_Curves/meltCurve_sp_Q8WX92_NELFB_HUMAN_.pdf</v>
      </c>
      <c r="AA2495" t="s">
        <v>15338</v>
      </c>
      <c r="AB2495" t="s">
        <v>19579</v>
      </c>
    </row>
    <row r="2496" spans="1:28" x14ac:dyDescent="0.25">
      <c r="A2496" t="s">
        <v>2500</v>
      </c>
      <c r="B2496">
        <v>0.99876560204751996</v>
      </c>
      <c r="C2496">
        <v>0.81134704044336703</v>
      </c>
      <c r="D2496">
        <v>0.76271610430444503</v>
      </c>
      <c r="E2496">
        <v>0.86048519472708695</v>
      </c>
      <c r="F2496">
        <v>0.77845891273791701</v>
      </c>
      <c r="G2496">
        <v>0.76980055861262298</v>
      </c>
      <c r="H2496">
        <v>0.60335366184316896</v>
      </c>
      <c r="I2496">
        <v>0.34406905347754702</v>
      </c>
      <c r="J2496">
        <v>0.206629244889381</v>
      </c>
      <c r="K2496">
        <v>0.125270390322612</v>
      </c>
      <c r="L2496">
        <v>622.50091921523403</v>
      </c>
      <c r="M2496">
        <v>10.248044482545399</v>
      </c>
      <c r="N2496">
        <v>60.743399159117502</v>
      </c>
      <c r="O2496">
        <v>58.566751497366397</v>
      </c>
      <c r="P2496">
        <v>-4.3764525197191803E-2</v>
      </c>
      <c r="Q2496">
        <v>0</v>
      </c>
      <c r="R2496">
        <v>0.86091686385076904</v>
      </c>
      <c r="S2496" t="s">
        <v>6792</v>
      </c>
      <c r="T2496" t="s">
        <v>8590</v>
      </c>
      <c r="U2496" t="s">
        <v>8590</v>
      </c>
      <c r="V2496" t="s">
        <v>8590</v>
      </c>
      <c r="W2496">
        <v>1</v>
      </c>
      <c r="X2496" t="s">
        <v>11086</v>
      </c>
      <c r="Y2496">
        <v>0.68265421742487742</v>
      </c>
      <c r="Z2496" t="str">
        <f>HYPERLINK("Melting_Curves/meltCurve_sp_Q8WXA2_2_PATE1_HUMAN_.pdf", "Melting_Curves/meltCurve_sp_Q8WXA2_2_PATE1_HUMAN_.pdf")</f>
        <v>Melting_Curves/meltCurve_sp_Q8WXA2_2_PATE1_HUMAN_.pdf</v>
      </c>
      <c r="AA2496" t="s">
        <v>15339</v>
      </c>
      <c r="AB2496" t="s">
        <v>19580</v>
      </c>
    </row>
    <row r="2497" spans="1:28" x14ac:dyDescent="0.25">
      <c r="A2497" t="s">
        <v>2501</v>
      </c>
      <c r="B2497">
        <v>0.99876560204751996</v>
      </c>
      <c r="C2497">
        <v>0.98136743902009504</v>
      </c>
      <c r="D2497">
        <v>0.795461581185962</v>
      </c>
      <c r="E2497">
        <v>0.47148214602981597</v>
      </c>
      <c r="F2497">
        <v>0.25687448784542</v>
      </c>
      <c r="G2497">
        <v>0.16072960348999701</v>
      </c>
      <c r="H2497">
        <v>7.9199528078887596E-2</v>
      </c>
      <c r="I2497">
        <v>0.10213042931661299</v>
      </c>
      <c r="J2497">
        <v>9.7718402264187695E-2</v>
      </c>
      <c r="K2497">
        <v>0.114153133081692</v>
      </c>
      <c r="L2497">
        <v>992.80196765202197</v>
      </c>
      <c r="M2497">
        <v>20.2273632978617</v>
      </c>
      <c r="N2497">
        <v>49.593285203777597</v>
      </c>
      <c r="O2497">
        <v>48.6099564901345</v>
      </c>
      <c r="P2497">
        <v>-9.4243463845764194E-2</v>
      </c>
      <c r="Q2497">
        <v>9.4093001320817299E-2</v>
      </c>
      <c r="R2497">
        <v>0.99781682700802998</v>
      </c>
      <c r="S2497" t="s">
        <v>6793</v>
      </c>
      <c r="T2497" t="s">
        <v>8590</v>
      </c>
      <c r="U2497" t="s">
        <v>8590</v>
      </c>
      <c r="V2497" t="s">
        <v>8590</v>
      </c>
      <c r="W2497">
        <v>2</v>
      </c>
      <c r="X2497" t="s">
        <v>11087</v>
      </c>
      <c r="Y2497">
        <v>0.38073798865206371</v>
      </c>
      <c r="Z2497" t="str">
        <f>HYPERLINK("Melting_Curves/meltCurve_sp_Q8WXA3_2_RUFY2_HUMAN_.pdf", "Melting_Curves/meltCurve_sp_Q8WXA3_2_RUFY2_HUMAN_.pdf")</f>
        <v>Melting_Curves/meltCurve_sp_Q8WXA3_2_RUFY2_HUMAN_.pdf</v>
      </c>
      <c r="AA2497" t="s">
        <v>15340</v>
      </c>
      <c r="AB2497" t="s">
        <v>19581</v>
      </c>
    </row>
    <row r="2498" spans="1:28" x14ac:dyDescent="0.25">
      <c r="A2498" t="s">
        <v>2502</v>
      </c>
      <c r="B2498">
        <v>0.99876560204751996</v>
      </c>
      <c r="C2498">
        <v>1.2529723326090301</v>
      </c>
      <c r="D2498">
        <v>1.09937737949936</v>
      </c>
      <c r="E2498">
        <v>1.0219535570139899</v>
      </c>
      <c r="F2498">
        <v>0.87445764638658596</v>
      </c>
      <c r="G2498">
        <v>5.6383293259900602E-2</v>
      </c>
      <c r="H2498">
        <v>0.257558868049301</v>
      </c>
      <c r="I2498">
        <v>0.219605063537888</v>
      </c>
      <c r="J2498">
        <v>0.25126760652952901</v>
      </c>
      <c r="K2498">
        <v>0.235829127337748</v>
      </c>
      <c r="L2498">
        <v>13338.7815839668</v>
      </c>
      <c r="M2498">
        <v>250</v>
      </c>
      <c r="N2498">
        <v>53.467347370184299</v>
      </c>
      <c r="O2498">
        <v>53.351712974071198</v>
      </c>
      <c r="P2498">
        <v>-0.93234030242638799</v>
      </c>
      <c r="Q2498">
        <v>0.204128780683416</v>
      </c>
      <c r="R2498">
        <v>0.94584124672078596</v>
      </c>
      <c r="S2498" t="s">
        <v>6794</v>
      </c>
      <c r="T2498" t="s">
        <v>8590</v>
      </c>
      <c r="U2498" t="s">
        <v>8590</v>
      </c>
      <c r="V2498" t="s">
        <v>8590</v>
      </c>
      <c r="W2498">
        <v>2</v>
      </c>
      <c r="X2498" t="s">
        <v>11088</v>
      </c>
      <c r="Y2498">
        <v>0.55850199337657835</v>
      </c>
      <c r="Z2498" t="str">
        <f>HYPERLINK("Melting_Curves/meltCurve_sp_Q8WXA9_2_SREK1_HUMAN_.pdf", "Melting_Curves/meltCurve_sp_Q8WXA9_2_SREK1_HUMAN_.pdf")</f>
        <v>Melting_Curves/meltCurve_sp_Q8WXA9_2_SREK1_HUMAN_.pdf</v>
      </c>
      <c r="AA2498" t="s">
        <v>15341</v>
      </c>
      <c r="AB2498" t="s">
        <v>19582</v>
      </c>
    </row>
    <row r="2499" spans="1:28" x14ac:dyDescent="0.25">
      <c r="A2499" t="s">
        <v>2503</v>
      </c>
      <c r="B2499">
        <v>0.99876560204751996</v>
      </c>
      <c r="C2499">
        <v>1.0289786334004201</v>
      </c>
      <c r="D2499">
        <v>1.116226959357</v>
      </c>
      <c r="E2499">
        <v>1.01799705030532</v>
      </c>
      <c r="F2499">
        <v>1.4357846205700899</v>
      </c>
      <c r="G2499">
        <v>0.92273345322516198</v>
      </c>
      <c r="H2499">
        <v>0.97471739119709</v>
      </c>
      <c r="I2499">
        <v>1.09846928716523</v>
      </c>
      <c r="J2499">
        <v>1.15656449671748</v>
      </c>
      <c r="K2499">
        <v>1.0217006730181999</v>
      </c>
      <c r="L2499">
        <v>10759.0212519578</v>
      </c>
      <c r="M2499">
        <v>250</v>
      </c>
      <c r="O2499">
        <v>43.033321736458497</v>
      </c>
      <c r="P2499">
        <v>0.13510492893050399</v>
      </c>
      <c r="Q2499">
        <v>1.09302424194565</v>
      </c>
      <c r="R2499">
        <v>5.6253285215922898E-2</v>
      </c>
      <c r="S2499" t="s">
        <v>6795</v>
      </c>
      <c r="T2499" t="s">
        <v>8590</v>
      </c>
      <c r="U2499" t="s">
        <v>8590</v>
      </c>
      <c r="V2499" t="s">
        <v>8590</v>
      </c>
      <c r="W2499">
        <v>5</v>
      </c>
      <c r="X2499" t="s">
        <v>11089</v>
      </c>
      <c r="Y2499">
        <v>1.083602899161892</v>
      </c>
      <c r="Z2499" t="str">
        <f>HYPERLINK("Melting_Curves/meltCurve_sp_Q8WXE0_CSKI2_HUMAN_.pdf", "Melting_Curves/meltCurve_sp_Q8WXE0_CSKI2_HUMAN_.pdf")</f>
        <v>Melting_Curves/meltCurve_sp_Q8WXE0_CSKI2_HUMAN_.pdf</v>
      </c>
      <c r="AA2499" t="s">
        <v>15342</v>
      </c>
      <c r="AB2499" t="s">
        <v>19583</v>
      </c>
    </row>
    <row r="2500" spans="1:28" x14ac:dyDescent="0.25">
      <c r="A2500" t="s">
        <v>2504</v>
      </c>
      <c r="B2500">
        <v>0.99876560204751996</v>
      </c>
      <c r="C2500">
        <v>1.18044920506827</v>
      </c>
      <c r="D2500">
        <v>0.6656311886556</v>
      </c>
      <c r="E2500">
        <v>1.1196066566818701</v>
      </c>
      <c r="F2500">
        <v>0.57711937953047798</v>
      </c>
      <c r="G2500">
        <v>0.133812157595144</v>
      </c>
      <c r="H2500">
        <v>9.4795762754182403E-2</v>
      </c>
      <c r="I2500">
        <v>5.2745664178720099E-2</v>
      </c>
      <c r="J2500">
        <v>3.2087062754711099E-2</v>
      </c>
      <c r="K2500">
        <v>3.5365544727663401E-2</v>
      </c>
      <c r="L2500">
        <v>13259.6527756757</v>
      </c>
      <c r="M2500">
        <v>250</v>
      </c>
      <c r="N2500">
        <v>53.070512062722997</v>
      </c>
      <c r="O2500">
        <v>53.035217925721</v>
      </c>
      <c r="P2500">
        <v>-1.0962512605639501</v>
      </c>
      <c r="Q2500">
        <v>6.9761225528702994E-2</v>
      </c>
      <c r="R2500">
        <v>0.91931515626693805</v>
      </c>
      <c r="S2500" t="s">
        <v>6796</v>
      </c>
      <c r="T2500" t="s">
        <v>8590</v>
      </c>
      <c r="U2500" t="s">
        <v>8590</v>
      </c>
      <c r="V2500" t="s">
        <v>8590</v>
      </c>
      <c r="W2500">
        <v>1</v>
      </c>
      <c r="X2500" t="s">
        <v>11090</v>
      </c>
      <c r="Y2500">
        <v>0.47414853438859339</v>
      </c>
      <c r="Z2500" t="str">
        <f>HYPERLINK("Melting_Curves/meltCurve_sp_Q8WXE1_2_ATRIP_HUMAN_.pdf", "Melting_Curves/meltCurve_sp_Q8WXE1_2_ATRIP_HUMAN_.pdf")</f>
        <v>Melting_Curves/meltCurve_sp_Q8WXE1_2_ATRIP_HUMAN_.pdf</v>
      </c>
      <c r="AA2500" t="s">
        <v>15343</v>
      </c>
      <c r="AB2500" t="s">
        <v>19584</v>
      </c>
    </row>
    <row r="2501" spans="1:28" x14ac:dyDescent="0.25">
      <c r="A2501" t="s">
        <v>2505</v>
      </c>
      <c r="B2501">
        <v>0.99876560204751996</v>
      </c>
      <c r="C2501">
        <v>0.98716866784081303</v>
      </c>
      <c r="D2501">
        <v>0.91584275556135197</v>
      </c>
      <c r="E2501">
        <v>0.92514163515270598</v>
      </c>
      <c r="F2501">
        <v>0.98503411414188302</v>
      </c>
      <c r="G2501">
        <v>0.64057636502331705</v>
      </c>
      <c r="H2501">
        <v>0.40319542189130902</v>
      </c>
      <c r="I2501">
        <v>0.33419283343272099</v>
      </c>
      <c r="J2501">
        <v>0.37412295955908997</v>
      </c>
      <c r="K2501">
        <v>0.34643905853526002</v>
      </c>
      <c r="L2501">
        <v>2330.2229283441602</v>
      </c>
      <c r="M2501">
        <v>41.074120077707697</v>
      </c>
      <c r="N2501">
        <v>58.4780370167462</v>
      </c>
      <c r="O2501">
        <v>56.598174887036301</v>
      </c>
      <c r="P2501">
        <v>-0.117328262838996</v>
      </c>
      <c r="Q2501">
        <v>0.353310362976057</v>
      </c>
      <c r="R2501">
        <v>0.98243599277286198</v>
      </c>
      <c r="S2501" t="s">
        <v>6797</v>
      </c>
      <c r="T2501" t="s">
        <v>8590</v>
      </c>
      <c r="U2501" t="s">
        <v>8590</v>
      </c>
      <c r="V2501" t="s">
        <v>8590</v>
      </c>
      <c r="W2501">
        <v>10</v>
      </c>
      <c r="X2501" t="s">
        <v>11091</v>
      </c>
      <c r="Y2501">
        <v>0.71637842973618338</v>
      </c>
      <c r="Z2501" t="str">
        <f>HYPERLINK("Melting_Curves/meltCurve_sp_Q8WXF1_PSPC1_HUMAN_.pdf", "Melting_Curves/meltCurve_sp_Q8WXF1_PSPC1_HUMAN_.pdf")</f>
        <v>Melting_Curves/meltCurve_sp_Q8WXF1_PSPC1_HUMAN_.pdf</v>
      </c>
      <c r="AA2501" t="s">
        <v>15344</v>
      </c>
      <c r="AB2501" t="s">
        <v>19585</v>
      </c>
    </row>
    <row r="2502" spans="1:28" x14ac:dyDescent="0.25">
      <c r="A2502" t="s">
        <v>2506</v>
      </c>
      <c r="B2502">
        <v>0.99876560204751996</v>
      </c>
      <c r="C2502">
        <v>1.0174125264610501</v>
      </c>
      <c r="D2502">
        <v>0.90474271791527205</v>
      </c>
      <c r="E2502">
        <v>0.50848487861465796</v>
      </c>
      <c r="F2502">
        <v>0.23856775475696501</v>
      </c>
      <c r="G2502">
        <v>0.113269779659303</v>
      </c>
      <c r="H2502">
        <v>7.9465715395774197E-2</v>
      </c>
      <c r="I2502">
        <v>6.9365594838380895E-2</v>
      </c>
      <c r="J2502">
        <v>7.0458983386479407E-2</v>
      </c>
      <c r="K2502">
        <v>6.0381682226934102E-2</v>
      </c>
      <c r="L2502">
        <v>1289.72602438641</v>
      </c>
      <c r="M2502">
        <v>25.8780606754483</v>
      </c>
      <c r="N2502">
        <v>50.127642359137603</v>
      </c>
      <c r="O2502">
        <v>49.543835667430599</v>
      </c>
      <c r="P2502">
        <v>-0.121532384863342</v>
      </c>
      <c r="Q2502">
        <v>6.9310593779115096E-2</v>
      </c>
      <c r="R2502">
        <v>0.99919474457013502</v>
      </c>
      <c r="S2502" t="s">
        <v>6798</v>
      </c>
      <c r="T2502" t="s">
        <v>8590</v>
      </c>
      <c r="U2502" t="s">
        <v>8590</v>
      </c>
      <c r="V2502" t="s">
        <v>8590</v>
      </c>
      <c r="W2502">
        <v>34</v>
      </c>
      <c r="X2502" t="s">
        <v>11092</v>
      </c>
      <c r="Y2502">
        <v>0.38227845522886572</v>
      </c>
      <c r="Z2502" t="str">
        <f>HYPERLINK("Melting_Curves/meltCurve_sp_Q8WXH0_SYNE2_HUMAN_.pdf", "Melting_Curves/meltCurve_sp_Q8WXH0_SYNE2_HUMAN_.pdf")</f>
        <v>Melting_Curves/meltCurve_sp_Q8WXH0_SYNE2_HUMAN_.pdf</v>
      </c>
      <c r="AA2502" t="s">
        <v>15345</v>
      </c>
      <c r="AB2502" t="s">
        <v>19586</v>
      </c>
    </row>
    <row r="2503" spans="1:28" x14ac:dyDescent="0.25">
      <c r="A2503" t="s">
        <v>2507</v>
      </c>
      <c r="B2503">
        <v>0.99876560204751996</v>
      </c>
      <c r="C2503">
        <v>0.924336360906031</v>
      </c>
      <c r="D2503">
        <v>0.82189331322562598</v>
      </c>
      <c r="E2503">
        <v>0.72968456246402402</v>
      </c>
      <c r="F2503">
        <v>0.34679316085728101</v>
      </c>
      <c r="G2503">
        <v>0.21726958870552401</v>
      </c>
      <c r="H2503">
        <v>0.14170656279031099</v>
      </c>
      <c r="I2503">
        <v>0.16720867819756299</v>
      </c>
      <c r="J2503">
        <v>0.122786320307658</v>
      </c>
      <c r="K2503">
        <v>8.2438993406015099E-2</v>
      </c>
      <c r="L2503">
        <v>875.60157322183898</v>
      </c>
      <c r="M2503">
        <v>17.141470420285799</v>
      </c>
      <c r="N2503">
        <v>51.733299914551402</v>
      </c>
      <c r="O2503">
        <v>50.400888461156697</v>
      </c>
      <c r="P2503">
        <v>-7.6765628607573397E-2</v>
      </c>
      <c r="Q2503">
        <v>9.7201296745228302E-2</v>
      </c>
      <c r="R2503">
        <v>0.98192863221832405</v>
      </c>
      <c r="S2503" t="s">
        <v>6799</v>
      </c>
      <c r="T2503" t="s">
        <v>8590</v>
      </c>
      <c r="U2503" t="s">
        <v>8590</v>
      </c>
      <c r="V2503" t="s">
        <v>8590</v>
      </c>
      <c r="W2503">
        <v>1</v>
      </c>
      <c r="X2503" t="s">
        <v>11093</v>
      </c>
      <c r="Y2503">
        <v>0.44723819099662299</v>
      </c>
      <c r="Z2503" t="str">
        <f>HYPERLINK("Melting_Curves/meltCurve_sp_Q8WXI4_2_ACO11_HUMAN_.pdf", "Melting_Curves/meltCurve_sp_Q8WXI4_2_ACO11_HUMAN_.pdf")</f>
        <v>Melting_Curves/meltCurve_sp_Q8WXI4_2_ACO11_HUMAN_.pdf</v>
      </c>
      <c r="AA2503" t="s">
        <v>15346</v>
      </c>
      <c r="AB2503" t="s">
        <v>19587</v>
      </c>
    </row>
    <row r="2504" spans="1:28" x14ac:dyDescent="0.25">
      <c r="A2504" t="s">
        <v>2508</v>
      </c>
      <c r="B2504">
        <v>0.99876560204751996</v>
      </c>
      <c r="C2504">
        <v>1.0286815877762301</v>
      </c>
      <c r="D2504">
        <v>0.89904164956830301</v>
      </c>
      <c r="E2504">
        <v>0.80824948193555002</v>
      </c>
      <c r="F2504">
        <v>0.70654227726752095</v>
      </c>
      <c r="G2504">
        <v>0.45438072556938403</v>
      </c>
      <c r="H2504">
        <v>0.32531084556571299</v>
      </c>
      <c r="I2504">
        <v>0.33320439425779902</v>
      </c>
      <c r="J2504">
        <v>0.453629941132972</v>
      </c>
      <c r="K2504">
        <v>0.39879021813392301</v>
      </c>
      <c r="L2504">
        <v>1047.64839182886</v>
      </c>
      <c r="M2504">
        <v>19.9593993543076</v>
      </c>
      <c r="N2504">
        <v>56.147381341367698</v>
      </c>
      <c r="O2504">
        <v>51.970599529988299</v>
      </c>
      <c r="P2504">
        <v>-6.1085160681109398E-2</v>
      </c>
      <c r="Q2504">
        <v>0.36380284807178398</v>
      </c>
      <c r="R2504">
        <v>0.96452041913198505</v>
      </c>
      <c r="S2504" t="s">
        <v>6800</v>
      </c>
      <c r="T2504" t="s">
        <v>8590</v>
      </c>
      <c r="U2504" t="s">
        <v>8590</v>
      </c>
      <c r="V2504" t="s">
        <v>8590</v>
      </c>
      <c r="W2504">
        <v>6</v>
      </c>
      <c r="X2504" t="s">
        <v>11094</v>
      </c>
      <c r="Y2504">
        <v>0.63746497946556435</v>
      </c>
      <c r="Z2504" t="str">
        <f>HYPERLINK("Melting_Curves/meltCurve_sp_Q8WXI9_P66B_HUMAN_.pdf", "Melting_Curves/meltCurve_sp_Q8WXI9_P66B_HUMAN_.pdf")</f>
        <v>Melting_Curves/meltCurve_sp_Q8WXI9_P66B_HUMAN_.pdf</v>
      </c>
      <c r="AA2504" t="s">
        <v>15347</v>
      </c>
      <c r="AB2504" t="s">
        <v>19588</v>
      </c>
    </row>
    <row r="2505" spans="1:28" x14ac:dyDescent="0.25">
      <c r="A2505" t="s">
        <v>2509</v>
      </c>
      <c r="B2505">
        <v>0.99876560204751996</v>
      </c>
      <c r="C2505">
        <v>0.94379551375510295</v>
      </c>
      <c r="D2505">
        <v>0.97972268413457997</v>
      </c>
      <c r="E2505">
        <v>0.80475730994176298</v>
      </c>
      <c r="F2505">
        <v>0.78702927222632402</v>
      </c>
      <c r="G2505">
        <v>0.44671713313353001</v>
      </c>
      <c r="H2505">
        <v>0.27271060750764198</v>
      </c>
      <c r="I2505">
        <v>0.23714825060925701</v>
      </c>
      <c r="J2505">
        <v>0.24915038024866201</v>
      </c>
      <c r="K2505">
        <v>0.220431016704246</v>
      </c>
      <c r="L2505">
        <v>989.20194455755995</v>
      </c>
      <c r="M2505">
        <v>18.0582795276258</v>
      </c>
      <c r="N2505">
        <v>56.313815021519801</v>
      </c>
      <c r="O2505">
        <v>54.119808834128101</v>
      </c>
      <c r="P2505">
        <v>-6.7203245181787205E-2</v>
      </c>
      <c r="Q2505">
        <v>0.194419472188959</v>
      </c>
      <c r="R2505">
        <v>0.985134535989869</v>
      </c>
      <c r="S2505" t="s">
        <v>6801</v>
      </c>
      <c r="T2505" t="s">
        <v>8590</v>
      </c>
      <c r="U2505" t="s">
        <v>8590</v>
      </c>
      <c r="V2505" t="s">
        <v>8590</v>
      </c>
      <c r="W2505">
        <v>2</v>
      </c>
      <c r="X2505" t="s">
        <v>11095</v>
      </c>
      <c r="Y2505">
        <v>0.6037705106339516</v>
      </c>
      <c r="Z2505" t="str">
        <f>HYPERLINK("Melting_Curves/meltCurve_sp_Q8WY91_2_THAP4_HUMAN_.pdf", "Melting_Curves/meltCurve_sp_Q8WY91_2_THAP4_HUMAN_.pdf")</f>
        <v>Melting_Curves/meltCurve_sp_Q8WY91_2_THAP4_HUMAN_.pdf</v>
      </c>
      <c r="AA2505" t="s">
        <v>15348</v>
      </c>
      <c r="AB2505" t="s">
        <v>19589</v>
      </c>
    </row>
    <row r="2506" spans="1:28" x14ac:dyDescent="0.25">
      <c r="A2506" t="s">
        <v>2510</v>
      </c>
      <c r="B2506">
        <v>0.99876560204751996</v>
      </c>
      <c r="C2506">
        <v>1.0219170842704199</v>
      </c>
      <c r="D2506">
        <v>0.90151380725913799</v>
      </c>
      <c r="E2506">
        <v>0.92944265734543297</v>
      </c>
      <c r="F2506">
        <v>0.61517958451547305</v>
      </c>
      <c r="G2506">
        <v>0.12936006753655599</v>
      </c>
      <c r="H2506">
        <v>5.4506853637227903E-2</v>
      </c>
      <c r="I2506">
        <v>5.3077472633387801E-2</v>
      </c>
      <c r="J2506">
        <v>3.7933599852174801E-2</v>
      </c>
      <c r="K2506">
        <v>2.98034024326151E-2</v>
      </c>
      <c r="L2506">
        <v>1919.1620698030599</v>
      </c>
      <c r="M2506">
        <v>35.825115603223203</v>
      </c>
      <c r="N2506">
        <v>53.689591639742197</v>
      </c>
      <c r="O2506">
        <v>53.404203707041503</v>
      </c>
      <c r="P2506">
        <v>-0.16129172628702401</v>
      </c>
      <c r="Q2506">
        <v>3.8258182956222297E-2</v>
      </c>
      <c r="R2506">
        <v>0.99457399593145801</v>
      </c>
      <c r="S2506" t="s">
        <v>6802</v>
      </c>
      <c r="T2506" t="s">
        <v>8590</v>
      </c>
      <c r="U2506" t="s">
        <v>8590</v>
      </c>
      <c r="V2506" t="s">
        <v>8590</v>
      </c>
      <c r="W2506">
        <v>11</v>
      </c>
      <c r="X2506" t="s">
        <v>11096</v>
      </c>
      <c r="Y2506">
        <v>0.47772670753730501</v>
      </c>
      <c r="Z2506" t="str">
        <f>HYPERLINK("Melting_Curves/meltCurve_sp_Q8WYK0_ACO12_HUMAN_.pdf", "Melting_Curves/meltCurve_sp_Q8WYK0_ACO12_HUMAN_.pdf")</f>
        <v>Melting_Curves/meltCurve_sp_Q8WYK0_ACO12_HUMAN_.pdf</v>
      </c>
      <c r="AA2506" t="s">
        <v>15349</v>
      </c>
      <c r="AB2506" t="s">
        <v>19590</v>
      </c>
    </row>
    <row r="2507" spans="1:28" x14ac:dyDescent="0.25">
      <c r="A2507" t="s">
        <v>2511</v>
      </c>
      <c r="B2507">
        <v>0.99876560204751996</v>
      </c>
      <c r="C2507">
        <v>0.99600336061345096</v>
      </c>
      <c r="D2507">
        <v>0.966917438277343</v>
      </c>
      <c r="E2507">
        <v>0.80729299837381396</v>
      </c>
      <c r="F2507">
        <v>0.33321924517412299</v>
      </c>
      <c r="G2507">
        <v>0.11871852708939799</v>
      </c>
      <c r="H2507">
        <v>7.8496932721297999E-2</v>
      </c>
      <c r="I2507">
        <v>4.7943755444941699E-2</v>
      </c>
      <c r="J2507">
        <v>3.1519679388162497E-2</v>
      </c>
      <c r="K2507">
        <v>3.3951274878601702E-2</v>
      </c>
      <c r="L2507">
        <v>1834.51075739822</v>
      </c>
      <c r="M2507">
        <v>35.4042976152246</v>
      </c>
      <c r="N2507">
        <v>51.976862386089799</v>
      </c>
      <c r="O2507">
        <v>51.651568291460499</v>
      </c>
      <c r="P2507">
        <v>-0.16247232054760899</v>
      </c>
      <c r="Q2507">
        <v>5.1875343174528701E-2</v>
      </c>
      <c r="R2507">
        <v>0.99825921360971104</v>
      </c>
      <c r="S2507" t="s">
        <v>6803</v>
      </c>
      <c r="T2507" t="s">
        <v>8590</v>
      </c>
      <c r="U2507" t="s">
        <v>8590</v>
      </c>
      <c r="V2507" t="s">
        <v>8590</v>
      </c>
      <c r="W2507">
        <v>2</v>
      </c>
      <c r="X2507" t="s">
        <v>11097</v>
      </c>
      <c r="Y2507">
        <v>0.42964969865111252</v>
      </c>
      <c r="Z2507" t="str">
        <f>HYPERLINK("Melting_Curves/meltCurve_sp_Q8WYN0_3_ATG4A_HUMAN_.pdf", "Melting_Curves/meltCurve_sp_Q8WYN0_3_ATG4A_HUMAN_.pdf")</f>
        <v>Melting_Curves/meltCurve_sp_Q8WYN0_3_ATG4A_HUMAN_.pdf</v>
      </c>
      <c r="AA2507" t="s">
        <v>15350</v>
      </c>
      <c r="AB2507" t="s">
        <v>19591</v>
      </c>
    </row>
    <row r="2508" spans="1:28" x14ac:dyDescent="0.25">
      <c r="A2508" t="s">
        <v>2512</v>
      </c>
      <c r="B2508">
        <v>0.99876560204751996</v>
      </c>
      <c r="C2508">
        <v>0.90534537576127205</v>
      </c>
      <c r="D2508">
        <v>0.96313744238308696</v>
      </c>
      <c r="E2508">
        <v>0.78566891504302305</v>
      </c>
      <c r="F2508">
        <v>0.863366638733162</v>
      </c>
      <c r="G2508">
        <v>0.62946301619899103</v>
      </c>
      <c r="H2508">
        <v>0.57158269826669705</v>
      </c>
      <c r="I2508">
        <v>0.60956610401076505</v>
      </c>
      <c r="J2508">
        <v>0.72594569127650999</v>
      </c>
      <c r="K2508">
        <v>0.71309911714331897</v>
      </c>
      <c r="L2508">
        <v>800.367594349039</v>
      </c>
      <c r="M2508">
        <v>15.9090368410365</v>
      </c>
      <c r="O2508">
        <v>49.534225968809103</v>
      </c>
      <c r="P2508">
        <v>-2.8470341470326899E-2</v>
      </c>
      <c r="Q2508">
        <v>0.64544850013246902</v>
      </c>
      <c r="R2508">
        <v>0.78322316690555405</v>
      </c>
      <c r="S2508" t="s">
        <v>6804</v>
      </c>
      <c r="T2508" t="s">
        <v>8590</v>
      </c>
      <c r="U2508" t="s">
        <v>8590</v>
      </c>
      <c r="V2508" t="s">
        <v>8590</v>
      </c>
      <c r="W2508">
        <v>5</v>
      </c>
      <c r="X2508" t="s">
        <v>11098</v>
      </c>
      <c r="Y2508">
        <v>0.77483236938633515</v>
      </c>
      <c r="Z2508" t="str">
        <f>HYPERLINK("Melting_Curves/meltCurve_sp_Q8WYP5_ELYS_HUMAN_.pdf", "Melting_Curves/meltCurve_sp_Q8WYP5_ELYS_HUMAN_.pdf")</f>
        <v>Melting_Curves/meltCurve_sp_Q8WYP5_ELYS_HUMAN_.pdf</v>
      </c>
      <c r="AA2508" t="s">
        <v>15351</v>
      </c>
      <c r="AB2508" t="s">
        <v>19592</v>
      </c>
    </row>
    <row r="2509" spans="1:28" x14ac:dyDescent="0.25">
      <c r="A2509" t="s">
        <v>2513</v>
      </c>
      <c r="B2509">
        <v>0.99876560204751996</v>
      </c>
      <c r="C2509">
        <v>1.0541786343217301</v>
      </c>
      <c r="D2509">
        <v>1.2560380298710401</v>
      </c>
      <c r="E2509">
        <v>1.0389089919754</v>
      </c>
      <c r="F2509">
        <v>1.16415273492646</v>
      </c>
      <c r="G2509">
        <v>0.95617175063375104</v>
      </c>
      <c r="H2509">
        <v>0.84058965367092797</v>
      </c>
      <c r="I2509">
        <v>1.0137290016675999</v>
      </c>
      <c r="J2509">
        <v>1.1865474548047701</v>
      </c>
      <c r="K2509">
        <v>1.1223247470997899</v>
      </c>
      <c r="L2509">
        <v>10678.034535758299</v>
      </c>
      <c r="M2509">
        <v>250</v>
      </c>
      <c r="O2509">
        <v>42.709404099831097</v>
      </c>
      <c r="P2509">
        <v>0.105813629251243</v>
      </c>
      <c r="Q2509">
        <v>1.07230779400017</v>
      </c>
      <c r="R2509">
        <v>3.6431190777162198E-2</v>
      </c>
      <c r="S2509" t="s">
        <v>6805</v>
      </c>
      <c r="T2509" t="s">
        <v>8590</v>
      </c>
      <c r="U2509" t="s">
        <v>8590</v>
      </c>
      <c r="V2509" t="s">
        <v>8590</v>
      </c>
      <c r="W2509">
        <v>2</v>
      </c>
      <c r="X2509" t="s">
        <v>11099</v>
      </c>
      <c r="Y2509">
        <v>1.06576541631648</v>
      </c>
      <c r="Z2509" t="str">
        <f>HYPERLINK("Melting_Curves/meltCurve_sp_Q8WYQ3_CHC10_HUMAN_.pdf", "Melting_Curves/meltCurve_sp_Q8WYQ3_CHC10_HUMAN_.pdf")</f>
        <v>Melting_Curves/meltCurve_sp_Q8WYQ3_CHC10_HUMAN_.pdf</v>
      </c>
      <c r="AA2509" t="s">
        <v>15352</v>
      </c>
      <c r="AB2509" t="s">
        <v>19593</v>
      </c>
    </row>
    <row r="2510" spans="1:28" x14ac:dyDescent="0.25">
      <c r="A2510" t="s">
        <v>2514</v>
      </c>
      <c r="B2510">
        <v>0.99876560204751996</v>
      </c>
      <c r="C2510">
        <v>1.49618667747992</v>
      </c>
      <c r="D2510">
        <v>1.90637654496674</v>
      </c>
      <c r="E2510">
        <v>1.1266456802606699</v>
      </c>
      <c r="F2510">
        <v>0.79030267502314999</v>
      </c>
      <c r="G2510">
        <v>0.24731336895775999</v>
      </c>
      <c r="H2510">
        <v>0.135528948604168</v>
      </c>
      <c r="I2510">
        <v>2.18675639184857E-2</v>
      </c>
      <c r="J2510">
        <v>0</v>
      </c>
      <c r="K2510">
        <v>0</v>
      </c>
      <c r="L2510">
        <v>2095.24040222658</v>
      </c>
      <c r="M2510">
        <v>38.008468428500699</v>
      </c>
      <c r="N2510">
        <v>55.217304914385203</v>
      </c>
      <c r="O2510">
        <v>54.973686542983003</v>
      </c>
      <c r="P2510">
        <v>-0.16756378448985601</v>
      </c>
      <c r="Q2510">
        <v>3.05765049067152E-2</v>
      </c>
      <c r="R2510">
        <v>0.74564450850098896</v>
      </c>
      <c r="S2510" t="s">
        <v>6806</v>
      </c>
      <c r="T2510" t="s">
        <v>8590</v>
      </c>
      <c r="U2510" t="s">
        <v>8590</v>
      </c>
      <c r="V2510" t="s">
        <v>8590</v>
      </c>
      <c r="W2510">
        <v>4</v>
      </c>
      <c r="X2510" t="s">
        <v>11100</v>
      </c>
      <c r="Y2510">
        <v>0.52341863084625939</v>
      </c>
      <c r="Z2510" t="str">
        <f>HYPERLINK("Melting_Curves/meltCurve_sp_Q8WZ42_3_TITIN_HUMAN_.pdf", "Melting_Curves/meltCurve_sp_Q8WZ42_3_TITIN_HUMAN_.pdf")</f>
        <v>Melting_Curves/meltCurve_sp_Q8WZ42_3_TITIN_HUMAN_.pdf</v>
      </c>
      <c r="AA2510" t="s">
        <v>15353</v>
      </c>
      <c r="AB2510" t="s">
        <v>19594</v>
      </c>
    </row>
    <row r="2511" spans="1:28" x14ac:dyDescent="0.25">
      <c r="A2511" t="s">
        <v>2515</v>
      </c>
      <c r="B2511">
        <v>0.99876560204751996</v>
      </c>
      <c r="C2511">
        <v>0.87038052149720802</v>
      </c>
      <c r="D2511">
        <v>0.86682205542730495</v>
      </c>
      <c r="E2511">
        <v>0.55811695692768604</v>
      </c>
      <c r="F2511">
        <v>0.223148462150209</v>
      </c>
      <c r="G2511">
        <v>0.19140370505097401</v>
      </c>
      <c r="H2511">
        <v>0.11902697201172199</v>
      </c>
      <c r="I2511">
        <v>0.102753313684501</v>
      </c>
      <c r="J2511">
        <v>0.108864710529554</v>
      </c>
      <c r="K2511">
        <v>5.4755787854272701E-2</v>
      </c>
      <c r="L2511">
        <v>980.39942090113095</v>
      </c>
      <c r="M2511">
        <v>19.7202284420148</v>
      </c>
      <c r="N2511">
        <v>50.195188491803997</v>
      </c>
      <c r="O2511">
        <v>49.212644838100097</v>
      </c>
      <c r="P2511">
        <v>-9.1577020658129296E-2</v>
      </c>
      <c r="Q2511">
        <v>8.5894311955486496E-2</v>
      </c>
      <c r="R2511">
        <v>0.98538688974880595</v>
      </c>
      <c r="S2511" t="s">
        <v>6807</v>
      </c>
      <c r="T2511" t="s">
        <v>8590</v>
      </c>
      <c r="U2511" t="s">
        <v>8590</v>
      </c>
      <c r="V2511" t="s">
        <v>8590</v>
      </c>
      <c r="W2511">
        <v>3</v>
      </c>
      <c r="X2511" t="s">
        <v>11101</v>
      </c>
      <c r="Y2511">
        <v>0.39502502691274322</v>
      </c>
      <c r="Z2511" t="str">
        <f>HYPERLINK("Melting_Curves/meltCurve_sp_Q8WZ82_OVCA2_HUMAN_.pdf", "Melting_Curves/meltCurve_sp_Q8WZ82_OVCA2_HUMAN_.pdf")</f>
        <v>Melting_Curves/meltCurve_sp_Q8WZ82_OVCA2_HUMAN_.pdf</v>
      </c>
      <c r="AA2511" t="s">
        <v>15354</v>
      </c>
      <c r="AB2511" t="s">
        <v>19595</v>
      </c>
    </row>
    <row r="2512" spans="1:28" x14ac:dyDescent="0.25">
      <c r="A2512" t="s">
        <v>2516</v>
      </c>
      <c r="B2512">
        <v>0.99876560204751996</v>
      </c>
      <c r="C2512">
        <v>0.94981224523619401</v>
      </c>
      <c r="D2512">
        <v>1.0483844703096801</v>
      </c>
      <c r="E2512">
        <v>0.88406729660422501</v>
      </c>
      <c r="F2512">
        <v>0.91552489285496896</v>
      </c>
      <c r="G2512">
        <v>0.74030813430639397</v>
      </c>
      <c r="H2512">
        <v>0.65524003180462098</v>
      </c>
      <c r="I2512">
        <v>0.58675188253755794</v>
      </c>
      <c r="J2512">
        <v>0.68808033360326104</v>
      </c>
      <c r="K2512">
        <v>0.64457194028789699</v>
      </c>
      <c r="L2512">
        <v>1149.0035785413199</v>
      </c>
      <c r="M2512">
        <v>21.010956301381999</v>
      </c>
      <c r="O2512">
        <v>54.197780342297101</v>
      </c>
      <c r="P2512">
        <v>-3.5912820557756499E-2</v>
      </c>
      <c r="Q2512">
        <v>0.62946132008139599</v>
      </c>
      <c r="R2512">
        <v>0.92576521912612897</v>
      </c>
      <c r="S2512" t="s">
        <v>6808</v>
      </c>
      <c r="T2512" t="s">
        <v>8590</v>
      </c>
      <c r="U2512" t="s">
        <v>8590</v>
      </c>
      <c r="V2512" t="s">
        <v>8590</v>
      </c>
      <c r="W2512">
        <v>7</v>
      </c>
      <c r="X2512" t="s">
        <v>11102</v>
      </c>
      <c r="Y2512">
        <v>0.81545338082716345</v>
      </c>
      <c r="Z2512" t="str">
        <f>HYPERLINK("Melting_Curves/meltCurve_sp_Q8WZA0_LZIC_HUMAN_.pdf", "Melting_Curves/meltCurve_sp_Q8WZA0_LZIC_HUMAN_.pdf")</f>
        <v>Melting_Curves/meltCurve_sp_Q8WZA0_LZIC_HUMAN_.pdf</v>
      </c>
      <c r="AA2512" t="s">
        <v>15355</v>
      </c>
      <c r="AB2512" t="s">
        <v>19596</v>
      </c>
    </row>
    <row r="2513" spans="1:28" x14ac:dyDescent="0.25">
      <c r="A2513" t="s">
        <v>2517</v>
      </c>
      <c r="B2513">
        <v>0.99876560204751996</v>
      </c>
      <c r="C2513">
        <v>0.93359027049927901</v>
      </c>
      <c r="D2513">
        <v>1.0433395574993001</v>
      </c>
      <c r="E2513">
        <v>0.90190859055542905</v>
      </c>
      <c r="F2513">
        <v>0.678698969126592</v>
      </c>
      <c r="G2513">
        <v>0.43331275168933298</v>
      </c>
      <c r="H2513">
        <v>0.33250081311697999</v>
      </c>
      <c r="I2513">
        <v>0.30691385023741302</v>
      </c>
      <c r="J2513">
        <v>0.38322806103419799</v>
      </c>
      <c r="K2513">
        <v>0.330978644071661</v>
      </c>
      <c r="L2513">
        <v>1528.8127033887699</v>
      </c>
      <c r="M2513">
        <v>28.758408825055799</v>
      </c>
      <c r="N2513">
        <v>55.295937342797998</v>
      </c>
      <c r="O2513">
        <v>52.905490256357297</v>
      </c>
      <c r="P2513">
        <v>-9.03280558378418E-2</v>
      </c>
      <c r="Q2513">
        <v>0.33531606358230198</v>
      </c>
      <c r="R2513">
        <v>0.987421492588206</v>
      </c>
      <c r="S2513" t="s">
        <v>6809</v>
      </c>
      <c r="T2513" t="s">
        <v>8590</v>
      </c>
      <c r="U2513" t="s">
        <v>8590</v>
      </c>
      <c r="V2513" t="s">
        <v>8590</v>
      </c>
      <c r="W2513">
        <v>14</v>
      </c>
      <c r="X2513" t="s">
        <v>11103</v>
      </c>
      <c r="Y2513">
        <v>0.63159348702995499</v>
      </c>
      <c r="Z2513" t="str">
        <f>HYPERLINK("Melting_Curves/meltCurve_sp_Q8WZA9_IRGQ_HUMAN_.pdf", "Melting_Curves/meltCurve_sp_Q8WZA9_IRGQ_HUMAN_.pdf")</f>
        <v>Melting_Curves/meltCurve_sp_Q8WZA9_IRGQ_HUMAN_.pdf</v>
      </c>
      <c r="AA2513" t="s">
        <v>15356</v>
      </c>
      <c r="AB2513" t="s">
        <v>19597</v>
      </c>
    </row>
    <row r="2514" spans="1:28" x14ac:dyDescent="0.25">
      <c r="A2514" t="s">
        <v>2518</v>
      </c>
      <c r="B2514">
        <v>0.99876560204751996</v>
      </c>
      <c r="C2514">
        <v>1.05850495488257</v>
      </c>
      <c r="D2514">
        <v>1.0316914616094199</v>
      </c>
      <c r="E2514">
        <v>1.0285458223834001</v>
      </c>
      <c r="F2514">
        <v>1.1946895428328601</v>
      </c>
      <c r="G2514">
        <v>0.96222422555555298</v>
      </c>
      <c r="H2514">
        <v>0.57645665222748999</v>
      </c>
      <c r="I2514">
        <v>0.36131053944330699</v>
      </c>
      <c r="J2514">
        <v>0.121092871170844</v>
      </c>
      <c r="K2514">
        <v>7.2564681816836105E-2</v>
      </c>
      <c r="L2514">
        <v>1855.81802968939</v>
      </c>
      <c r="M2514">
        <v>29.986641598433099</v>
      </c>
      <c r="N2514">
        <v>62.110351839947498</v>
      </c>
      <c r="O2514">
        <v>61.614879356882703</v>
      </c>
      <c r="P2514">
        <v>-0.115482235989061</v>
      </c>
      <c r="Q2514">
        <v>5.08603625484687E-2</v>
      </c>
      <c r="R2514">
        <v>0.96714898012168804</v>
      </c>
      <c r="S2514" t="s">
        <v>6810</v>
      </c>
      <c r="T2514" t="s">
        <v>8590</v>
      </c>
      <c r="U2514" t="s">
        <v>8590</v>
      </c>
      <c r="V2514" t="s">
        <v>8590</v>
      </c>
      <c r="W2514">
        <v>3</v>
      </c>
      <c r="X2514" t="s">
        <v>11104</v>
      </c>
      <c r="Y2514">
        <v>0.74786850235409341</v>
      </c>
      <c r="Z2514" t="str">
        <f>HYPERLINK("Melting_Curves/meltCurve_sp_Q92466_DDB2_HUMAN_.pdf", "Melting_Curves/meltCurve_sp_Q92466_DDB2_HUMAN_.pdf")</f>
        <v>Melting_Curves/meltCurve_sp_Q92466_DDB2_HUMAN_.pdf</v>
      </c>
      <c r="AA2514" t="s">
        <v>15357</v>
      </c>
      <c r="AB2514" t="s">
        <v>19598</v>
      </c>
    </row>
    <row r="2515" spans="1:28" x14ac:dyDescent="0.25">
      <c r="A2515" t="s">
        <v>2519</v>
      </c>
      <c r="B2515">
        <v>0.99876560204751996</v>
      </c>
      <c r="C2515">
        <v>1.0413428603018799</v>
      </c>
      <c r="D2515">
        <v>0.93654542260180695</v>
      </c>
      <c r="E2515">
        <v>0.51311401683167401</v>
      </c>
      <c r="F2515">
        <v>0.24487835398889099</v>
      </c>
      <c r="G2515">
        <v>0.14677901988102701</v>
      </c>
      <c r="H2515">
        <v>0.10224865468635699</v>
      </c>
      <c r="I2515">
        <v>8.1805949979549195E-2</v>
      </c>
      <c r="J2515">
        <v>6.1243729089058202E-2</v>
      </c>
      <c r="K2515">
        <v>6.7661248411348601E-2</v>
      </c>
      <c r="L2515">
        <v>1383.5734805028201</v>
      </c>
      <c r="M2515">
        <v>27.726270789755301</v>
      </c>
      <c r="N2515">
        <v>50.236793463920698</v>
      </c>
      <c r="O2515">
        <v>49.643756512995203</v>
      </c>
      <c r="P2515">
        <v>-0.12782301259848</v>
      </c>
      <c r="Q2515">
        <v>8.45422048017479E-2</v>
      </c>
      <c r="R2515">
        <v>0.99653250319985198</v>
      </c>
      <c r="S2515" t="s">
        <v>6811</v>
      </c>
      <c r="T2515" t="s">
        <v>8590</v>
      </c>
      <c r="U2515" t="s">
        <v>8590</v>
      </c>
      <c r="V2515" t="s">
        <v>8590</v>
      </c>
      <c r="W2515">
        <v>17</v>
      </c>
      <c r="X2515" t="s">
        <v>11105</v>
      </c>
      <c r="Y2515">
        <v>0.39331071335455647</v>
      </c>
      <c r="Z2515" t="str">
        <f>HYPERLINK("Melting_Curves/meltCurve_sp_Q92499_DDX1_HUMAN_.pdf", "Melting_Curves/meltCurve_sp_Q92499_DDX1_HUMAN_.pdf")</f>
        <v>Melting_Curves/meltCurve_sp_Q92499_DDX1_HUMAN_.pdf</v>
      </c>
      <c r="AA2515" t="s">
        <v>15358</v>
      </c>
      <c r="AB2515" t="s">
        <v>19599</v>
      </c>
    </row>
    <row r="2516" spans="1:28" x14ac:dyDescent="0.25">
      <c r="A2516" t="s">
        <v>2520</v>
      </c>
      <c r="B2516">
        <v>0.99876560204751996</v>
      </c>
      <c r="C2516">
        <v>0.97903072493762999</v>
      </c>
      <c r="D2516">
        <v>0.94063645314615196</v>
      </c>
      <c r="E2516">
        <v>0.98509740103341803</v>
      </c>
      <c r="F2516">
        <v>0.97313608010788399</v>
      </c>
      <c r="G2516">
        <v>0.87783143974619104</v>
      </c>
      <c r="H2516">
        <v>0.73759990517570695</v>
      </c>
      <c r="I2516">
        <v>0.71916220086665394</v>
      </c>
      <c r="J2516">
        <v>0.70427902106194495</v>
      </c>
      <c r="K2516">
        <v>0.56831820271811495</v>
      </c>
      <c r="L2516">
        <v>655.44791255852397</v>
      </c>
      <c r="M2516">
        <v>10.244502569857501</v>
      </c>
      <c r="O2516">
        <v>61.686316722197397</v>
      </c>
      <c r="P2516">
        <v>-2.3622042114863E-2</v>
      </c>
      <c r="Q2516">
        <v>0.43130043563989801</v>
      </c>
      <c r="R2516">
        <v>0.95209643075889605</v>
      </c>
      <c r="S2516" t="s">
        <v>6812</v>
      </c>
      <c r="T2516" t="s">
        <v>8590</v>
      </c>
      <c r="U2516" t="s">
        <v>8590</v>
      </c>
      <c r="V2516" t="s">
        <v>8590</v>
      </c>
      <c r="W2516">
        <v>15</v>
      </c>
      <c r="X2516" t="s">
        <v>11106</v>
      </c>
      <c r="Y2516">
        <v>0.86304396638389247</v>
      </c>
      <c r="Z2516" t="str">
        <f>HYPERLINK("Melting_Curves/meltCurve_sp_Q92506_DHB8_HUMAN_.pdf", "Melting_Curves/meltCurve_sp_Q92506_DHB8_HUMAN_.pdf")</f>
        <v>Melting_Curves/meltCurve_sp_Q92506_DHB8_HUMAN_.pdf</v>
      </c>
      <c r="AA2516" t="s">
        <v>15359</v>
      </c>
      <c r="AB2516" t="s">
        <v>19600</v>
      </c>
    </row>
    <row r="2517" spans="1:28" x14ac:dyDescent="0.25">
      <c r="A2517" t="s">
        <v>2521</v>
      </c>
      <c r="B2517">
        <v>0.99876560204751996</v>
      </c>
      <c r="C2517">
        <v>1.0211548107371</v>
      </c>
      <c r="D2517">
        <v>0.88321764410063397</v>
      </c>
      <c r="E2517">
        <v>0.73796243867710998</v>
      </c>
      <c r="F2517">
        <v>0.67664712548449402</v>
      </c>
      <c r="G2517">
        <v>0.41621866068845498</v>
      </c>
      <c r="H2517">
        <v>0.41278753702853299</v>
      </c>
      <c r="I2517">
        <v>0.34675667898694901</v>
      </c>
      <c r="J2517">
        <v>0.42389087473238601</v>
      </c>
      <c r="K2517">
        <v>0.46201124462976101</v>
      </c>
      <c r="L2517">
        <v>907.27161988870603</v>
      </c>
      <c r="M2517">
        <v>17.739186503725701</v>
      </c>
      <c r="N2517">
        <v>55.973420788570202</v>
      </c>
      <c r="O2517">
        <v>50.508374021599302</v>
      </c>
      <c r="P2517">
        <v>-5.3408613769405297E-2</v>
      </c>
      <c r="Q2517">
        <v>0.39175536469469302</v>
      </c>
      <c r="R2517">
        <v>0.96481549584128501</v>
      </c>
      <c r="S2517" t="s">
        <v>6813</v>
      </c>
      <c r="T2517" t="s">
        <v>8590</v>
      </c>
      <c r="U2517" t="s">
        <v>8590</v>
      </c>
      <c r="V2517" t="s">
        <v>8590</v>
      </c>
      <c r="W2517">
        <v>2</v>
      </c>
      <c r="X2517" t="s">
        <v>11107</v>
      </c>
      <c r="Y2517">
        <v>0.62822039069750124</v>
      </c>
      <c r="Z2517" t="str">
        <f>HYPERLINK("Melting_Curves/meltCurve_sp_Q92520_FAM3C_HUMAN_.pdf", "Melting_Curves/meltCurve_sp_Q92520_FAM3C_HUMAN_.pdf")</f>
        <v>Melting_Curves/meltCurve_sp_Q92520_FAM3C_HUMAN_.pdf</v>
      </c>
      <c r="AA2517" t="s">
        <v>15360</v>
      </c>
      <c r="AB2517" t="s">
        <v>19601</v>
      </c>
    </row>
    <row r="2518" spans="1:28" x14ac:dyDescent="0.25">
      <c r="A2518" t="s">
        <v>2522</v>
      </c>
      <c r="B2518">
        <v>0.99876560204751996</v>
      </c>
      <c r="C2518">
        <v>0.97053631157251896</v>
      </c>
      <c r="D2518">
        <v>0.996607295432552</v>
      </c>
      <c r="E2518">
        <v>0.79237934183348102</v>
      </c>
      <c r="F2518">
        <v>0.62438217241496097</v>
      </c>
      <c r="G2518">
        <v>0.39069343102373999</v>
      </c>
      <c r="H2518">
        <v>0.25669834805182601</v>
      </c>
      <c r="I2518">
        <v>0.24444262184360399</v>
      </c>
      <c r="J2518">
        <v>0.32832453741905299</v>
      </c>
      <c r="K2518">
        <v>0.27545521036549098</v>
      </c>
      <c r="L2518">
        <v>1139.9623650850499</v>
      </c>
      <c r="M2518">
        <v>21.667093592688001</v>
      </c>
      <c r="N2518">
        <v>54.510075368699397</v>
      </c>
      <c r="O2518">
        <v>52.170595180081499</v>
      </c>
      <c r="P2518">
        <v>-7.6335072141406696E-2</v>
      </c>
      <c r="Q2518">
        <v>0.264811092052055</v>
      </c>
      <c r="R2518">
        <v>0.99047255809286605</v>
      </c>
      <c r="S2518" t="s">
        <v>6814</v>
      </c>
      <c r="T2518" t="s">
        <v>8590</v>
      </c>
      <c r="U2518" t="s">
        <v>8590</v>
      </c>
      <c r="V2518" t="s">
        <v>8590</v>
      </c>
      <c r="W2518">
        <v>2</v>
      </c>
      <c r="X2518" t="s">
        <v>11108</v>
      </c>
      <c r="Y2518">
        <v>0.58269807530633255</v>
      </c>
      <c r="Z2518" t="str">
        <f>HYPERLINK("Melting_Curves/meltCurve_sp_Q92522_H1X_HUMAN_.pdf", "Melting_Curves/meltCurve_sp_Q92522_H1X_HUMAN_.pdf")</f>
        <v>Melting_Curves/meltCurve_sp_Q92522_H1X_HUMAN_.pdf</v>
      </c>
      <c r="AA2518" t="s">
        <v>15361</v>
      </c>
      <c r="AB2518" t="s">
        <v>19602</v>
      </c>
    </row>
    <row r="2519" spans="1:28" x14ac:dyDescent="0.25">
      <c r="A2519" t="s">
        <v>2523</v>
      </c>
      <c r="B2519">
        <v>0.99876560204751996</v>
      </c>
      <c r="C2519">
        <v>1.0707490504730801</v>
      </c>
      <c r="D2519">
        <v>0.92788910649326495</v>
      </c>
      <c r="E2519">
        <v>0.65696602645449598</v>
      </c>
      <c r="F2519">
        <v>0.348464979168223</v>
      </c>
      <c r="G2519">
        <v>0.184423591668187</v>
      </c>
      <c r="H2519">
        <v>0.12783171421683301</v>
      </c>
      <c r="I2519">
        <v>0.112158645988675</v>
      </c>
      <c r="J2519">
        <v>0.109047743427064</v>
      </c>
      <c r="K2519">
        <v>8.6518758589748307E-2</v>
      </c>
      <c r="L2519">
        <v>1246.4522898180701</v>
      </c>
      <c r="M2519">
        <v>24.460199465654298</v>
      </c>
      <c r="N2519">
        <v>51.455237298378698</v>
      </c>
      <c r="O2519">
        <v>50.621450450301197</v>
      </c>
      <c r="P2519">
        <v>-0.10809506000383901</v>
      </c>
      <c r="Q2519">
        <v>0.105183399766634</v>
      </c>
      <c r="R2519">
        <v>0.99514685503023104</v>
      </c>
      <c r="S2519" t="s">
        <v>6815</v>
      </c>
      <c r="T2519" t="s">
        <v>8590</v>
      </c>
      <c r="U2519" t="s">
        <v>8590</v>
      </c>
      <c r="V2519" t="s">
        <v>8590</v>
      </c>
      <c r="W2519">
        <v>12</v>
      </c>
      <c r="X2519" t="s">
        <v>11109</v>
      </c>
      <c r="Y2519">
        <v>0.44047598411114852</v>
      </c>
      <c r="Z2519" t="str">
        <f>HYPERLINK("Melting_Curves/meltCurve_sp_Q92538_GBF1_HUMAN_.pdf", "Melting_Curves/meltCurve_sp_Q92538_GBF1_HUMAN_.pdf")</f>
        <v>Melting_Curves/meltCurve_sp_Q92538_GBF1_HUMAN_.pdf</v>
      </c>
      <c r="AA2519" t="s">
        <v>15362</v>
      </c>
      <c r="AB2519" t="s">
        <v>19603</v>
      </c>
    </row>
    <row r="2520" spans="1:28" x14ac:dyDescent="0.25">
      <c r="A2520" t="s">
        <v>2524</v>
      </c>
      <c r="B2520">
        <v>0.99876560204751996</v>
      </c>
      <c r="C2520">
        <v>0.93394415333558001</v>
      </c>
      <c r="D2520">
        <v>0.99425967921638603</v>
      </c>
      <c r="E2520">
        <v>0.82298557777232595</v>
      </c>
      <c r="F2520">
        <v>0.75637022213419003</v>
      </c>
      <c r="G2520">
        <v>0.46093205633999101</v>
      </c>
      <c r="H2520">
        <v>0.41635466774861601</v>
      </c>
      <c r="I2520">
        <v>0.38280521341839202</v>
      </c>
      <c r="J2520">
        <v>0.48373238116917799</v>
      </c>
      <c r="K2520">
        <v>0.46118783045356698</v>
      </c>
      <c r="L2520">
        <v>1256.11060545493</v>
      </c>
      <c r="M2520">
        <v>23.828000959342599</v>
      </c>
      <c r="N2520">
        <v>57.221526173181999</v>
      </c>
      <c r="O2520">
        <v>52.3486439149315</v>
      </c>
      <c r="P2520">
        <v>-6.5612696422163899E-2</v>
      </c>
      <c r="Q2520">
        <v>0.42342114270855502</v>
      </c>
      <c r="R2520">
        <v>0.96437874316422201</v>
      </c>
      <c r="S2520" t="s">
        <v>6816</v>
      </c>
      <c r="T2520" t="s">
        <v>8590</v>
      </c>
      <c r="U2520" t="s">
        <v>8590</v>
      </c>
      <c r="V2520" t="s">
        <v>8590</v>
      </c>
      <c r="W2520">
        <v>7</v>
      </c>
      <c r="X2520" t="s">
        <v>11110</v>
      </c>
      <c r="Y2520">
        <v>0.67360581671724529</v>
      </c>
      <c r="Z2520" t="str">
        <f>HYPERLINK("Melting_Curves/meltCurve_sp_Q92541_RTF1_HUMAN_.pdf", "Melting_Curves/meltCurve_sp_Q92541_RTF1_HUMAN_.pdf")</f>
        <v>Melting_Curves/meltCurve_sp_Q92541_RTF1_HUMAN_.pdf</v>
      </c>
      <c r="AA2520" t="s">
        <v>15363</v>
      </c>
      <c r="AB2520" t="s">
        <v>19604</v>
      </c>
    </row>
    <row r="2521" spans="1:28" x14ac:dyDescent="0.25">
      <c r="A2521" t="s">
        <v>2525</v>
      </c>
      <c r="B2521">
        <v>0.99876560204751996</v>
      </c>
      <c r="C2521">
        <v>1.02159500893267</v>
      </c>
      <c r="D2521">
        <v>0.97979272446286303</v>
      </c>
      <c r="E2521">
        <v>0.88707724311212499</v>
      </c>
      <c r="F2521">
        <v>0.63593698433786205</v>
      </c>
      <c r="G2521">
        <v>0.235414117026751</v>
      </c>
      <c r="H2521">
        <v>8.3685385087628905E-2</v>
      </c>
      <c r="I2521">
        <v>0.113540573400237</v>
      </c>
      <c r="J2521">
        <v>2.7703642165091202E-2</v>
      </c>
      <c r="K2521">
        <v>0.10893268632079001</v>
      </c>
      <c r="L2521">
        <v>1471.7146213486301</v>
      </c>
      <c r="M2521">
        <v>27.357752617923499</v>
      </c>
      <c r="N2521">
        <v>54.097208923649397</v>
      </c>
      <c r="O2521">
        <v>53.510189740132503</v>
      </c>
      <c r="P2521">
        <v>-0.118763729207609</v>
      </c>
      <c r="Q2521">
        <v>7.0828654453247999E-2</v>
      </c>
      <c r="R2521">
        <v>0.99656149883099499</v>
      </c>
      <c r="S2521" t="s">
        <v>6817</v>
      </c>
      <c r="T2521" t="s">
        <v>8590</v>
      </c>
      <c r="U2521" t="s">
        <v>8590</v>
      </c>
      <c r="V2521" t="s">
        <v>8590</v>
      </c>
      <c r="W2521">
        <v>1</v>
      </c>
      <c r="X2521" t="s">
        <v>11111</v>
      </c>
      <c r="Y2521">
        <v>0.5053616325763608</v>
      </c>
      <c r="Z2521" t="str">
        <f>HYPERLINK("Melting_Curves/meltCurve_sp_Q92546_RGP1_HUMAN_.pdf", "Melting_Curves/meltCurve_sp_Q92546_RGP1_HUMAN_.pdf")</f>
        <v>Melting_Curves/meltCurve_sp_Q92546_RGP1_HUMAN_.pdf</v>
      </c>
      <c r="AA2521" t="s">
        <v>15364</v>
      </c>
      <c r="AB2521" t="s">
        <v>19605</v>
      </c>
    </row>
    <row r="2522" spans="1:28" x14ac:dyDescent="0.25">
      <c r="A2522" t="s">
        <v>2526</v>
      </c>
      <c r="B2522">
        <v>0.99876560204751996</v>
      </c>
      <c r="C2522">
        <v>1.2533814530663701</v>
      </c>
      <c r="D2522">
        <v>1.4812933356209701</v>
      </c>
      <c r="E2522">
        <v>1.07553206835418</v>
      </c>
      <c r="F2522">
        <v>1.10831510702098</v>
      </c>
      <c r="G2522">
        <v>0.76026445580308</v>
      </c>
      <c r="H2522">
        <v>0.75856009633834398</v>
      </c>
      <c r="I2522">
        <v>0.98613862912623995</v>
      </c>
      <c r="J2522">
        <v>1.54123436014926</v>
      </c>
      <c r="K2522">
        <v>1.3584782675310501</v>
      </c>
      <c r="L2522">
        <v>12.648578037609401</v>
      </c>
      <c r="M2522">
        <v>1.0000000000000001E-5</v>
      </c>
      <c r="Q2522">
        <v>1.29977988133742</v>
      </c>
      <c r="R2522">
        <v>1.33682010138303E-4</v>
      </c>
      <c r="S2522" t="s">
        <v>6818</v>
      </c>
      <c r="T2522" t="s">
        <v>8590</v>
      </c>
      <c r="U2522" t="s">
        <v>8590</v>
      </c>
      <c r="V2522" t="s">
        <v>8590</v>
      </c>
      <c r="W2522">
        <v>6</v>
      </c>
      <c r="X2522" t="s">
        <v>11112</v>
      </c>
      <c r="Y2522">
        <v>1.132295880893754</v>
      </c>
      <c r="Z2522" t="str">
        <f>HYPERLINK("Melting_Curves/meltCurve_sp_Q92552_RT27_HUMAN_.pdf", "Melting_Curves/meltCurve_sp_Q92552_RT27_HUMAN_.pdf")</f>
        <v>Melting_Curves/meltCurve_sp_Q92552_RT27_HUMAN_.pdf</v>
      </c>
      <c r="AA2522" t="s">
        <v>15365</v>
      </c>
      <c r="AB2522" t="s">
        <v>19606</v>
      </c>
    </row>
    <row r="2523" spans="1:28" x14ac:dyDescent="0.25">
      <c r="A2523" t="s">
        <v>2527</v>
      </c>
      <c r="B2523">
        <v>0.99876560204751996</v>
      </c>
      <c r="C2523">
        <v>1.0189793427439</v>
      </c>
      <c r="D2523">
        <v>1.02036794524865</v>
      </c>
      <c r="E2523">
        <v>0.71650725514160996</v>
      </c>
      <c r="F2523">
        <v>0.32734176493921802</v>
      </c>
      <c r="G2523">
        <v>0.20109250688185701</v>
      </c>
      <c r="H2523">
        <v>0.14474559595203201</v>
      </c>
      <c r="I2523">
        <v>0.12960139409393401</v>
      </c>
      <c r="J2523">
        <v>0.126958324200172</v>
      </c>
      <c r="K2523">
        <v>0.112834440965926</v>
      </c>
      <c r="L2523">
        <v>1732.47966349493</v>
      </c>
      <c r="M2523">
        <v>33.906909849652202</v>
      </c>
      <c r="N2523">
        <v>51.577422792203997</v>
      </c>
      <c r="O2523">
        <v>50.918434087088997</v>
      </c>
      <c r="P2523">
        <v>-0.14386199609397099</v>
      </c>
      <c r="Q2523">
        <v>0.13584599890726901</v>
      </c>
      <c r="R2523">
        <v>0.99707630851215301</v>
      </c>
      <c r="S2523" t="s">
        <v>6819</v>
      </c>
      <c r="T2523" t="s">
        <v>8590</v>
      </c>
      <c r="U2523" t="s">
        <v>8590</v>
      </c>
      <c r="V2523" t="s">
        <v>8590</v>
      </c>
      <c r="W2523">
        <v>9</v>
      </c>
      <c r="X2523" t="s">
        <v>11113</v>
      </c>
      <c r="Y2523">
        <v>0.45970056003798909</v>
      </c>
      <c r="Z2523" t="str">
        <f>HYPERLINK("Melting_Curves/meltCurve_sp_Q92556_ELMO1_HUMAN_.pdf", "Melting_Curves/meltCurve_sp_Q92556_ELMO1_HUMAN_.pdf")</f>
        <v>Melting_Curves/meltCurve_sp_Q92556_ELMO1_HUMAN_.pdf</v>
      </c>
      <c r="AA2523" t="s">
        <v>15366</v>
      </c>
      <c r="AB2523" t="s">
        <v>19607</v>
      </c>
    </row>
    <row r="2524" spans="1:28" x14ac:dyDescent="0.25">
      <c r="A2524" t="s">
        <v>2528</v>
      </c>
      <c r="B2524">
        <v>0.99876560204751996</v>
      </c>
      <c r="C2524">
        <v>1.0092471542522701</v>
      </c>
      <c r="D2524">
        <v>0.95128011320414696</v>
      </c>
      <c r="E2524">
        <v>0.84871010466421704</v>
      </c>
      <c r="F2524">
        <v>0.57952140861871804</v>
      </c>
      <c r="G2524">
        <v>0.30064082562227801</v>
      </c>
      <c r="H2524">
        <v>0.26695722043908299</v>
      </c>
      <c r="I2524">
        <v>0.18970113038296699</v>
      </c>
      <c r="J2524">
        <v>0.23892514672012199</v>
      </c>
      <c r="K2524">
        <v>0.25321229265316297</v>
      </c>
      <c r="L2524">
        <v>1416.2606846491201</v>
      </c>
      <c r="M2524">
        <v>26.930630413863401</v>
      </c>
      <c r="N2524">
        <v>53.805782948100997</v>
      </c>
      <c r="O2524">
        <v>52.301796561058502</v>
      </c>
      <c r="P2524">
        <v>-9.9374581953297902E-2</v>
      </c>
      <c r="Q2524">
        <v>0.22802871707783601</v>
      </c>
      <c r="R2524">
        <v>0.99600462896678899</v>
      </c>
      <c r="S2524" t="s">
        <v>6820</v>
      </c>
      <c r="T2524" t="s">
        <v>8590</v>
      </c>
      <c r="U2524" t="s">
        <v>8590</v>
      </c>
      <c r="V2524" t="s">
        <v>8590</v>
      </c>
      <c r="W2524">
        <v>4</v>
      </c>
      <c r="X2524" t="s">
        <v>11114</v>
      </c>
      <c r="Y2524">
        <v>0.55812318920519943</v>
      </c>
      <c r="Z2524" t="str">
        <f>HYPERLINK("Melting_Curves/meltCurve_sp_Q92572_AP3S1_HUMAN_.pdf", "Melting_Curves/meltCurve_sp_Q92572_AP3S1_HUMAN_.pdf")</f>
        <v>Melting_Curves/meltCurve_sp_Q92572_AP3S1_HUMAN_.pdf</v>
      </c>
      <c r="AA2524" t="s">
        <v>15367</v>
      </c>
      <c r="AB2524" t="s">
        <v>19608</v>
      </c>
    </row>
    <row r="2525" spans="1:28" x14ac:dyDescent="0.25">
      <c r="A2525" t="s">
        <v>2529</v>
      </c>
      <c r="B2525">
        <v>0.99876560204751996</v>
      </c>
      <c r="C2525">
        <v>0.99648496320668301</v>
      </c>
      <c r="D2525">
        <v>0.88279018692540701</v>
      </c>
      <c r="E2525">
        <v>0.75936903201349004</v>
      </c>
      <c r="F2525">
        <v>0.72111151845393695</v>
      </c>
      <c r="G2525">
        <v>0.55633756430116499</v>
      </c>
      <c r="H2525">
        <v>0.424840188064605</v>
      </c>
      <c r="I2525">
        <v>0.36897644600396701</v>
      </c>
      <c r="J2525">
        <v>0.40141890225960802</v>
      </c>
      <c r="K2525">
        <v>0.36100651053986599</v>
      </c>
      <c r="L2525">
        <v>611.363083714553</v>
      </c>
      <c r="M2525">
        <v>11.384336601609499</v>
      </c>
      <c r="N2525">
        <v>58.623804692557002</v>
      </c>
      <c r="O2525">
        <v>52.125198379468003</v>
      </c>
      <c r="P2525">
        <v>-3.78092468681029E-2</v>
      </c>
      <c r="Q2525">
        <v>0.30773929421232499</v>
      </c>
      <c r="R2525">
        <v>0.98731464698226301</v>
      </c>
      <c r="S2525" t="s">
        <v>6821</v>
      </c>
      <c r="T2525" t="s">
        <v>8590</v>
      </c>
      <c r="U2525" t="s">
        <v>8590</v>
      </c>
      <c r="V2525" t="s">
        <v>8590</v>
      </c>
      <c r="W2525">
        <v>4</v>
      </c>
      <c r="X2525" t="s">
        <v>11115</v>
      </c>
      <c r="Y2525">
        <v>0.64345883773562862</v>
      </c>
      <c r="Z2525" t="str">
        <f>HYPERLINK("Melting_Curves/meltCurve_sp_Q92575_UBXN4_HUMAN_.pdf", "Melting_Curves/meltCurve_sp_Q92575_UBXN4_HUMAN_.pdf")</f>
        <v>Melting_Curves/meltCurve_sp_Q92575_UBXN4_HUMAN_.pdf</v>
      </c>
      <c r="AA2525" t="s">
        <v>15368</v>
      </c>
      <c r="AB2525" t="s">
        <v>19609</v>
      </c>
    </row>
    <row r="2526" spans="1:28" x14ac:dyDescent="0.25">
      <c r="A2526" t="s">
        <v>2530</v>
      </c>
      <c r="B2526">
        <v>0.99876560204751996</v>
      </c>
      <c r="C2526">
        <v>0.94306290661094605</v>
      </c>
      <c r="D2526">
        <v>0.97444261871585902</v>
      </c>
      <c r="E2526">
        <v>0.88289951031736102</v>
      </c>
      <c r="F2526">
        <v>0.81398154807280498</v>
      </c>
      <c r="G2526">
        <v>0.61446874328502199</v>
      </c>
      <c r="H2526">
        <v>0.53783575232935699</v>
      </c>
      <c r="I2526">
        <v>0.48301689043824497</v>
      </c>
      <c r="J2526">
        <v>0.56524127499590704</v>
      </c>
      <c r="K2526">
        <v>0.53005874922991603</v>
      </c>
      <c r="L2526">
        <v>1079.48560238965</v>
      </c>
      <c r="M2526">
        <v>20.1518570916916</v>
      </c>
      <c r="O2526">
        <v>53.048440539375797</v>
      </c>
      <c r="P2526">
        <v>-4.62863363391759E-2</v>
      </c>
      <c r="Q2526">
        <v>0.51263263811530901</v>
      </c>
      <c r="R2526">
        <v>0.97634451672395095</v>
      </c>
      <c r="S2526" t="s">
        <v>6822</v>
      </c>
      <c r="T2526" t="s">
        <v>8590</v>
      </c>
      <c r="U2526" t="s">
        <v>8590</v>
      </c>
      <c r="V2526" t="s">
        <v>8590</v>
      </c>
      <c r="W2526">
        <v>8</v>
      </c>
      <c r="X2526" t="s">
        <v>11116</v>
      </c>
      <c r="Y2526">
        <v>0.73962627885619625</v>
      </c>
      <c r="Z2526" t="str">
        <f>HYPERLINK("Melting_Curves/meltCurve_sp_Q92576_2_PHF3_HUMAN_.pdf", "Melting_Curves/meltCurve_sp_Q92576_2_PHF3_HUMAN_.pdf")</f>
        <v>Melting_Curves/meltCurve_sp_Q92576_2_PHF3_HUMAN_.pdf</v>
      </c>
      <c r="AA2526" t="s">
        <v>15369</v>
      </c>
      <c r="AB2526" t="s">
        <v>19610</v>
      </c>
    </row>
    <row r="2527" spans="1:28" x14ac:dyDescent="0.25">
      <c r="A2527" t="s">
        <v>2531</v>
      </c>
      <c r="B2527">
        <v>0.99876560204751996</v>
      </c>
      <c r="C2527">
        <v>0.94218275334660695</v>
      </c>
      <c r="D2527">
        <v>0.95019009478037797</v>
      </c>
      <c r="E2527">
        <v>0.87082986307802701</v>
      </c>
      <c r="F2527">
        <v>0.71791083795469501</v>
      </c>
      <c r="G2527">
        <v>0.28079702551240399</v>
      </c>
      <c r="H2527">
        <v>0.19509625273899001</v>
      </c>
      <c r="I2527">
        <v>0.16416534993709</v>
      </c>
      <c r="J2527">
        <v>0.17048305241893399</v>
      </c>
      <c r="K2527">
        <v>0.144805222407177</v>
      </c>
      <c r="L2527">
        <v>1464.3698821197099</v>
      </c>
      <c r="M2527">
        <v>27.127813726176601</v>
      </c>
      <c r="N2527">
        <v>54.704277547897398</v>
      </c>
      <c r="O2527">
        <v>53.689613979541498</v>
      </c>
      <c r="P2527">
        <v>-0.107269517348035</v>
      </c>
      <c r="Q2527">
        <v>0.150804709915317</v>
      </c>
      <c r="R2527">
        <v>0.992577371709913</v>
      </c>
      <c r="S2527" t="s">
        <v>6823</v>
      </c>
      <c r="T2527" t="s">
        <v>8590</v>
      </c>
      <c r="U2527" t="s">
        <v>8590</v>
      </c>
      <c r="V2527" t="s">
        <v>8590</v>
      </c>
      <c r="W2527">
        <v>7</v>
      </c>
      <c r="X2527" t="s">
        <v>11117</v>
      </c>
      <c r="Y2527">
        <v>0.55329592186349763</v>
      </c>
      <c r="Z2527" t="str">
        <f>HYPERLINK("Melting_Curves/meltCurve_sp_Q92597_NDRG1_HUMAN_.pdf", "Melting_Curves/meltCurve_sp_Q92597_NDRG1_HUMAN_.pdf")</f>
        <v>Melting_Curves/meltCurve_sp_Q92597_NDRG1_HUMAN_.pdf</v>
      </c>
      <c r="AA2527" t="s">
        <v>15370</v>
      </c>
      <c r="AB2527" t="s">
        <v>19611</v>
      </c>
    </row>
    <row r="2528" spans="1:28" x14ac:dyDescent="0.25">
      <c r="A2528" t="s">
        <v>2532</v>
      </c>
      <c r="B2528">
        <v>0.99876560204751996</v>
      </c>
      <c r="C2528">
        <v>1.0462842869632001</v>
      </c>
      <c r="D2528">
        <v>0.95900451135017795</v>
      </c>
      <c r="E2528">
        <v>0.86850900310675505</v>
      </c>
      <c r="F2528">
        <v>0.48271499945089502</v>
      </c>
      <c r="G2528">
        <v>0.26781920966056899</v>
      </c>
      <c r="H2528">
        <v>0.15374197806836901</v>
      </c>
      <c r="I2528">
        <v>0.122508765237275</v>
      </c>
      <c r="J2528">
        <v>0.143738939065951</v>
      </c>
      <c r="K2528">
        <v>0.118831441822335</v>
      </c>
      <c r="L2528">
        <v>1470.2704089992901</v>
      </c>
      <c r="M2528">
        <v>27.965318681494999</v>
      </c>
      <c r="N2528">
        <v>53.171111669247203</v>
      </c>
      <c r="O2528">
        <v>52.308157611755</v>
      </c>
      <c r="P2528">
        <v>-0.11566615812107101</v>
      </c>
      <c r="Q2528">
        <v>0.134609562704119</v>
      </c>
      <c r="R2528">
        <v>0.99455161273118098</v>
      </c>
      <c r="S2528" t="s">
        <v>6824</v>
      </c>
      <c r="T2528" t="s">
        <v>8590</v>
      </c>
      <c r="U2528" t="s">
        <v>8590</v>
      </c>
      <c r="V2528" t="s">
        <v>8590</v>
      </c>
      <c r="W2528">
        <v>30</v>
      </c>
      <c r="X2528" t="s">
        <v>11118</v>
      </c>
      <c r="Y2528">
        <v>0.50374659800696575</v>
      </c>
      <c r="Z2528" t="str">
        <f>HYPERLINK("Melting_Curves/meltCurve_sp_Q92598_2_HS105_HUMAN_.pdf", "Melting_Curves/meltCurve_sp_Q92598_2_HS105_HUMAN_.pdf")</f>
        <v>Melting_Curves/meltCurve_sp_Q92598_2_HS105_HUMAN_.pdf</v>
      </c>
      <c r="AA2528" t="s">
        <v>15371</v>
      </c>
      <c r="AB2528" t="s">
        <v>19612</v>
      </c>
    </row>
    <row r="2529" spans="1:28" x14ac:dyDescent="0.25">
      <c r="A2529" t="s">
        <v>2533</v>
      </c>
      <c r="B2529">
        <v>0.99876560204751996</v>
      </c>
      <c r="C2529">
        <v>1.0378332893953599</v>
      </c>
      <c r="D2529">
        <v>0.89485679229621196</v>
      </c>
      <c r="E2529">
        <v>1.07555490468431</v>
      </c>
      <c r="F2529">
        <v>0.96149239599449499</v>
      </c>
      <c r="G2529">
        <v>0.57528440959599703</v>
      </c>
      <c r="H2529">
        <v>0.34704761586108501</v>
      </c>
      <c r="I2529">
        <v>0.21125074647700401</v>
      </c>
      <c r="J2529">
        <v>0.16072581935951399</v>
      </c>
      <c r="K2529">
        <v>0.11103335726630301</v>
      </c>
      <c r="L2529">
        <v>1487.4090572237301</v>
      </c>
      <c r="M2529">
        <v>25.8161416239865</v>
      </c>
      <c r="N2529">
        <v>58.334191601452297</v>
      </c>
      <c r="O2529">
        <v>57.273093071120599</v>
      </c>
      <c r="P2529">
        <v>-9.7338742604912099E-2</v>
      </c>
      <c r="Q2529">
        <v>0.136226474564312</v>
      </c>
      <c r="R2529">
        <v>0.97986678497423896</v>
      </c>
      <c r="S2529" t="s">
        <v>6825</v>
      </c>
      <c r="T2529" t="s">
        <v>8590</v>
      </c>
      <c r="U2529" t="s">
        <v>8590</v>
      </c>
      <c r="V2529" t="s">
        <v>8590</v>
      </c>
      <c r="W2529">
        <v>6</v>
      </c>
      <c r="X2529" t="s">
        <v>11119</v>
      </c>
      <c r="Y2529">
        <v>0.65069772442499918</v>
      </c>
      <c r="Z2529" t="str">
        <f>HYPERLINK("Melting_Curves/meltCurve_sp_Q92599_2_SEPT8_HUMAN_.pdf", "Melting_Curves/meltCurve_sp_Q92599_2_SEPT8_HUMAN_.pdf")</f>
        <v>Melting_Curves/meltCurve_sp_Q92599_2_SEPT8_HUMAN_.pdf</v>
      </c>
      <c r="AA2529" t="s">
        <v>15372</v>
      </c>
      <c r="AB2529" t="s">
        <v>19613</v>
      </c>
    </row>
    <row r="2530" spans="1:28" x14ac:dyDescent="0.25">
      <c r="A2530" t="s">
        <v>2534</v>
      </c>
      <c r="B2530">
        <v>0.99876560204751996</v>
      </c>
      <c r="C2530">
        <v>1.09097917963157</v>
      </c>
      <c r="D2530">
        <v>0.61287031102753697</v>
      </c>
      <c r="E2530">
        <v>0.53335153948827096</v>
      </c>
      <c r="F2530">
        <v>0.32455175195915498</v>
      </c>
      <c r="G2530">
        <v>0</v>
      </c>
      <c r="H2530">
        <v>0.21989794217577499</v>
      </c>
      <c r="I2530">
        <v>0</v>
      </c>
      <c r="J2530">
        <v>0</v>
      </c>
      <c r="K2530">
        <v>0</v>
      </c>
      <c r="L2530">
        <v>754.71363323595995</v>
      </c>
      <c r="M2530">
        <v>15.185434895830699</v>
      </c>
      <c r="N2530">
        <v>49.727123382697698</v>
      </c>
      <c r="O2530">
        <v>48.861853417242997</v>
      </c>
      <c r="P2530">
        <v>-7.7380825115623594E-2</v>
      </c>
      <c r="Q2530">
        <v>4.14929176308001E-3</v>
      </c>
      <c r="R2530">
        <v>0.93318099990386105</v>
      </c>
      <c r="S2530" t="s">
        <v>6826</v>
      </c>
      <c r="T2530" t="s">
        <v>8590</v>
      </c>
      <c r="U2530" t="s">
        <v>8590</v>
      </c>
      <c r="V2530" t="s">
        <v>8590</v>
      </c>
      <c r="W2530">
        <v>1</v>
      </c>
      <c r="X2530" t="s">
        <v>11120</v>
      </c>
      <c r="Y2530">
        <v>0.34959005620455119</v>
      </c>
      <c r="Z2530" t="str">
        <f>HYPERLINK("Melting_Curves/meltCurve_sp_Q92600_RCD1_HUMAN_.pdf", "Melting_Curves/meltCurve_sp_Q92600_RCD1_HUMAN_.pdf")</f>
        <v>Melting_Curves/meltCurve_sp_Q92600_RCD1_HUMAN_.pdf</v>
      </c>
      <c r="AA2530" t="s">
        <v>15373</v>
      </c>
      <c r="AB2530" t="s">
        <v>19614</v>
      </c>
    </row>
    <row r="2531" spans="1:28" x14ac:dyDescent="0.25">
      <c r="A2531" t="s">
        <v>2535</v>
      </c>
      <c r="B2531">
        <v>0.99876560204751996</v>
      </c>
      <c r="C2531">
        <v>1.03322987543444</v>
      </c>
      <c r="D2531">
        <v>1.0226858875937299</v>
      </c>
      <c r="E2531">
        <v>0.90200711743630801</v>
      </c>
      <c r="F2531">
        <v>0.69154757869677297</v>
      </c>
      <c r="G2531">
        <v>0.32140419501127998</v>
      </c>
      <c r="H2531">
        <v>0.19831018534551101</v>
      </c>
      <c r="I2531">
        <v>0.16248115603859301</v>
      </c>
      <c r="J2531">
        <v>0.21743669690650999</v>
      </c>
      <c r="K2531">
        <v>0.20637356625887801</v>
      </c>
      <c r="L2531">
        <v>1580.1180343839901</v>
      </c>
      <c r="M2531">
        <v>29.3651510989969</v>
      </c>
      <c r="N2531">
        <v>54.688419427787402</v>
      </c>
      <c r="O2531">
        <v>53.561601515743398</v>
      </c>
      <c r="P2531">
        <v>-0.11127652318018701</v>
      </c>
      <c r="Q2531">
        <v>0.18813882592504799</v>
      </c>
      <c r="R2531">
        <v>0.99650928623925805</v>
      </c>
      <c r="S2531" t="s">
        <v>6827</v>
      </c>
      <c r="T2531" t="s">
        <v>8590</v>
      </c>
      <c r="U2531" t="s">
        <v>8590</v>
      </c>
      <c r="V2531" t="s">
        <v>8590</v>
      </c>
      <c r="W2531">
        <v>9</v>
      </c>
      <c r="X2531" t="s">
        <v>11121</v>
      </c>
      <c r="Y2531">
        <v>0.56739171881499617</v>
      </c>
      <c r="Z2531" t="str">
        <f>HYPERLINK("Melting_Curves/meltCurve_sp_Q92609_TBCD5_HUMAN_.pdf", "Melting_Curves/meltCurve_sp_Q92609_TBCD5_HUMAN_.pdf")</f>
        <v>Melting_Curves/meltCurve_sp_Q92609_TBCD5_HUMAN_.pdf</v>
      </c>
      <c r="AA2531" t="s">
        <v>15374</v>
      </c>
      <c r="AB2531" t="s">
        <v>19615</v>
      </c>
    </row>
    <row r="2532" spans="1:28" x14ac:dyDescent="0.25">
      <c r="A2532" t="s">
        <v>2536</v>
      </c>
      <c r="B2532">
        <v>0.99876560204751996</v>
      </c>
      <c r="C2532">
        <v>1.0236101608944901</v>
      </c>
      <c r="D2532">
        <v>0.98238347658493297</v>
      </c>
      <c r="E2532">
        <v>0.71614505806753004</v>
      </c>
      <c r="F2532">
        <v>0.34310920123998601</v>
      </c>
      <c r="G2532">
        <v>0.21318900615956601</v>
      </c>
      <c r="H2532">
        <v>0.160533201695994</v>
      </c>
      <c r="I2532">
        <v>0.13646020166293699</v>
      </c>
      <c r="J2532">
        <v>0.144877517635883</v>
      </c>
      <c r="K2532">
        <v>0.13468960268729099</v>
      </c>
      <c r="L2532">
        <v>1611.1803717677201</v>
      </c>
      <c r="M2532">
        <v>31.5440940931109</v>
      </c>
      <c r="N2532">
        <v>51.654775928039101</v>
      </c>
      <c r="O2532">
        <v>50.873121907932102</v>
      </c>
      <c r="P2532">
        <v>-0.13197377431918</v>
      </c>
      <c r="Q2532">
        <v>0.14863530690913801</v>
      </c>
      <c r="R2532">
        <v>0.99827980841115205</v>
      </c>
      <c r="S2532" t="s">
        <v>6828</v>
      </c>
      <c r="T2532" t="s">
        <v>8590</v>
      </c>
      <c r="U2532" t="s">
        <v>8590</v>
      </c>
      <c r="V2532" t="s">
        <v>8590</v>
      </c>
      <c r="W2532">
        <v>25</v>
      </c>
      <c r="X2532" t="s">
        <v>11122</v>
      </c>
      <c r="Y2532">
        <v>0.46783672986309888</v>
      </c>
      <c r="Z2532" t="str">
        <f>HYPERLINK("Melting_Curves/meltCurve_sp_Q92614_4_MY18A_HUMAN_.pdf", "Melting_Curves/meltCurve_sp_Q92614_4_MY18A_HUMAN_.pdf")</f>
        <v>Melting_Curves/meltCurve_sp_Q92614_4_MY18A_HUMAN_.pdf</v>
      </c>
      <c r="AA2532" t="s">
        <v>15375</v>
      </c>
      <c r="AB2532" t="s">
        <v>19616</v>
      </c>
    </row>
    <row r="2533" spans="1:28" x14ac:dyDescent="0.25">
      <c r="A2533" t="s">
        <v>2537</v>
      </c>
      <c r="B2533">
        <v>0.99876560204751996</v>
      </c>
      <c r="C2533">
        <v>0.71832421456453599</v>
      </c>
      <c r="D2533">
        <v>0.46457308388383201</v>
      </c>
      <c r="E2533">
        <v>0.30614808283397299</v>
      </c>
      <c r="F2533">
        <v>0.19299599972853601</v>
      </c>
      <c r="G2533">
        <v>0.118264901439251</v>
      </c>
      <c r="H2533">
        <v>8.4519771727709206E-2</v>
      </c>
      <c r="I2533">
        <v>7.0648023598152795E-2</v>
      </c>
      <c r="J2533">
        <v>7.3703894802904193E-2</v>
      </c>
      <c r="K2533">
        <v>5.9331490967890602E-2</v>
      </c>
      <c r="L2533">
        <v>706.61251292044301</v>
      </c>
      <c r="M2533">
        <v>15.473676167597301</v>
      </c>
      <c r="N2533">
        <v>46.124899433655401</v>
      </c>
      <c r="O2533">
        <v>44.923171227228401</v>
      </c>
      <c r="P2533">
        <v>-7.99689644872012E-2</v>
      </c>
      <c r="Q2533">
        <v>7.1419950665895293E-2</v>
      </c>
      <c r="R2533">
        <v>0.98477310157425801</v>
      </c>
      <c r="S2533" t="s">
        <v>6829</v>
      </c>
      <c r="T2533" t="s">
        <v>8590</v>
      </c>
      <c r="U2533" t="s">
        <v>8590</v>
      </c>
      <c r="V2533" t="s">
        <v>8590</v>
      </c>
      <c r="W2533">
        <v>27</v>
      </c>
      <c r="X2533" t="s">
        <v>11123</v>
      </c>
      <c r="Y2533">
        <v>0.27291703158084057</v>
      </c>
      <c r="Z2533" t="str">
        <f>HYPERLINK("Melting_Curves/meltCurve_sp_Q92616_GCN1L_HUMAN_.pdf", "Melting_Curves/meltCurve_sp_Q92616_GCN1L_HUMAN_.pdf")</f>
        <v>Melting_Curves/meltCurve_sp_Q92616_GCN1L_HUMAN_.pdf</v>
      </c>
      <c r="AA2533" t="s">
        <v>15376</v>
      </c>
      <c r="AB2533" t="s">
        <v>19617</v>
      </c>
    </row>
    <row r="2534" spans="1:28" x14ac:dyDescent="0.25">
      <c r="A2534" t="s">
        <v>2538</v>
      </c>
      <c r="B2534">
        <v>0.99876560204751996</v>
      </c>
      <c r="C2534">
        <v>1.0149750470622001</v>
      </c>
      <c r="D2534">
        <v>0.80973407445860401</v>
      </c>
      <c r="E2534">
        <v>0.51445966371323804</v>
      </c>
      <c r="F2534">
        <v>0.214274875620247</v>
      </c>
      <c r="G2534">
        <v>9.7169197271308405E-2</v>
      </c>
      <c r="H2534">
        <v>4.8658494645246401E-2</v>
      </c>
      <c r="I2534">
        <v>6.3469643899341593E-2</v>
      </c>
      <c r="J2534">
        <v>2.8665872485061101E-2</v>
      </c>
      <c r="K2534">
        <v>5.2400866412079097E-2</v>
      </c>
      <c r="L2534">
        <v>1060.2818199902799</v>
      </c>
      <c r="M2534">
        <v>21.353871932561901</v>
      </c>
      <c r="N2534">
        <v>49.842298431398</v>
      </c>
      <c r="O2534">
        <v>49.2236232864146</v>
      </c>
      <c r="P2534">
        <v>-0.10422981684808399</v>
      </c>
      <c r="Q2534">
        <v>3.8967993097347602E-2</v>
      </c>
      <c r="R2534">
        <v>0.99604963820789305</v>
      </c>
      <c r="S2534" t="s">
        <v>6830</v>
      </c>
      <c r="T2534" t="s">
        <v>8590</v>
      </c>
      <c r="U2534" t="s">
        <v>8590</v>
      </c>
      <c r="V2534" t="s">
        <v>8590</v>
      </c>
      <c r="W2534">
        <v>5</v>
      </c>
      <c r="X2534" t="s">
        <v>11124</v>
      </c>
      <c r="Y2534">
        <v>0.35995551553866523</v>
      </c>
      <c r="Z2534" t="str">
        <f>HYPERLINK("Melting_Curves/meltCurve_sp_Q92620_PRP16_HUMAN_.pdf", "Melting_Curves/meltCurve_sp_Q92620_PRP16_HUMAN_.pdf")</f>
        <v>Melting_Curves/meltCurve_sp_Q92620_PRP16_HUMAN_.pdf</v>
      </c>
      <c r="AA2534" t="s">
        <v>15377</v>
      </c>
      <c r="AB2534" t="s">
        <v>19618</v>
      </c>
    </row>
    <row r="2535" spans="1:28" x14ac:dyDescent="0.25">
      <c r="A2535" t="s">
        <v>2539</v>
      </c>
      <c r="B2535">
        <v>0.99876560204751996</v>
      </c>
      <c r="C2535">
        <v>1.215430510427</v>
      </c>
      <c r="D2535">
        <v>1.0532147067847699</v>
      </c>
      <c r="E2535">
        <v>0.70472111512899505</v>
      </c>
      <c r="F2535">
        <v>0.34732250130704301</v>
      </c>
      <c r="G2535">
        <v>0.20149175497111799</v>
      </c>
      <c r="H2535">
        <v>0.157456497210401</v>
      </c>
      <c r="I2535">
        <v>0.29750395763767701</v>
      </c>
      <c r="J2535">
        <v>0.19270948042474401</v>
      </c>
      <c r="K2535">
        <v>0.22265336840584701</v>
      </c>
      <c r="L2535">
        <v>2089.5692404543001</v>
      </c>
      <c r="M2535">
        <v>41.210326867534498</v>
      </c>
      <c r="N2535">
        <v>51.406763482803498</v>
      </c>
      <c r="O2535">
        <v>50.586028964459899</v>
      </c>
      <c r="P2535">
        <v>-0.159850310595467</v>
      </c>
      <c r="Q2535">
        <v>0.215130906260314</v>
      </c>
      <c r="R2535">
        <v>0.95925836204160198</v>
      </c>
      <c r="S2535" t="s">
        <v>6831</v>
      </c>
      <c r="T2535" t="s">
        <v>8590</v>
      </c>
      <c r="U2535" t="s">
        <v>8590</v>
      </c>
      <c r="V2535" t="s">
        <v>8590</v>
      </c>
      <c r="W2535">
        <v>1</v>
      </c>
      <c r="X2535" t="s">
        <v>11125</v>
      </c>
      <c r="Y2535">
        <v>0.49778873083802461</v>
      </c>
      <c r="Z2535" t="str">
        <f>HYPERLINK("Melting_Curves/meltCurve_sp_Q92621_NU205_HUMAN_.pdf", "Melting_Curves/meltCurve_sp_Q92621_NU205_HUMAN_.pdf")</f>
        <v>Melting_Curves/meltCurve_sp_Q92621_NU205_HUMAN_.pdf</v>
      </c>
      <c r="AA2535" t="s">
        <v>15378</v>
      </c>
      <c r="AB2535" t="s">
        <v>19619</v>
      </c>
    </row>
    <row r="2536" spans="1:28" x14ac:dyDescent="0.25">
      <c r="A2536" t="s">
        <v>2540</v>
      </c>
      <c r="B2536">
        <v>0.99876560204751996</v>
      </c>
      <c r="C2536">
        <v>0.914668364656543</v>
      </c>
      <c r="D2536">
        <v>1.09144883692966</v>
      </c>
      <c r="E2536">
        <v>0.87081651152502604</v>
      </c>
      <c r="F2536">
        <v>0.91250042288876099</v>
      </c>
      <c r="G2536">
        <v>0.69516379879307799</v>
      </c>
      <c r="H2536">
        <v>0.61927975890354203</v>
      </c>
      <c r="I2536">
        <v>0.67189972331464398</v>
      </c>
      <c r="J2536">
        <v>0.85542198714349604</v>
      </c>
      <c r="K2536">
        <v>0.79069255409337202</v>
      </c>
      <c r="L2536">
        <v>1563.51975891606</v>
      </c>
      <c r="M2536">
        <v>29.783570923117299</v>
      </c>
      <c r="O2536">
        <v>52.261092926618097</v>
      </c>
      <c r="P2536">
        <v>-3.8898962350567501E-2</v>
      </c>
      <c r="Q2536">
        <v>0.72697852205072899</v>
      </c>
      <c r="R2536">
        <v>0.66922778572823205</v>
      </c>
      <c r="S2536" t="s">
        <v>6832</v>
      </c>
      <c r="T2536" t="s">
        <v>8590</v>
      </c>
      <c r="U2536" t="s">
        <v>8590</v>
      </c>
      <c r="V2536" t="s">
        <v>8590</v>
      </c>
      <c r="W2536">
        <v>2</v>
      </c>
      <c r="X2536" t="s">
        <v>11126</v>
      </c>
      <c r="Y2536">
        <v>0.84248444638196085</v>
      </c>
      <c r="Z2536" t="str">
        <f>HYPERLINK("Melting_Curves/meltCurve_sp_Q92665_RT31_HUMAN_.pdf", "Melting_Curves/meltCurve_sp_Q92665_RT31_HUMAN_.pdf")</f>
        <v>Melting_Curves/meltCurve_sp_Q92665_RT31_HUMAN_.pdf</v>
      </c>
      <c r="AA2536" t="s">
        <v>15379</v>
      </c>
      <c r="AB2536" t="s">
        <v>19620</v>
      </c>
    </row>
    <row r="2537" spans="1:28" x14ac:dyDescent="0.25">
      <c r="A2537" t="s">
        <v>2541</v>
      </c>
      <c r="B2537">
        <v>0.99876560204751996</v>
      </c>
      <c r="C2537">
        <v>0.90034280903847996</v>
      </c>
      <c r="D2537">
        <v>0.85049585580394405</v>
      </c>
      <c r="E2537">
        <v>0.77237893834078697</v>
      </c>
      <c r="F2537">
        <v>0.63158129421133302</v>
      </c>
      <c r="G2537">
        <v>0.52487684408244195</v>
      </c>
      <c r="H2537">
        <v>0.44513635667857399</v>
      </c>
      <c r="I2537">
        <v>0.42858716321998303</v>
      </c>
      <c r="J2537">
        <v>0.47960628629028002</v>
      </c>
      <c r="K2537">
        <v>0.4601654161773</v>
      </c>
      <c r="L2537">
        <v>616.68073635910002</v>
      </c>
      <c r="M2537">
        <v>12.186642252390801</v>
      </c>
      <c r="N2537">
        <v>59.348905358269597</v>
      </c>
      <c r="O2537">
        <v>49.298284749632103</v>
      </c>
      <c r="P2537">
        <v>-3.6037358208565698E-2</v>
      </c>
      <c r="Q2537">
        <v>0.41700880853780198</v>
      </c>
      <c r="R2537">
        <v>0.97970564854532705</v>
      </c>
      <c r="S2537" t="s">
        <v>6833</v>
      </c>
      <c r="T2537" t="s">
        <v>8590</v>
      </c>
      <c r="U2537" t="s">
        <v>8590</v>
      </c>
      <c r="V2537" t="s">
        <v>8590</v>
      </c>
      <c r="W2537">
        <v>14</v>
      </c>
      <c r="X2537" t="s">
        <v>11127</v>
      </c>
      <c r="Y2537">
        <v>0.64208797237485948</v>
      </c>
      <c r="Z2537" t="str">
        <f>HYPERLINK("Melting_Curves/meltCurve_sp_Q92667_AKAP1_HUMAN_.pdf", "Melting_Curves/meltCurve_sp_Q92667_AKAP1_HUMAN_.pdf")</f>
        <v>Melting_Curves/meltCurve_sp_Q92667_AKAP1_HUMAN_.pdf</v>
      </c>
      <c r="AA2537" t="s">
        <v>15380</v>
      </c>
      <c r="AB2537" t="s">
        <v>19621</v>
      </c>
    </row>
    <row r="2538" spans="1:28" x14ac:dyDescent="0.25">
      <c r="A2538" t="s">
        <v>2542</v>
      </c>
      <c r="B2538">
        <v>0.99876560204751996</v>
      </c>
      <c r="C2538">
        <v>0.98427240335547095</v>
      </c>
      <c r="D2538">
        <v>1.04307202653882</v>
      </c>
      <c r="E2538">
        <v>0.995788783098559</v>
      </c>
      <c r="F2538">
        <v>1.0287032350701999</v>
      </c>
      <c r="G2538">
        <v>0.85911179141315397</v>
      </c>
      <c r="H2538">
        <v>0.55270235135884005</v>
      </c>
      <c r="I2538">
        <v>0.40495138343508003</v>
      </c>
      <c r="J2538">
        <v>0.38032638116121997</v>
      </c>
      <c r="K2538">
        <v>0.37018090968880901</v>
      </c>
      <c r="L2538">
        <v>1998.80270091072</v>
      </c>
      <c r="M2538">
        <v>33.703207304331798</v>
      </c>
      <c r="N2538">
        <v>61.7020712500901</v>
      </c>
      <c r="O2538">
        <v>59.098390218756499</v>
      </c>
      <c r="P2538">
        <v>-9.0544357805702094E-2</v>
      </c>
      <c r="Q2538">
        <v>0.36492651056020498</v>
      </c>
      <c r="R2538">
        <v>0.99490454840840203</v>
      </c>
      <c r="S2538" t="s">
        <v>6834</v>
      </c>
      <c r="T2538" t="s">
        <v>8590</v>
      </c>
      <c r="U2538" t="s">
        <v>8590</v>
      </c>
      <c r="V2538" t="s">
        <v>8590</v>
      </c>
      <c r="W2538">
        <v>9</v>
      </c>
      <c r="X2538" t="s">
        <v>11128</v>
      </c>
      <c r="Y2538">
        <v>0.77697518239438379</v>
      </c>
      <c r="Z2538" t="str">
        <f>HYPERLINK("Melting_Curves/meltCurve_sp_Q92688_2_AN32B_HUMAN_.pdf", "Melting_Curves/meltCurve_sp_Q92688_2_AN32B_HUMAN_.pdf")</f>
        <v>Melting_Curves/meltCurve_sp_Q92688_2_AN32B_HUMAN_.pdf</v>
      </c>
      <c r="AA2538" t="s">
        <v>15381</v>
      </c>
      <c r="AB2538" t="s">
        <v>19622</v>
      </c>
    </row>
    <row r="2539" spans="1:28" x14ac:dyDescent="0.25">
      <c r="A2539" t="s">
        <v>2543</v>
      </c>
      <c r="B2539">
        <v>0.99876560204751996</v>
      </c>
      <c r="C2539">
        <v>0.99794714238551696</v>
      </c>
      <c r="D2539">
        <v>0.94770352242073996</v>
      </c>
      <c r="E2539">
        <v>0.94202046801902195</v>
      </c>
      <c r="F2539">
        <v>0.64963855097093104</v>
      </c>
      <c r="G2539">
        <v>0.21117131597434599</v>
      </c>
      <c r="H2539">
        <v>0.11370968812139701</v>
      </c>
      <c r="I2539">
        <v>9.3016578400913805E-2</v>
      </c>
      <c r="J2539">
        <v>7.8079859328391593E-2</v>
      </c>
      <c r="K2539">
        <v>7.0818469310374901E-2</v>
      </c>
      <c r="L2539">
        <v>1737.2982785551501</v>
      </c>
      <c r="M2539">
        <v>32.277037415459503</v>
      </c>
      <c r="N2539">
        <v>54.123178249636197</v>
      </c>
      <c r="O2539">
        <v>53.619244663787299</v>
      </c>
      <c r="P2539">
        <v>-0.138218758670897</v>
      </c>
      <c r="Q2539">
        <v>8.1557693039320506E-2</v>
      </c>
      <c r="R2539">
        <v>0.99826907893629502</v>
      </c>
      <c r="S2539" t="s">
        <v>6835</v>
      </c>
      <c r="T2539" t="s">
        <v>8590</v>
      </c>
      <c r="U2539" t="s">
        <v>8590</v>
      </c>
      <c r="V2539" t="s">
        <v>8590</v>
      </c>
      <c r="W2539">
        <v>13</v>
      </c>
      <c r="X2539" t="s">
        <v>11129</v>
      </c>
      <c r="Y2539">
        <v>0.51001475834705434</v>
      </c>
      <c r="Z2539" t="str">
        <f>HYPERLINK("Melting_Curves/meltCurve_sp_Q92696_PGTA_HUMAN_.pdf", "Melting_Curves/meltCurve_sp_Q92696_PGTA_HUMAN_.pdf")</f>
        <v>Melting_Curves/meltCurve_sp_Q92696_PGTA_HUMAN_.pdf</v>
      </c>
      <c r="AA2539" t="s">
        <v>15382</v>
      </c>
      <c r="AB2539" t="s">
        <v>19623</v>
      </c>
    </row>
    <row r="2540" spans="1:28" x14ac:dyDescent="0.25">
      <c r="A2540" t="s">
        <v>2544</v>
      </c>
      <c r="B2540">
        <v>0.99876560204751996</v>
      </c>
      <c r="C2540">
        <v>1.0507638786106499</v>
      </c>
      <c r="D2540">
        <v>0.873118205564127</v>
      </c>
      <c r="E2540">
        <v>0.992822814301067</v>
      </c>
      <c r="F2540">
        <v>0.91372410568965901</v>
      </c>
      <c r="G2540">
        <v>0.72766206923423205</v>
      </c>
      <c r="H2540">
        <v>0.64432263132110501</v>
      </c>
      <c r="I2540">
        <v>0.58655162822888296</v>
      </c>
      <c r="J2540">
        <v>0.68482778582135495</v>
      </c>
      <c r="K2540">
        <v>0.42820418161374402</v>
      </c>
      <c r="L2540">
        <v>669.69032158422999</v>
      </c>
      <c r="M2540">
        <v>11.334295872600601</v>
      </c>
      <c r="O2540">
        <v>57.335703280998501</v>
      </c>
      <c r="P2540">
        <v>-2.80145996452646E-2</v>
      </c>
      <c r="Q2540">
        <v>0.43331147250563501</v>
      </c>
      <c r="R2540">
        <v>0.87618453611450398</v>
      </c>
      <c r="S2540" t="s">
        <v>6836</v>
      </c>
      <c r="T2540" t="s">
        <v>8590</v>
      </c>
      <c r="U2540" t="s">
        <v>8590</v>
      </c>
      <c r="V2540" t="s">
        <v>8590</v>
      </c>
      <c r="W2540">
        <v>8</v>
      </c>
      <c r="X2540" t="s">
        <v>11130</v>
      </c>
      <c r="Y2540">
        <v>0.79736497062751122</v>
      </c>
      <c r="Z2540" t="str">
        <f>HYPERLINK("Melting_Curves/meltCurve_sp_Q92734_2_TFG_HUMAN_.pdf", "Melting_Curves/meltCurve_sp_Q92734_2_TFG_HUMAN_.pdf")</f>
        <v>Melting_Curves/meltCurve_sp_Q92734_2_TFG_HUMAN_.pdf</v>
      </c>
      <c r="AA2540" t="s">
        <v>15383</v>
      </c>
      <c r="AB2540" t="s">
        <v>19624</v>
      </c>
    </row>
    <row r="2541" spans="1:28" x14ac:dyDescent="0.25">
      <c r="A2541" t="s">
        <v>2545</v>
      </c>
      <c r="B2541">
        <v>0.99876560204751996</v>
      </c>
      <c r="C2541">
        <v>0.90819912888365595</v>
      </c>
      <c r="D2541">
        <v>0.80115291861919902</v>
      </c>
      <c r="E2541">
        <v>0.75810304548284602</v>
      </c>
      <c r="F2541">
        <v>0.88569297790415502</v>
      </c>
      <c r="G2541">
        <v>0.70516049722234397</v>
      </c>
      <c r="H2541">
        <v>0.66962563218923099</v>
      </c>
      <c r="I2541">
        <v>0.58739216287534302</v>
      </c>
      <c r="J2541">
        <v>0.83215198657392297</v>
      </c>
      <c r="K2541">
        <v>0.666535939044964</v>
      </c>
      <c r="L2541">
        <v>475.99298178221898</v>
      </c>
      <c r="M2541">
        <v>10.1594797816411</v>
      </c>
      <c r="O2541">
        <v>45.145585069469298</v>
      </c>
      <c r="P2541">
        <v>-1.7896718455273498E-2</v>
      </c>
      <c r="Q2541">
        <v>0.68203564908358105</v>
      </c>
      <c r="R2541">
        <v>0.61099346554780198</v>
      </c>
      <c r="S2541" t="s">
        <v>6837</v>
      </c>
      <c r="T2541" t="s">
        <v>8590</v>
      </c>
      <c r="U2541" t="s">
        <v>8590</v>
      </c>
      <c r="V2541" t="s">
        <v>8590</v>
      </c>
      <c r="W2541">
        <v>4</v>
      </c>
      <c r="X2541" t="s">
        <v>11131</v>
      </c>
      <c r="Y2541">
        <v>0.77268345825261531</v>
      </c>
      <c r="Z2541" t="str">
        <f>HYPERLINK("Melting_Curves/meltCurve_sp_Q92738_US6NL_HUMAN_.pdf", "Melting_Curves/meltCurve_sp_Q92738_US6NL_HUMAN_.pdf")</f>
        <v>Melting_Curves/meltCurve_sp_Q92738_US6NL_HUMAN_.pdf</v>
      </c>
      <c r="AA2541" t="s">
        <v>15384</v>
      </c>
      <c r="AB2541" t="s">
        <v>19625</v>
      </c>
    </row>
    <row r="2542" spans="1:28" x14ac:dyDescent="0.25">
      <c r="A2542" t="s">
        <v>2546</v>
      </c>
      <c r="B2542">
        <v>0.99876560204751996</v>
      </c>
      <c r="C2542">
        <v>0.97838351781023103</v>
      </c>
      <c r="D2542">
        <v>0.92625351596068095</v>
      </c>
      <c r="E2542">
        <v>0.963191767893121</v>
      </c>
      <c r="F2542">
        <v>0.83892374634448197</v>
      </c>
      <c r="G2542">
        <v>0.50046741812821305</v>
      </c>
      <c r="H2542">
        <v>0.17946375865735401</v>
      </c>
      <c r="I2542">
        <v>8.9035385486782595E-2</v>
      </c>
      <c r="J2542">
        <v>7.2963523881042394E-2</v>
      </c>
      <c r="K2542">
        <v>6.2752043043540595E-2</v>
      </c>
      <c r="L2542">
        <v>1353.8051707217201</v>
      </c>
      <c r="M2542">
        <v>23.892272168818199</v>
      </c>
      <c r="N2542">
        <v>56.877557902289801</v>
      </c>
      <c r="O2542">
        <v>56.270416501328199</v>
      </c>
      <c r="P2542">
        <v>-0.10157441683353501</v>
      </c>
      <c r="Q2542">
        <v>4.3114417749098202E-2</v>
      </c>
      <c r="R2542">
        <v>0.99625554852443299</v>
      </c>
      <c r="S2542" t="s">
        <v>6838</v>
      </c>
      <c r="T2542" t="s">
        <v>8590</v>
      </c>
      <c r="U2542" t="s">
        <v>8590</v>
      </c>
      <c r="V2542" t="s">
        <v>8590</v>
      </c>
      <c r="W2542">
        <v>15</v>
      </c>
      <c r="X2542" t="s">
        <v>11132</v>
      </c>
      <c r="Y2542">
        <v>0.58392074449151721</v>
      </c>
      <c r="Z2542" t="str">
        <f>HYPERLINK("Melting_Curves/meltCurve_sp_Q92747_ARC1A_HUMAN_.pdf", "Melting_Curves/meltCurve_sp_Q92747_ARC1A_HUMAN_.pdf")</f>
        <v>Melting_Curves/meltCurve_sp_Q92747_ARC1A_HUMAN_.pdf</v>
      </c>
      <c r="AA2542" t="s">
        <v>15385</v>
      </c>
      <c r="AB2542" t="s">
        <v>19626</v>
      </c>
    </row>
    <row r="2543" spans="1:28" x14ac:dyDescent="0.25">
      <c r="A2543" t="s">
        <v>2547</v>
      </c>
      <c r="B2543">
        <v>0.99876560204751996</v>
      </c>
      <c r="C2543">
        <v>1.0174595324064499</v>
      </c>
      <c r="D2543">
        <v>0.89623696071655901</v>
      </c>
      <c r="E2543">
        <v>0.71674030777824005</v>
      </c>
      <c r="F2543">
        <v>0.49548506250971602</v>
      </c>
      <c r="G2543">
        <v>0.31043636283124998</v>
      </c>
      <c r="H2543">
        <v>0.257959627564262</v>
      </c>
      <c r="I2543">
        <v>0.17786103235148401</v>
      </c>
      <c r="J2543">
        <v>0.214736625198933</v>
      </c>
      <c r="K2543">
        <v>0.17646689655185599</v>
      </c>
      <c r="L2543">
        <v>912.62684668465704</v>
      </c>
      <c r="M2543">
        <v>17.657575307359501</v>
      </c>
      <c r="N2543">
        <v>53.0286426226034</v>
      </c>
      <c r="O2543">
        <v>51.035487037216399</v>
      </c>
      <c r="P2543">
        <v>-7.0897351784967602E-2</v>
      </c>
      <c r="Q2543">
        <v>0.180388414394304</v>
      </c>
      <c r="R2543">
        <v>0.99624543557801604</v>
      </c>
      <c r="S2543" t="s">
        <v>6839</v>
      </c>
      <c r="T2543" t="s">
        <v>8590</v>
      </c>
      <c r="U2543" t="s">
        <v>8590</v>
      </c>
      <c r="V2543" t="s">
        <v>8590</v>
      </c>
      <c r="W2543">
        <v>4</v>
      </c>
      <c r="X2543" t="s">
        <v>11133</v>
      </c>
      <c r="Y2543">
        <v>0.51377812418397806</v>
      </c>
      <c r="Z2543" t="str">
        <f>HYPERLINK("Melting_Curves/meltCurve_sp_Q92748_THRSP_HUMAN_.pdf", "Melting_Curves/meltCurve_sp_Q92748_THRSP_HUMAN_.pdf")</f>
        <v>Melting_Curves/meltCurve_sp_Q92748_THRSP_HUMAN_.pdf</v>
      </c>
      <c r="AA2543" t="s">
        <v>15386</v>
      </c>
      <c r="AB2543" t="s">
        <v>19627</v>
      </c>
    </row>
    <row r="2544" spans="1:28" x14ac:dyDescent="0.25">
      <c r="A2544" t="s">
        <v>2548</v>
      </c>
      <c r="B2544">
        <v>0.99876560204751996</v>
      </c>
      <c r="C2544">
        <v>0.980118304461991</v>
      </c>
      <c r="D2544">
        <v>1.02275880511455</v>
      </c>
      <c r="E2544">
        <v>1.03042055478535</v>
      </c>
      <c r="F2544">
        <v>0.55204847646168898</v>
      </c>
      <c r="G2544">
        <v>0.72598431998833701</v>
      </c>
      <c r="H2544">
        <v>0.815270405094914</v>
      </c>
      <c r="I2544">
        <v>0.80445268694604799</v>
      </c>
      <c r="J2544">
        <v>0.80118764146948596</v>
      </c>
      <c r="K2544">
        <v>0.81258068041228404</v>
      </c>
      <c r="L2544">
        <v>12817.404345372201</v>
      </c>
      <c r="M2544">
        <v>250</v>
      </c>
      <c r="O2544">
        <v>51.266314994692202</v>
      </c>
      <c r="P2544">
        <v>-0.30243115956477901</v>
      </c>
      <c r="Q2544">
        <v>0.75192739826514499</v>
      </c>
      <c r="R2544">
        <v>0.73929656511443897</v>
      </c>
      <c r="S2544" t="s">
        <v>6840</v>
      </c>
      <c r="T2544" t="s">
        <v>8590</v>
      </c>
      <c r="U2544" t="s">
        <v>8590</v>
      </c>
      <c r="V2544" t="s">
        <v>8590</v>
      </c>
      <c r="W2544">
        <v>1</v>
      </c>
      <c r="X2544" t="s">
        <v>11134</v>
      </c>
      <c r="Y2544">
        <v>0.84513916266745004</v>
      </c>
      <c r="Z2544" t="str">
        <f>HYPERLINK("Melting_Curves/meltCurve_sp_Q92766_RREB1_HUMAN_.pdf", "Melting_Curves/meltCurve_sp_Q92766_RREB1_HUMAN_.pdf")</f>
        <v>Melting_Curves/meltCurve_sp_Q92766_RREB1_HUMAN_.pdf</v>
      </c>
      <c r="AA2544" t="s">
        <v>15387</v>
      </c>
      <c r="AB2544" t="s">
        <v>19628</v>
      </c>
    </row>
    <row r="2545" spans="1:28" x14ac:dyDescent="0.25">
      <c r="A2545" t="s">
        <v>2549</v>
      </c>
      <c r="B2545">
        <v>0.99876560204751996</v>
      </c>
      <c r="C2545">
        <v>0.95903850924846401</v>
      </c>
      <c r="D2545">
        <v>0.89579410501770795</v>
      </c>
      <c r="E2545">
        <v>0.85478849524078704</v>
      </c>
      <c r="F2545">
        <v>0.73703046662431604</v>
      </c>
      <c r="G2545">
        <v>0.60414227712037305</v>
      </c>
      <c r="H2545">
        <v>0.42269929153197999</v>
      </c>
      <c r="I2545">
        <v>0.410994364326567</v>
      </c>
      <c r="J2545">
        <v>0.47110325010930998</v>
      </c>
      <c r="K2545">
        <v>0.39791632529058102</v>
      </c>
      <c r="L2545">
        <v>706.46089691104896</v>
      </c>
      <c r="M2545">
        <v>13.079971957724799</v>
      </c>
      <c r="N2545">
        <v>60.120366343648101</v>
      </c>
      <c r="O2545">
        <v>52.795208399450203</v>
      </c>
      <c r="P2545">
        <v>-3.9172496277163099E-2</v>
      </c>
      <c r="Q2545">
        <v>0.36765511551962399</v>
      </c>
      <c r="R2545">
        <v>0.97832508865161605</v>
      </c>
      <c r="S2545" t="s">
        <v>6841</v>
      </c>
      <c r="T2545" t="s">
        <v>8590</v>
      </c>
      <c r="U2545" t="s">
        <v>8590</v>
      </c>
      <c r="V2545" t="s">
        <v>8590</v>
      </c>
      <c r="W2545">
        <v>9</v>
      </c>
      <c r="X2545" t="s">
        <v>11135</v>
      </c>
      <c r="Y2545">
        <v>0.67813827962125239</v>
      </c>
      <c r="Z2545" t="str">
        <f>HYPERLINK("Melting_Curves/meltCurve_sp_Q92783_2_STAM1_HUMAN_.pdf", "Melting_Curves/meltCurve_sp_Q92783_2_STAM1_HUMAN_.pdf")</f>
        <v>Melting_Curves/meltCurve_sp_Q92783_2_STAM1_HUMAN_.pdf</v>
      </c>
      <c r="AA2545" t="s">
        <v>15388</v>
      </c>
      <c r="AB2545" t="s">
        <v>19629</v>
      </c>
    </row>
    <row r="2546" spans="1:28" x14ac:dyDescent="0.25">
      <c r="A2546" t="s">
        <v>2550</v>
      </c>
      <c r="B2546">
        <v>0.99876560204751996</v>
      </c>
      <c r="C2546">
        <v>1.21412436505632</v>
      </c>
      <c r="D2546">
        <v>1.1204790564070899</v>
      </c>
      <c r="E2546">
        <v>0.59395788552489903</v>
      </c>
      <c r="F2546">
        <v>0.44160317299570201</v>
      </c>
      <c r="G2546">
        <v>0.243539742376852</v>
      </c>
      <c r="H2546">
        <v>0.100148600858444</v>
      </c>
      <c r="I2546">
        <v>0.18325290037158701</v>
      </c>
      <c r="J2546">
        <v>0.15451696317873001</v>
      </c>
      <c r="K2546">
        <v>0.101371601611915</v>
      </c>
      <c r="L2546">
        <v>1362.1580173146799</v>
      </c>
      <c r="M2546">
        <v>26.661858390597899</v>
      </c>
      <c r="N2546">
        <v>51.759915896644102</v>
      </c>
      <c r="O2546">
        <v>50.805319424586997</v>
      </c>
      <c r="P2546">
        <v>-0.11205685051740601</v>
      </c>
      <c r="Q2546">
        <v>0.14589227623971701</v>
      </c>
      <c r="R2546">
        <v>0.94494344898432903</v>
      </c>
      <c r="S2546" t="s">
        <v>6842</v>
      </c>
      <c r="T2546" t="s">
        <v>8590</v>
      </c>
      <c r="U2546" t="s">
        <v>8590</v>
      </c>
      <c r="V2546" t="s">
        <v>8590</v>
      </c>
      <c r="W2546">
        <v>2</v>
      </c>
      <c r="X2546" t="s">
        <v>11136</v>
      </c>
      <c r="Y2546">
        <v>0.46843404831867302</v>
      </c>
      <c r="Z2546" t="str">
        <f>HYPERLINK("Melting_Curves/meltCurve_sp_Q92785_REQU_HUMAN_.pdf", "Melting_Curves/meltCurve_sp_Q92785_REQU_HUMAN_.pdf")</f>
        <v>Melting_Curves/meltCurve_sp_Q92785_REQU_HUMAN_.pdf</v>
      </c>
      <c r="AA2546" t="s">
        <v>15389</v>
      </c>
      <c r="AB2546" t="s">
        <v>19630</v>
      </c>
    </row>
    <row r="2547" spans="1:28" x14ac:dyDescent="0.25">
      <c r="A2547" t="s">
        <v>2551</v>
      </c>
      <c r="B2547">
        <v>0.99876560204751996</v>
      </c>
      <c r="C2547">
        <v>1.2092196434761999</v>
      </c>
      <c r="D2547">
        <v>1.05484221589319</v>
      </c>
      <c r="E2547">
        <v>1.0232084809286801</v>
      </c>
      <c r="F2547">
        <v>0.71218795322096995</v>
      </c>
      <c r="G2547">
        <v>0.419829608358952</v>
      </c>
      <c r="H2547">
        <v>0.30207578622165299</v>
      </c>
      <c r="I2547">
        <v>0.17065885668957201</v>
      </c>
      <c r="J2547">
        <v>0.17036715564220301</v>
      </c>
      <c r="K2547">
        <v>0.124123322758802</v>
      </c>
      <c r="L2547">
        <v>1310.04275499147</v>
      </c>
      <c r="M2547">
        <v>23.744004959593902</v>
      </c>
      <c r="N2547">
        <v>56.054460371332702</v>
      </c>
      <c r="O2547">
        <v>54.786724434254097</v>
      </c>
      <c r="P2547">
        <v>-9.1478567896222093E-2</v>
      </c>
      <c r="Q2547">
        <v>0.15570618609238299</v>
      </c>
      <c r="R2547">
        <v>0.96013620282589196</v>
      </c>
      <c r="S2547" t="s">
        <v>6843</v>
      </c>
      <c r="T2547" t="s">
        <v>8590</v>
      </c>
      <c r="U2547" t="s">
        <v>8590</v>
      </c>
      <c r="V2547" t="s">
        <v>8590</v>
      </c>
      <c r="W2547">
        <v>2</v>
      </c>
      <c r="X2547" t="s">
        <v>11137</v>
      </c>
      <c r="Y2547">
        <v>0.59126463760727532</v>
      </c>
      <c r="Z2547" t="str">
        <f>HYPERLINK("Melting_Curves/meltCurve_sp_Q92786_PROX1_HUMAN_.pdf", "Melting_Curves/meltCurve_sp_Q92786_PROX1_HUMAN_.pdf")</f>
        <v>Melting_Curves/meltCurve_sp_Q92786_PROX1_HUMAN_.pdf</v>
      </c>
      <c r="AA2547" t="s">
        <v>15390</v>
      </c>
      <c r="AB2547" t="s">
        <v>19631</v>
      </c>
    </row>
    <row r="2548" spans="1:28" x14ac:dyDescent="0.25">
      <c r="A2548" t="s">
        <v>2552</v>
      </c>
      <c r="B2548">
        <v>0.99876560204751996</v>
      </c>
      <c r="C2548">
        <v>0.97964055705623598</v>
      </c>
      <c r="D2548">
        <v>1.0207492112916301</v>
      </c>
      <c r="E2548">
        <v>0.89134535601180198</v>
      </c>
      <c r="F2548">
        <v>0.62936987853908</v>
      </c>
      <c r="G2548">
        <v>0.36798322333780298</v>
      </c>
      <c r="H2548">
        <v>0.27619690788338402</v>
      </c>
      <c r="I2548">
        <v>0.26567264091304799</v>
      </c>
      <c r="J2548">
        <v>0.30824951010105001</v>
      </c>
      <c r="K2548">
        <v>0.28386165900581301</v>
      </c>
      <c r="L2548">
        <v>1586.73839786962</v>
      </c>
      <c r="M2548">
        <v>29.9846288359923</v>
      </c>
      <c r="N2548">
        <v>54.417227651023097</v>
      </c>
      <c r="O2548">
        <v>52.684698751298903</v>
      </c>
      <c r="P2548">
        <v>-0.102291807192208</v>
      </c>
      <c r="Q2548">
        <v>0.28107470315515598</v>
      </c>
      <c r="R2548">
        <v>0.997321396633843</v>
      </c>
      <c r="S2548" t="s">
        <v>6844</v>
      </c>
      <c r="T2548" t="s">
        <v>8590</v>
      </c>
      <c r="U2548" t="s">
        <v>8590</v>
      </c>
      <c r="V2548" t="s">
        <v>8590</v>
      </c>
      <c r="W2548">
        <v>5</v>
      </c>
      <c r="X2548" t="s">
        <v>11138</v>
      </c>
      <c r="Y2548">
        <v>0.59531494062208234</v>
      </c>
      <c r="Z2548" t="str">
        <f>HYPERLINK("Melting_Curves/meltCurve_sp_Q92793_2_CBP_HUMAN_.pdf", "Melting_Curves/meltCurve_sp_Q92793_2_CBP_HUMAN_.pdf")</f>
        <v>Melting_Curves/meltCurve_sp_Q92793_2_CBP_HUMAN_.pdf</v>
      </c>
      <c r="AA2548" t="s">
        <v>15391</v>
      </c>
      <c r="AB2548" t="s">
        <v>19632</v>
      </c>
    </row>
    <row r="2549" spans="1:28" x14ac:dyDescent="0.25">
      <c r="A2549" t="s">
        <v>2553</v>
      </c>
      <c r="B2549">
        <v>0.99876560204751996</v>
      </c>
      <c r="C2549">
        <v>0.95243531428357997</v>
      </c>
      <c r="D2549">
        <v>0.85287931731839295</v>
      </c>
      <c r="E2549">
        <v>0.57443458109613199</v>
      </c>
      <c r="F2549">
        <v>0.36080259802752801</v>
      </c>
      <c r="G2549">
        <v>0.189180342582185</v>
      </c>
      <c r="H2549">
        <v>0.18943757501994901</v>
      </c>
      <c r="I2549">
        <v>0.15515202473039599</v>
      </c>
      <c r="J2549">
        <v>0.152222172109922</v>
      </c>
      <c r="K2549">
        <v>0.17189438695099099</v>
      </c>
      <c r="L2549">
        <v>966.241556406217</v>
      </c>
      <c r="M2549">
        <v>19.376538373430801</v>
      </c>
      <c r="N2549">
        <v>50.807085038057402</v>
      </c>
      <c r="O2549">
        <v>49.344548421294398</v>
      </c>
      <c r="P2549">
        <v>-8.3378360319785405E-2</v>
      </c>
      <c r="Q2549">
        <v>0.15070165783404599</v>
      </c>
      <c r="R2549">
        <v>0.99829213123953597</v>
      </c>
      <c r="S2549" t="s">
        <v>6845</v>
      </c>
      <c r="T2549" t="s">
        <v>8590</v>
      </c>
      <c r="U2549" t="s">
        <v>8590</v>
      </c>
      <c r="V2549" t="s">
        <v>8590</v>
      </c>
      <c r="W2549">
        <v>4</v>
      </c>
      <c r="X2549" t="s">
        <v>11139</v>
      </c>
      <c r="Y2549">
        <v>0.44260907717267989</v>
      </c>
      <c r="Z2549" t="str">
        <f>HYPERLINK("Melting_Curves/meltCurve_sp_Q92797_SYMPK_HUMAN_.pdf", "Melting_Curves/meltCurve_sp_Q92797_SYMPK_HUMAN_.pdf")</f>
        <v>Melting_Curves/meltCurve_sp_Q92797_SYMPK_HUMAN_.pdf</v>
      </c>
      <c r="AA2549" t="s">
        <v>15392</v>
      </c>
      <c r="AB2549" t="s">
        <v>19633</v>
      </c>
    </row>
    <row r="2550" spans="1:28" x14ac:dyDescent="0.25">
      <c r="A2550" t="s">
        <v>2554</v>
      </c>
      <c r="B2550">
        <v>0.99876560204751996</v>
      </c>
      <c r="C2550">
        <v>0.96530396955810505</v>
      </c>
      <c r="D2550">
        <v>0.96034648523348098</v>
      </c>
      <c r="E2550">
        <v>0.839471452729597</v>
      </c>
      <c r="F2550">
        <v>0.74289605940592296</v>
      </c>
      <c r="G2550">
        <v>0.45045267543648798</v>
      </c>
      <c r="H2550">
        <v>0.30482049769469599</v>
      </c>
      <c r="I2550">
        <v>0.255165950322437</v>
      </c>
      <c r="J2550">
        <v>0.28404370925137901</v>
      </c>
      <c r="K2550">
        <v>0.25729225482198098</v>
      </c>
      <c r="L2550">
        <v>1014.31729037064</v>
      </c>
      <c r="M2550">
        <v>18.680124805280599</v>
      </c>
      <c r="N2550">
        <v>56.221748461575501</v>
      </c>
      <c r="O2550">
        <v>53.688478352649199</v>
      </c>
      <c r="P2550">
        <v>-6.6456272417827894E-2</v>
      </c>
      <c r="Q2550">
        <v>0.236025648380807</v>
      </c>
      <c r="R2550">
        <v>0.99427244872792997</v>
      </c>
      <c r="S2550" t="s">
        <v>6846</v>
      </c>
      <c r="T2550" t="s">
        <v>8590</v>
      </c>
      <c r="U2550" t="s">
        <v>8590</v>
      </c>
      <c r="V2550" t="s">
        <v>8590</v>
      </c>
      <c r="W2550">
        <v>6</v>
      </c>
      <c r="X2550" t="s">
        <v>11140</v>
      </c>
      <c r="Y2550">
        <v>0.6116419488362056</v>
      </c>
      <c r="Z2550" t="str">
        <f>HYPERLINK("Melting_Curves/meltCurve_sp_Q92805_GOGA1_HUMAN_.pdf", "Melting_Curves/meltCurve_sp_Q92805_GOGA1_HUMAN_.pdf")</f>
        <v>Melting_Curves/meltCurve_sp_Q92805_GOGA1_HUMAN_.pdf</v>
      </c>
      <c r="AA2550" t="s">
        <v>15393</v>
      </c>
      <c r="AB2550" t="s">
        <v>19634</v>
      </c>
    </row>
    <row r="2551" spans="1:28" x14ac:dyDescent="0.25">
      <c r="A2551" t="s">
        <v>2555</v>
      </c>
      <c r="B2551">
        <v>0.99876560204751996</v>
      </c>
      <c r="C2551">
        <v>1.04690677236311</v>
      </c>
      <c r="D2551">
        <v>0.76826466476035904</v>
      </c>
      <c r="E2551">
        <v>0.94492377966877095</v>
      </c>
      <c r="F2551">
        <v>0.38683655754440799</v>
      </c>
      <c r="G2551">
        <v>0.21602063960578799</v>
      </c>
      <c r="H2551">
        <v>0.18109242819822299</v>
      </c>
      <c r="I2551">
        <v>5.4253355033136198E-2</v>
      </c>
      <c r="J2551">
        <v>0.18442684025612699</v>
      </c>
      <c r="K2551">
        <v>0.141679432995479</v>
      </c>
      <c r="L2551">
        <v>3018.4045268478599</v>
      </c>
      <c r="M2551">
        <v>57.887343973577202</v>
      </c>
      <c r="N2551">
        <v>52.475340019758399</v>
      </c>
      <c r="O2551">
        <v>52.080627309729103</v>
      </c>
      <c r="P2551">
        <v>-0.23520283229612199</v>
      </c>
      <c r="Q2551">
        <v>0.15356261717036801</v>
      </c>
      <c r="R2551">
        <v>0.95083377880715503</v>
      </c>
      <c r="S2551" t="s">
        <v>6847</v>
      </c>
      <c r="T2551" t="s">
        <v>8590</v>
      </c>
      <c r="U2551" t="s">
        <v>8590</v>
      </c>
      <c r="V2551" t="s">
        <v>8590</v>
      </c>
      <c r="W2551">
        <v>2</v>
      </c>
      <c r="X2551" t="s">
        <v>11141</v>
      </c>
      <c r="Y2551">
        <v>0.49761518688223672</v>
      </c>
      <c r="Z2551" t="str">
        <f>HYPERLINK("Melting_Curves/meltCurve_sp_Q92817_EVPL_HUMAN_.pdf", "Melting_Curves/meltCurve_sp_Q92817_EVPL_HUMAN_.pdf")</f>
        <v>Melting_Curves/meltCurve_sp_Q92817_EVPL_HUMAN_.pdf</v>
      </c>
      <c r="AA2551" t="s">
        <v>15394</v>
      </c>
      <c r="AB2551" t="s">
        <v>19635</v>
      </c>
    </row>
    <row r="2552" spans="1:28" x14ac:dyDescent="0.25">
      <c r="A2552" t="s">
        <v>2556</v>
      </c>
      <c r="B2552">
        <v>0.99876560204751996</v>
      </c>
      <c r="C2552">
        <v>0.99969059437173102</v>
      </c>
      <c r="D2552">
        <v>0.99260478789967099</v>
      </c>
      <c r="E2552">
        <v>0.95651141419632801</v>
      </c>
      <c r="F2552">
        <v>0.75651015339608496</v>
      </c>
      <c r="G2552">
        <v>0.83287162777072299</v>
      </c>
      <c r="H2552">
        <v>0.424730727253187</v>
      </c>
      <c r="I2552">
        <v>0.27096121037473297</v>
      </c>
      <c r="J2552">
        <v>0.13805680910172499</v>
      </c>
      <c r="K2552">
        <v>8.4648154645641793E-2</v>
      </c>
      <c r="L2552">
        <v>991.31414766550802</v>
      </c>
      <c r="M2552">
        <v>16.457663394517301</v>
      </c>
      <c r="N2552">
        <v>60.234197537433097</v>
      </c>
      <c r="O2552">
        <v>59.365951177268499</v>
      </c>
      <c r="P2552">
        <v>-6.9310857630426104E-2</v>
      </c>
      <c r="Q2552">
        <v>0</v>
      </c>
      <c r="R2552">
        <v>0.97156527138644</v>
      </c>
      <c r="S2552" t="s">
        <v>6848</v>
      </c>
      <c r="T2552" t="s">
        <v>8590</v>
      </c>
      <c r="U2552" t="s">
        <v>8590</v>
      </c>
      <c r="V2552" t="s">
        <v>8590</v>
      </c>
      <c r="W2552">
        <v>8</v>
      </c>
      <c r="X2552" t="s">
        <v>11142</v>
      </c>
      <c r="Y2552">
        <v>0.68149394458601809</v>
      </c>
      <c r="Z2552" t="str">
        <f>HYPERLINK("Melting_Curves/meltCurve_sp_Q92820_GGH_HUMAN_.pdf", "Melting_Curves/meltCurve_sp_Q92820_GGH_HUMAN_.pdf")</f>
        <v>Melting_Curves/meltCurve_sp_Q92820_GGH_HUMAN_.pdf</v>
      </c>
      <c r="AA2552" t="s">
        <v>15395</v>
      </c>
      <c r="AB2552" t="s">
        <v>19636</v>
      </c>
    </row>
    <row r="2553" spans="1:28" x14ac:dyDescent="0.25">
      <c r="A2553" t="s">
        <v>2557</v>
      </c>
      <c r="B2553">
        <v>0.99876560204751996</v>
      </c>
      <c r="C2553">
        <v>0.97700911497589304</v>
      </c>
      <c r="D2553">
        <v>0.95851142067726902</v>
      </c>
      <c r="E2553">
        <v>0.74264293465164799</v>
      </c>
      <c r="F2553">
        <v>0.25559010106374702</v>
      </c>
      <c r="G2553">
        <v>0.15383531386682001</v>
      </c>
      <c r="H2553">
        <v>9.6203707908343497E-2</v>
      </c>
      <c r="I2553">
        <v>8.5177009286743793E-2</v>
      </c>
      <c r="J2553">
        <v>8.4851819085137795E-2</v>
      </c>
      <c r="K2553">
        <v>7.4812645777091305E-2</v>
      </c>
      <c r="L2553">
        <v>2036.6111413880201</v>
      </c>
      <c r="M2553">
        <v>39.853785620237197</v>
      </c>
      <c r="N2553">
        <v>51.369935262753998</v>
      </c>
      <c r="O2553">
        <v>50.973918259866601</v>
      </c>
      <c r="P2553">
        <v>-0.17712359416019</v>
      </c>
      <c r="Q2553">
        <v>9.3821126938116201E-2</v>
      </c>
      <c r="R2553">
        <v>0.99726963453123796</v>
      </c>
      <c r="S2553" t="s">
        <v>6849</v>
      </c>
      <c r="T2553" t="s">
        <v>8590</v>
      </c>
      <c r="U2553" t="s">
        <v>8590</v>
      </c>
      <c r="V2553" t="s">
        <v>8590</v>
      </c>
      <c r="W2553">
        <v>23</v>
      </c>
      <c r="X2553" t="s">
        <v>11143</v>
      </c>
      <c r="Y2553">
        <v>0.43239426951510501</v>
      </c>
      <c r="Z2553" t="str">
        <f>HYPERLINK("Melting_Curves/meltCurve_sp_Q92841_DDX17_HUMAN_.pdf", "Melting_Curves/meltCurve_sp_Q92841_DDX17_HUMAN_.pdf")</f>
        <v>Melting_Curves/meltCurve_sp_Q92841_DDX17_HUMAN_.pdf</v>
      </c>
      <c r="AA2553" t="s">
        <v>15396</v>
      </c>
      <c r="AB2553" t="s">
        <v>19637</v>
      </c>
    </row>
    <row r="2554" spans="1:28" x14ac:dyDescent="0.25">
      <c r="A2554" t="s">
        <v>2558</v>
      </c>
      <c r="B2554">
        <v>0.99876560204751996</v>
      </c>
      <c r="C2554">
        <v>1.00749240295396</v>
      </c>
      <c r="D2554">
        <v>0.85565782366744703</v>
      </c>
      <c r="E2554">
        <v>0.57308804376245004</v>
      </c>
      <c r="F2554">
        <v>0.28139559585868401</v>
      </c>
      <c r="G2554">
        <v>0.14232854088776201</v>
      </c>
      <c r="H2554">
        <v>9.11870781253806E-2</v>
      </c>
      <c r="I2554">
        <v>7.1191832660204096E-2</v>
      </c>
      <c r="J2554">
        <v>7.1874500489263193E-2</v>
      </c>
      <c r="K2554">
        <v>6.4196696188121294E-2</v>
      </c>
      <c r="L2554">
        <v>1057.3233741224501</v>
      </c>
      <c r="M2554">
        <v>21.0513760814199</v>
      </c>
      <c r="N2554">
        <v>50.559130756996502</v>
      </c>
      <c r="O2554">
        <v>49.779216563254103</v>
      </c>
      <c r="P2554">
        <v>-9.8877119104974306E-2</v>
      </c>
      <c r="Q2554">
        <v>6.4784227414248802E-2</v>
      </c>
      <c r="R2554">
        <v>0.99832328770791601</v>
      </c>
      <c r="S2554" t="s">
        <v>6850</v>
      </c>
      <c r="T2554" t="s">
        <v>8590</v>
      </c>
      <c r="U2554" t="s">
        <v>8590</v>
      </c>
      <c r="V2554" t="s">
        <v>8590</v>
      </c>
      <c r="W2554">
        <v>14</v>
      </c>
      <c r="X2554" t="s">
        <v>11144</v>
      </c>
      <c r="Y2554">
        <v>0.395339678958535</v>
      </c>
      <c r="Z2554" t="str">
        <f>HYPERLINK("Melting_Curves/meltCurve_sp_Q92878_RAD50_HUMAN_.pdf", "Melting_Curves/meltCurve_sp_Q92878_RAD50_HUMAN_.pdf")</f>
        <v>Melting_Curves/meltCurve_sp_Q92878_RAD50_HUMAN_.pdf</v>
      </c>
      <c r="AA2554" t="s">
        <v>15397</v>
      </c>
      <c r="AB2554" t="s">
        <v>19638</v>
      </c>
    </row>
    <row r="2555" spans="1:28" x14ac:dyDescent="0.25">
      <c r="A2555" t="s">
        <v>2559</v>
      </c>
      <c r="B2555">
        <v>0.99876560204751996</v>
      </c>
      <c r="C2555">
        <v>1.0617956935580399</v>
      </c>
      <c r="D2555">
        <v>1.00736848009278</v>
      </c>
      <c r="E2555">
        <v>0.64684339838173599</v>
      </c>
      <c r="F2555">
        <v>0.35799063397435599</v>
      </c>
      <c r="G2555">
        <v>0.19459015426193399</v>
      </c>
      <c r="H2555">
        <v>0.1145894092215</v>
      </c>
      <c r="I2555">
        <v>8.8998095758044404E-2</v>
      </c>
      <c r="J2555">
        <v>8.2121934743054403E-2</v>
      </c>
      <c r="K2555">
        <v>7.1448329346534598E-2</v>
      </c>
      <c r="L2555">
        <v>1302.4257266770301</v>
      </c>
      <c r="M2555">
        <v>25.463864345890801</v>
      </c>
      <c r="N2555">
        <v>51.558342394882899</v>
      </c>
      <c r="O2555">
        <v>50.835676418370099</v>
      </c>
      <c r="P2555">
        <v>-0.11374165129999</v>
      </c>
      <c r="Q2555">
        <v>9.1722855131264699E-2</v>
      </c>
      <c r="R2555">
        <v>0.99311508513146796</v>
      </c>
      <c r="S2555" t="s">
        <v>6851</v>
      </c>
      <c r="T2555" t="s">
        <v>8590</v>
      </c>
      <c r="U2555" t="s">
        <v>8590</v>
      </c>
      <c r="V2555" t="s">
        <v>8590</v>
      </c>
      <c r="W2555">
        <v>6</v>
      </c>
      <c r="X2555" t="s">
        <v>11145</v>
      </c>
      <c r="Y2555">
        <v>0.43716572317385149</v>
      </c>
      <c r="Z2555" t="str">
        <f>HYPERLINK("Melting_Curves/meltCurve_sp_Q92879_5_CELF1_HUMAN_.pdf", "Melting_Curves/meltCurve_sp_Q92879_5_CELF1_HUMAN_.pdf")</f>
        <v>Melting_Curves/meltCurve_sp_Q92879_5_CELF1_HUMAN_.pdf</v>
      </c>
      <c r="AA2555" t="s">
        <v>15398</v>
      </c>
      <c r="AB2555" t="s">
        <v>19639</v>
      </c>
    </row>
    <row r="2556" spans="1:28" x14ac:dyDescent="0.25">
      <c r="A2556" t="s">
        <v>2560</v>
      </c>
      <c r="B2556">
        <v>0.99876560204751996</v>
      </c>
      <c r="C2556">
        <v>0.90505912587526605</v>
      </c>
      <c r="D2556">
        <v>0.94344776920946205</v>
      </c>
      <c r="E2556">
        <v>0.81516011369487196</v>
      </c>
      <c r="F2556">
        <v>0.60986496992053196</v>
      </c>
      <c r="G2556">
        <v>0.376982049673802</v>
      </c>
      <c r="H2556">
        <v>0.27590518953544102</v>
      </c>
      <c r="I2556">
        <v>0.263158774837781</v>
      </c>
      <c r="J2556">
        <v>0.31087262994638998</v>
      </c>
      <c r="K2556">
        <v>0.31481278074603303</v>
      </c>
      <c r="L2556">
        <v>1132.1351251108399</v>
      </c>
      <c r="M2556">
        <v>21.604769724011501</v>
      </c>
      <c r="N2556">
        <v>54.4439449601878</v>
      </c>
      <c r="O2556">
        <v>51.959336730125003</v>
      </c>
      <c r="P2556">
        <v>-7.5092550784277803E-2</v>
      </c>
      <c r="Q2556">
        <v>0.277628856865686</v>
      </c>
      <c r="R2556">
        <v>0.985094489872826</v>
      </c>
      <c r="S2556" t="s">
        <v>6852</v>
      </c>
      <c r="T2556" t="s">
        <v>8590</v>
      </c>
      <c r="U2556" t="s">
        <v>8590</v>
      </c>
      <c r="V2556" t="s">
        <v>8590</v>
      </c>
      <c r="W2556">
        <v>7</v>
      </c>
      <c r="X2556" t="s">
        <v>11146</v>
      </c>
      <c r="Y2556">
        <v>0.58494961204122264</v>
      </c>
      <c r="Z2556" t="str">
        <f>HYPERLINK("Melting_Curves/meltCurve_sp_Q92882_OSTF1_HUMAN_.pdf", "Melting_Curves/meltCurve_sp_Q92882_OSTF1_HUMAN_.pdf")</f>
        <v>Melting_Curves/meltCurve_sp_Q92882_OSTF1_HUMAN_.pdf</v>
      </c>
      <c r="AA2556" t="s">
        <v>15399</v>
      </c>
      <c r="AB2556" t="s">
        <v>19640</v>
      </c>
    </row>
    <row r="2557" spans="1:28" x14ac:dyDescent="0.25">
      <c r="A2557" t="s">
        <v>2561</v>
      </c>
      <c r="B2557">
        <v>0.99876560204751996</v>
      </c>
      <c r="C2557">
        <v>0.99984104455501099</v>
      </c>
      <c r="D2557">
        <v>0.96185877468320802</v>
      </c>
      <c r="E2557">
        <v>0.71191871893488201</v>
      </c>
      <c r="F2557">
        <v>0.48260637217042301</v>
      </c>
      <c r="G2557">
        <v>0.294398744619775</v>
      </c>
      <c r="H2557">
        <v>0.192737422484514</v>
      </c>
      <c r="I2557">
        <v>0.13232864732612101</v>
      </c>
      <c r="J2557">
        <v>0.10866649315508101</v>
      </c>
      <c r="K2557">
        <v>9.850453887973E-2</v>
      </c>
      <c r="L2557">
        <v>917.84701809516798</v>
      </c>
      <c r="M2557">
        <v>17.5370231161261</v>
      </c>
      <c r="N2557">
        <v>53.017623395681298</v>
      </c>
      <c r="O2557">
        <v>51.671360975807097</v>
      </c>
      <c r="P2557">
        <v>-7.6308226712547805E-2</v>
      </c>
      <c r="Q2557">
        <v>0.100706127504691</v>
      </c>
      <c r="R2557">
        <v>0.997471245157873</v>
      </c>
      <c r="S2557" t="s">
        <v>6853</v>
      </c>
      <c r="T2557" t="s">
        <v>8590</v>
      </c>
      <c r="U2557" t="s">
        <v>8590</v>
      </c>
      <c r="V2557" t="s">
        <v>8590</v>
      </c>
      <c r="W2557">
        <v>13</v>
      </c>
      <c r="X2557" t="s">
        <v>11147</v>
      </c>
      <c r="Y2557">
        <v>0.48609593986682159</v>
      </c>
      <c r="Z2557" t="str">
        <f>HYPERLINK("Melting_Curves/meltCurve_sp_Q92888_2_ARHG1_HUMAN_.pdf", "Melting_Curves/meltCurve_sp_Q92888_2_ARHG1_HUMAN_.pdf")</f>
        <v>Melting_Curves/meltCurve_sp_Q92888_2_ARHG1_HUMAN_.pdf</v>
      </c>
      <c r="AA2557" t="s">
        <v>15400</v>
      </c>
      <c r="AB2557" t="s">
        <v>19641</v>
      </c>
    </row>
    <row r="2558" spans="1:28" x14ac:dyDescent="0.25">
      <c r="A2558" t="s">
        <v>2562</v>
      </c>
      <c r="B2558">
        <v>0.99876560204751996</v>
      </c>
      <c r="C2558">
        <v>0.96744562596011197</v>
      </c>
      <c r="D2558">
        <v>1.0256477911625099</v>
      </c>
      <c r="E2558">
        <v>0.884277617808922</v>
      </c>
      <c r="F2558">
        <v>0.83296272166067098</v>
      </c>
      <c r="G2558">
        <v>0.67403315716006396</v>
      </c>
      <c r="H2558">
        <v>0.522603821015311</v>
      </c>
      <c r="I2558">
        <v>0.43108002089406999</v>
      </c>
      <c r="J2558">
        <v>0.353112590978229</v>
      </c>
      <c r="K2558">
        <v>0.28898205761414902</v>
      </c>
      <c r="L2558">
        <v>666.06598339050197</v>
      </c>
      <c r="M2558">
        <v>11.2165524303943</v>
      </c>
      <c r="N2558">
        <v>61.623866205746097</v>
      </c>
      <c r="O2558">
        <v>57.588741840324403</v>
      </c>
      <c r="P2558">
        <v>-4.0548968733946901E-2</v>
      </c>
      <c r="Q2558">
        <v>0.16750413830529101</v>
      </c>
      <c r="R2558">
        <v>0.99375984315574095</v>
      </c>
      <c r="S2558" t="s">
        <v>6854</v>
      </c>
      <c r="T2558" t="s">
        <v>8590</v>
      </c>
      <c r="U2558" t="s">
        <v>8590</v>
      </c>
      <c r="V2558" t="s">
        <v>8590</v>
      </c>
      <c r="W2558">
        <v>9</v>
      </c>
      <c r="X2558" t="s">
        <v>11148</v>
      </c>
      <c r="Y2558">
        <v>0.70887851386512668</v>
      </c>
      <c r="Z2558" t="str">
        <f>HYPERLINK("Melting_Curves/meltCurve_sp_Q92890_UFD1_HUMAN_.pdf", "Melting_Curves/meltCurve_sp_Q92890_UFD1_HUMAN_.pdf")</f>
        <v>Melting_Curves/meltCurve_sp_Q92890_UFD1_HUMAN_.pdf</v>
      </c>
      <c r="AA2558" t="s">
        <v>15401</v>
      </c>
      <c r="AB2558" t="s">
        <v>19642</v>
      </c>
    </row>
    <row r="2559" spans="1:28" x14ac:dyDescent="0.25">
      <c r="A2559" t="s">
        <v>2563</v>
      </c>
      <c r="B2559">
        <v>0.99876560204751996</v>
      </c>
      <c r="C2559">
        <v>1.2532989690796701</v>
      </c>
      <c r="D2559">
        <v>1.23881366554713</v>
      </c>
      <c r="E2559">
        <v>1.1518461754771401</v>
      </c>
      <c r="F2559">
        <v>1.1148335809744701</v>
      </c>
      <c r="G2559">
        <v>0.817584788157386</v>
      </c>
      <c r="H2559">
        <v>0.71667980395187503</v>
      </c>
      <c r="I2559">
        <v>0.70201581857300099</v>
      </c>
      <c r="J2559">
        <v>1.0096613914468999</v>
      </c>
      <c r="K2559">
        <v>0.844304852098687</v>
      </c>
      <c r="L2559">
        <v>13875.279823494</v>
      </c>
      <c r="M2559">
        <v>250</v>
      </c>
      <c r="O2559">
        <v>55.497567806355498</v>
      </c>
      <c r="P2559">
        <v>-0.20496513273343001</v>
      </c>
      <c r="Q2559">
        <v>0.81799893929227396</v>
      </c>
      <c r="R2559">
        <v>0.42748812981434497</v>
      </c>
      <c r="S2559" t="s">
        <v>6855</v>
      </c>
      <c r="T2559" t="s">
        <v>8590</v>
      </c>
      <c r="U2559" t="s">
        <v>8590</v>
      </c>
      <c r="V2559" t="s">
        <v>8590</v>
      </c>
      <c r="W2559">
        <v>4</v>
      </c>
      <c r="X2559" t="s">
        <v>11149</v>
      </c>
      <c r="Y2559">
        <v>0.91205733863958371</v>
      </c>
      <c r="Z2559" t="str">
        <f>HYPERLINK("Melting_Curves/meltCurve_sp_Q92896_GSLG1_HUMAN_.pdf", "Melting_Curves/meltCurve_sp_Q92896_GSLG1_HUMAN_.pdf")</f>
        <v>Melting_Curves/meltCurve_sp_Q92896_GSLG1_HUMAN_.pdf</v>
      </c>
      <c r="AA2559" t="s">
        <v>15402</v>
      </c>
      <c r="AB2559" t="s">
        <v>19643</v>
      </c>
    </row>
    <row r="2560" spans="1:28" x14ac:dyDescent="0.25">
      <c r="A2560" t="s">
        <v>2564</v>
      </c>
      <c r="B2560">
        <v>0.99876560204751996</v>
      </c>
      <c r="C2560">
        <v>0.90103634870882698</v>
      </c>
      <c r="D2560">
        <v>0.68008370621370995</v>
      </c>
      <c r="E2560">
        <v>0.46802623848722202</v>
      </c>
      <c r="F2560">
        <v>0.31232830228695602</v>
      </c>
      <c r="G2560">
        <v>0.22548549623533101</v>
      </c>
      <c r="H2560">
        <v>0.15124054156609601</v>
      </c>
      <c r="I2560">
        <v>9.8522760721122593E-2</v>
      </c>
      <c r="J2560">
        <v>6.1325617829754903E-2</v>
      </c>
      <c r="K2560">
        <v>5.1488558428529702E-2</v>
      </c>
      <c r="L2560">
        <v>623.74174756058198</v>
      </c>
      <c r="M2560">
        <v>12.694038531985401</v>
      </c>
      <c r="N2560">
        <v>49.555600039474903</v>
      </c>
      <c r="O2560">
        <v>47.965007637368998</v>
      </c>
      <c r="P2560">
        <v>-6.2808342355292798E-2</v>
      </c>
      <c r="Q2560">
        <v>5.0886717022214902E-2</v>
      </c>
      <c r="R2560">
        <v>0.99323511664160302</v>
      </c>
      <c r="S2560" t="s">
        <v>6856</v>
      </c>
      <c r="T2560" t="s">
        <v>8590</v>
      </c>
      <c r="U2560" t="s">
        <v>8590</v>
      </c>
      <c r="V2560" t="s">
        <v>8590</v>
      </c>
      <c r="W2560">
        <v>30</v>
      </c>
      <c r="X2560" t="s">
        <v>11150</v>
      </c>
      <c r="Y2560">
        <v>0.37139113262594958</v>
      </c>
      <c r="Z2560" t="str">
        <f>HYPERLINK("Melting_Curves/meltCurve_sp_Q92900_2_RENT1_HUMAN_.pdf", "Melting_Curves/meltCurve_sp_Q92900_2_RENT1_HUMAN_.pdf")</f>
        <v>Melting_Curves/meltCurve_sp_Q92900_2_RENT1_HUMAN_.pdf</v>
      </c>
      <c r="AA2560" t="s">
        <v>15403</v>
      </c>
      <c r="AB2560" t="s">
        <v>19644</v>
      </c>
    </row>
    <row r="2561" spans="1:28" x14ac:dyDescent="0.25">
      <c r="A2561" t="s">
        <v>2565</v>
      </c>
      <c r="B2561">
        <v>0.99876560204751996</v>
      </c>
      <c r="C2561">
        <v>0.99766030896214797</v>
      </c>
      <c r="D2561">
        <v>0.889837333012228</v>
      </c>
      <c r="E2561">
        <v>0.96323634390788704</v>
      </c>
      <c r="F2561">
        <v>0.84780845030930496</v>
      </c>
      <c r="G2561">
        <v>0.31737094441596198</v>
      </c>
      <c r="H2561">
        <v>8.2638897899052405E-2</v>
      </c>
      <c r="I2561">
        <v>6.2241974384520497E-2</v>
      </c>
      <c r="J2561">
        <v>4.8857518157869102E-2</v>
      </c>
      <c r="K2561">
        <v>3.9842607404106098E-2</v>
      </c>
      <c r="L2561">
        <v>1902.73819407768</v>
      </c>
      <c r="M2561">
        <v>34.2876862968929</v>
      </c>
      <c r="N2561">
        <v>55.644690879190698</v>
      </c>
      <c r="O2561">
        <v>55.305609728082104</v>
      </c>
      <c r="P2561">
        <v>-0.148091891354723</v>
      </c>
      <c r="Q2561">
        <v>4.4522465454127899E-2</v>
      </c>
      <c r="R2561">
        <v>0.99311056451729596</v>
      </c>
      <c r="S2561" t="s">
        <v>6857</v>
      </c>
      <c r="T2561" t="s">
        <v>8590</v>
      </c>
      <c r="U2561" t="s">
        <v>8590</v>
      </c>
      <c r="V2561" t="s">
        <v>8590</v>
      </c>
      <c r="W2561">
        <v>7</v>
      </c>
      <c r="X2561" t="s">
        <v>11151</v>
      </c>
      <c r="Y2561">
        <v>0.54290651006384494</v>
      </c>
      <c r="Z2561" t="str">
        <f>HYPERLINK("Melting_Curves/meltCurve_sp_Q92905_CSN5_HUMAN_.pdf", "Melting_Curves/meltCurve_sp_Q92905_CSN5_HUMAN_.pdf")</f>
        <v>Melting_Curves/meltCurve_sp_Q92905_CSN5_HUMAN_.pdf</v>
      </c>
      <c r="AA2561" t="s">
        <v>15404</v>
      </c>
      <c r="AB2561" t="s">
        <v>19645</v>
      </c>
    </row>
    <row r="2562" spans="1:28" x14ac:dyDescent="0.25">
      <c r="A2562" t="s">
        <v>2566</v>
      </c>
      <c r="B2562">
        <v>0.99876560204751996</v>
      </c>
      <c r="C2562">
        <v>0.93296567599602798</v>
      </c>
      <c r="D2562">
        <v>0.87664081217298295</v>
      </c>
      <c r="E2562">
        <v>0.74958267611078</v>
      </c>
      <c r="F2562">
        <v>0.510810008592958</v>
      </c>
      <c r="G2562">
        <v>0.29389371515122598</v>
      </c>
      <c r="H2562">
        <v>0.18308815296574299</v>
      </c>
      <c r="I2562">
        <v>0.185436824807656</v>
      </c>
      <c r="J2562">
        <v>0.28754599062557601</v>
      </c>
      <c r="K2562">
        <v>0.24847544254279899</v>
      </c>
      <c r="L2562">
        <v>1010.07421588478</v>
      </c>
      <c r="M2562">
        <v>19.6113182229575</v>
      </c>
      <c r="N2562">
        <v>52.972849572639703</v>
      </c>
      <c r="O2562">
        <v>50.978094864937702</v>
      </c>
      <c r="P2562">
        <v>-7.6014037316592495E-2</v>
      </c>
      <c r="Q2562">
        <v>0.209657497694441</v>
      </c>
      <c r="R2562">
        <v>0.98095041519653903</v>
      </c>
      <c r="S2562" t="s">
        <v>6858</v>
      </c>
      <c r="T2562" t="s">
        <v>8590</v>
      </c>
      <c r="U2562" t="s">
        <v>8590</v>
      </c>
      <c r="V2562" t="s">
        <v>8590</v>
      </c>
      <c r="W2562">
        <v>8</v>
      </c>
      <c r="X2562" t="s">
        <v>11152</v>
      </c>
      <c r="Y2562">
        <v>0.52410089422253636</v>
      </c>
      <c r="Z2562" t="str">
        <f>HYPERLINK("Melting_Curves/meltCurve_sp_Q92917_GPKOW_HUMAN_.pdf", "Melting_Curves/meltCurve_sp_Q92917_GPKOW_HUMAN_.pdf")</f>
        <v>Melting_Curves/meltCurve_sp_Q92917_GPKOW_HUMAN_.pdf</v>
      </c>
      <c r="AA2562" t="s">
        <v>15405</v>
      </c>
      <c r="AB2562" t="s">
        <v>19646</v>
      </c>
    </row>
    <row r="2563" spans="1:28" x14ac:dyDescent="0.25">
      <c r="A2563" t="s">
        <v>2567</v>
      </c>
      <c r="B2563">
        <v>0.99876560204751996</v>
      </c>
      <c r="C2563">
        <v>0.94779434594995604</v>
      </c>
      <c r="D2563">
        <v>1.0101888047629399</v>
      </c>
      <c r="E2563">
        <v>1.05644584318659</v>
      </c>
      <c r="F2563">
        <v>0.96330595558594401</v>
      </c>
      <c r="G2563">
        <v>0.95747287049402596</v>
      </c>
      <c r="H2563">
        <v>0.86548705612389398</v>
      </c>
      <c r="I2563">
        <v>0.80233096418497796</v>
      </c>
      <c r="J2563">
        <v>1.02031045205628</v>
      </c>
      <c r="K2563">
        <v>0.70339139644896798</v>
      </c>
      <c r="L2563">
        <v>541.71143721450505</v>
      </c>
      <c r="M2563">
        <v>6.45440594788914</v>
      </c>
      <c r="Q2563">
        <v>0</v>
      </c>
      <c r="R2563">
        <v>0.47748883917933999</v>
      </c>
      <c r="S2563" t="s">
        <v>6859</v>
      </c>
      <c r="T2563" t="s">
        <v>8590</v>
      </c>
      <c r="U2563" t="s">
        <v>8590</v>
      </c>
      <c r="V2563" t="s">
        <v>8590</v>
      </c>
      <c r="W2563">
        <v>2</v>
      </c>
      <c r="X2563" t="s">
        <v>11153</v>
      </c>
      <c r="Y2563">
        <v>0.94117820286483789</v>
      </c>
      <c r="Z2563" t="str">
        <f>HYPERLINK("Melting_Curves/meltCurve_sp_Q92934_BAD_HUMAN_.pdf", "Melting_Curves/meltCurve_sp_Q92934_BAD_HUMAN_.pdf")</f>
        <v>Melting_Curves/meltCurve_sp_Q92934_BAD_HUMAN_.pdf</v>
      </c>
      <c r="AA2563" t="s">
        <v>15406</v>
      </c>
      <c r="AB2563" t="s">
        <v>19647</v>
      </c>
    </row>
    <row r="2564" spans="1:28" x14ac:dyDescent="0.25">
      <c r="A2564" t="s">
        <v>2568</v>
      </c>
      <c r="B2564">
        <v>0.99876560204751996</v>
      </c>
      <c r="C2564">
        <v>1.00075336918353</v>
      </c>
      <c r="D2564">
        <v>1.08231319416024</v>
      </c>
      <c r="E2564">
        <v>0.96936820532913504</v>
      </c>
      <c r="F2564">
        <v>0.99487817803062695</v>
      </c>
      <c r="G2564">
        <v>0.79717811112133397</v>
      </c>
      <c r="H2564">
        <v>0.69684825521935201</v>
      </c>
      <c r="I2564">
        <v>0.679931339466191</v>
      </c>
      <c r="J2564">
        <v>0.84971741441482795</v>
      </c>
      <c r="K2564">
        <v>0.79643029971030099</v>
      </c>
      <c r="L2564">
        <v>14159.487976877201</v>
      </c>
      <c r="M2564">
        <v>250</v>
      </c>
      <c r="O2564">
        <v>56.634328969233501</v>
      </c>
      <c r="P2564">
        <v>-0.26956726510985601</v>
      </c>
      <c r="Q2564">
        <v>0.75573182807273698</v>
      </c>
      <c r="R2564">
        <v>0.84641603408027799</v>
      </c>
      <c r="S2564" t="s">
        <v>6860</v>
      </c>
      <c r="T2564" t="s">
        <v>8590</v>
      </c>
      <c r="U2564" t="s">
        <v>8590</v>
      </c>
      <c r="V2564" t="s">
        <v>8590</v>
      </c>
      <c r="W2564">
        <v>33</v>
      </c>
      <c r="X2564" t="s">
        <v>11154</v>
      </c>
      <c r="Y2564">
        <v>0.89122684458606516</v>
      </c>
      <c r="Z2564" t="str">
        <f>HYPERLINK("Melting_Curves/meltCurve_sp_Q92945_FUBP2_HUMAN_.pdf", "Melting_Curves/meltCurve_sp_Q92945_FUBP2_HUMAN_.pdf")</f>
        <v>Melting_Curves/meltCurve_sp_Q92945_FUBP2_HUMAN_.pdf</v>
      </c>
      <c r="AA2564" t="s">
        <v>15407</v>
      </c>
      <c r="AB2564" t="s">
        <v>19648</v>
      </c>
    </row>
    <row r="2565" spans="1:28" x14ac:dyDescent="0.25">
      <c r="A2565" t="s">
        <v>2569</v>
      </c>
      <c r="B2565">
        <v>0.99876560204751996</v>
      </c>
      <c r="C2565">
        <v>0.88295616311915004</v>
      </c>
      <c r="D2565">
        <v>0.64585461155642498</v>
      </c>
      <c r="E2565">
        <v>0.419790075204373</v>
      </c>
      <c r="F2565">
        <v>0.251193103870607</v>
      </c>
      <c r="G2565">
        <v>0.16372383743431601</v>
      </c>
      <c r="H2565">
        <v>9.6138708521904898E-2</v>
      </c>
      <c r="I2565">
        <v>6.1329103760059803E-2</v>
      </c>
      <c r="J2565">
        <v>4.19775479612427E-2</v>
      </c>
      <c r="K2565">
        <v>2.9368373418174502E-2</v>
      </c>
      <c r="L2565">
        <v>674.71272222229697</v>
      </c>
      <c r="M2565">
        <v>13.9356365138584</v>
      </c>
      <c r="N2565">
        <v>48.650714818406797</v>
      </c>
      <c r="O2565">
        <v>47.452052332704397</v>
      </c>
      <c r="P2565">
        <v>-7.1045686260556601E-2</v>
      </c>
      <c r="Q2565">
        <v>3.2463438422885599E-2</v>
      </c>
      <c r="R2565">
        <v>0.99529498450830101</v>
      </c>
      <c r="S2565" t="s">
        <v>6861</v>
      </c>
      <c r="T2565" t="s">
        <v>8590</v>
      </c>
      <c r="U2565" t="s">
        <v>8590</v>
      </c>
      <c r="V2565" t="s">
        <v>8590</v>
      </c>
      <c r="W2565">
        <v>17</v>
      </c>
      <c r="X2565" t="s">
        <v>11155</v>
      </c>
      <c r="Y2565">
        <v>0.33202922603707269</v>
      </c>
      <c r="Z2565" t="str">
        <f>HYPERLINK("Melting_Curves/meltCurve_sp_Q92947_GCDH_HUMAN_.pdf", "Melting_Curves/meltCurve_sp_Q92947_GCDH_HUMAN_.pdf")</f>
        <v>Melting_Curves/meltCurve_sp_Q92947_GCDH_HUMAN_.pdf</v>
      </c>
      <c r="AA2565" t="s">
        <v>15408</v>
      </c>
      <c r="AB2565" t="s">
        <v>19649</v>
      </c>
    </row>
    <row r="2566" spans="1:28" x14ac:dyDescent="0.25">
      <c r="A2566" t="s">
        <v>2570</v>
      </c>
      <c r="B2566">
        <v>0.99876560204751996</v>
      </c>
      <c r="C2566">
        <v>0.99463596599813997</v>
      </c>
      <c r="D2566">
        <v>1.26722881351757</v>
      </c>
      <c r="E2566">
        <v>0.93951651119383695</v>
      </c>
      <c r="F2566">
        <v>0.35822886429807699</v>
      </c>
      <c r="G2566">
        <v>0.12737200399662499</v>
      </c>
      <c r="H2566">
        <v>9.7114729580277601E-2</v>
      </c>
      <c r="I2566">
        <v>8.9336529305003298E-2</v>
      </c>
      <c r="J2566">
        <v>0.113425587899079</v>
      </c>
      <c r="K2566">
        <v>0.11094145798009</v>
      </c>
      <c r="L2566">
        <v>3165.02575547575</v>
      </c>
      <c r="M2566">
        <v>60.651185776996599</v>
      </c>
      <c r="N2566">
        <v>52.390921998873999</v>
      </c>
      <c r="O2566">
        <v>52.127451545893102</v>
      </c>
      <c r="P2566">
        <v>-0.25990823955277398</v>
      </c>
      <c r="Q2566">
        <v>0.106474647581697</v>
      </c>
      <c r="R2566">
        <v>0.96499927239357897</v>
      </c>
      <c r="S2566" t="s">
        <v>6862</v>
      </c>
      <c r="T2566" t="s">
        <v>8590</v>
      </c>
      <c r="U2566" t="s">
        <v>8590</v>
      </c>
      <c r="V2566" t="s">
        <v>8590</v>
      </c>
      <c r="W2566">
        <v>6</v>
      </c>
      <c r="X2566" t="s">
        <v>11156</v>
      </c>
      <c r="Y2566">
        <v>0.47076246224056267</v>
      </c>
      <c r="Z2566" t="str">
        <f>HYPERLINK("Melting_Curves/meltCurve_sp_Q92954_3_PRG4_HUMAN_.pdf", "Melting_Curves/meltCurve_sp_Q92954_3_PRG4_HUMAN_.pdf")</f>
        <v>Melting_Curves/meltCurve_sp_Q92954_3_PRG4_HUMAN_.pdf</v>
      </c>
      <c r="AA2566" t="s">
        <v>15409</v>
      </c>
      <c r="AB2566" t="s">
        <v>19650</v>
      </c>
    </row>
    <row r="2567" spans="1:28" x14ac:dyDescent="0.25">
      <c r="A2567" t="s">
        <v>2571</v>
      </c>
      <c r="B2567">
        <v>0.99876560204751996</v>
      </c>
      <c r="C2567">
        <v>1.0437210996155799</v>
      </c>
      <c r="D2567">
        <v>0.95425639817866204</v>
      </c>
      <c r="E2567">
        <v>0.93756321031473</v>
      </c>
      <c r="F2567">
        <v>0.60294544604269695</v>
      </c>
      <c r="G2567">
        <v>0.21913397165971599</v>
      </c>
      <c r="H2567">
        <v>9.5940841055126097E-2</v>
      </c>
      <c r="I2567">
        <v>5.9490213970396E-2</v>
      </c>
      <c r="J2567">
        <v>5.43542921142674E-2</v>
      </c>
      <c r="K2567">
        <v>2.8866938617157001E-2</v>
      </c>
      <c r="L2567">
        <v>1529.4212930164899</v>
      </c>
      <c r="M2567">
        <v>28.4316992351804</v>
      </c>
      <c r="N2567">
        <v>53.987820797376102</v>
      </c>
      <c r="O2567">
        <v>53.528812462615797</v>
      </c>
      <c r="P2567">
        <v>-0.12630814034729901</v>
      </c>
      <c r="Q2567">
        <v>4.8798280420195697E-2</v>
      </c>
      <c r="R2567">
        <v>0.99669558993501095</v>
      </c>
      <c r="S2567" t="s">
        <v>6863</v>
      </c>
      <c r="T2567" t="s">
        <v>8590</v>
      </c>
      <c r="U2567" t="s">
        <v>8590</v>
      </c>
      <c r="V2567" t="s">
        <v>8590</v>
      </c>
      <c r="W2567">
        <v>15</v>
      </c>
      <c r="X2567" t="s">
        <v>11157</v>
      </c>
      <c r="Y2567">
        <v>0.49303465048445522</v>
      </c>
      <c r="Z2567" t="str">
        <f>HYPERLINK("Melting_Curves/meltCurve_sp_Q92973_2_TNPO1_HUMAN_.pdf", "Melting_Curves/meltCurve_sp_Q92973_2_TNPO1_HUMAN_.pdf")</f>
        <v>Melting_Curves/meltCurve_sp_Q92973_2_TNPO1_HUMAN_.pdf</v>
      </c>
      <c r="AA2567" t="s">
        <v>15410</v>
      </c>
      <c r="AB2567" t="s">
        <v>19651</v>
      </c>
    </row>
    <row r="2568" spans="1:28" x14ac:dyDescent="0.25">
      <c r="A2568" t="s">
        <v>2572</v>
      </c>
      <c r="B2568">
        <v>0.99876560204751996</v>
      </c>
      <c r="C2568">
        <v>0.95175082795841404</v>
      </c>
      <c r="D2568">
        <v>0.93784294599047902</v>
      </c>
      <c r="E2568">
        <v>0.60687652613752396</v>
      </c>
      <c r="F2568">
        <v>0.47904983621824299</v>
      </c>
      <c r="G2568">
        <v>0.33636835062391202</v>
      </c>
      <c r="H2568">
        <v>0.25447862165739199</v>
      </c>
      <c r="I2568">
        <v>0.209487613521673</v>
      </c>
      <c r="J2568">
        <v>0.32751384283025398</v>
      </c>
      <c r="K2568">
        <v>0.25112451746930298</v>
      </c>
      <c r="L2568">
        <v>1004.15735629832</v>
      </c>
      <c r="M2568">
        <v>19.988931141569399</v>
      </c>
      <c r="N2568">
        <v>52.113969227132102</v>
      </c>
      <c r="O2568">
        <v>49.740990126522497</v>
      </c>
      <c r="P2568">
        <v>-7.4674941127767E-2</v>
      </c>
      <c r="Q2568">
        <v>0.25673177270012798</v>
      </c>
      <c r="R2568">
        <v>0.98565368336867898</v>
      </c>
      <c r="S2568" t="s">
        <v>6864</v>
      </c>
      <c r="T2568" t="s">
        <v>8590</v>
      </c>
      <c r="U2568" t="s">
        <v>8590</v>
      </c>
      <c r="V2568" t="s">
        <v>8590</v>
      </c>
      <c r="W2568">
        <v>1</v>
      </c>
      <c r="X2568" t="s">
        <v>11158</v>
      </c>
      <c r="Y2568">
        <v>0.52067653070881736</v>
      </c>
      <c r="Z2568" t="str">
        <f>HYPERLINK("Melting_Curves/meltCurve_sp_Q92979_NEP1_HUMAN_.pdf", "Melting_Curves/meltCurve_sp_Q92979_NEP1_HUMAN_.pdf")</f>
        <v>Melting_Curves/meltCurve_sp_Q92979_NEP1_HUMAN_.pdf</v>
      </c>
      <c r="AA2568" t="s">
        <v>15411</v>
      </c>
      <c r="AB2568" t="s">
        <v>19652</v>
      </c>
    </row>
    <row r="2569" spans="1:28" x14ac:dyDescent="0.25">
      <c r="A2569" t="s">
        <v>2573</v>
      </c>
      <c r="B2569">
        <v>0.99876560204751996</v>
      </c>
      <c r="C2569">
        <v>0.90207584140965502</v>
      </c>
      <c r="D2569">
        <v>0.83336352136090996</v>
      </c>
      <c r="E2569">
        <v>0.77784592130708097</v>
      </c>
      <c r="F2569">
        <v>0.64330994263869801</v>
      </c>
      <c r="G2569">
        <v>0.31196966167462797</v>
      </c>
      <c r="H2569">
        <v>0.13124357523139599</v>
      </c>
      <c r="I2569">
        <v>0.10126785503518</v>
      </c>
      <c r="J2569">
        <v>0.10931112144101</v>
      </c>
      <c r="K2569">
        <v>5.9333109003626698E-2</v>
      </c>
      <c r="L2569">
        <v>720.95293254779597</v>
      </c>
      <c r="M2569">
        <v>13.303255189214401</v>
      </c>
      <c r="N2569">
        <v>54.1937236867482</v>
      </c>
      <c r="O2569">
        <v>53.013076857532603</v>
      </c>
      <c r="P2569">
        <v>-6.2745862166437696E-2</v>
      </c>
      <c r="Q2569">
        <v>0</v>
      </c>
      <c r="R2569">
        <v>0.98289872570141801</v>
      </c>
      <c r="S2569" t="s">
        <v>6865</v>
      </c>
      <c r="T2569" t="s">
        <v>8590</v>
      </c>
      <c r="U2569" t="s">
        <v>8590</v>
      </c>
      <c r="V2569" t="s">
        <v>8590</v>
      </c>
      <c r="W2569">
        <v>2</v>
      </c>
      <c r="X2569" t="s">
        <v>11159</v>
      </c>
      <c r="Y2569">
        <v>0.49634453704892878</v>
      </c>
      <c r="Z2569" t="str">
        <f>HYPERLINK("Melting_Curves/meltCurve_sp_Q92989_2_CLP1_HUMAN_.pdf", "Melting_Curves/meltCurve_sp_Q92989_2_CLP1_HUMAN_.pdf")</f>
        <v>Melting_Curves/meltCurve_sp_Q92989_2_CLP1_HUMAN_.pdf</v>
      </c>
      <c r="AA2569" t="s">
        <v>15412</v>
      </c>
      <c r="AB2569" t="s">
        <v>19653</v>
      </c>
    </row>
    <row r="2570" spans="1:28" x14ac:dyDescent="0.25">
      <c r="A2570" t="s">
        <v>2574</v>
      </c>
      <c r="B2570">
        <v>0.99876560204751996</v>
      </c>
      <c r="C2570">
        <v>1.1613651871733901</v>
      </c>
      <c r="D2570">
        <v>1.2060614530609299</v>
      </c>
      <c r="E2570">
        <v>1.0627716158262099</v>
      </c>
      <c r="F2570">
        <v>0.512412056297751</v>
      </c>
      <c r="G2570">
        <v>0.27243579339219998</v>
      </c>
      <c r="H2570">
        <v>0.104121114358302</v>
      </c>
      <c r="I2570">
        <v>9.8188038607672404E-2</v>
      </c>
      <c r="J2570">
        <v>2.7938342863445799E-2</v>
      </c>
      <c r="K2570">
        <v>8.6183972123458005E-2</v>
      </c>
      <c r="L2570">
        <v>13238.7905160967</v>
      </c>
      <c r="M2570">
        <v>250</v>
      </c>
      <c r="N2570">
        <v>53.012118131351698</v>
      </c>
      <c r="O2570">
        <v>52.951774187993898</v>
      </c>
      <c r="P2570">
        <v>-1.0413090371358</v>
      </c>
      <c r="Q2570">
        <v>0.117773440161281</v>
      </c>
      <c r="R2570">
        <v>0.95262520972789499</v>
      </c>
      <c r="S2570" t="s">
        <v>6866</v>
      </c>
      <c r="T2570" t="s">
        <v>8590</v>
      </c>
      <c r="U2570" t="s">
        <v>8590</v>
      </c>
      <c r="V2570" t="s">
        <v>8590</v>
      </c>
      <c r="W2570">
        <v>4</v>
      </c>
      <c r="X2570" t="s">
        <v>11160</v>
      </c>
      <c r="Y2570">
        <v>0.49883503232196369</v>
      </c>
      <c r="Z2570" t="str">
        <f>HYPERLINK("Melting_Curves/meltCurve_sp_Q92990_GLMN_HUMAN_.pdf", "Melting_Curves/meltCurve_sp_Q92990_GLMN_HUMAN_.pdf")</f>
        <v>Melting_Curves/meltCurve_sp_Q92990_GLMN_HUMAN_.pdf</v>
      </c>
      <c r="AA2570" t="s">
        <v>15413</v>
      </c>
      <c r="AB2570" t="s">
        <v>19654</v>
      </c>
    </row>
    <row r="2571" spans="1:28" x14ac:dyDescent="0.25">
      <c r="A2571" t="s">
        <v>2575</v>
      </c>
      <c r="B2571">
        <v>0.99876560204751996</v>
      </c>
      <c r="C2571">
        <v>1.1176823533665201</v>
      </c>
      <c r="D2571">
        <v>0.983559332443801</v>
      </c>
      <c r="E2571">
        <v>0.87765651899233599</v>
      </c>
      <c r="F2571">
        <v>0.37173816929607101</v>
      </c>
      <c r="G2571">
        <v>0.152168589212306</v>
      </c>
      <c r="H2571">
        <v>8.5532314331811493E-2</v>
      </c>
      <c r="I2571">
        <v>6.6109824360231301E-2</v>
      </c>
      <c r="J2571">
        <v>6.4095835585470204E-2</v>
      </c>
      <c r="K2571">
        <v>5.3800463385710602E-2</v>
      </c>
      <c r="L2571">
        <v>2166.0585804155899</v>
      </c>
      <c r="M2571">
        <v>41.560716659056297</v>
      </c>
      <c r="N2571">
        <v>52.328574447257502</v>
      </c>
      <c r="O2571">
        <v>51.997701112209199</v>
      </c>
      <c r="P2571">
        <v>-0.18442770290218</v>
      </c>
      <c r="Q2571">
        <v>7.7032299494622203E-2</v>
      </c>
      <c r="R2571">
        <v>0.99060988504145597</v>
      </c>
      <c r="S2571" t="s">
        <v>6867</v>
      </c>
      <c r="T2571" t="s">
        <v>8590</v>
      </c>
      <c r="U2571" t="s">
        <v>8590</v>
      </c>
      <c r="V2571" t="s">
        <v>8590</v>
      </c>
      <c r="W2571">
        <v>41</v>
      </c>
      <c r="X2571" t="s">
        <v>11161</v>
      </c>
      <c r="Y2571">
        <v>0.45292471423179897</v>
      </c>
      <c r="Z2571" t="str">
        <f>HYPERLINK("Melting_Curves/meltCurve_sp_Q93008_USP9X_HUMAN_.pdf", "Melting_Curves/meltCurve_sp_Q93008_USP9X_HUMAN_.pdf")</f>
        <v>Melting_Curves/meltCurve_sp_Q93008_USP9X_HUMAN_.pdf</v>
      </c>
      <c r="AA2571" t="s">
        <v>15414</v>
      </c>
      <c r="AB2571" t="s">
        <v>19655</v>
      </c>
    </row>
    <row r="2572" spans="1:28" x14ac:dyDescent="0.25">
      <c r="A2572" t="s">
        <v>2576</v>
      </c>
      <c r="B2572">
        <v>0.99876560204751996</v>
      </c>
      <c r="C2572">
        <v>0.95760225640676999</v>
      </c>
      <c r="D2572">
        <v>0.66308668439118801</v>
      </c>
      <c r="E2572">
        <v>0.52678896172741996</v>
      </c>
      <c r="F2572">
        <v>0.50309469890214498</v>
      </c>
      <c r="G2572">
        <v>0.44891461235649799</v>
      </c>
      <c r="H2572">
        <v>0.35323418299068998</v>
      </c>
      <c r="I2572">
        <v>0.23290973080800101</v>
      </c>
      <c r="J2572">
        <v>0.25294515232869402</v>
      </c>
      <c r="K2572">
        <v>0.282801371774832</v>
      </c>
      <c r="L2572">
        <v>565.99186854262098</v>
      </c>
      <c r="M2572">
        <v>11.6043623140786</v>
      </c>
      <c r="N2572">
        <v>51.943124020687002</v>
      </c>
      <c r="O2572">
        <v>47.393136630488002</v>
      </c>
      <c r="P2572">
        <v>-4.5697153521987499E-2</v>
      </c>
      <c r="Q2572">
        <v>0.253681632075615</v>
      </c>
      <c r="R2572">
        <v>0.950490222373225</v>
      </c>
      <c r="S2572" t="s">
        <v>6868</v>
      </c>
      <c r="T2572" t="s">
        <v>8590</v>
      </c>
      <c r="U2572" t="s">
        <v>8590</v>
      </c>
      <c r="V2572" t="s">
        <v>8590</v>
      </c>
      <c r="W2572">
        <v>1</v>
      </c>
      <c r="X2572" t="s">
        <v>11162</v>
      </c>
      <c r="Y2572">
        <v>0.50136546221778611</v>
      </c>
      <c r="Z2572" t="str">
        <f>HYPERLINK("Melting_Curves/meltCurve_sp_Q93015_NAT6_HUMAN_.pdf", "Melting_Curves/meltCurve_sp_Q93015_NAT6_HUMAN_.pdf")</f>
        <v>Melting_Curves/meltCurve_sp_Q93015_NAT6_HUMAN_.pdf</v>
      </c>
      <c r="AA2572" t="s">
        <v>15415</v>
      </c>
      <c r="AB2572" t="s">
        <v>19656</v>
      </c>
    </row>
    <row r="2573" spans="1:28" x14ac:dyDescent="0.25">
      <c r="A2573" t="s">
        <v>2577</v>
      </c>
      <c r="B2573">
        <v>0.99876560204751996</v>
      </c>
      <c r="C2573">
        <v>1.03639230973874</v>
      </c>
      <c r="D2573">
        <v>0.91823606654093404</v>
      </c>
      <c r="E2573">
        <v>0.99456359969512398</v>
      </c>
      <c r="F2573">
        <v>0.85262004425962701</v>
      </c>
      <c r="G2573">
        <v>0.48756315569226699</v>
      </c>
      <c r="H2573">
        <v>8.1368778558818397E-2</v>
      </c>
      <c r="I2573">
        <v>6.47809395952849E-2</v>
      </c>
      <c r="J2573">
        <v>5.4201293463878399E-2</v>
      </c>
      <c r="K2573">
        <v>4.5877148397380503E-2</v>
      </c>
      <c r="L2573">
        <v>1696.17240073835</v>
      </c>
      <c r="M2573">
        <v>29.995884187841501</v>
      </c>
      <c r="N2573">
        <v>56.669171110145399</v>
      </c>
      <c r="O2573">
        <v>56.297296828044303</v>
      </c>
      <c r="P2573">
        <v>-0.12902786464947399</v>
      </c>
      <c r="Q2573">
        <v>3.1350759556518303E-2</v>
      </c>
      <c r="R2573">
        <v>0.99310179823772204</v>
      </c>
      <c r="S2573" t="s">
        <v>6869</v>
      </c>
      <c r="T2573" t="s">
        <v>8590</v>
      </c>
      <c r="U2573" t="s">
        <v>8590</v>
      </c>
      <c r="V2573" t="s">
        <v>8590</v>
      </c>
      <c r="W2573">
        <v>22</v>
      </c>
      <c r="X2573" t="s">
        <v>11163</v>
      </c>
      <c r="Y2573">
        <v>0.57208270204622302</v>
      </c>
      <c r="Z2573" t="str">
        <f>HYPERLINK("Melting_Curves/meltCurve_sp_Q93034_CUL5_HUMAN_.pdf", "Melting_Curves/meltCurve_sp_Q93034_CUL5_HUMAN_.pdf")</f>
        <v>Melting_Curves/meltCurve_sp_Q93034_CUL5_HUMAN_.pdf</v>
      </c>
      <c r="AA2573" t="s">
        <v>15416</v>
      </c>
      <c r="AB2573" t="s">
        <v>19657</v>
      </c>
    </row>
    <row r="2574" spans="1:28" x14ac:dyDescent="0.25">
      <c r="A2574" t="s">
        <v>2578</v>
      </c>
      <c r="B2574">
        <v>0.99876560204751996</v>
      </c>
      <c r="C2574">
        <v>0.899476254669209</v>
      </c>
      <c r="D2574">
        <v>0.91766003262442897</v>
      </c>
      <c r="E2574">
        <v>0.86196718393103999</v>
      </c>
      <c r="F2574">
        <v>0.77058547724012605</v>
      </c>
      <c r="G2574">
        <v>0.67485156058862905</v>
      </c>
      <c r="H2574">
        <v>0.57775283410605005</v>
      </c>
      <c r="I2574">
        <v>0.55837712137489304</v>
      </c>
      <c r="J2574">
        <v>0.62887220907946595</v>
      </c>
      <c r="K2574">
        <v>0.61442527165687399</v>
      </c>
      <c r="L2574">
        <v>615.29789318895098</v>
      </c>
      <c r="M2574">
        <v>11.8482026914192</v>
      </c>
      <c r="O2574">
        <v>50.518641566461604</v>
      </c>
      <c r="P2574">
        <v>-2.5695216635343399E-2</v>
      </c>
      <c r="Q2574">
        <v>0.56187151269471802</v>
      </c>
      <c r="R2574">
        <v>0.94397455451293599</v>
      </c>
      <c r="S2574" t="s">
        <v>6870</v>
      </c>
      <c r="T2574" t="s">
        <v>8590</v>
      </c>
      <c r="U2574" t="s">
        <v>8590</v>
      </c>
      <c r="V2574" t="s">
        <v>8590</v>
      </c>
      <c r="W2574">
        <v>27</v>
      </c>
      <c r="X2574" t="s">
        <v>11164</v>
      </c>
      <c r="Y2574">
        <v>0.74981822576129997</v>
      </c>
      <c r="Z2574" t="str">
        <f>HYPERLINK("Melting_Curves/meltCurve_sp_Q93052_LPP_HUMAN_.pdf", "Melting_Curves/meltCurve_sp_Q93052_LPP_HUMAN_.pdf")</f>
        <v>Melting_Curves/meltCurve_sp_Q93052_LPP_HUMAN_.pdf</v>
      </c>
      <c r="AA2574" t="s">
        <v>15417</v>
      </c>
      <c r="AB2574" t="s">
        <v>19658</v>
      </c>
    </row>
    <row r="2575" spans="1:28" x14ac:dyDescent="0.25">
      <c r="A2575" t="s">
        <v>2579</v>
      </c>
      <c r="B2575">
        <v>0.99876560204751996</v>
      </c>
      <c r="C2575">
        <v>0.91247234382226305</v>
      </c>
      <c r="D2575">
        <v>0.923574744138144</v>
      </c>
      <c r="E2575">
        <v>0.77639751310354499</v>
      </c>
      <c r="F2575">
        <v>0.597653753937466</v>
      </c>
      <c r="G2575">
        <v>0.41924531764026102</v>
      </c>
      <c r="H2575">
        <v>0.29108973656225401</v>
      </c>
      <c r="I2575">
        <v>0.32021504330196499</v>
      </c>
      <c r="J2575">
        <v>0.276044090827189</v>
      </c>
      <c r="K2575">
        <v>0.178191164760334</v>
      </c>
      <c r="L2575">
        <v>693.02441987670102</v>
      </c>
      <c r="M2575">
        <v>13.020147944539501</v>
      </c>
      <c r="N2575">
        <v>55.260778059431303</v>
      </c>
      <c r="O2575">
        <v>52.018416272779398</v>
      </c>
      <c r="P2575">
        <v>-5.0672552048553803E-2</v>
      </c>
      <c r="Q2575">
        <v>0.19034925974258199</v>
      </c>
      <c r="R2575">
        <v>0.98815611438487105</v>
      </c>
      <c r="S2575" t="s">
        <v>6871</v>
      </c>
      <c r="T2575" t="s">
        <v>8590</v>
      </c>
      <c r="U2575" t="s">
        <v>8590</v>
      </c>
      <c r="V2575" t="s">
        <v>8590</v>
      </c>
      <c r="W2575">
        <v>2</v>
      </c>
      <c r="X2575" t="s">
        <v>11165</v>
      </c>
      <c r="Y2575">
        <v>0.56797446995513456</v>
      </c>
      <c r="Z2575" t="str">
        <f>HYPERLINK("Melting_Curves/meltCurve_sp_Q93062_4_RBPMS_HUMAN_.pdf", "Melting_Curves/meltCurve_sp_Q93062_4_RBPMS_HUMAN_.pdf")</f>
        <v>Melting_Curves/meltCurve_sp_Q93062_4_RBPMS_HUMAN_.pdf</v>
      </c>
      <c r="AA2575" t="s">
        <v>15418</v>
      </c>
      <c r="AB2575" t="s">
        <v>19659</v>
      </c>
    </row>
    <row r="2576" spans="1:28" x14ac:dyDescent="0.25">
      <c r="A2576" t="s">
        <v>2580</v>
      </c>
      <c r="B2576">
        <v>0.99876560204751996</v>
      </c>
      <c r="C2576">
        <v>1.0739341921605301</v>
      </c>
      <c r="D2576">
        <v>1.18540929340808</v>
      </c>
      <c r="E2576">
        <v>0.90159028906533401</v>
      </c>
      <c r="F2576">
        <v>0.62062722490605804</v>
      </c>
      <c r="G2576">
        <v>0.26486381157278399</v>
      </c>
      <c r="H2576">
        <v>0.20469756396070299</v>
      </c>
      <c r="I2576">
        <v>7.0878493460798997E-2</v>
      </c>
      <c r="J2576">
        <v>0</v>
      </c>
      <c r="K2576">
        <v>7.7915137703760504E-2</v>
      </c>
      <c r="L2576">
        <v>1362.0770001174501</v>
      </c>
      <c r="M2576">
        <v>25.189926799987798</v>
      </c>
      <c r="N2576">
        <v>54.374859034493198</v>
      </c>
      <c r="O2576">
        <v>53.734963588532501</v>
      </c>
      <c r="P2576">
        <v>-0.10953271379014599</v>
      </c>
      <c r="Q2576">
        <v>6.5394730029429499E-2</v>
      </c>
      <c r="R2576">
        <v>0.97015970538526697</v>
      </c>
      <c r="S2576" t="s">
        <v>6872</v>
      </c>
      <c r="T2576" t="s">
        <v>8590</v>
      </c>
      <c r="U2576" t="s">
        <v>8590</v>
      </c>
      <c r="V2576" t="s">
        <v>8590</v>
      </c>
      <c r="W2576">
        <v>1</v>
      </c>
      <c r="X2576" t="s">
        <v>11166</v>
      </c>
      <c r="Y2576">
        <v>0.51232779241322535</v>
      </c>
      <c r="Z2576" t="str">
        <f>HYPERLINK("Melting_Curves/meltCurve_sp_Q93073_2_SBP2L_HUMAN_.pdf", "Melting_Curves/meltCurve_sp_Q93073_2_SBP2L_HUMAN_.pdf")</f>
        <v>Melting_Curves/meltCurve_sp_Q93073_2_SBP2L_HUMAN_.pdf</v>
      </c>
      <c r="AA2576" t="s">
        <v>15419</v>
      </c>
      <c r="AB2576" t="s">
        <v>19660</v>
      </c>
    </row>
    <row r="2577" spans="1:28" x14ac:dyDescent="0.25">
      <c r="A2577" t="s">
        <v>2581</v>
      </c>
      <c r="B2577">
        <v>0.99876560204751996</v>
      </c>
      <c r="C2577">
        <v>1.02080236853791</v>
      </c>
      <c r="D2577">
        <v>0.87225332670797495</v>
      </c>
      <c r="E2577">
        <v>0.85010694791257602</v>
      </c>
      <c r="F2577">
        <v>0.56738651406083895</v>
      </c>
      <c r="G2577">
        <v>0.40407034660939001</v>
      </c>
      <c r="H2577">
        <v>0.27272021092308701</v>
      </c>
      <c r="I2577">
        <v>0.17574441609430699</v>
      </c>
      <c r="J2577">
        <v>0.18424776815761801</v>
      </c>
      <c r="K2577">
        <v>0.13553514769375799</v>
      </c>
      <c r="L2577">
        <v>786.60230330742002</v>
      </c>
      <c r="M2577">
        <v>14.5857512007585</v>
      </c>
      <c r="N2577">
        <v>54.934081756649398</v>
      </c>
      <c r="O2577">
        <v>52.9461936464103</v>
      </c>
      <c r="P2577">
        <v>-6.0815495844183998E-2</v>
      </c>
      <c r="Q2577">
        <v>0.117059925743705</v>
      </c>
      <c r="R2577">
        <v>0.98868859038457702</v>
      </c>
      <c r="S2577" t="s">
        <v>6873</v>
      </c>
      <c r="T2577" t="s">
        <v>8590</v>
      </c>
      <c r="U2577" t="s">
        <v>8590</v>
      </c>
      <c r="V2577" t="s">
        <v>8590</v>
      </c>
      <c r="W2577">
        <v>5</v>
      </c>
      <c r="X2577" t="s">
        <v>11167</v>
      </c>
      <c r="Y2577">
        <v>0.54584600009097339</v>
      </c>
      <c r="Z2577" t="str">
        <f>HYPERLINK("Melting_Curves/meltCurve_sp_Q93077_H2A1C_HUMAN_.pdf", "Melting_Curves/meltCurve_sp_Q93077_H2A1C_HUMAN_.pdf")</f>
        <v>Melting_Curves/meltCurve_sp_Q93077_H2A1C_HUMAN_.pdf</v>
      </c>
      <c r="AA2577" t="s">
        <v>15420</v>
      </c>
      <c r="AB2577" t="s">
        <v>19661</v>
      </c>
    </row>
    <row r="2578" spans="1:28" x14ac:dyDescent="0.25">
      <c r="A2578" t="s">
        <v>2582</v>
      </c>
      <c r="B2578">
        <v>0.99876560204751996</v>
      </c>
      <c r="C2578">
        <v>1.06191959753798</v>
      </c>
      <c r="D2578">
        <v>0.92814589097608502</v>
      </c>
      <c r="E2578">
        <v>1.07742117478306</v>
      </c>
      <c r="F2578">
        <v>0.96415427532947295</v>
      </c>
      <c r="G2578">
        <v>0.83562820191689802</v>
      </c>
      <c r="H2578">
        <v>0.73080420078138497</v>
      </c>
      <c r="I2578">
        <v>0.71345649364699804</v>
      </c>
      <c r="J2578">
        <v>0.76463489352597203</v>
      </c>
      <c r="K2578">
        <v>0.66011107747176001</v>
      </c>
      <c r="L2578">
        <v>2060.8706195845298</v>
      </c>
      <c r="M2578">
        <v>36.441612708832501</v>
      </c>
      <c r="O2578">
        <v>56.383187685590698</v>
      </c>
      <c r="P2578">
        <v>-4.6675456320831199E-2</v>
      </c>
      <c r="Q2578">
        <v>0.711132115177605</v>
      </c>
      <c r="R2578">
        <v>0.89980697580099001</v>
      </c>
      <c r="S2578" t="s">
        <v>6874</v>
      </c>
      <c r="T2578" t="s">
        <v>8590</v>
      </c>
      <c r="U2578" t="s">
        <v>8590</v>
      </c>
      <c r="V2578" t="s">
        <v>8590</v>
      </c>
      <c r="W2578">
        <v>45</v>
      </c>
      <c r="X2578" t="s">
        <v>11168</v>
      </c>
      <c r="Y2578">
        <v>0.87185759089412329</v>
      </c>
      <c r="Z2578" t="str">
        <f>HYPERLINK("Melting_Curves/meltCurve_sp_Q93088_BHMT1_HUMAN_.pdf", "Melting_Curves/meltCurve_sp_Q93088_BHMT1_HUMAN_.pdf")</f>
        <v>Melting_Curves/meltCurve_sp_Q93088_BHMT1_HUMAN_.pdf</v>
      </c>
      <c r="AA2578" t="s">
        <v>15421</v>
      </c>
      <c r="AB2578" t="s">
        <v>19662</v>
      </c>
    </row>
    <row r="2579" spans="1:28" x14ac:dyDescent="0.25">
      <c r="A2579" t="s">
        <v>2583</v>
      </c>
      <c r="B2579">
        <v>0.99876560204751996</v>
      </c>
      <c r="C2579">
        <v>0.88692520859712698</v>
      </c>
      <c r="D2579">
        <v>0.99788162200909003</v>
      </c>
      <c r="E2579">
        <v>0.75284645308892195</v>
      </c>
      <c r="F2579">
        <v>0.74564700062866596</v>
      </c>
      <c r="G2579">
        <v>0.46877463970872701</v>
      </c>
      <c r="H2579">
        <v>0.28403636652773201</v>
      </c>
      <c r="I2579">
        <v>9.9185538591338204E-2</v>
      </c>
      <c r="J2579">
        <v>7.0022140925179097E-2</v>
      </c>
      <c r="K2579">
        <v>4.69246411789217E-2</v>
      </c>
      <c r="L2579">
        <v>776.22033781754499</v>
      </c>
      <c r="M2579">
        <v>13.8229241459628</v>
      </c>
      <c r="N2579">
        <v>56.154568032289603</v>
      </c>
      <c r="O2579">
        <v>55.018423884635901</v>
      </c>
      <c r="P2579">
        <v>-6.2819147396309394E-2</v>
      </c>
      <c r="Q2579">
        <v>0</v>
      </c>
      <c r="R2579">
        <v>0.97899000481554199</v>
      </c>
      <c r="S2579" t="s">
        <v>6875</v>
      </c>
      <c r="T2579" t="s">
        <v>8590</v>
      </c>
      <c r="U2579" t="s">
        <v>8590</v>
      </c>
      <c r="V2579" t="s">
        <v>8590</v>
      </c>
      <c r="W2579">
        <v>3</v>
      </c>
      <c r="X2579" t="s">
        <v>11169</v>
      </c>
      <c r="Y2579">
        <v>0.55702630279490506</v>
      </c>
      <c r="Z2579" t="str">
        <f>HYPERLINK("Melting_Curves/meltCurve_sp_Q93096_TP4A1_HUMAN_.pdf", "Melting_Curves/meltCurve_sp_Q93096_TP4A1_HUMAN_.pdf")</f>
        <v>Melting_Curves/meltCurve_sp_Q93096_TP4A1_HUMAN_.pdf</v>
      </c>
      <c r="AA2579" t="s">
        <v>15422</v>
      </c>
      <c r="AB2579" t="s">
        <v>19663</v>
      </c>
    </row>
    <row r="2580" spans="1:28" x14ac:dyDescent="0.25">
      <c r="A2580" t="s">
        <v>2584</v>
      </c>
      <c r="B2580">
        <v>0.99876560204751996</v>
      </c>
      <c r="C2580">
        <v>1.10752228639258</v>
      </c>
      <c r="D2580">
        <v>1.0426210017781501</v>
      </c>
      <c r="E2580">
        <v>1.1157728808393299</v>
      </c>
      <c r="F2580">
        <v>1.00589207326926</v>
      </c>
      <c r="G2580">
        <v>0.81990375589460296</v>
      </c>
      <c r="H2580">
        <v>0.54541468684578598</v>
      </c>
      <c r="I2580">
        <v>0.31288720252774299</v>
      </c>
      <c r="J2580">
        <v>0.13840858268473999</v>
      </c>
      <c r="K2580">
        <v>6.5164164658333606E-2</v>
      </c>
      <c r="L2580">
        <v>1351.5812126328001</v>
      </c>
      <c r="M2580">
        <v>21.981148105921299</v>
      </c>
      <c r="N2580">
        <v>61.506998775711303</v>
      </c>
      <c r="O2580">
        <v>60.986072953884097</v>
      </c>
      <c r="P2580">
        <v>-8.9807825005930902E-2</v>
      </c>
      <c r="Q2580">
        <v>3.3452382393934898E-3</v>
      </c>
      <c r="R2580">
        <v>0.98011946867160105</v>
      </c>
      <c r="S2580" t="s">
        <v>6876</v>
      </c>
      <c r="T2580" t="s">
        <v>8590</v>
      </c>
      <c r="U2580" t="s">
        <v>8590</v>
      </c>
      <c r="V2580" t="s">
        <v>8590</v>
      </c>
      <c r="W2580">
        <v>22</v>
      </c>
      <c r="X2580" t="s">
        <v>11170</v>
      </c>
      <c r="Y2580">
        <v>0.72249802942836305</v>
      </c>
      <c r="Z2580" t="str">
        <f>HYPERLINK("Melting_Curves/meltCurve_sp_Q93099_HGD_HUMAN_.pdf", "Melting_Curves/meltCurve_sp_Q93099_HGD_HUMAN_.pdf")</f>
        <v>Melting_Curves/meltCurve_sp_Q93099_HGD_HUMAN_.pdf</v>
      </c>
      <c r="AA2580" t="s">
        <v>15423</v>
      </c>
      <c r="AB2580" t="s">
        <v>19664</v>
      </c>
    </row>
    <row r="2581" spans="1:28" x14ac:dyDescent="0.25">
      <c r="A2581" t="s">
        <v>2585</v>
      </c>
      <c r="B2581">
        <v>0.99876560204751996</v>
      </c>
      <c r="C2581">
        <v>1.01045769805607</v>
      </c>
      <c r="D2581">
        <v>0.89659784384943897</v>
      </c>
      <c r="E2581">
        <v>0.55963033349661495</v>
      </c>
      <c r="F2581">
        <v>0.28822671387882898</v>
      </c>
      <c r="G2581">
        <v>0.14492267521948901</v>
      </c>
      <c r="H2581">
        <v>9.8272457277377004E-2</v>
      </c>
      <c r="I2581">
        <v>8.1773325261945307E-2</v>
      </c>
      <c r="J2581">
        <v>7.0886599580647497E-2</v>
      </c>
      <c r="K2581">
        <v>6.8524711538283198E-2</v>
      </c>
      <c r="L2581">
        <v>1145.89535545225</v>
      </c>
      <c r="M2581">
        <v>22.810836544293299</v>
      </c>
      <c r="N2581">
        <v>50.595431688726997</v>
      </c>
      <c r="O2581">
        <v>49.853394990236097</v>
      </c>
      <c r="P2581">
        <v>-0.105806613440977</v>
      </c>
      <c r="Q2581">
        <v>7.5050678129137099E-2</v>
      </c>
      <c r="R2581">
        <v>0.999218663895173</v>
      </c>
      <c r="S2581" t="s">
        <v>6877</v>
      </c>
      <c r="T2581" t="s">
        <v>8590</v>
      </c>
      <c r="U2581" t="s">
        <v>8590</v>
      </c>
      <c r="V2581" t="s">
        <v>8590</v>
      </c>
      <c r="W2581">
        <v>12</v>
      </c>
      <c r="X2581" t="s">
        <v>11171</v>
      </c>
      <c r="Y2581">
        <v>0.4005486576901095</v>
      </c>
      <c r="Z2581" t="str">
        <f>HYPERLINK("Melting_Curves/meltCurve_sp_Q93100_4_KPBB_HUMAN_.pdf", "Melting_Curves/meltCurve_sp_Q93100_4_KPBB_HUMAN_.pdf")</f>
        <v>Melting_Curves/meltCurve_sp_Q93100_4_KPBB_HUMAN_.pdf</v>
      </c>
      <c r="AA2581" t="s">
        <v>15424</v>
      </c>
      <c r="AB2581" t="s">
        <v>19665</v>
      </c>
    </row>
    <row r="2582" spans="1:28" x14ac:dyDescent="0.25">
      <c r="A2582" t="s">
        <v>2586</v>
      </c>
      <c r="B2582">
        <v>0.99876560204751996</v>
      </c>
      <c r="C2582">
        <v>0.89707150485968101</v>
      </c>
      <c r="D2582">
        <v>1.0027823947193799</v>
      </c>
      <c r="E2582">
        <v>0.91247839902486605</v>
      </c>
      <c r="F2582">
        <v>1.00586607631144</v>
      </c>
      <c r="G2582">
        <v>0.86549414287308701</v>
      </c>
      <c r="H2582">
        <v>0.73070612749227304</v>
      </c>
      <c r="I2582">
        <v>0.73503305469033098</v>
      </c>
      <c r="J2582">
        <v>0.7804968786216</v>
      </c>
      <c r="K2582">
        <v>0.68850838483018095</v>
      </c>
      <c r="L2582">
        <v>14248.845113769299</v>
      </c>
      <c r="M2582">
        <v>250</v>
      </c>
      <c r="O2582">
        <v>56.99173315142</v>
      </c>
      <c r="P2582">
        <v>-0.29205320568758603</v>
      </c>
      <c r="Q2582">
        <v>0.73368610658497702</v>
      </c>
      <c r="R2582">
        <v>0.83066208119099605</v>
      </c>
      <c r="S2582" t="s">
        <v>6878</v>
      </c>
      <c r="T2582" t="s">
        <v>8590</v>
      </c>
      <c r="U2582" t="s">
        <v>8590</v>
      </c>
      <c r="V2582" t="s">
        <v>8590</v>
      </c>
      <c r="W2582">
        <v>1</v>
      </c>
      <c r="X2582" t="s">
        <v>11172</v>
      </c>
      <c r="Y2582">
        <v>0.8845829428686921</v>
      </c>
      <c r="Z2582" t="str">
        <f>HYPERLINK("Melting_Curves/meltCurve_sp_Q969E8_TSR2_HUMAN_.pdf", "Melting_Curves/meltCurve_sp_Q969E8_TSR2_HUMAN_.pdf")</f>
        <v>Melting_Curves/meltCurve_sp_Q969E8_TSR2_HUMAN_.pdf</v>
      </c>
      <c r="AA2582" t="s">
        <v>15425</v>
      </c>
      <c r="AB2582" t="s">
        <v>19666</v>
      </c>
    </row>
    <row r="2583" spans="1:28" x14ac:dyDescent="0.25">
      <c r="A2583" t="s">
        <v>2587</v>
      </c>
      <c r="B2583">
        <v>0.99876560204751996</v>
      </c>
      <c r="C2583">
        <v>0.71252354423012798</v>
      </c>
      <c r="D2583">
        <v>0.50350298310298403</v>
      </c>
      <c r="E2583">
        <v>0.243441834108854</v>
      </c>
      <c r="F2583">
        <v>9.2322613449797794E-2</v>
      </c>
      <c r="G2583">
        <v>3.5411309363896797E-2</v>
      </c>
      <c r="H2583">
        <v>7.6598801530614498E-3</v>
      </c>
      <c r="I2583">
        <v>2.7878183038838399E-2</v>
      </c>
      <c r="J2583">
        <v>0</v>
      </c>
      <c r="K2583">
        <v>4.7220380625620097E-2</v>
      </c>
      <c r="L2583">
        <v>768.21326683924701</v>
      </c>
      <c r="M2583">
        <v>16.7303958220783</v>
      </c>
      <c r="N2583">
        <v>45.9805718804976</v>
      </c>
      <c r="O2583">
        <v>45.2762518292311</v>
      </c>
      <c r="P2583">
        <v>-9.1332996800717797E-2</v>
      </c>
      <c r="Q2583">
        <v>1.1393710131441401E-2</v>
      </c>
      <c r="R2583">
        <v>0.98943449863399602</v>
      </c>
      <c r="S2583" t="s">
        <v>6879</v>
      </c>
      <c r="T2583" t="s">
        <v>8590</v>
      </c>
      <c r="U2583" t="s">
        <v>8590</v>
      </c>
      <c r="V2583" t="s">
        <v>8590</v>
      </c>
      <c r="W2583">
        <v>1</v>
      </c>
      <c r="X2583" t="s">
        <v>11173</v>
      </c>
      <c r="Y2583">
        <v>0.2293701062492044</v>
      </c>
      <c r="Z2583" t="str">
        <f>HYPERLINK("Melting_Curves/meltCurve_sp_Q969G6_RIFK_HUMAN_.pdf", "Melting_Curves/meltCurve_sp_Q969G6_RIFK_HUMAN_.pdf")</f>
        <v>Melting_Curves/meltCurve_sp_Q969G6_RIFK_HUMAN_.pdf</v>
      </c>
      <c r="AA2583" t="s">
        <v>15426</v>
      </c>
      <c r="AB2583" t="s">
        <v>19667</v>
      </c>
    </row>
    <row r="2584" spans="1:28" x14ac:dyDescent="0.25">
      <c r="A2584" t="s">
        <v>2588</v>
      </c>
      <c r="B2584">
        <v>0.99876560204751996</v>
      </c>
      <c r="C2584">
        <v>0.90122663498592603</v>
      </c>
      <c r="D2584">
        <v>1.1354439088933399</v>
      </c>
      <c r="E2584">
        <v>0.99661823455313603</v>
      </c>
      <c r="F2584">
        <v>1.1444444459438301</v>
      </c>
      <c r="G2584">
        <v>0.99292222022281995</v>
      </c>
      <c r="H2584">
        <v>0.837729712192125</v>
      </c>
      <c r="I2584">
        <v>0.68030483893114102</v>
      </c>
      <c r="J2584">
        <v>0.434229425268225</v>
      </c>
      <c r="K2584">
        <v>0.121035749333487</v>
      </c>
      <c r="L2584">
        <v>1709.4184062327799</v>
      </c>
      <c r="M2584">
        <v>25.9737207096981</v>
      </c>
      <c r="N2584">
        <v>65.813380992688394</v>
      </c>
      <c r="O2584">
        <v>65.426979042949</v>
      </c>
      <c r="P2584">
        <v>-9.9248129548253405E-2</v>
      </c>
      <c r="Q2584">
        <v>0</v>
      </c>
      <c r="R2584">
        <v>0.94063554153738005</v>
      </c>
      <c r="S2584" t="s">
        <v>6880</v>
      </c>
      <c r="T2584" t="s">
        <v>8590</v>
      </c>
      <c r="U2584" t="s">
        <v>8590</v>
      </c>
      <c r="V2584" t="s">
        <v>8590</v>
      </c>
      <c r="W2584">
        <v>5</v>
      </c>
      <c r="X2584" t="s">
        <v>11174</v>
      </c>
      <c r="Y2584">
        <v>0.85122577584171</v>
      </c>
      <c r="Z2584" t="str">
        <f>HYPERLINK("Melting_Curves/meltCurve_sp_Q969H8_CS010_HUMAN_.pdf", "Melting_Curves/meltCurve_sp_Q969H8_CS010_HUMAN_.pdf")</f>
        <v>Melting_Curves/meltCurve_sp_Q969H8_CS010_HUMAN_.pdf</v>
      </c>
      <c r="AA2584" t="s">
        <v>15427</v>
      </c>
      <c r="AB2584" t="s">
        <v>19668</v>
      </c>
    </row>
    <row r="2585" spans="1:28" x14ac:dyDescent="0.25">
      <c r="A2585" t="s">
        <v>2589</v>
      </c>
      <c r="B2585">
        <v>0.99876560204751996</v>
      </c>
      <c r="C2585">
        <v>0.90991126728312499</v>
      </c>
      <c r="D2585">
        <v>1.0045287880915299</v>
      </c>
      <c r="E2585">
        <v>0.85122426580468902</v>
      </c>
      <c r="F2585">
        <v>0.82166066616654199</v>
      </c>
      <c r="G2585">
        <v>0.43808408008239202</v>
      </c>
      <c r="H2585">
        <v>0.12247675187788</v>
      </c>
      <c r="I2585">
        <v>7.7630641321806707E-2</v>
      </c>
      <c r="J2585">
        <v>6.6056835805074099E-2</v>
      </c>
      <c r="K2585">
        <v>5.8575869306632097E-2</v>
      </c>
      <c r="L2585">
        <v>1250.33709864558</v>
      </c>
      <c r="M2585">
        <v>22.324023698433098</v>
      </c>
      <c r="N2585">
        <v>56.159067806971599</v>
      </c>
      <c r="O2585">
        <v>55.564971395032998</v>
      </c>
      <c r="P2585">
        <v>-9.7527181245724806E-2</v>
      </c>
      <c r="Q2585">
        <v>2.9031514319102301E-2</v>
      </c>
      <c r="R2585">
        <v>0.98786786976268603</v>
      </c>
      <c r="S2585" t="s">
        <v>6881</v>
      </c>
      <c r="T2585" t="s">
        <v>8590</v>
      </c>
      <c r="U2585" t="s">
        <v>8590</v>
      </c>
      <c r="V2585" t="s">
        <v>8590</v>
      </c>
      <c r="W2585">
        <v>15</v>
      </c>
      <c r="X2585" t="s">
        <v>11175</v>
      </c>
      <c r="Y2585">
        <v>0.55783176547735269</v>
      </c>
      <c r="Z2585" t="str">
        <f>HYPERLINK("Melting_Curves/meltCurve_sp_Q969I3_GLYL1_HUMAN_.pdf", "Melting_Curves/meltCurve_sp_Q969I3_GLYL1_HUMAN_.pdf")</f>
        <v>Melting_Curves/meltCurve_sp_Q969I3_GLYL1_HUMAN_.pdf</v>
      </c>
      <c r="AA2585" t="s">
        <v>15428</v>
      </c>
      <c r="AB2585" t="s">
        <v>19669</v>
      </c>
    </row>
    <row r="2586" spans="1:28" x14ac:dyDescent="0.25">
      <c r="A2586" t="s">
        <v>2590</v>
      </c>
      <c r="B2586">
        <v>0.99876560204751996</v>
      </c>
      <c r="C2586">
        <v>1.06181251279855</v>
      </c>
      <c r="D2586">
        <v>0.71024213363601196</v>
      </c>
      <c r="E2586">
        <v>0.81285564045287095</v>
      </c>
      <c r="F2586">
        <v>0.69921492980793498</v>
      </c>
      <c r="G2586">
        <v>0.51379574171431697</v>
      </c>
      <c r="H2586">
        <v>0.64626824807150796</v>
      </c>
      <c r="I2586">
        <v>0.53881991275283603</v>
      </c>
      <c r="J2586">
        <v>0.61020330667473999</v>
      </c>
      <c r="K2586">
        <v>0.57780315011582295</v>
      </c>
      <c r="L2586">
        <v>716.65819435002095</v>
      </c>
      <c r="M2586">
        <v>14.8482431289533</v>
      </c>
      <c r="O2586">
        <v>47.415411453133203</v>
      </c>
      <c r="P2586">
        <v>-3.3479018535057199E-2</v>
      </c>
      <c r="Q2586">
        <v>0.57240594324246896</v>
      </c>
      <c r="R2586">
        <v>0.80757941158985203</v>
      </c>
      <c r="S2586" t="s">
        <v>6882</v>
      </c>
      <c r="T2586" t="s">
        <v>8590</v>
      </c>
      <c r="U2586" t="s">
        <v>8590</v>
      </c>
      <c r="V2586" t="s">
        <v>8590</v>
      </c>
      <c r="W2586">
        <v>1</v>
      </c>
      <c r="X2586" t="s">
        <v>11176</v>
      </c>
      <c r="Y2586">
        <v>0.70130449330647293</v>
      </c>
      <c r="Z2586" t="str">
        <f>HYPERLINK("Melting_Curves/meltCurve_sp_Q969M3_YIPF5_HUMAN_.pdf", "Melting_Curves/meltCurve_sp_Q969M3_YIPF5_HUMAN_.pdf")</f>
        <v>Melting_Curves/meltCurve_sp_Q969M3_YIPF5_HUMAN_.pdf</v>
      </c>
      <c r="AA2586" t="s">
        <v>15429</v>
      </c>
      <c r="AB2586" t="s">
        <v>19670</v>
      </c>
    </row>
    <row r="2587" spans="1:28" x14ac:dyDescent="0.25">
      <c r="A2587" t="s">
        <v>2591</v>
      </c>
      <c r="B2587">
        <v>0.99876560204751996</v>
      </c>
      <c r="C2587">
        <v>1.05381814522693</v>
      </c>
      <c r="D2587">
        <v>0.98606841087923003</v>
      </c>
      <c r="E2587">
        <v>1.0379271538649599</v>
      </c>
      <c r="F2587">
        <v>1.03084033500935</v>
      </c>
      <c r="G2587">
        <v>0.78380113908349802</v>
      </c>
      <c r="H2587">
        <v>0.71133547475587799</v>
      </c>
      <c r="I2587">
        <v>0.63983524602228603</v>
      </c>
      <c r="J2587">
        <v>0.77477528198054202</v>
      </c>
      <c r="K2587">
        <v>0.68391265936888102</v>
      </c>
      <c r="L2587">
        <v>14194.276573040201</v>
      </c>
      <c r="M2587">
        <v>250</v>
      </c>
      <c r="O2587">
        <v>56.773479217342398</v>
      </c>
      <c r="P2587">
        <v>-0.32754661017651698</v>
      </c>
      <c r="Q2587">
        <v>0.70246466257257001</v>
      </c>
      <c r="R2587">
        <v>0.93909178551028605</v>
      </c>
      <c r="S2587" t="s">
        <v>6883</v>
      </c>
      <c r="T2587" t="s">
        <v>8590</v>
      </c>
      <c r="U2587" t="s">
        <v>8590</v>
      </c>
      <c r="V2587" t="s">
        <v>8590</v>
      </c>
      <c r="W2587">
        <v>2</v>
      </c>
      <c r="X2587" t="s">
        <v>11177</v>
      </c>
      <c r="Y2587">
        <v>0.8688870425908497</v>
      </c>
      <c r="Z2587" t="str">
        <f>HYPERLINK("Melting_Curves/meltCurve_sp_Q969Q0_RL36L_HUMAN_.pdf", "Melting_Curves/meltCurve_sp_Q969Q0_RL36L_HUMAN_.pdf")</f>
        <v>Melting_Curves/meltCurve_sp_Q969Q0_RL36L_HUMAN_.pdf</v>
      </c>
      <c r="AA2587" t="s">
        <v>15430</v>
      </c>
      <c r="AB2587" t="s">
        <v>19671</v>
      </c>
    </row>
    <row r="2588" spans="1:28" x14ac:dyDescent="0.25">
      <c r="A2588" t="s">
        <v>2592</v>
      </c>
      <c r="B2588">
        <v>0.99876560204751996</v>
      </c>
      <c r="C2588">
        <v>0.96896940992658398</v>
      </c>
      <c r="D2588">
        <v>0.98010470551113604</v>
      </c>
      <c r="E2588">
        <v>1.18397932680176</v>
      </c>
      <c r="F2588">
        <v>1.28080877661506</v>
      </c>
      <c r="G2588">
        <v>1.12887171251181</v>
      </c>
      <c r="H2588">
        <v>1.10608404470667</v>
      </c>
      <c r="I2588">
        <v>1.31259476007345</v>
      </c>
      <c r="J2588">
        <v>2.0081498262428199</v>
      </c>
      <c r="K2588">
        <v>1.64961626635442</v>
      </c>
      <c r="L2588">
        <v>866.72301122302804</v>
      </c>
      <c r="M2588">
        <v>15.22642285327</v>
      </c>
      <c r="O2588">
        <v>55.967556486149</v>
      </c>
      <c r="P2588">
        <v>3.4010492697735997E-2</v>
      </c>
      <c r="Q2588">
        <v>1.5</v>
      </c>
      <c r="R2588">
        <v>0.51837923390973795</v>
      </c>
      <c r="S2588" t="s">
        <v>6884</v>
      </c>
      <c r="T2588" t="s">
        <v>8590</v>
      </c>
      <c r="U2588" t="s">
        <v>8590</v>
      </c>
      <c r="V2588" t="s">
        <v>8590</v>
      </c>
      <c r="W2588">
        <v>1</v>
      </c>
      <c r="X2588" t="s">
        <v>11178</v>
      </c>
      <c r="Y2588">
        <v>1.2100423343547171</v>
      </c>
      <c r="Z2588" t="str">
        <f>HYPERLINK("Melting_Curves/meltCurve_sp_Q969S3_ZN622_HUMAN_.pdf", "Melting_Curves/meltCurve_sp_Q969S3_ZN622_HUMAN_.pdf")</f>
        <v>Melting_Curves/meltCurve_sp_Q969S3_ZN622_HUMAN_.pdf</v>
      </c>
      <c r="AA2588" t="s">
        <v>15431</v>
      </c>
      <c r="AB2588" t="s">
        <v>19672</v>
      </c>
    </row>
    <row r="2589" spans="1:28" x14ac:dyDescent="0.25">
      <c r="A2589" t="s">
        <v>2593</v>
      </c>
      <c r="B2589">
        <v>0.99876560204751996</v>
      </c>
      <c r="C2589">
        <v>0.97167390508131901</v>
      </c>
      <c r="D2589">
        <v>0.78777009794878705</v>
      </c>
      <c r="E2589">
        <v>0.51077711891580602</v>
      </c>
      <c r="F2589">
        <v>0.185981576487525</v>
      </c>
      <c r="G2589">
        <v>0.111170856383493</v>
      </c>
      <c r="H2589">
        <v>4.5824090002844903E-2</v>
      </c>
      <c r="I2589">
        <v>5.2509684590975901E-2</v>
      </c>
      <c r="J2589">
        <v>3.6344182897218399E-2</v>
      </c>
      <c r="K2589">
        <v>4.1902622404350602E-2</v>
      </c>
      <c r="L2589">
        <v>990.87553430164201</v>
      </c>
      <c r="M2589">
        <v>20.039005181467498</v>
      </c>
      <c r="N2589">
        <v>49.618722883102699</v>
      </c>
      <c r="O2589">
        <v>48.962815186133199</v>
      </c>
      <c r="P2589">
        <v>-9.8899524415059406E-2</v>
      </c>
      <c r="Q2589">
        <v>3.3436503268417801E-2</v>
      </c>
      <c r="R2589">
        <v>0.99560839861512995</v>
      </c>
      <c r="S2589" t="s">
        <v>6885</v>
      </c>
      <c r="T2589" t="s">
        <v>8590</v>
      </c>
      <c r="U2589" t="s">
        <v>8590</v>
      </c>
      <c r="V2589" t="s">
        <v>8590</v>
      </c>
      <c r="W2589">
        <v>5</v>
      </c>
      <c r="X2589" t="s">
        <v>11179</v>
      </c>
      <c r="Y2589">
        <v>0.35125865562847008</v>
      </c>
      <c r="Z2589" t="str">
        <f>HYPERLINK("Melting_Curves/meltCurve_sp_Q969S9_2_RRF2M_HUMAN_.pdf", "Melting_Curves/meltCurve_sp_Q969S9_2_RRF2M_HUMAN_.pdf")</f>
        <v>Melting_Curves/meltCurve_sp_Q969S9_2_RRF2M_HUMAN_.pdf</v>
      </c>
      <c r="AA2589" t="s">
        <v>15432</v>
      </c>
      <c r="AB2589" t="s">
        <v>19673</v>
      </c>
    </row>
    <row r="2590" spans="1:28" x14ac:dyDescent="0.25">
      <c r="A2590" t="s">
        <v>2594</v>
      </c>
      <c r="B2590">
        <v>0.99876560204751996</v>
      </c>
      <c r="C2590">
        <v>0.90390681128835104</v>
      </c>
      <c r="D2590">
        <v>0.887263925955733</v>
      </c>
      <c r="E2590">
        <v>0.75630172652043204</v>
      </c>
      <c r="F2590">
        <v>0.433589600385894</v>
      </c>
      <c r="G2590">
        <v>0.23135590643096199</v>
      </c>
      <c r="H2590">
        <v>8.7159582289679599E-2</v>
      </c>
      <c r="I2590">
        <v>6.7462529636787505E-2</v>
      </c>
      <c r="J2590">
        <v>4.4967532431387902E-2</v>
      </c>
      <c r="K2590">
        <v>1.43443750668943E-2</v>
      </c>
      <c r="L2590">
        <v>849.53625653396205</v>
      </c>
      <c r="M2590">
        <v>16.156448828968401</v>
      </c>
      <c r="N2590">
        <v>52.608427724395398</v>
      </c>
      <c r="O2590">
        <v>51.796102821444599</v>
      </c>
      <c r="P2590">
        <v>-7.7670230722459099E-2</v>
      </c>
      <c r="Q2590">
        <v>4.0604612981358004E-3</v>
      </c>
      <c r="R2590">
        <v>0.99268816584804498</v>
      </c>
      <c r="S2590" t="s">
        <v>6886</v>
      </c>
      <c r="T2590" t="s">
        <v>8590</v>
      </c>
      <c r="U2590" t="s">
        <v>8590</v>
      </c>
      <c r="V2590" t="s">
        <v>8590</v>
      </c>
      <c r="W2590">
        <v>3</v>
      </c>
      <c r="X2590" t="s">
        <v>11180</v>
      </c>
      <c r="Y2590">
        <v>0.44126264612920141</v>
      </c>
      <c r="Z2590" t="str">
        <f>HYPERLINK("Melting_Curves/meltCurve_sp_Q969T7_2_5NT3B_HUMAN_.pdf", "Melting_Curves/meltCurve_sp_Q969T7_2_5NT3B_HUMAN_.pdf")</f>
        <v>Melting_Curves/meltCurve_sp_Q969T7_2_5NT3B_HUMAN_.pdf</v>
      </c>
      <c r="AA2590" t="s">
        <v>15433</v>
      </c>
      <c r="AB2590" t="s">
        <v>19674</v>
      </c>
    </row>
    <row r="2591" spans="1:28" x14ac:dyDescent="0.25">
      <c r="A2591" t="s">
        <v>2595</v>
      </c>
      <c r="B2591">
        <v>0.99876560204751996</v>
      </c>
      <c r="C2591">
        <v>0.87141435244064003</v>
      </c>
      <c r="D2591">
        <v>0.66880282106352196</v>
      </c>
      <c r="E2591">
        <v>0.38538034076283101</v>
      </c>
      <c r="F2591">
        <v>0.178183965838207</v>
      </c>
      <c r="G2591">
        <v>0.15230399032453501</v>
      </c>
      <c r="H2591">
        <v>0.100408129047343</v>
      </c>
      <c r="I2591">
        <v>9.0398084122069094E-2</v>
      </c>
      <c r="J2591">
        <v>4.5140924209669003E-2</v>
      </c>
      <c r="K2591">
        <v>9.5187825588736896E-2</v>
      </c>
      <c r="L2591">
        <v>821.45567774983203</v>
      </c>
      <c r="M2591">
        <v>17.230069914573399</v>
      </c>
      <c r="N2591">
        <v>48.124235701748198</v>
      </c>
      <c r="O2591">
        <v>47.0473982117866</v>
      </c>
      <c r="P2591">
        <v>-8.47702952452076E-2</v>
      </c>
      <c r="Q2591">
        <v>7.4179497445492695E-2</v>
      </c>
      <c r="R2591">
        <v>0.99540365711253398</v>
      </c>
      <c r="S2591" t="s">
        <v>6887</v>
      </c>
      <c r="T2591" t="s">
        <v>8590</v>
      </c>
      <c r="U2591" t="s">
        <v>8590</v>
      </c>
      <c r="V2591" t="s">
        <v>8590</v>
      </c>
      <c r="W2591">
        <v>5</v>
      </c>
      <c r="X2591" t="s">
        <v>11181</v>
      </c>
      <c r="Y2591">
        <v>0.32926245622904771</v>
      </c>
      <c r="Z2591" t="str">
        <f>HYPERLINK("Melting_Curves/meltCurve_sp_Q969Y2_3_GTPB3_HUMAN_.pdf", "Melting_Curves/meltCurve_sp_Q969Y2_3_GTPB3_HUMAN_.pdf")</f>
        <v>Melting_Curves/meltCurve_sp_Q969Y2_3_GTPB3_HUMAN_.pdf</v>
      </c>
      <c r="AA2591" t="s">
        <v>15434</v>
      </c>
      <c r="AB2591" t="s">
        <v>19675</v>
      </c>
    </row>
    <row r="2592" spans="1:28" x14ac:dyDescent="0.25">
      <c r="A2592" t="s">
        <v>2596</v>
      </c>
      <c r="B2592">
        <v>0.99876560204751996</v>
      </c>
      <c r="C2592">
        <v>0.84452773199583597</v>
      </c>
      <c r="D2592">
        <v>0.647760118867724</v>
      </c>
      <c r="E2592">
        <v>0.34344501383133802</v>
      </c>
      <c r="F2592">
        <v>0.19726985119517099</v>
      </c>
      <c r="G2592">
        <v>0.13605334470216901</v>
      </c>
      <c r="H2592">
        <v>9.0634105522607505E-2</v>
      </c>
      <c r="I2592">
        <v>7.9884495004251502E-2</v>
      </c>
      <c r="J2592">
        <v>7.5178741542219193E-2</v>
      </c>
      <c r="K2592">
        <v>7.0897151914560003E-2</v>
      </c>
      <c r="L2592">
        <v>798.74526800406704</v>
      </c>
      <c r="M2592">
        <v>16.871090581004299</v>
      </c>
      <c r="N2592">
        <v>47.778326873964097</v>
      </c>
      <c r="O2592">
        <v>46.693846217734901</v>
      </c>
      <c r="P2592">
        <v>-8.3912291190235397E-2</v>
      </c>
      <c r="Q2592">
        <v>7.1088017237947401E-2</v>
      </c>
      <c r="R2592">
        <v>0.99811141395804104</v>
      </c>
      <c r="S2592" t="s">
        <v>6888</v>
      </c>
      <c r="T2592" t="s">
        <v>8590</v>
      </c>
      <c r="U2592" t="s">
        <v>8590</v>
      </c>
      <c r="V2592" t="s">
        <v>8590</v>
      </c>
      <c r="W2592">
        <v>10</v>
      </c>
      <c r="X2592" t="s">
        <v>11182</v>
      </c>
      <c r="Y2592">
        <v>0.31785752568990611</v>
      </c>
      <c r="Z2592" t="str">
        <f>HYPERLINK("Melting_Curves/meltCurve_sp_Q969Z0_TBRG4_HUMAN_.pdf", "Melting_Curves/meltCurve_sp_Q969Z0_TBRG4_HUMAN_.pdf")</f>
        <v>Melting_Curves/meltCurve_sp_Q969Z0_TBRG4_HUMAN_.pdf</v>
      </c>
      <c r="AA2592" t="s">
        <v>15435</v>
      </c>
      <c r="AB2592" t="s">
        <v>19676</v>
      </c>
    </row>
    <row r="2593" spans="1:28" x14ac:dyDescent="0.25">
      <c r="A2593" t="s">
        <v>2597</v>
      </c>
      <c r="B2593">
        <v>0.99876560204751996</v>
      </c>
      <c r="C2593">
        <v>1.0470868143080201</v>
      </c>
      <c r="D2593">
        <v>0.82904849180684403</v>
      </c>
      <c r="E2593">
        <v>0.74190766424194399</v>
      </c>
      <c r="F2593">
        <v>0.58945262452816505</v>
      </c>
      <c r="G2593">
        <v>0.47714624092987101</v>
      </c>
      <c r="H2593">
        <v>0.32312163388060799</v>
      </c>
      <c r="I2593">
        <v>0.22069341369192799</v>
      </c>
      <c r="J2593">
        <v>0.20924082428145899</v>
      </c>
      <c r="K2593">
        <v>0.118571519613609</v>
      </c>
      <c r="L2593">
        <v>538.78213041836398</v>
      </c>
      <c r="M2593">
        <v>9.7340617724020699</v>
      </c>
      <c r="N2593">
        <v>55.725403653408101</v>
      </c>
      <c r="O2593">
        <v>53.165688570944198</v>
      </c>
      <c r="P2593">
        <v>-4.4344267949537199E-2</v>
      </c>
      <c r="Q2593">
        <v>3.1720454506338799E-2</v>
      </c>
      <c r="R2593">
        <v>0.98349412479737397</v>
      </c>
      <c r="S2593" t="s">
        <v>6889</v>
      </c>
      <c r="T2593" t="s">
        <v>8590</v>
      </c>
      <c r="U2593" t="s">
        <v>8590</v>
      </c>
      <c r="V2593" t="s">
        <v>8590</v>
      </c>
      <c r="W2593">
        <v>4</v>
      </c>
      <c r="X2593" t="s">
        <v>11183</v>
      </c>
      <c r="Y2593">
        <v>0.5508009572559549</v>
      </c>
      <c r="Z2593" t="str">
        <f>HYPERLINK("Melting_Curves/meltCurve_sp_Q969Z3_MOSC2_HUMAN_.pdf", "Melting_Curves/meltCurve_sp_Q969Z3_MOSC2_HUMAN_.pdf")</f>
        <v>Melting_Curves/meltCurve_sp_Q969Z3_MOSC2_HUMAN_.pdf</v>
      </c>
      <c r="AA2593" t="s">
        <v>15436</v>
      </c>
      <c r="AB2593" t="s">
        <v>19677</v>
      </c>
    </row>
    <row r="2594" spans="1:28" x14ac:dyDescent="0.25">
      <c r="A2594" t="s">
        <v>2598</v>
      </c>
      <c r="B2594">
        <v>0.99876560204751996</v>
      </c>
      <c r="C2594">
        <v>0.98885101943967701</v>
      </c>
      <c r="D2594">
        <v>1.13986304827587</v>
      </c>
      <c r="E2594">
        <v>0.96377985518940401</v>
      </c>
      <c r="F2594">
        <v>1.0015883177864799</v>
      </c>
      <c r="G2594">
        <v>0.70927518752734697</v>
      </c>
      <c r="H2594">
        <v>0.607368224499795</v>
      </c>
      <c r="I2594">
        <v>0.53098222303486697</v>
      </c>
      <c r="J2594">
        <v>0.59980425128424197</v>
      </c>
      <c r="K2594">
        <v>0.55416030225329604</v>
      </c>
      <c r="L2594">
        <v>3360.0343816282898</v>
      </c>
      <c r="M2594">
        <v>59.668845020347199</v>
      </c>
      <c r="O2594">
        <v>56.248224032513399</v>
      </c>
      <c r="P2594">
        <v>-0.113642152699734</v>
      </c>
      <c r="Q2594">
        <v>0.57149051717219002</v>
      </c>
      <c r="R2594">
        <v>0.94765552260775798</v>
      </c>
      <c r="S2594" t="s">
        <v>6890</v>
      </c>
      <c r="T2594" t="s">
        <v>8590</v>
      </c>
      <c r="U2594" t="s">
        <v>8590</v>
      </c>
      <c r="V2594" t="s">
        <v>8590</v>
      </c>
      <c r="W2594">
        <v>9</v>
      </c>
      <c r="X2594" t="s">
        <v>11184</v>
      </c>
      <c r="Y2594">
        <v>0.80522234701093609</v>
      </c>
      <c r="Z2594" t="str">
        <f>HYPERLINK("Melting_Curves/meltCurve_sp_Q96A49_SYAP1_HUMAN_.pdf", "Melting_Curves/meltCurve_sp_Q96A49_SYAP1_HUMAN_.pdf")</f>
        <v>Melting_Curves/meltCurve_sp_Q96A49_SYAP1_HUMAN_.pdf</v>
      </c>
      <c r="AA2594" t="s">
        <v>15437</v>
      </c>
      <c r="AB2594" t="s">
        <v>19678</v>
      </c>
    </row>
    <row r="2595" spans="1:28" x14ac:dyDescent="0.25">
      <c r="A2595" t="s">
        <v>2599</v>
      </c>
      <c r="B2595">
        <v>0.99876560204751996</v>
      </c>
      <c r="C2595">
        <v>1.0393827168515299</v>
      </c>
      <c r="D2595">
        <v>0.98023623310098196</v>
      </c>
      <c r="E2595">
        <v>0.56974163672208</v>
      </c>
      <c r="F2595">
        <v>0.31185705301908201</v>
      </c>
      <c r="G2595">
        <v>0.191326462959688</v>
      </c>
      <c r="H2595">
        <v>8.2436138010244006E-2</v>
      </c>
      <c r="I2595">
        <v>6.5294845277362304E-2</v>
      </c>
      <c r="J2595">
        <v>4.5127202191494201E-2</v>
      </c>
      <c r="K2595">
        <v>2.3571400517925899E-2</v>
      </c>
      <c r="L2595">
        <v>1182.6235963179199</v>
      </c>
      <c r="M2595">
        <v>23.312730325638299</v>
      </c>
      <c r="N2595">
        <v>51.003060258505101</v>
      </c>
      <c r="O2595">
        <v>50.359813919232202</v>
      </c>
      <c r="P2595">
        <v>-0.108911752545005</v>
      </c>
      <c r="Q2595">
        <v>5.8938421540887798E-2</v>
      </c>
      <c r="R2595">
        <v>0.99174819935582104</v>
      </c>
      <c r="S2595" t="s">
        <v>6891</v>
      </c>
      <c r="T2595" t="s">
        <v>8590</v>
      </c>
      <c r="U2595" t="s">
        <v>8590</v>
      </c>
      <c r="V2595" t="s">
        <v>8590</v>
      </c>
      <c r="W2595">
        <v>9</v>
      </c>
      <c r="X2595" t="s">
        <v>11185</v>
      </c>
      <c r="Y2595">
        <v>0.40520967529163671</v>
      </c>
      <c r="Z2595" t="str">
        <f>HYPERLINK("Melting_Curves/meltCurve_sp_Q96A65_EXOC4_HUMAN_.pdf", "Melting_Curves/meltCurve_sp_Q96A65_EXOC4_HUMAN_.pdf")</f>
        <v>Melting_Curves/meltCurve_sp_Q96A65_EXOC4_HUMAN_.pdf</v>
      </c>
      <c r="AA2595" t="s">
        <v>15438</v>
      </c>
      <c r="AB2595" t="s">
        <v>19679</v>
      </c>
    </row>
    <row r="2596" spans="1:28" x14ac:dyDescent="0.25">
      <c r="A2596" t="s">
        <v>2600</v>
      </c>
      <c r="B2596">
        <v>0.99876560204751996</v>
      </c>
      <c r="C2596">
        <v>0.98662223888968703</v>
      </c>
      <c r="D2596">
        <v>0.87616453320383902</v>
      </c>
      <c r="E2596">
        <v>0.82777092862851798</v>
      </c>
      <c r="F2596">
        <v>0.57946975399354295</v>
      </c>
      <c r="G2596">
        <v>0.409480923067299</v>
      </c>
      <c r="H2596">
        <v>0.231872689652284</v>
      </c>
      <c r="I2596">
        <v>0.14905690137601399</v>
      </c>
      <c r="J2596">
        <v>0.102037168201113</v>
      </c>
      <c r="K2596">
        <v>6.9587115742195699E-2</v>
      </c>
      <c r="L2596">
        <v>681.82613174418998</v>
      </c>
      <c r="M2596">
        <v>12.3921024558339</v>
      </c>
      <c r="N2596">
        <v>55.0524416484255</v>
      </c>
      <c r="O2596">
        <v>53.6471123823816</v>
      </c>
      <c r="P2596">
        <v>-5.7556977506793103E-2</v>
      </c>
      <c r="Q2596">
        <v>3.52384025334509E-3</v>
      </c>
      <c r="R2596">
        <v>0.99503071181091995</v>
      </c>
      <c r="S2596" t="s">
        <v>6892</v>
      </c>
      <c r="T2596" t="s">
        <v>8590</v>
      </c>
      <c r="U2596" t="s">
        <v>8590</v>
      </c>
      <c r="V2596" t="s">
        <v>8590</v>
      </c>
      <c r="W2596">
        <v>6</v>
      </c>
      <c r="X2596" t="s">
        <v>11186</v>
      </c>
      <c r="Y2596">
        <v>0.52524183059716478</v>
      </c>
      <c r="Z2596" t="str">
        <f>HYPERLINK("Melting_Curves/meltCurve_sp_Q96AB3_ISOC2_HUMAN_.pdf", "Melting_Curves/meltCurve_sp_Q96AB3_ISOC2_HUMAN_.pdf")</f>
        <v>Melting_Curves/meltCurve_sp_Q96AB3_ISOC2_HUMAN_.pdf</v>
      </c>
      <c r="AA2596" t="s">
        <v>15439</v>
      </c>
      <c r="AB2596" t="s">
        <v>19680</v>
      </c>
    </row>
    <row r="2597" spans="1:28" x14ac:dyDescent="0.25">
      <c r="A2597" t="s">
        <v>2601</v>
      </c>
      <c r="B2597">
        <v>0.99876560204751996</v>
      </c>
      <c r="C2597">
        <v>0.937844577524929</v>
      </c>
      <c r="D2597">
        <v>0.93076611332536197</v>
      </c>
      <c r="E2597">
        <v>0.71428550064518503</v>
      </c>
      <c r="F2597">
        <v>0.34766993446497102</v>
      </c>
      <c r="G2597">
        <v>0.23037074626423301</v>
      </c>
      <c r="H2597">
        <v>0.151256115888036</v>
      </c>
      <c r="I2597">
        <v>0.128321659058028</v>
      </c>
      <c r="J2597">
        <v>0.115582970053151</v>
      </c>
      <c r="K2597">
        <v>0.134933609303175</v>
      </c>
      <c r="L2597">
        <v>1263.22526470867</v>
      </c>
      <c r="M2597">
        <v>24.705557607799101</v>
      </c>
      <c r="N2597">
        <v>51.763436993073498</v>
      </c>
      <c r="O2597">
        <v>50.799746664003202</v>
      </c>
      <c r="P2597">
        <v>-0.10575030133654099</v>
      </c>
      <c r="Q2597">
        <v>0.13023411401726501</v>
      </c>
      <c r="R2597">
        <v>0.99422024382368301</v>
      </c>
      <c r="S2597" t="s">
        <v>6893</v>
      </c>
      <c r="T2597" t="s">
        <v>8590</v>
      </c>
      <c r="U2597" t="s">
        <v>8590</v>
      </c>
      <c r="V2597" t="s">
        <v>8590</v>
      </c>
      <c r="W2597">
        <v>3</v>
      </c>
      <c r="X2597" t="s">
        <v>11187</v>
      </c>
      <c r="Y2597">
        <v>0.46100611257812008</v>
      </c>
      <c r="Z2597" t="str">
        <f>HYPERLINK("Melting_Curves/meltCurve_sp_Q96AB6_NTAN1_HUMAN_.pdf", "Melting_Curves/meltCurve_sp_Q96AB6_NTAN1_HUMAN_.pdf")</f>
        <v>Melting_Curves/meltCurve_sp_Q96AB6_NTAN1_HUMAN_.pdf</v>
      </c>
      <c r="AA2597" t="s">
        <v>15440</v>
      </c>
      <c r="AB2597" t="s">
        <v>19681</v>
      </c>
    </row>
    <row r="2598" spans="1:28" x14ac:dyDescent="0.25">
      <c r="A2598" t="s">
        <v>2602</v>
      </c>
      <c r="B2598">
        <v>0.99876560204751996</v>
      </c>
      <c r="C2598">
        <v>0.99316061517917398</v>
      </c>
      <c r="D2598">
        <v>0.99653516900768602</v>
      </c>
      <c r="E2598">
        <v>0.98452832218376496</v>
      </c>
      <c r="F2598">
        <v>0.92679992807247003</v>
      </c>
      <c r="G2598">
        <v>0.547144639230145</v>
      </c>
      <c r="H2598">
        <v>9.4035134514543095E-2</v>
      </c>
      <c r="I2598">
        <v>5.3894115119746497E-2</v>
      </c>
      <c r="J2598">
        <v>3.87352644079531E-2</v>
      </c>
      <c r="K2598">
        <v>3.3627020374118799E-2</v>
      </c>
      <c r="L2598">
        <v>2113.3159437424601</v>
      </c>
      <c r="M2598">
        <v>36.985531087099197</v>
      </c>
      <c r="N2598">
        <v>57.232479784749998</v>
      </c>
      <c r="O2598">
        <v>56.972719382331</v>
      </c>
      <c r="P2598">
        <v>-0.15753797629470501</v>
      </c>
      <c r="Q2598">
        <v>2.9313219072980401E-2</v>
      </c>
      <c r="R2598">
        <v>0.99933504143629504</v>
      </c>
      <c r="S2598" t="s">
        <v>6894</v>
      </c>
      <c r="T2598" t="s">
        <v>8590</v>
      </c>
      <c r="U2598" t="s">
        <v>8590</v>
      </c>
      <c r="V2598" t="s">
        <v>8590</v>
      </c>
      <c r="W2598">
        <v>26</v>
      </c>
      <c r="X2598" t="s">
        <v>11188</v>
      </c>
      <c r="Y2598">
        <v>0.58826854672077167</v>
      </c>
      <c r="Z2598" t="str">
        <f>HYPERLINK("Melting_Curves/meltCurve_sp_Q96AC1_FERM2_HUMAN_.pdf", "Melting_Curves/meltCurve_sp_Q96AC1_FERM2_HUMAN_.pdf")</f>
        <v>Melting_Curves/meltCurve_sp_Q96AC1_FERM2_HUMAN_.pdf</v>
      </c>
      <c r="AA2598" t="s">
        <v>15441</v>
      </c>
      <c r="AB2598" t="s">
        <v>19682</v>
      </c>
    </row>
    <row r="2599" spans="1:28" x14ac:dyDescent="0.25">
      <c r="A2599" t="s">
        <v>2603</v>
      </c>
      <c r="B2599">
        <v>0.99876560204751996</v>
      </c>
      <c r="C2599">
        <v>0.98573706581301901</v>
      </c>
      <c r="D2599">
        <v>1.05119110860183</v>
      </c>
      <c r="E2599">
        <v>0.95108635791419804</v>
      </c>
      <c r="F2599">
        <v>0.94616496363529301</v>
      </c>
      <c r="G2599">
        <v>0.763137619502958</v>
      </c>
      <c r="H2599">
        <v>0.66708052211344104</v>
      </c>
      <c r="I2599">
        <v>0.641971217386618</v>
      </c>
      <c r="J2599">
        <v>0.80922877046793995</v>
      </c>
      <c r="K2599">
        <v>0.78150666790089895</v>
      </c>
      <c r="L2599">
        <v>2489.9351237037999</v>
      </c>
      <c r="M2599">
        <v>45.669589355361602</v>
      </c>
      <c r="O2599">
        <v>54.416414401361997</v>
      </c>
      <c r="P2599">
        <v>-5.7591884412126801E-2</v>
      </c>
      <c r="Q2599">
        <v>0.72551189324107601</v>
      </c>
      <c r="R2599">
        <v>0.86493716513708896</v>
      </c>
      <c r="S2599" t="s">
        <v>6895</v>
      </c>
      <c r="T2599" t="s">
        <v>8590</v>
      </c>
      <c r="U2599" t="s">
        <v>8590</v>
      </c>
      <c r="V2599" t="s">
        <v>8590</v>
      </c>
      <c r="W2599">
        <v>31</v>
      </c>
      <c r="X2599" t="s">
        <v>11189</v>
      </c>
      <c r="Y2599">
        <v>0.85916131857862688</v>
      </c>
      <c r="Z2599" t="str">
        <f>HYPERLINK("Melting_Curves/meltCurve_sp_Q96AE4_2_FUBP1_HUMAN_.pdf", "Melting_Curves/meltCurve_sp_Q96AE4_2_FUBP1_HUMAN_.pdf")</f>
        <v>Melting_Curves/meltCurve_sp_Q96AE4_2_FUBP1_HUMAN_.pdf</v>
      </c>
      <c r="AA2599" t="s">
        <v>15442</v>
      </c>
      <c r="AB2599" t="s">
        <v>19683</v>
      </c>
    </row>
    <row r="2600" spans="1:28" x14ac:dyDescent="0.25">
      <c r="A2600" t="s">
        <v>2604</v>
      </c>
      <c r="B2600">
        <v>0.99876560204751996</v>
      </c>
      <c r="C2600">
        <v>0.91931058589709003</v>
      </c>
      <c r="D2600">
        <v>0.95619640104968395</v>
      </c>
      <c r="E2600">
        <v>0.68065245558279996</v>
      </c>
      <c r="F2600">
        <v>0.54591532834799705</v>
      </c>
      <c r="G2600">
        <v>0.37327887982670099</v>
      </c>
      <c r="H2600">
        <v>0.25883033660899402</v>
      </c>
      <c r="I2600">
        <v>0.29973392344590699</v>
      </c>
      <c r="J2600">
        <v>0.25781947328768401</v>
      </c>
      <c r="K2600">
        <v>0.24815273873525201</v>
      </c>
      <c r="L2600">
        <v>864.06599357064101</v>
      </c>
      <c r="M2600">
        <v>16.803574664268499</v>
      </c>
      <c r="N2600">
        <v>53.549371624507998</v>
      </c>
      <c r="O2600">
        <v>50.709855560504799</v>
      </c>
      <c r="P2600">
        <v>-6.2669176938853793E-2</v>
      </c>
      <c r="Q2600">
        <v>0.24355644350522401</v>
      </c>
      <c r="R2600">
        <v>0.99010266238449596</v>
      </c>
      <c r="S2600" t="s">
        <v>6896</v>
      </c>
      <c r="T2600" t="s">
        <v>8590</v>
      </c>
      <c r="U2600" t="s">
        <v>8590</v>
      </c>
      <c r="V2600" t="s">
        <v>8590</v>
      </c>
      <c r="W2600">
        <v>31</v>
      </c>
      <c r="X2600" t="s">
        <v>11190</v>
      </c>
      <c r="Y2600">
        <v>0.5458379806572109</v>
      </c>
      <c r="Z2600" t="str">
        <f>HYPERLINK("Melting_Curves/meltCurve_sp_Q96AE4_FUBP1_HUMAN_.pdf", "Melting_Curves/meltCurve_sp_Q96AE4_FUBP1_HUMAN_.pdf")</f>
        <v>Melting_Curves/meltCurve_sp_Q96AE4_FUBP1_HUMAN_.pdf</v>
      </c>
      <c r="AA2600" t="s">
        <v>15442</v>
      </c>
      <c r="AB2600" t="s">
        <v>19684</v>
      </c>
    </row>
    <row r="2601" spans="1:28" x14ac:dyDescent="0.25">
      <c r="A2601" t="s">
        <v>2605</v>
      </c>
      <c r="B2601">
        <v>0.99876560204751996</v>
      </c>
      <c r="C2601">
        <v>0.93266234304692697</v>
      </c>
      <c r="D2601">
        <v>0.99216445081666704</v>
      </c>
      <c r="E2601">
        <v>0.88035194485139001</v>
      </c>
      <c r="F2601">
        <v>0.79026891169048596</v>
      </c>
      <c r="G2601">
        <v>0.33089790938595098</v>
      </c>
      <c r="H2601">
        <v>0.302196819303297</v>
      </c>
      <c r="I2601">
        <v>0.236666129391501</v>
      </c>
      <c r="J2601">
        <v>0.32849366075178699</v>
      </c>
      <c r="K2601">
        <v>0.25122747756290698</v>
      </c>
      <c r="L2601">
        <v>1949.6052396500399</v>
      </c>
      <c r="M2601">
        <v>36.099597140649301</v>
      </c>
      <c r="N2601">
        <v>55.194812579494702</v>
      </c>
      <c r="O2601">
        <v>53.841367973211298</v>
      </c>
      <c r="P2601">
        <v>-0.122331594811765</v>
      </c>
      <c r="Q2601">
        <v>0.27018805223381398</v>
      </c>
      <c r="R2601">
        <v>0.98148786614319805</v>
      </c>
      <c r="S2601" t="s">
        <v>6897</v>
      </c>
      <c r="T2601" t="s">
        <v>8590</v>
      </c>
      <c r="U2601" t="s">
        <v>8590</v>
      </c>
      <c r="V2601" t="s">
        <v>8590</v>
      </c>
      <c r="W2601">
        <v>8</v>
      </c>
      <c r="X2601" t="s">
        <v>11191</v>
      </c>
      <c r="Y2601">
        <v>0.61425545567704964</v>
      </c>
      <c r="Z2601" t="str">
        <f>HYPERLINK("Melting_Curves/meltCurve_sp_Q96AG4_LRC59_HUMAN_.pdf", "Melting_Curves/meltCurve_sp_Q96AG4_LRC59_HUMAN_.pdf")</f>
        <v>Melting_Curves/meltCurve_sp_Q96AG4_LRC59_HUMAN_.pdf</v>
      </c>
      <c r="AA2601" t="s">
        <v>15443</v>
      </c>
      <c r="AB2601" t="s">
        <v>19685</v>
      </c>
    </row>
    <row r="2602" spans="1:28" x14ac:dyDescent="0.25">
      <c r="A2602" t="s">
        <v>2606</v>
      </c>
      <c r="B2602">
        <v>0.99876560204751996</v>
      </c>
      <c r="C2602">
        <v>0.94175270206355699</v>
      </c>
      <c r="D2602">
        <v>1.11810729839473</v>
      </c>
      <c r="E2602">
        <v>0.88624804559257797</v>
      </c>
      <c r="F2602">
        <v>0.87300424890342598</v>
      </c>
      <c r="G2602">
        <v>0.653825946644086</v>
      </c>
      <c r="H2602">
        <v>0.55971165547558999</v>
      </c>
      <c r="I2602">
        <v>0.53534148068912701</v>
      </c>
      <c r="J2602">
        <v>0.73321500044392496</v>
      </c>
      <c r="K2602">
        <v>0.64479178194973996</v>
      </c>
      <c r="L2602">
        <v>1663.99968352067</v>
      </c>
      <c r="M2602">
        <v>31.0976580771319</v>
      </c>
      <c r="O2602">
        <v>53.289031247053998</v>
      </c>
      <c r="P2602">
        <v>-5.6098293601074302E-2</v>
      </c>
      <c r="Q2602">
        <v>0.61548141891780195</v>
      </c>
      <c r="R2602">
        <v>0.85637985906700098</v>
      </c>
      <c r="S2602" t="s">
        <v>6898</v>
      </c>
      <c r="T2602" t="s">
        <v>8590</v>
      </c>
      <c r="U2602" t="s">
        <v>8590</v>
      </c>
      <c r="V2602" t="s">
        <v>8590</v>
      </c>
      <c r="W2602">
        <v>1</v>
      </c>
      <c r="X2602" t="s">
        <v>11192</v>
      </c>
      <c r="Y2602">
        <v>0.79096884354556851</v>
      </c>
      <c r="Z2602" t="str">
        <f>HYPERLINK("Melting_Curves/meltCurve_sp_Q96AT1_K1143_HUMAN_.pdf", "Melting_Curves/meltCurve_sp_Q96AT1_K1143_HUMAN_.pdf")</f>
        <v>Melting_Curves/meltCurve_sp_Q96AT1_K1143_HUMAN_.pdf</v>
      </c>
      <c r="AA2602" t="s">
        <v>15444</v>
      </c>
      <c r="AB2602" t="s">
        <v>19686</v>
      </c>
    </row>
    <row r="2603" spans="1:28" x14ac:dyDescent="0.25">
      <c r="A2603" t="s">
        <v>2607</v>
      </c>
      <c r="B2603">
        <v>0.99876560204751996</v>
      </c>
      <c r="C2603">
        <v>0.99427826607228897</v>
      </c>
      <c r="D2603">
        <v>1.0613911795279101</v>
      </c>
      <c r="E2603">
        <v>0.92891291152867095</v>
      </c>
      <c r="F2603">
        <v>0.76399592404483596</v>
      </c>
      <c r="G2603">
        <v>0.412745092334112</v>
      </c>
      <c r="H2603">
        <v>0.19904222296225099</v>
      </c>
      <c r="I2603">
        <v>0.110787777583674</v>
      </c>
      <c r="J2603">
        <v>0.12524193342527201</v>
      </c>
      <c r="K2603">
        <v>0.11532749181789401</v>
      </c>
      <c r="L2603">
        <v>1314.3053294587201</v>
      </c>
      <c r="M2603">
        <v>23.724845357116699</v>
      </c>
      <c r="N2603">
        <v>55.931861157179704</v>
      </c>
      <c r="O2603">
        <v>55.008745570134799</v>
      </c>
      <c r="P2603">
        <v>-9.6897183167226494E-2</v>
      </c>
      <c r="Q2603">
        <v>0.101346129906284</v>
      </c>
      <c r="R2603">
        <v>0.99631547645275098</v>
      </c>
      <c r="S2603" t="s">
        <v>6899</v>
      </c>
      <c r="T2603" t="s">
        <v>8590</v>
      </c>
      <c r="U2603" t="s">
        <v>8590</v>
      </c>
      <c r="V2603" t="s">
        <v>8590</v>
      </c>
      <c r="W2603">
        <v>6</v>
      </c>
      <c r="X2603" t="s">
        <v>11193</v>
      </c>
      <c r="Y2603">
        <v>0.57165570140370592</v>
      </c>
      <c r="Z2603" t="str">
        <f>HYPERLINK("Melting_Curves/meltCurve_sp_Q96AT9_RPE_HUMAN_.pdf", "Melting_Curves/meltCurve_sp_Q96AT9_RPE_HUMAN_.pdf")</f>
        <v>Melting_Curves/meltCurve_sp_Q96AT9_RPE_HUMAN_.pdf</v>
      </c>
      <c r="AA2603" t="s">
        <v>15445</v>
      </c>
      <c r="AB2603" t="s">
        <v>19687</v>
      </c>
    </row>
    <row r="2604" spans="1:28" x14ac:dyDescent="0.25">
      <c r="A2604" t="s">
        <v>2608</v>
      </c>
      <c r="B2604">
        <v>0.99876560204751996</v>
      </c>
      <c r="C2604">
        <v>0.98549271584120002</v>
      </c>
      <c r="D2604">
        <v>1.00943599272363</v>
      </c>
      <c r="E2604">
        <v>1.0503676364127901</v>
      </c>
      <c r="F2604">
        <v>0.85502806786638297</v>
      </c>
      <c r="G2604">
        <v>0.52029311853321203</v>
      </c>
      <c r="H2604">
        <v>0.41716247326231098</v>
      </c>
      <c r="I2604">
        <v>0.34985644238408098</v>
      </c>
      <c r="J2604">
        <v>0.322250538774491</v>
      </c>
      <c r="K2604">
        <v>0.31615267384745199</v>
      </c>
      <c r="L2604">
        <v>1740.5190171817601</v>
      </c>
      <c r="M2604">
        <v>31.422495473390001</v>
      </c>
      <c r="N2604">
        <v>57.437111351725299</v>
      </c>
      <c r="O2604">
        <v>55.167970883959299</v>
      </c>
      <c r="P2604">
        <v>-9.4440719714616594E-2</v>
      </c>
      <c r="Q2604">
        <v>0.336771434468984</v>
      </c>
      <c r="R2604">
        <v>0.99069909838467296</v>
      </c>
      <c r="S2604" t="s">
        <v>6900</v>
      </c>
      <c r="T2604" t="s">
        <v>8590</v>
      </c>
      <c r="U2604" t="s">
        <v>8590</v>
      </c>
      <c r="V2604" t="s">
        <v>8590</v>
      </c>
      <c r="W2604">
        <v>1</v>
      </c>
      <c r="X2604" t="s">
        <v>11194</v>
      </c>
      <c r="Y2604">
        <v>0.68106959317032778</v>
      </c>
      <c r="Z2604" t="str">
        <f>HYPERLINK("Melting_Curves/meltCurve_sp_Q96B23_2_CR025_HUMAN_.pdf", "Melting_Curves/meltCurve_sp_Q96B23_2_CR025_HUMAN_.pdf")</f>
        <v>Melting_Curves/meltCurve_sp_Q96B23_2_CR025_HUMAN_.pdf</v>
      </c>
      <c r="AA2604" t="s">
        <v>15446</v>
      </c>
      <c r="AB2604" t="s">
        <v>19688</v>
      </c>
    </row>
    <row r="2605" spans="1:28" x14ac:dyDescent="0.25">
      <c r="A2605" t="s">
        <v>2609</v>
      </c>
      <c r="B2605">
        <v>0.99876560204751996</v>
      </c>
      <c r="C2605">
        <v>1.01019677468451</v>
      </c>
      <c r="D2605">
        <v>0.96603696352901802</v>
      </c>
      <c r="E2605">
        <v>0.95200376975550305</v>
      </c>
      <c r="F2605">
        <v>0.86120028362356305</v>
      </c>
      <c r="G2605">
        <v>0.41334215045793199</v>
      </c>
      <c r="H2605">
        <v>0.15132441495687199</v>
      </c>
      <c r="I2605">
        <v>8.8221919782572697E-2</v>
      </c>
      <c r="J2605">
        <v>4.0881436396258901E-2</v>
      </c>
      <c r="K2605">
        <v>1.9527952513879201E-2</v>
      </c>
      <c r="L2605">
        <v>1498.5689896571901</v>
      </c>
      <c r="M2605">
        <v>26.651266997323699</v>
      </c>
      <c r="N2605">
        <v>56.370126624704</v>
      </c>
      <c r="O2605">
        <v>55.915088908770699</v>
      </c>
      <c r="P2605">
        <v>-0.11531004524671599</v>
      </c>
      <c r="Q2605">
        <v>3.2315421135407002E-2</v>
      </c>
      <c r="R2605">
        <v>0.99839469018215699</v>
      </c>
      <c r="S2605" t="s">
        <v>6901</v>
      </c>
      <c r="T2605" t="s">
        <v>8590</v>
      </c>
      <c r="U2605" t="s">
        <v>8590</v>
      </c>
      <c r="V2605" t="s">
        <v>8590</v>
      </c>
      <c r="W2605">
        <v>4</v>
      </c>
      <c r="X2605" t="s">
        <v>11195</v>
      </c>
      <c r="Y2605">
        <v>0.56375004269735907</v>
      </c>
      <c r="Z2605" t="str">
        <f>HYPERLINK("Melting_Curves/meltCurve_sp_Q96B26_EXOS8_HUMAN_.pdf", "Melting_Curves/meltCurve_sp_Q96B26_EXOS8_HUMAN_.pdf")</f>
        <v>Melting_Curves/meltCurve_sp_Q96B26_EXOS8_HUMAN_.pdf</v>
      </c>
      <c r="AA2605" t="s">
        <v>15447</v>
      </c>
      <c r="AB2605" t="s">
        <v>19689</v>
      </c>
    </row>
    <row r="2606" spans="1:28" x14ac:dyDescent="0.25">
      <c r="A2606" t="s">
        <v>2610</v>
      </c>
      <c r="B2606">
        <v>0.99876560204751996</v>
      </c>
      <c r="C2606">
        <v>1.1218436477681399</v>
      </c>
      <c r="D2606">
        <v>1.0862883989087</v>
      </c>
      <c r="E2606">
        <v>0.87742006887405</v>
      </c>
      <c r="F2606">
        <v>0.68666408890897301</v>
      </c>
      <c r="G2606">
        <v>0.52586774184489304</v>
      </c>
      <c r="H2606">
        <v>0.36485332809476301</v>
      </c>
      <c r="I2606">
        <v>0.39348722550222098</v>
      </c>
      <c r="J2606">
        <v>0.39614687303914797</v>
      </c>
      <c r="K2606">
        <v>0.32364964721491402</v>
      </c>
      <c r="L2606">
        <v>1233.32061187773</v>
      </c>
      <c r="M2606">
        <v>23.077151655355902</v>
      </c>
      <c r="N2606">
        <v>56.588821908111598</v>
      </c>
      <c r="O2606">
        <v>53.046906354458102</v>
      </c>
      <c r="P2606">
        <v>-6.9458598351537199E-2</v>
      </c>
      <c r="Q2606">
        <v>0.36136040396018998</v>
      </c>
      <c r="R2606">
        <v>0.96498374950207699</v>
      </c>
      <c r="S2606" t="s">
        <v>6902</v>
      </c>
      <c r="T2606" t="s">
        <v>8590</v>
      </c>
      <c r="U2606" t="s">
        <v>8590</v>
      </c>
      <c r="V2606" t="s">
        <v>8590</v>
      </c>
      <c r="W2606">
        <v>4</v>
      </c>
      <c r="X2606" t="s">
        <v>11196</v>
      </c>
      <c r="Y2606">
        <v>0.65436655561346102</v>
      </c>
      <c r="Z2606" t="str">
        <f>HYPERLINK("Melting_Curves/meltCurve_sp_Q96B36_AKTS1_HUMAN_.pdf", "Melting_Curves/meltCurve_sp_Q96B36_AKTS1_HUMAN_.pdf")</f>
        <v>Melting_Curves/meltCurve_sp_Q96B36_AKTS1_HUMAN_.pdf</v>
      </c>
      <c r="AA2606" t="s">
        <v>15448</v>
      </c>
      <c r="AB2606" t="s">
        <v>19690</v>
      </c>
    </row>
    <row r="2607" spans="1:28" x14ac:dyDescent="0.25">
      <c r="A2607" t="s">
        <v>2611</v>
      </c>
      <c r="B2607">
        <v>0.99876560204751996</v>
      </c>
      <c r="C2607">
        <v>1.0668111763875701</v>
      </c>
      <c r="D2607">
        <v>1.00435330712218</v>
      </c>
      <c r="E2607">
        <v>0.96884286624244398</v>
      </c>
      <c r="F2607">
        <v>0.77563241123019899</v>
      </c>
      <c r="G2607">
        <v>0.57357417661834198</v>
      </c>
      <c r="H2607">
        <v>0.46735018731115602</v>
      </c>
      <c r="I2607">
        <v>0.28424180593473602</v>
      </c>
      <c r="J2607">
        <v>0.34909105802034501</v>
      </c>
      <c r="K2607">
        <v>0.268308630955711</v>
      </c>
      <c r="L2607">
        <v>1005.5196416748</v>
      </c>
      <c r="M2607">
        <v>17.9208666834894</v>
      </c>
      <c r="N2607">
        <v>58.657035345750799</v>
      </c>
      <c r="O2607">
        <v>55.424208844894999</v>
      </c>
      <c r="P2607">
        <v>-5.8975772131420301E-2</v>
      </c>
      <c r="Q2607">
        <v>0.270454614179029</v>
      </c>
      <c r="R2607">
        <v>0.98174279954976496</v>
      </c>
      <c r="S2607" t="s">
        <v>6903</v>
      </c>
      <c r="T2607" t="s">
        <v>8590</v>
      </c>
      <c r="U2607" t="s">
        <v>8590</v>
      </c>
      <c r="V2607" t="s">
        <v>8590</v>
      </c>
      <c r="W2607">
        <v>1</v>
      </c>
      <c r="X2607" t="s">
        <v>11197</v>
      </c>
      <c r="Y2607">
        <v>0.67292527692961779</v>
      </c>
      <c r="Z2607" t="str">
        <f>HYPERLINK("Melting_Curves/meltCurve_sp_Q96B45_CJ032_HUMAN_.pdf", "Melting_Curves/meltCurve_sp_Q96B45_CJ032_HUMAN_.pdf")</f>
        <v>Melting_Curves/meltCurve_sp_Q96B45_CJ032_HUMAN_.pdf</v>
      </c>
      <c r="AA2607" t="s">
        <v>15449</v>
      </c>
      <c r="AB2607" t="s">
        <v>19691</v>
      </c>
    </row>
    <row r="2608" spans="1:28" x14ac:dyDescent="0.25">
      <c r="A2608" t="s">
        <v>2612</v>
      </c>
      <c r="B2608">
        <v>0.99876560204751996</v>
      </c>
      <c r="C2608">
        <v>1.0287380244926201</v>
      </c>
      <c r="D2608">
        <v>1.10305171211959</v>
      </c>
      <c r="E2608">
        <v>0.94006124373965205</v>
      </c>
      <c r="F2608">
        <v>0.873217064846598</v>
      </c>
      <c r="G2608">
        <v>0.68051676182804599</v>
      </c>
      <c r="H2608">
        <v>0.68040550983080605</v>
      </c>
      <c r="I2608">
        <v>0.70891200187771997</v>
      </c>
      <c r="J2608">
        <v>0.91611980902481305</v>
      </c>
      <c r="K2608">
        <v>0.79307302767204402</v>
      </c>
      <c r="L2608">
        <v>2393.6953278334599</v>
      </c>
      <c r="M2608">
        <v>45.6202023678118</v>
      </c>
      <c r="O2608">
        <v>52.369549826589299</v>
      </c>
      <c r="P2608">
        <v>-5.2936111573623199E-2</v>
      </c>
      <c r="Q2608">
        <v>0.75692901540313096</v>
      </c>
      <c r="R2608">
        <v>0.73362028323167705</v>
      </c>
      <c r="S2608" t="s">
        <v>6904</v>
      </c>
      <c r="T2608" t="s">
        <v>8590</v>
      </c>
      <c r="U2608" t="s">
        <v>8590</v>
      </c>
      <c r="V2608" t="s">
        <v>8590</v>
      </c>
      <c r="W2608">
        <v>3</v>
      </c>
      <c r="X2608" t="s">
        <v>11198</v>
      </c>
      <c r="Y2608">
        <v>0.85864247869710353</v>
      </c>
      <c r="Z2608" t="str">
        <f>HYPERLINK("Melting_Curves/meltCurve_sp_Q96B54_ZN428_HUMAN_.pdf", "Melting_Curves/meltCurve_sp_Q96B54_ZN428_HUMAN_.pdf")</f>
        <v>Melting_Curves/meltCurve_sp_Q96B54_ZN428_HUMAN_.pdf</v>
      </c>
      <c r="AA2608" t="s">
        <v>15450</v>
      </c>
      <c r="AB2608" t="s">
        <v>19692</v>
      </c>
    </row>
    <row r="2609" spans="1:28" x14ac:dyDescent="0.25">
      <c r="A2609" t="s">
        <v>2613</v>
      </c>
      <c r="B2609">
        <v>0.99876560204751996</v>
      </c>
      <c r="C2609">
        <v>0.79305846419789605</v>
      </c>
      <c r="D2609">
        <v>1.02921966068652</v>
      </c>
      <c r="E2609">
        <v>0.90580872697445602</v>
      </c>
      <c r="F2609">
        <v>0.56599485469570399</v>
      </c>
      <c r="G2609">
        <v>0.56045957190518703</v>
      </c>
      <c r="H2609">
        <v>0.473737441282789</v>
      </c>
      <c r="I2609">
        <v>0.37143402593502201</v>
      </c>
      <c r="J2609">
        <v>0.61430443903278997</v>
      </c>
      <c r="K2609">
        <v>0.57912011428007404</v>
      </c>
      <c r="L2609">
        <v>3197.3736110966202</v>
      </c>
      <c r="M2609">
        <v>62.536394138338402</v>
      </c>
      <c r="O2609">
        <v>51.075998547231301</v>
      </c>
      <c r="P2609">
        <v>-0.147090221629705</v>
      </c>
      <c r="Q2609">
        <v>0.519462056173569</v>
      </c>
      <c r="R2609">
        <v>0.82429328347000097</v>
      </c>
      <c r="S2609" t="s">
        <v>6905</v>
      </c>
      <c r="T2609" t="s">
        <v>8590</v>
      </c>
      <c r="U2609" t="s">
        <v>8590</v>
      </c>
      <c r="V2609" t="s">
        <v>8590</v>
      </c>
      <c r="W2609">
        <v>1</v>
      </c>
      <c r="X2609" t="s">
        <v>11199</v>
      </c>
      <c r="Y2609">
        <v>0.69840427954068718</v>
      </c>
      <c r="Z2609" t="str">
        <f>HYPERLINK("Melting_Curves/meltCurve_sp_Q96B70_LENG9_HUMAN_.pdf", "Melting_Curves/meltCurve_sp_Q96B70_LENG9_HUMAN_.pdf")</f>
        <v>Melting_Curves/meltCurve_sp_Q96B70_LENG9_HUMAN_.pdf</v>
      </c>
      <c r="AA2609" t="s">
        <v>15451</v>
      </c>
      <c r="AB2609" t="s">
        <v>19693</v>
      </c>
    </row>
    <row r="2610" spans="1:28" x14ac:dyDescent="0.25">
      <c r="A2610" t="s">
        <v>2614</v>
      </c>
      <c r="B2610">
        <v>0.99876560204751996</v>
      </c>
      <c r="C2610">
        <v>1.0993962281768299</v>
      </c>
      <c r="D2610">
        <v>1.00731553826147</v>
      </c>
      <c r="E2610">
        <v>0.94557467894491698</v>
      </c>
      <c r="F2610">
        <v>0.83854285617115798</v>
      </c>
      <c r="G2610">
        <v>0.58053855076836203</v>
      </c>
      <c r="H2610">
        <v>0.52381865969087205</v>
      </c>
      <c r="I2610">
        <v>0.45670148359304802</v>
      </c>
      <c r="J2610">
        <v>0.63007224501388603</v>
      </c>
      <c r="K2610">
        <v>0.51494534692750005</v>
      </c>
      <c r="L2610">
        <v>1926.09169504235</v>
      </c>
      <c r="M2610">
        <v>35.781098890773897</v>
      </c>
      <c r="O2610">
        <v>53.662560022630103</v>
      </c>
      <c r="P2610">
        <v>-7.8570070807964396E-2</v>
      </c>
      <c r="Q2610">
        <v>0.52866097549471103</v>
      </c>
      <c r="R2610">
        <v>0.94972328257374805</v>
      </c>
      <c r="S2610" t="s">
        <v>6906</v>
      </c>
      <c r="T2610" t="s">
        <v>8590</v>
      </c>
      <c r="U2610" t="s">
        <v>8590</v>
      </c>
      <c r="V2610" t="s">
        <v>8590</v>
      </c>
      <c r="W2610">
        <v>5</v>
      </c>
      <c r="X2610" t="s">
        <v>11200</v>
      </c>
      <c r="Y2610">
        <v>0.74813235001025791</v>
      </c>
      <c r="Z2610" t="str">
        <f>HYPERLINK("Melting_Curves/meltCurve_sp_Q96B97_SH3K1_HUMAN_.pdf", "Melting_Curves/meltCurve_sp_Q96B97_SH3K1_HUMAN_.pdf")</f>
        <v>Melting_Curves/meltCurve_sp_Q96B97_SH3K1_HUMAN_.pdf</v>
      </c>
      <c r="AA2610" t="s">
        <v>15452</v>
      </c>
      <c r="AB2610" t="s">
        <v>19694</v>
      </c>
    </row>
    <row r="2611" spans="1:28" x14ac:dyDescent="0.25">
      <c r="A2611" t="s">
        <v>2615</v>
      </c>
      <c r="B2611">
        <v>0.99876560204751996</v>
      </c>
      <c r="C2611">
        <v>0.92607730851418701</v>
      </c>
      <c r="D2611">
        <v>1.0202274014327699</v>
      </c>
      <c r="E2611">
        <v>0.84182972631813002</v>
      </c>
      <c r="F2611">
        <v>0.76844758806046998</v>
      </c>
      <c r="G2611">
        <v>0.36201800369921</v>
      </c>
      <c r="H2611">
        <v>9.2819149298346504E-2</v>
      </c>
      <c r="I2611">
        <v>5.1350000829927002E-2</v>
      </c>
      <c r="J2611">
        <v>6.7535000274221296E-2</v>
      </c>
      <c r="K2611">
        <v>4.14680542958187E-2</v>
      </c>
      <c r="L2611">
        <v>1234.25079575171</v>
      </c>
      <c r="M2611">
        <v>22.317040221559701</v>
      </c>
      <c r="N2611">
        <v>55.412971269019103</v>
      </c>
      <c r="O2611">
        <v>54.866988737258701</v>
      </c>
      <c r="P2611">
        <v>-9.9531640288428203E-2</v>
      </c>
      <c r="Q2611">
        <v>2.1216755078688299E-2</v>
      </c>
      <c r="R2611">
        <v>0.990661819380383</v>
      </c>
      <c r="S2611" t="s">
        <v>6907</v>
      </c>
      <c r="T2611" t="s">
        <v>8590</v>
      </c>
      <c r="U2611" t="s">
        <v>8590</v>
      </c>
      <c r="V2611" t="s">
        <v>8590</v>
      </c>
      <c r="W2611">
        <v>8</v>
      </c>
      <c r="X2611" t="s">
        <v>11201</v>
      </c>
      <c r="Y2611">
        <v>0.53149392239148507</v>
      </c>
      <c r="Z2611" t="str">
        <f>HYPERLINK("Melting_Curves/meltCurve_sp_Q96BJ3_AIDA_HUMAN_.pdf", "Melting_Curves/meltCurve_sp_Q96BJ3_AIDA_HUMAN_.pdf")</f>
        <v>Melting_Curves/meltCurve_sp_Q96BJ3_AIDA_HUMAN_.pdf</v>
      </c>
      <c r="AA2611" t="s">
        <v>15453</v>
      </c>
      <c r="AB2611" t="s">
        <v>19695</v>
      </c>
    </row>
    <row r="2612" spans="1:28" x14ac:dyDescent="0.25">
      <c r="A2612" t="s">
        <v>2616</v>
      </c>
      <c r="B2612">
        <v>0.99876560204751996</v>
      </c>
      <c r="C2612">
        <v>0.88230504554086298</v>
      </c>
      <c r="D2612">
        <v>0.93376734545275397</v>
      </c>
      <c r="E2612">
        <v>0.78745127227925904</v>
      </c>
      <c r="F2612">
        <v>0.46731762352453998</v>
      </c>
      <c r="G2612">
        <v>0.119869237737301</v>
      </c>
      <c r="H2612">
        <v>8.2317242708583593E-2</v>
      </c>
      <c r="I2612">
        <v>6.62798051821889E-2</v>
      </c>
      <c r="J2612">
        <v>7.4923410946257096E-2</v>
      </c>
      <c r="K2612">
        <v>5.9004318758411799E-2</v>
      </c>
      <c r="L2612">
        <v>1364.2296741004</v>
      </c>
      <c r="M2612">
        <v>26.0705708779</v>
      </c>
      <c r="N2612">
        <v>52.568043127568799</v>
      </c>
      <c r="O2612">
        <v>52.023376325890901</v>
      </c>
      <c r="P2612">
        <v>-0.118262927594824</v>
      </c>
      <c r="Q2612">
        <v>5.6044390491236398E-2</v>
      </c>
      <c r="R2612">
        <v>0.98905561697241995</v>
      </c>
      <c r="S2612" t="s">
        <v>6908</v>
      </c>
      <c r="T2612" t="s">
        <v>8590</v>
      </c>
      <c r="U2612" t="s">
        <v>8590</v>
      </c>
      <c r="V2612" t="s">
        <v>8590</v>
      </c>
      <c r="W2612">
        <v>8</v>
      </c>
      <c r="X2612" t="s">
        <v>11202</v>
      </c>
      <c r="Y2612">
        <v>0.4519333919586212</v>
      </c>
      <c r="Z2612" t="str">
        <f>HYPERLINK("Melting_Curves/meltCurve_sp_Q96BN8_F105B_HUMAN_.pdf", "Melting_Curves/meltCurve_sp_Q96BN8_F105B_HUMAN_.pdf")</f>
        <v>Melting_Curves/meltCurve_sp_Q96BN8_F105B_HUMAN_.pdf</v>
      </c>
      <c r="AA2612" t="s">
        <v>15454</v>
      </c>
      <c r="AB2612" t="s">
        <v>19696</v>
      </c>
    </row>
    <row r="2613" spans="1:28" x14ac:dyDescent="0.25">
      <c r="A2613" t="s">
        <v>2617</v>
      </c>
      <c r="B2613">
        <v>0.99876560204751996</v>
      </c>
      <c r="C2613">
        <v>1.1275514445982</v>
      </c>
      <c r="D2613">
        <v>1.06709140440209</v>
      </c>
      <c r="E2613">
        <v>0.84895868692450305</v>
      </c>
      <c r="F2613">
        <v>0.393287422848003</v>
      </c>
      <c r="G2613">
        <v>0.18781343420888699</v>
      </c>
      <c r="H2613">
        <v>0.162251208789148</v>
      </c>
      <c r="I2613">
        <v>0.15049376459614</v>
      </c>
      <c r="J2613">
        <v>0.106588965991659</v>
      </c>
      <c r="K2613">
        <v>0.112691936935918</v>
      </c>
      <c r="L2613">
        <v>2117.4405357313499</v>
      </c>
      <c r="M2613">
        <v>40.7924083162061</v>
      </c>
      <c r="N2613">
        <v>52.323100570141001</v>
      </c>
      <c r="O2613">
        <v>51.783432092535101</v>
      </c>
      <c r="P2613">
        <v>-0.16969747276635</v>
      </c>
      <c r="Q2613">
        <v>0.13831999143988799</v>
      </c>
      <c r="R2613">
        <v>0.98585502610723197</v>
      </c>
      <c r="S2613" t="s">
        <v>6909</v>
      </c>
      <c r="T2613" t="s">
        <v>8590</v>
      </c>
      <c r="U2613" t="s">
        <v>8590</v>
      </c>
      <c r="V2613" t="s">
        <v>8590</v>
      </c>
      <c r="W2613">
        <v>6</v>
      </c>
      <c r="X2613" t="s">
        <v>11203</v>
      </c>
      <c r="Y2613">
        <v>0.4833120393206638</v>
      </c>
      <c r="Z2613" t="str">
        <f>HYPERLINK("Melting_Curves/meltCurve_sp_Q96BP3_PPWD1_HUMAN_.pdf", "Melting_Curves/meltCurve_sp_Q96BP3_PPWD1_HUMAN_.pdf")</f>
        <v>Melting_Curves/meltCurve_sp_Q96BP3_PPWD1_HUMAN_.pdf</v>
      </c>
      <c r="AA2613" t="s">
        <v>15455</v>
      </c>
      <c r="AB2613" t="s">
        <v>19697</v>
      </c>
    </row>
    <row r="2614" spans="1:28" x14ac:dyDescent="0.25">
      <c r="A2614" t="s">
        <v>2618</v>
      </c>
      <c r="B2614">
        <v>0.99876560204751996</v>
      </c>
      <c r="C2614">
        <v>0.97852449093983496</v>
      </c>
      <c r="D2614">
        <v>0.89451173120490002</v>
      </c>
      <c r="E2614">
        <v>0.91740012816309502</v>
      </c>
      <c r="F2614">
        <v>0.754982576912411</v>
      </c>
      <c r="G2614">
        <v>0.43635219609354198</v>
      </c>
      <c r="H2614">
        <v>0.33006507891582498</v>
      </c>
      <c r="I2614">
        <v>0.31074582057904099</v>
      </c>
      <c r="J2614">
        <v>0.32526948403941403</v>
      </c>
      <c r="K2614">
        <v>0.32759542622267601</v>
      </c>
      <c r="L2614">
        <v>1422.0484928358301</v>
      </c>
      <c r="M2614">
        <v>26.3432919268067</v>
      </c>
      <c r="N2614">
        <v>56.044808368935698</v>
      </c>
      <c r="O2614">
        <v>53.673237347301999</v>
      </c>
      <c r="P2614">
        <v>-8.4612232180735103E-2</v>
      </c>
      <c r="Q2614">
        <v>0.31043351240408101</v>
      </c>
      <c r="R2614">
        <v>0.98664668886644202</v>
      </c>
      <c r="S2614" t="s">
        <v>6910</v>
      </c>
      <c r="T2614" t="s">
        <v>8590</v>
      </c>
      <c r="U2614" t="s">
        <v>8590</v>
      </c>
      <c r="V2614" t="s">
        <v>8590</v>
      </c>
      <c r="W2614">
        <v>7</v>
      </c>
      <c r="X2614" t="s">
        <v>11204</v>
      </c>
      <c r="Y2614">
        <v>0.63759890781113382</v>
      </c>
      <c r="Z2614" t="str">
        <f>HYPERLINK("Melting_Curves/meltCurve_sp_Q96BR5_SELR1_HUMAN_.pdf", "Melting_Curves/meltCurve_sp_Q96BR5_SELR1_HUMAN_.pdf")</f>
        <v>Melting_Curves/meltCurve_sp_Q96BR5_SELR1_HUMAN_.pdf</v>
      </c>
      <c r="AA2614" t="s">
        <v>15456</v>
      </c>
      <c r="AB2614" t="s">
        <v>19698</v>
      </c>
    </row>
    <row r="2615" spans="1:28" x14ac:dyDescent="0.25">
      <c r="A2615" t="s">
        <v>2619</v>
      </c>
      <c r="B2615">
        <v>0.99876560204751996</v>
      </c>
      <c r="C2615">
        <v>0.94093098753160598</v>
      </c>
      <c r="D2615">
        <v>0.94609898669363501</v>
      </c>
      <c r="E2615">
        <v>0.94253123917049297</v>
      </c>
      <c r="F2615">
        <v>0.85206112440142001</v>
      </c>
      <c r="G2615">
        <v>0.76791726389944404</v>
      </c>
      <c r="H2615">
        <v>0.52504600557097802</v>
      </c>
      <c r="I2615">
        <v>0.273336717205794</v>
      </c>
      <c r="J2615">
        <v>9.4993383823650898E-2</v>
      </c>
      <c r="K2615">
        <v>7.2312151096278796E-2</v>
      </c>
      <c r="L2615">
        <v>1082.7024326912699</v>
      </c>
      <c r="M2615">
        <v>17.865399832395902</v>
      </c>
      <c r="N2615">
        <v>60.603314343664898</v>
      </c>
      <c r="O2615">
        <v>59.8593004862783</v>
      </c>
      <c r="P2615">
        <v>-7.4617927831490599E-2</v>
      </c>
      <c r="Q2615">
        <v>0</v>
      </c>
      <c r="R2615">
        <v>0.984000921338547</v>
      </c>
      <c r="S2615" t="s">
        <v>6911</v>
      </c>
      <c r="T2615" t="s">
        <v>8590</v>
      </c>
      <c r="U2615" t="s">
        <v>8590</v>
      </c>
      <c r="V2615" t="s">
        <v>8590</v>
      </c>
      <c r="W2615">
        <v>12</v>
      </c>
      <c r="X2615" t="s">
        <v>11205</v>
      </c>
      <c r="Y2615">
        <v>0.69328058335961662</v>
      </c>
      <c r="Z2615" t="str">
        <f>HYPERLINK("Melting_Curves/meltCurve_sp_Q96BW5_2_PTER_HUMAN_.pdf", "Melting_Curves/meltCurve_sp_Q96BW5_2_PTER_HUMAN_.pdf")</f>
        <v>Melting_Curves/meltCurve_sp_Q96BW5_2_PTER_HUMAN_.pdf</v>
      </c>
      <c r="AA2615" t="s">
        <v>15457</v>
      </c>
      <c r="AB2615" t="s">
        <v>19699</v>
      </c>
    </row>
    <row r="2616" spans="1:28" x14ac:dyDescent="0.25">
      <c r="A2616" t="s">
        <v>2620</v>
      </c>
      <c r="B2616">
        <v>0.99876560204751996</v>
      </c>
      <c r="C2616">
        <v>0.99967824460410704</v>
      </c>
      <c r="D2616">
        <v>1.03200090792258</v>
      </c>
      <c r="E2616">
        <v>0.884201093013391</v>
      </c>
      <c r="F2616">
        <v>0.86115874717267904</v>
      </c>
      <c r="G2616">
        <v>0.51491746204544797</v>
      </c>
      <c r="H2616">
        <v>0.33025722527823498</v>
      </c>
      <c r="I2616">
        <v>0.31612806723135101</v>
      </c>
      <c r="J2616">
        <v>0.243974862727874</v>
      </c>
      <c r="K2616">
        <v>9.4791816872221907E-2</v>
      </c>
      <c r="L2616">
        <v>939.38816793664796</v>
      </c>
      <c r="M2616">
        <v>16.483858874679701</v>
      </c>
      <c r="N2616">
        <v>58.039080106660798</v>
      </c>
      <c r="O2616">
        <v>56.1694612859717</v>
      </c>
      <c r="P2616">
        <v>-6.3906341412174397E-2</v>
      </c>
      <c r="Q2616">
        <v>0.12900648511231899</v>
      </c>
      <c r="R2616">
        <v>0.98208608608244596</v>
      </c>
      <c r="S2616" t="s">
        <v>6912</v>
      </c>
      <c r="T2616" t="s">
        <v>8590</v>
      </c>
      <c r="U2616" t="s">
        <v>8590</v>
      </c>
      <c r="V2616" t="s">
        <v>8590</v>
      </c>
      <c r="W2616">
        <v>5</v>
      </c>
      <c r="X2616" t="s">
        <v>11206</v>
      </c>
      <c r="Y2616">
        <v>0.63516862288488551</v>
      </c>
      <c r="Z2616" t="str">
        <f>HYPERLINK("Melting_Curves/meltCurve_sp_Q96BY7_ATG2B_HUMAN_.pdf", "Melting_Curves/meltCurve_sp_Q96BY7_ATG2B_HUMAN_.pdf")</f>
        <v>Melting_Curves/meltCurve_sp_Q96BY7_ATG2B_HUMAN_.pdf</v>
      </c>
      <c r="AA2616" t="s">
        <v>15458</v>
      </c>
      <c r="AB2616" t="s">
        <v>19700</v>
      </c>
    </row>
    <row r="2617" spans="1:28" x14ac:dyDescent="0.25">
      <c r="A2617" t="s">
        <v>2621</v>
      </c>
      <c r="B2617">
        <v>0.99876560204751996</v>
      </c>
      <c r="C2617">
        <v>1.1009684844358401</v>
      </c>
      <c r="D2617">
        <v>0.79521316108014295</v>
      </c>
      <c r="E2617">
        <v>0.83053193229559197</v>
      </c>
      <c r="F2617">
        <v>0.70751945205538602</v>
      </c>
      <c r="G2617">
        <v>0.63026382388934399</v>
      </c>
      <c r="H2617">
        <v>0.56482664725365905</v>
      </c>
      <c r="I2617">
        <v>0.46845208856000797</v>
      </c>
      <c r="J2617">
        <v>0.48108438091044797</v>
      </c>
      <c r="K2617">
        <v>0.47311523285260199</v>
      </c>
      <c r="L2617">
        <v>585.57623982983398</v>
      </c>
      <c r="M2617">
        <v>11.023243405133</v>
      </c>
      <c r="N2617">
        <v>64.554039539743599</v>
      </c>
      <c r="O2617">
        <v>51.4635153989637</v>
      </c>
      <c r="P2617">
        <v>-3.05858001432915E-2</v>
      </c>
      <c r="Q2617">
        <v>0.42901516075073398</v>
      </c>
      <c r="R2617">
        <v>0.91979525256959205</v>
      </c>
      <c r="S2617" t="s">
        <v>6913</v>
      </c>
      <c r="T2617" t="s">
        <v>8590</v>
      </c>
      <c r="U2617" t="s">
        <v>8590</v>
      </c>
      <c r="V2617" t="s">
        <v>8590</v>
      </c>
      <c r="W2617">
        <v>1</v>
      </c>
      <c r="X2617" t="s">
        <v>11207</v>
      </c>
      <c r="Y2617">
        <v>0.69635333103831221</v>
      </c>
      <c r="Z2617" t="str">
        <f>HYPERLINK("Melting_Curves/meltCurve_sp_Q96BZ8_LENG1_HUMAN_.pdf", "Melting_Curves/meltCurve_sp_Q96BZ8_LENG1_HUMAN_.pdf")</f>
        <v>Melting_Curves/meltCurve_sp_Q96BZ8_LENG1_HUMAN_.pdf</v>
      </c>
      <c r="AA2617" t="s">
        <v>15459</v>
      </c>
      <c r="AB2617" t="s">
        <v>19701</v>
      </c>
    </row>
    <row r="2618" spans="1:28" x14ac:dyDescent="0.25">
      <c r="A2618" t="s">
        <v>2622</v>
      </c>
      <c r="B2618">
        <v>0.99876560204751996</v>
      </c>
      <c r="C2618">
        <v>0.93536020633361305</v>
      </c>
      <c r="D2618">
        <v>0.998934670524949</v>
      </c>
      <c r="E2618">
        <v>0.88020889834185301</v>
      </c>
      <c r="F2618">
        <v>0.81343969716012399</v>
      </c>
      <c r="G2618">
        <v>0.63642273876431699</v>
      </c>
      <c r="H2618">
        <v>0.51389245361798597</v>
      </c>
      <c r="I2618">
        <v>0.51775522041885402</v>
      </c>
      <c r="J2618">
        <v>0.65679723656926703</v>
      </c>
      <c r="K2618">
        <v>0.62944551927616699</v>
      </c>
      <c r="L2618">
        <v>1317.13600916215</v>
      </c>
      <c r="M2618">
        <v>24.940160906122301</v>
      </c>
      <c r="O2618">
        <v>52.475844926202498</v>
      </c>
      <c r="P2618">
        <v>-5.0218286095302503E-2</v>
      </c>
      <c r="Q2618">
        <v>0.57735473759781497</v>
      </c>
      <c r="R2618">
        <v>0.92154285043349404</v>
      </c>
      <c r="S2618" t="s">
        <v>6914</v>
      </c>
      <c r="T2618" t="s">
        <v>8590</v>
      </c>
      <c r="U2618" t="s">
        <v>8590</v>
      </c>
      <c r="V2618" t="s">
        <v>8590</v>
      </c>
      <c r="W2618">
        <v>14</v>
      </c>
      <c r="X2618" t="s">
        <v>11208</v>
      </c>
      <c r="Y2618">
        <v>0.76175390494258821</v>
      </c>
      <c r="Z2618" t="str">
        <f>HYPERLINK("Melting_Curves/meltCurve_sp_Q96C01_F136A_HUMAN_.pdf", "Melting_Curves/meltCurve_sp_Q96C01_F136A_HUMAN_.pdf")</f>
        <v>Melting_Curves/meltCurve_sp_Q96C01_F136A_HUMAN_.pdf</v>
      </c>
      <c r="AA2618" t="s">
        <v>15460</v>
      </c>
      <c r="AB2618" t="s">
        <v>19702</v>
      </c>
    </row>
    <row r="2619" spans="1:28" x14ac:dyDescent="0.25">
      <c r="A2619" t="s">
        <v>2623</v>
      </c>
      <c r="B2619">
        <v>0.99876560204751996</v>
      </c>
      <c r="C2619">
        <v>0.98125018930601204</v>
      </c>
      <c r="D2619">
        <v>0.92923909777898195</v>
      </c>
      <c r="E2619">
        <v>1.01381778329738</v>
      </c>
      <c r="F2619">
        <v>0.95117132612966004</v>
      </c>
      <c r="G2619">
        <v>0.75001186508701101</v>
      </c>
      <c r="H2619">
        <v>0.29103047197592902</v>
      </c>
      <c r="I2619">
        <v>8.5377885193227906E-2</v>
      </c>
      <c r="J2619">
        <v>5.5049168153358703E-2</v>
      </c>
      <c r="K2619">
        <v>4.6667003963193697E-2</v>
      </c>
      <c r="L2619">
        <v>1820.1006842020399</v>
      </c>
      <c r="M2619">
        <v>30.8789799449066</v>
      </c>
      <c r="N2619">
        <v>59.0567678296173</v>
      </c>
      <c r="O2619">
        <v>58.697481170845698</v>
      </c>
      <c r="P2619">
        <v>-0.127721140342341</v>
      </c>
      <c r="Q2619">
        <v>2.88713617093199E-2</v>
      </c>
      <c r="R2619">
        <v>0.99605506448632397</v>
      </c>
      <c r="S2619" t="s">
        <v>6915</v>
      </c>
      <c r="T2619" t="s">
        <v>8590</v>
      </c>
      <c r="U2619" t="s">
        <v>8590</v>
      </c>
      <c r="V2619" t="s">
        <v>8590</v>
      </c>
      <c r="W2619">
        <v>17</v>
      </c>
      <c r="X2619" t="s">
        <v>11209</v>
      </c>
      <c r="Y2619">
        <v>0.64803821285775931</v>
      </c>
      <c r="Z2619" t="str">
        <f>HYPERLINK("Melting_Curves/meltCurve_sp_Q96C11_FGGY_HUMAN_.pdf", "Melting_Curves/meltCurve_sp_Q96C11_FGGY_HUMAN_.pdf")</f>
        <v>Melting_Curves/meltCurve_sp_Q96C11_FGGY_HUMAN_.pdf</v>
      </c>
      <c r="AA2619" t="s">
        <v>15461</v>
      </c>
      <c r="AB2619" t="s">
        <v>19703</v>
      </c>
    </row>
    <row r="2620" spans="1:28" x14ac:dyDescent="0.25">
      <c r="A2620" t="s">
        <v>2624</v>
      </c>
      <c r="B2620">
        <v>0.99876560204751996</v>
      </c>
      <c r="C2620">
        <v>1.0707962236169499</v>
      </c>
      <c r="D2620">
        <v>1.0610751234453699</v>
      </c>
      <c r="E2620">
        <v>0.90126402596760102</v>
      </c>
      <c r="F2620">
        <v>0.81232215400436003</v>
      </c>
      <c r="G2620">
        <v>0.55860675024635698</v>
      </c>
      <c r="H2620">
        <v>0.53688532963759705</v>
      </c>
      <c r="I2620">
        <v>0.47232075437596399</v>
      </c>
      <c r="J2620">
        <v>0.55749543924549305</v>
      </c>
      <c r="K2620">
        <v>0.48045170404302501</v>
      </c>
      <c r="L2620">
        <v>1519.95257626634</v>
      </c>
      <c r="M2620">
        <v>28.3796933554719</v>
      </c>
      <c r="O2620">
        <v>53.2939560716014</v>
      </c>
      <c r="P2620">
        <v>-6.6122644420374105E-2</v>
      </c>
      <c r="Q2620">
        <v>0.50331982923924001</v>
      </c>
      <c r="R2620">
        <v>0.96954983578110798</v>
      </c>
      <c r="S2620" t="s">
        <v>6916</v>
      </c>
      <c r="T2620" t="s">
        <v>8590</v>
      </c>
      <c r="U2620" t="s">
        <v>8590</v>
      </c>
      <c r="V2620" t="s">
        <v>8590</v>
      </c>
      <c r="W2620">
        <v>7</v>
      </c>
      <c r="X2620" t="s">
        <v>11210</v>
      </c>
      <c r="Y2620">
        <v>0.73139457001597796</v>
      </c>
      <c r="Z2620" t="str">
        <f>HYPERLINK("Melting_Curves/meltCurve_sp_Q96C19_EFHD2_HUMAN_.pdf", "Melting_Curves/meltCurve_sp_Q96C19_EFHD2_HUMAN_.pdf")</f>
        <v>Melting_Curves/meltCurve_sp_Q96C19_EFHD2_HUMAN_.pdf</v>
      </c>
      <c r="AA2620" t="s">
        <v>15462</v>
      </c>
      <c r="AB2620" t="s">
        <v>19704</v>
      </c>
    </row>
    <row r="2621" spans="1:28" x14ac:dyDescent="0.25">
      <c r="A2621" t="s">
        <v>2625</v>
      </c>
      <c r="B2621">
        <v>0.99876560204751996</v>
      </c>
      <c r="C2621">
        <v>0.91673799605878403</v>
      </c>
      <c r="D2621">
        <v>0.96747441316570104</v>
      </c>
      <c r="E2621">
        <v>0.77720932538309295</v>
      </c>
      <c r="F2621">
        <v>0.43601908932991301</v>
      </c>
      <c r="G2621">
        <v>0.124632212980964</v>
      </c>
      <c r="H2621">
        <v>6.9942050891920293E-2</v>
      </c>
      <c r="I2621">
        <v>5.3458976347840498E-2</v>
      </c>
      <c r="J2621">
        <v>4.7506972189131198E-2</v>
      </c>
      <c r="K2621">
        <v>3.6425125597952003E-2</v>
      </c>
      <c r="L2621">
        <v>1370.33258275254</v>
      </c>
      <c r="M2621">
        <v>26.227807147539199</v>
      </c>
      <c r="N2621">
        <v>52.418415155474698</v>
      </c>
      <c r="O2621">
        <v>51.946422342031497</v>
      </c>
      <c r="P2621">
        <v>-0.12104842942003401</v>
      </c>
      <c r="Q2621">
        <v>4.1023477291707799E-2</v>
      </c>
      <c r="R2621">
        <v>0.99585608663722203</v>
      </c>
      <c r="S2621" t="s">
        <v>6917</v>
      </c>
      <c r="T2621" t="s">
        <v>8590</v>
      </c>
      <c r="U2621" t="s">
        <v>8590</v>
      </c>
      <c r="V2621" t="s">
        <v>8590</v>
      </c>
      <c r="W2621">
        <v>15</v>
      </c>
      <c r="X2621" t="s">
        <v>11211</v>
      </c>
      <c r="Y2621">
        <v>0.44052151086351993</v>
      </c>
      <c r="Z2621" t="str">
        <f>HYPERLINK("Melting_Curves/meltCurve_sp_Q96C23_GALM_HUMAN_.pdf", "Melting_Curves/meltCurve_sp_Q96C23_GALM_HUMAN_.pdf")</f>
        <v>Melting_Curves/meltCurve_sp_Q96C23_GALM_HUMAN_.pdf</v>
      </c>
      <c r="AA2621" t="s">
        <v>15463</v>
      </c>
      <c r="AB2621" t="s">
        <v>19705</v>
      </c>
    </row>
    <row r="2622" spans="1:28" x14ac:dyDescent="0.25">
      <c r="A2622" t="s">
        <v>2626</v>
      </c>
      <c r="B2622">
        <v>0.99876560204751996</v>
      </c>
      <c r="C2622">
        <v>1.0299491875231599</v>
      </c>
      <c r="D2622">
        <v>1.0619216974967001</v>
      </c>
      <c r="E2622">
        <v>0.74508972502098403</v>
      </c>
      <c r="F2622">
        <v>0.524227978952157</v>
      </c>
      <c r="G2622">
        <v>0.253952382323819</v>
      </c>
      <c r="H2622">
        <v>0.17671496698925401</v>
      </c>
      <c r="I2622">
        <v>0.193091938963625</v>
      </c>
      <c r="J2622">
        <v>0.15746764102086999</v>
      </c>
      <c r="K2622">
        <v>0.107029269345741</v>
      </c>
      <c r="L2622">
        <v>1248.2831413951201</v>
      </c>
      <c r="M2622">
        <v>23.865068069297902</v>
      </c>
      <c r="N2622">
        <v>53.087440928873001</v>
      </c>
      <c r="O2622">
        <v>51.942735331086702</v>
      </c>
      <c r="P2622">
        <v>-9.7849235097172596E-2</v>
      </c>
      <c r="Q2622">
        <v>0.14813115515192901</v>
      </c>
      <c r="R2622">
        <v>0.98954738233327</v>
      </c>
      <c r="S2622" t="s">
        <v>6918</v>
      </c>
      <c r="T2622" t="s">
        <v>8590</v>
      </c>
      <c r="U2622" t="s">
        <v>8590</v>
      </c>
      <c r="V2622" t="s">
        <v>8590</v>
      </c>
      <c r="W2622">
        <v>1</v>
      </c>
      <c r="X2622" t="s">
        <v>11212</v>
      </c>
      <c r="Y2622">
        <v>0.50608272089983664</v>
      </c>
      <c r="Z2622" t="str">
        <f>HYPERLINK("Melting_Curves/meltCurve_sp_Q96C24_SYTL4_HUMAN_.pdf", "Melting_Curves/meltCurve_sp_Q96C24_SYTL4_HUMAN_.pdf")</f>
        <v>Melting_Curves/meltCurve_sp_Q96C24_SYTL4_HUMAN_.pdf</v>
      </c>
      <c r="AA2622" t="s">
        <v>15464</v>
      </c>
      <c r="AB2622" t="s">
        <v>19706</v>
      </c>
    </row>
    <row r="2623" spans="1:28" x14ac:dyDescent="0.25">
      <c r="A2623" t="s">
        <v>2627</v>
      </c>
      <c r="B2623">
        <v>0.99876560204751996</v>
      </c>
      <c r="C2623">
        <v>0.98227334439876401</v>
      </c>
      <c r="D2623">
        <v>0.97007453568328705</v>
      </c>
      <c r="E2623">
        <v>0.93844520623878802</v>
      </c>
      <c r="F2623">
        <v>0.80750120548291404</v>
      </c>
      <c r="G2623">
        <v>0.45335718652726797</v>
      </c>
      <c r="H2623">
        <v>0.113784495686721</v>
      </c>
      <c r="I2623">
        <v>9.9584387328362306E-2</v>
      </c>
      <c r="J2623">
        <v>7.6373680836311603E-2</v>
      </c>
      <c r="K2623">
        <v>8.1497636456207903E-2</v>
      </c>
      <c r="L2623">
        <v>1416.9848059709</v>
      </c>
      <c r="M2623">
        <v>25.3074267580606</v>
      </c>
      <c r="N2623">
        <v>56.259192699458801</v>
      </c>
      <c r="O2623">
        <v>55.6447813000268</v>
      </c>
      <c r="P2623">
        <v>-0.107237869761924</v>
      </c>
      <c r="Q2623">
        <v>5.68537888118976E-2</v>
      </c>
      <c r="R2623">
        <v>0.99696322552748995</v>
      </c>
      <c r="S2623" t="s">
        <v>6919</v>
      </c>
      <c r="T2623" t="s">
        <v>8590</v>
      </c>
      <c r="U2623" t="s">
        <v>8590</v>
      </c>
      <c r="V2623" t="s">
        <v>8590</v>
      </c>
      <c r="W2623">
        <v>10</v>
      </c>
      <c r="X2623" t="s">
        <v>11213</v>
      </c>
      <c r="Y2623">
        <v>0.56806192614978923</v>
      </c>
      <c r="Z2623" t="str">
        <f>HYPERLINK("Melting_Curves/meltCurve_sp_Q96C86_DCPS_HUMAN_.pdf", "Melting_Curves/meltCurve_sp_Q96C86_DCPS_HUMAN_.pdf")</f>
        <v>Melting_Curves/meltCurve_sp_Q96C86_DCPS_HUMAN_.pdf</v>
      </c>
      <c r="AA2623" t="s">
        <v>15465</v>
      </c>
      <c r="AB2623" t="s">
        <v>19707</v>
      </c>
    </row>
    <row r="2624" spans="1:28" x14ac:dyDescent="0.25">
      <c r="A2624" t="s">
        <v>2628</v>
      </c>
      <c r="B2624">
        <v>0.99876560204751996</v>
      </c>
      <c r="C2624">
        <v>0.87731329546719805</v>
      </c>
      <c r="D2624">
        <v>0.67842709572423898</v>
      </c>
      <c r="E2624">
        <v>0.82245860836847895</v>
      </c>
      <c r="F2624">
        <v>0.87363842283173299</v>
      </c>
      <c r="G2624">
        <v>0.59592563853631597</v>
      </c>
      <c r="H2624">
        <v>0.60167859597634199</v>
      </c>
      <c r="I2624">
        <v>0.62213145721919005</v>
      </c>
      <c r="J2624">
        <v>0.64746269677826596</v>
      </c>
      <c r="K2624">
        <v>0.79082797276493699</v>
      </c>
      <c r="L2624">
        <v>526.14670569221505</v>
      </c>
      <c r="M2624">
        <v>11.728325208009201</v>
      </c>
      <c r="O2624">
        <v>43.616523472108</v>
      </c>
      <c r="P2624">
        <v>-2.2308396021935701E-2</v>
      </c>
      <c r="Q2624">
        <v>0.66823602115795799</v>
      </c>
      <c r="R2624">
        <v>0.51550359797533696</v>
      </c>
      <c r="S2624" t="s">
        <v>6920</v>
      </c>
      <c r="T2624" t="s">
        <v>8590</v>
      </c>
      <c r="U2624" t="s">
        <v>8590</v>
      </c>
      <c r="V2624" t="s">
        <v>8590</v>
      </c>
      <c r="W2624">
        <v>4</v>
      </c>
      <c r="X2624" t="s">
        <v>11214</v>
      </c>
      <c r="Y2624">
        <v>0.73951937412108293</v>
      </c>
      <c r="Z2624" t="str">
        <f>HYPERLINK("Melting_Curves/meltCurve_sp_Q96CB8_INT12_HUMAN_.pdf", "Melting_Curves/meltCurve_sp_Q96CB8_INT12_HUMAN_.pdf")</f>
        <v>Melting_Curves/meltCurve_sp_Q96CB8_INT12_HUMAN_.pdf</v>
      </c>
      <c r="AA2624" t="s">
        <v>15466</v>
      </c>
      <c r="AB2624" t="s">
        <v>19708</v>
      </c>
    </row>
    <row r="2625" spans="1:28" x14ac:dyDescent="0.25">
      <c r="A2625" t="s">
        <v>2629</v>
      </c>
      <c r="B2625">
        <v>0.99876560204751996</v>
      </c>
      <c r="C2625">
        <v>0.96100014898513297</v>
      </c>
      <c r="D2625">
        <v>0.95805144168492296</v>
      </c>
      <c r="E2625">
        <v>0.75632166760710695</v>
      </c>
      <c r="F2625">
        <v>0.44506058574987301</v>
      </c>
      <c r="G2625">
        <v>0.112120588877085</v>
      </c>
      <c r="H2625">
        <v>7.4475472018945596E-2</v>
      </c>
      <c r="I2625">
        <v>5.8445392091940301E-2</v>
      </c>
      <c r="J2625">
        <v>4.2771433402528897E-2</v>
      </c>
      <c r="K2625">
        <v>3.7400557255618597E-2</v>
      </c>
      <c r="L2625">
        <v>1316.0561969026301</v>
      </c>
      <c r="M2625">
        <v>25.212359119290699</v>
      </c>
      <c r="N2625">
        <v>52.366731944978</v>
      </c>
      <c r="O2625">
        <v>51.873786929686197</v>
      </c>
      <c r="P2625">
        <v>-0.116792392806339</v>
      </c>
      <c r="Q2625">
        <v>3.8823000516223803E-2</v>
      </c>
      <c r="R2625">
        <v>0.998353650596982</v>
      </c>
      <c r="S2625" t="s">
        <v>6921</v>
      </c>
      <c r="T2625" t="s">
        <v>8590</v>
      </c>
      <c r="U2625" t="s">
        <v>8590</v>
      </c>
      <c r="V2625" t="s">
        <v>8590</v>
      </c>
      <c r="W2625">
        <v>4</v>
      </c>
      <c r="X2625" t="s">
        <v>11215</v>
      </c>
      <c r="Y2625">
        <v>0.43831467662741042</v>
      </c>
      <c r="Z2625" t="str">
        <f>HYPERLINK("Melting_Curves/meltCurve_sp_Q96CD0_FBXL8_HUMAN_.pdf", "Melting_Curves/meltCurve_sp_Q96CD0_FBXL8_HUMAN_.pdf")</f>
        <v>Melting_Curves/meltCurve_sp_Q96CD0_FBXL8_HUMAN_.pdf</v>
      </c>
      <c r="AA2625" t="s">
        <v>15467</v>
      </c>
      <c r="AB2625" t="s">
        <v>19709</v>
      </c>
    </row>
    <row r="2626" spans="1:28" x14ac:dyDescent="0.25">
      <c r="A2626" t="s">
        <v>2630</v>
      </c>
      <c r="B2626">
        <v>0.99876560204751996</v>
      </c>
      <c r="C2626">
        <v>0.90080824031113504</v>
      </c>
      <c r="D2626">
        <v>0.89666671071771498</v>
      </c>
      <c r="E2626">
        <v>0.898973064473228</v>
      </c>
      <c r="F2626">
        <v>0.80861023454187697</v>
      </c>
      <c r="G2626">
        <v>0.59678630170824798</v>
      </c>
      <c r="H2626">
        <v>0.73973083145114304</v>
      </c>
      <c r="I2626">
        <v>0.72820620914273304</v>
      </c>
      <c r="J2626">
        <v>0.64839886361404198</v>
      </c>
      <c r="K2626">
        <v>0.87733443955739299</v>
      </c>
      <c r="L2626">
        <v>682.98868749401402</v>
      </c>
      <c r="M2626">
        <v>14.167981725688101</v>
      </c>
      <c r="O2626">
        <v>47.276608042166501</v>
      </c>
      <c r="P2626">
        <v>-2.09384236108335E-2</v>
      </c>
      <c r="Q2626">
        <v>0.72056073248058705</v>
      </c>
      <c r="R2626">
        <v>0.57554931577635904</v>
      </c>
      <c r="S2626" t="s">
        <v>6922</v>
      </c>
      <c r="T2626" t="s">
        <v>8590</v>
      </c>
      <c r="U2626" t="s">
        <v>8590</v>
      </c>
      <c r="V2626" t="s">
        <v>8590</v>
      </c>
      <c r="W2626">
        <v>3</v>
      </c>
      <c r="X2626" t="s">
        <v>11216</v>
      </c>
      <c r="Y2626">
        <v>0.80495693679181335</v>
      </c>
      <c r="Z2626" t="str">
        <f>HYPERLINK("Melting_Curves/meltCurve_sp_Q96CF2_CHM4C_HUMAN_.pdf", "Melting_Curves/meltCurve_sp_Q96CF2_CHM4C_HUMAN_.pdf")</f>
        <v>Melting_Curves/meltCurve_sp_Q96CF2_CHM4C_HUMAN_.pdf</v>
      </c>
      <c r="AA2626" t="s">
        <v>15468</v>
      </c>
      <c r="AB2626" t="s">
        <v>19710</v>
      </c>
    </row>
    <row r="2627" spans="1:28" x14ac:dyDescent="0.25">
      <c r="A2627" t="s">
        <v>2631</v>
      </c>
      <c r="B2627">
        <v>0.99876560204751996</v>
      </c>
      <c r="C2627">
        <v>1.0596518991463399</v>
      </c>
      <c r="D2627">
        <v>0.99093547973717699</v>
      </c>
      <c r="E2627">
        <v>1.05440450394452</v>
      </c>
      <c r="F2627">
        <v>0.95153856556357097</v>
      </c>
      <c r="G2627">
        <v>0.61464273173080097</v>
      </c>
      <c r="H2627">
        <v>0.17303526320076901</v>
      </c>
      <c r="I2627">
        <v>9.6972615867024103E-2</v>
      </c>
      <c r="J2627">
        <v>6.5506044570904906E-2</v>
      </c>
      <c r="K2627">
        <v>5.4342154302067701E-2</v>
      </c>
      <c r="L2627">
        <v>2036.0525017985599</v>
      </c>
      <c r="M2627">
        <v>35.3543774375891</v>
      </c>
      <c r="N2627">
        <v>57.799214624301797</v>
      </c>
      <c r="O2627">
        <v>57.406512021880403</v>
      </c>
      <c r="P2627">
        <v>-0.14471111576190701</v>
      </c>
      <c r="Q2627">
        <v>6.0107160129399997E-2</v>
      </c>
      <c r="R2627">
        <v>0.99609763130162099</v>
      </c>
      <c r="S2627" t="s">
        <v>6923</v>
      </c>
      <c r="T2627" t="s">
        <v>8590</v>
      </c>
      <c r="U2627" t="s">
        <v>8590</v>
      </c>
      <c r="V2627" t="s">
        <v>8590</v>
      </c>
      <c r="W2627">
        <v>14</v>
      </c>
      <c r="X2627" t="s">
        <v>11217</v>
      </c>
      <c r="Y2627">
        <v>0.61584121492886545</v>
      </c>
      <c r="Z2627" t="str">
        <f>HYPERLINK("Melting_Curves/meltCurve_sp_Q96CN7_ISOC1_HUMAN_.pdf", "Melting_Curves/meltCurve_sp_Q96CN7_ISOC1_HUMAN_.pdf")</f>
        <v>Melting_Curves/meltCurve_sp_Q96CN7_ISOC1_HUMAN_.pdf</v>
      </c>
      <c r="AA2627" t="s">
        <v>15469</v>
      </c>
      <c r="AB2627" t="s">
        <v>19711</v>
      </c>
    </row>
    <row r="2628" spans="1:28" x14ac:dyDescent="0.25">
      <c r="A2628" t="s">
        <v>2632</v>
      </c>
      <c r="B2628">
        <v>0.99876560204751996</v>
      </c>
      <c r="C2628">
        <v>0.98495237979508199</v>
      </c>
      <c r="D2628">
        <v>1.2310018644377301</v>
      </c>
      <c r="E2628">
        <v>0.81512209059805596</v>
      </c>
      <c r="F2628">
        <v>0.723228604200707</v>
      </c>
      <c r="G2628">
        <v>0.31896231529482599</v>
      </c>
      <c r="H2628">
        <v>0.183220982661318</v>
      </c>
      <c r="I2628">
        <v>0.22290267791448101</v>
      </c>
      <c r="J2628">
        <v>0.27387898713120101</v>
      </c>
      <c r="K2628">
        <v>0.20467008297827499</v>
      </c>
      <c r="L2628">
        <v>1557.6317978969801</v>
      </c>
      <c r="M2628">
        <v>29.0233130457379</v>
      </c>
      <c r="N2628">
        <v>54.709852018952397</v>
      </c>
      <c r="O2628">
        <v>53.415457035497603</v>
      </c>
      <c r="P2628">
        <v>-0.1070059198083</v>
      </c>
      <c r="Q2628">
        <v>0.21225719222459499</v>
      </c>
      <c r="R2628">
        <v>0.947077134618873</v>
      </c>
      <c r="S2628" t="s">
        <v>6924</v>
      </c>
      <c r="T2628" t="s">
        <v>8590</v>
      </c>
      <c r="U2628" t="s">
        <v>8590</v>
      </c>
      <c r="V2628" t="s">
        <v>8590</v>
      </c>
      <c r="W2628">
        <v>4</v>
      </c>
      <c r="X2628" t="s">
        <v>11218</v>
      </c>
      <c r="Y2628">
        <v>0.5766550730395219</v>
      </c>
      <c r="Z2628" t="str">
        <f>HYPERLINK("Melting_Curves/meltCurve_sp_Q96CN9_GCC1_HUMAN_.pdf", "Melting_Curves/meltCurve_sp_Q96CN9_GCC1_HUMAN_.pdf")</f>
        <v>Melting_Curves/meltCurve_sp_Q96CN9_GCC1_HUMAN_.pdf</v>
      </c>
      <c r="AA2628" t="s">
        <v>15470</v>
      </c>
      <c r="AB2628" t="s">
        <v>19712</v>
      </c>
    </row>
    <row r="2629" spans="1:28" x14ac:dyDescent="0.25">
      <c r="A2629" t="s">
        <v>2633</v>
      </c>
      <c r="B2629">
        <v>0.99876560204751996</v>
      </c>
      <c r="C2629">
        <v>0.91539553367979698</v>
      </c>
      <c r="D2629">
        <v>1.0044684472599801</v>
      </c>
      <c r="E2629">
        <v>0.83318652306329599</v>
      </c>
      <c r="F2629">
        <v>0.88754543877216896</v>
      </c>
      <c r="G2629">
        <v>0.67608294195960705</v>
      </c>
      <c r="H2629">
        <v>0.54579705081192698</v>
      </c>
      <c r="I2629">
        <v>0.56731943674289398</v>
      </c>
      <c r="J2629">
        <v>0.81747991592066704</v>
      </c>
      <c r="K2629">
        <v>0.67471268892254199</v>
      </c>
      <c r="L2629">
        <v>1107.8095250988199</v>
      </c>
      <c r="M2629">
        <v>21.199495619568101</v>
      </c>
      <c r="O2629">
        <v>51.798091423046301</v>
      </c>
      <c r="P2629">
        <v>-3.5946977123626898E-2</v>
      </c>
      <c r="Q2629">
        <v>0.64868284025540701</v>
      </c>
      <c r="R2629">
        <v>0.72159777533624103</v>
      </c>
      <c r="S2629" t="s">
        <v>6925</v>
      </c>
      <c r="T2629" t="s">
        <v>8590</v>
      </c>
      <c r="U2629" t="s">
        <v>8590</v>
      </c>
      <c r="V2629" t="s">
        <v>8590</v>
      </c>
      <c r="W2629">
        <v>4</v>
      </c>
      <c r="X2629" t="s">
        <v>11219</v>
      </c>
      <c r="Y2629">
        <v>0.79658680957945782</v>
      </c>
      <c r="Z2629" t="str">
        <f>HYPERLINK("Melting_Curves/meltCurve_sp_Q96CP2_FWCH2_HUMAN_.pdf", "Melting_Curves/meltCurve_sp_Q96CP2_FWCH2_HUMAN_.pdf")</f>
        <v>Melting_Curves/meltCurve_sp_Q96CP2_FWCH2_HUMAN_.pdf</v>
      </c>
      <c r="AA2629" t="s">
        <v>15471</v>
      </c>
      <c r="AB2629" t="s">
        <v>19713</v>
      </c>
    </row>
    <row r="2630" spans="1:28" x14ac:dyDescent="0.25">
      <c r="A2630" t="s">
        <v>2634</v>
      </c>
      <c r="B2630">
        <v>0.99876560204751996</v>
      </c>
      <c r="C2630">
        <v>0.96590335827981499</v>
      </c>
      <c r="D2630">
        <v>1.03308282500465</v>
      </c>
      <c r="E2630">
        <v>0.82744586992816505</v>
      </c>
      <c r="F2630">
        <v>0.74209609938730803</v>
      </c>
      <c r="G2630">
        <v>0.46145903056468501</v>
      </c>
      <c r="H2630">
        <v>0.35578511887685499</v>
      </c>
      <c r="I2630">
        <v>0.30061714408843698</v>
      </c>
      <c r="J2630">
        <v>0.38381447176189998</v>
      </c>
      <c r="K2630">
        <v>0.312222647534947</v>
      </c>
      <c r="L2630">
        <v>1131.8346309686401</v>
      </c>
      <c r="M2630">
        <v>21.0850552258463</v>
      </c>
      <c r="N2630">
        <v>56.362034282584297</v>
      </c>
      <c r="O2630">
        <v>53.203621044966901</v>
      </c>
      <c r="P2630">
        <v>-6.7700072440154302E-2</v>
      </c>
      <c r="Q2630">
        <v>0.31671148845066899</v>
      </c>
      <c r="R2630">
        <v>0.984462700618153</v>
      </c>
      <c r="S2630" t="s">
        <v>6926</v>
      </c>
      <c r="T2630" t="s">
        <v>8590</v>
      </c>
      <c r="U2630" t="s">
        <v>8590</v>
      </c>
      <c r="V2630" t="s">
        <v>8590</v>
      </c>
      <c r="W2630">
        <v>2</v>
      </c>
      <c r="X2630" t="s">
        <v>11220</v>
      </c>
      <c r="Y2630">
        <v>0.6368207518200969</v>
      </c>
      <c r="Z2630" t="str">
        <f>HYPERLINK("Melting_Curves/meltCurve_sp_Q96CS3_FAF2_HUMAN_.pdf", "Melting_Curves/meltCurve_sp_Q96CS3_FAF2_HUMAN_.pdf")</f>
        <v>Melting_Curves/meltCurve_sp_Q96CS3_FAF2_HUMAN_.pdf</v>
      </c>
      <c r="AA2630" t="s">
        <v>15472</v>
      </c>
      <c r="AB2630" t="s">
        <v>19714</v>
      </c>
    </row>
    <row r="2631" spans="1:28" x14ac:dyDescent="0.25">
      <c r="A2631" t="s">
        <v>2635</v>
      </c>
      <c r="B2631">
        <v>0.99876560204751996</v>
      </c>
      <c r="C2631">
        <v>0.97289599642874403</v>
      </c>
      <c r="D2631">
        <v>0.94631440289219204</v>
      </c>
      <c r="E2631">
        <v>0.93107931327299298</v>
      </c>
      <c r="F2631">
        <v>0.81387024229209204</v>
      </c>
      <c r="G2631">
        <v>0.62880180337973901</v>
      </c>
      <c r="H2631">
        <v>0.50211576724224605</v>
      </c>
      <c r="I2631">
        <v>0.490170559929275</v>
      </c>
      <c r="J2631">
        <v>0.51245639764128403</v>
      </c>
      <c r="K2631">
        <v>0.57092559961521006</v>
      </c>
      <c r="L2631">
        <v>1318.61834918715</v>
      </c>
      <c r="M2631">
        <v>24.4504951179199</v>
      </c>
      <c r="O2631">
        <v>53.573266486148803</v>
      </c>
      <c r="P2631">
        <v>-5.5712117858463202E-2</v>
      </c>
      <c r="Q2631">
        <v>0.51172588509694905</v>
      </c>
      <c r="R2631">
        <v>0.97891396473465098</v>
      </c>
      <c r="S2631" t="s">
        <v>6927</v>
      </c>
      <c r="T2631" t="s">
        <v>8590</v>
      </c>
      <c r="U2631" t="s">
        <v>8590</v>
      </c>
      <c r="V2631" t="s">
        <v>8590</v>
      </c>
      <c r="W2631">
        <v>7</v>
      </c>
      <c r="X2631" t="s">
        <v>11221</v>
      </c>
      <c r="Y2631">
        <v>0.74315353111016835</v>
      </c>
      <c r="Z2631" t="str">
        <f>HYPERLINK("Melting_Curves/meltCurve_sp_Q96CT7_CC124_HUMAN_.pdf", "Melting_Curves/meltCurve_sp_Q96CT7_CC124_HUMAN_.pdf")</f>
        <v>Melting_Curves/meltCurve_sp_Q96CT7_CC124_HUMAN_.pdf</v>
      </c>
      <c r="AA2631" t="s">
        <v>15473</v>
      </c>
      <c r="AB2631" t="s">
        <v>19715</v>
      </c>
    </row>
    <row r="2632" spans="1:28" x14ac:dyDescent="0.25">
      <c r="A2632" t="s">
        <v>2636</v>
      </c>
      <c r="B2632">
        <v>0.99876560204751996</v>
      </c>
      <c r="C2632">
        <v>0.88960431596119205</v>
      </c>
      <c r="D2632">
        <v>0.71899918478696201</v>
      </c>
      <c r="E2632">
        <v>0.51113347775408602</v>
      </c>
      <c r="F2632">
        <v>0.25613075713783601</v>
      </c>
      <c r="G2632">
        <v>0.15253179617520499</v>
      </c>
      <c r="H2632">
        <v>9.4448295304909502E-2</v>
      </c>
      <c r="I2632">
        <v>6.64452824548354E-2</v>
      </c>
      <c r="J2632">
        <v>6.4310316672489501E-2</v>
      </c>
      <c r="K2632">
        <v>4.0118493933649302E-2</v>
      </c>
      <c r="L2632">
        <v>711.07375787973899</v>
      </c>
      <c r="M2632">
        <v>14.4324179577072</v>
      </c>
      <c r="N2632">
        <v>49.505983023738096</v>
      </c>
      <c r="O2632">
        <v>48.352268431886003</v>
      </c>
      <c r="P2632">
        <v>-7.2141095591352997E-2</v>
      </c>
      <c r="Q2632">
        <v>3.3349547912101297E-2</v>
      </c>
      <c r="R2632">
        <v>0.995847475705123</v>
      </c>
      <c r="S2632" t="s">
        <v>6928</v>
      </c>
      <c r="T2632" t="s">
        <v>8590</v>
      </c>
      <c r="U2632" t="s">
        <v>8590</v>
      </c>
      <c r="V2632" t="s">
        <v>8590</v>
      </c>
      <c r="W2632">
        <v>4</v>
      </c>
      <c r="X2632" t="s">
        <v>11222</v>
      </c>
      <c r="Y2632">
        <v>0.35737871996172149</v>
      </c>
      <c r="Z2632" t="str">
        <f>HYPERLINK("Melting_Curves/meltCurve_sp_Q96CU9_3_FXRD1_HUMAN_.pdf", "Melting_Curves/meltCurve_sp_Q96CU9_3_FXRD1_HUMAN_.pdf")</f>
        <v>Melting_Curves/meltCurve_sp_Q96CU9_3_FXRD1_HUMAN_.pdf</v>
      </c>
      <c r="AA2632" t="s">
        <v>15474</v>
      </c>
      <c r="AB2632" t="s">
        <v>19716</v>
      </c>
    </row>
    <row r="2633" spans="1:28" x14ac:dyDescent="0.25">
      <c r="A2633" t="s">
        <v>2637</v>
      </c>
      <c r="B2633">
        <v>0.99876560204751996</v>
      </c>
      <c r="C2633">
        <v>0.96558212142396105</v>
      </c>
      <c r="D2633">
        <v>1.0080445400492499</v>
      </c>
      <c r="E2633">
        <v>0.91703969798561602</v>
      </c>
      <c r="F2633">
        <v>0.91206651120110005</v>
      </c>
      <c r="G2633">
        <v>0.70481616670178204</v>
      </c>
      <c r="H2633">
        <v>0.58931810566230503</v>
      </c>
      <c r="I2633">
        <v>0.57414917060561899</v>
      </c>
      <c r="J2633">
        <v>0.69430076218288295</v>
      </c>
      <c r="K2633">
        <v>0.65011650483070704</v>
      </c>
      <c r="L2633">
        <v>1716.3550645797</v>
      </c>
      <c r="M2633">
        <v>31.490216626674801</v>
      </c>
      <c r="O2633">
        <v>54.2860014394236</v>
      </c>
      <c r="P2633">
        <v>-5.44330070176497E-2</v>
      </c>
      <c r="Q2633">
        <v>0.62465366337949801</v>
      </c>
      <c r="R2633">
        <v>0.94117178306475702</v>
      </c>
      <c r="S2633" t="s">
        <v>6929</v>
      </c>
      <c r="T2633" t="s">
        <v>8590</v>
      </c>
      <c r="U2633" t="s">
        <v>8590</v>
      </c>
      <c r="V2633" t="s">
        <v>8590</v>
      </c>
      <c r="W2633">
        <v>18</v>
      </c>
      <c r="X2633" t="s">
        <v>11223</v>
      </c>
      <c r="Y2633">
        <v>0.80838443683107641</v>
      </c>
      <c r="Z2633" t="str">
        <f>HYPERLINK("Melting_Curves/meltCurve_sp_Q96CV9_OPTN_HUMAN_.pdf", "Melting_Curves/meltCurve_sp_Q96CV9_OPTN_HUMAN_.pdf")</f>
        <v>Melting_Curves/meltCurve_sp_Q96CV9_OPTN_HUMAN_.pdf</v>
      </c>
      <c r="AA2633" t="s">
        <v>15475</v>
      </c>
      <c r="AB2633" t="s">
        <v>19717</v>
      </c>
    </row>
    <row r="2634" spans="1:28" x14ac:dyDescent="0.25">
      <c r="A2634" t="s">
        <v>2638</v>
      </c>
      <c r="B2634">
        <v>0.99876560204751996</v>
      </c>
      <c r="C2634">
        <v>1.07980467113478</v>
      </c>
      <c r="D2634">
        <v>0.96723441767580298</v>
      </c>
      <c r="E2634">
        <v>0.99425889849811699</v>
      </c>
      <c r="F2634">
        <v>0.72533969949325905</v>
      </c>
      <c r="G2634">
        <v>0.35881320772589098</v>
      </c>
      <c r="H2634">
        <v>0.15167532306793999</v>
      </c>
      <c r="I2634">
        <v>9.01208262010013E-2</v>
      </c>
      <c r="J2634">
        <v>5.6504329183783897E-2</v>
      </c>
      <c r="K2634">
        <v>5.5774670886520598E-2</v>
      </c>
      <c r="L2634">
        <v>1380.6269341208299</v>
      </c>
      <c r="M2634">
        <v>24.9981769530058</v>
      </c>
      <c r="N2634">
        <v>55.494504381680201</v>
      </c>
      <c r="O2634">
        <v>54.879312691399001</v>
      </c>
      <c r="P2634">
        <v>-0.10746337682196599</v>
      </c>
      <c r="Q2634">
        <v>5.63412783473968E-2</v>
      </c>
      <c r="R2634">
        <v>0.99328125216181096</v>
      </c>
      <c r="S2634" t="s">
        <v>6930</v>
      </c>
      <c r="T2634" t="s">
        <v>8590</v>
      </c>
      <c r="U2634" t="s">
        <v>8590</v>
      </c>
      <c r="V2634" t="s">
        <v>8590</v>
      </c>
      <c r="W2634">
        <v>14</v>
      </c>
      <c r="X2634" t="s">
        <v>11224</v>
      </c>
      <c r="Y2634">
        <v>0.54409990779386352</v>
      </c>
      <c r="Z2634" t="str">
        <f>HYPERLINK("Melting_Curves/meltCurve_sp_Q96CW1_2_AP2M1_HUMAN_.pdf", "Melting_Curves/meltCurve_sp_Q96CW1_2_AP2M1_HUMAN_.pdf")</f>
        <v>Melting_Curves/meltCurve_sp_Q96CW1_2_AP2M1_HUMAN_.pdf</v>
      </c>
      <c r="AA2634" t="s">
        <v>15476</v>
      </c>
      <c r="AB2634" t="s">
        <v>19718</v>
      </c>
    </row>
    <row r="2635" spans="1:28" x14ac:dyDescent="0.25">
      <c r="A2635" t="s">
        <v>2639</v>
      </c>
      <c r="B2635">
        <v>0.99876560204751996</v>
      </c>
      <c r="C2635">
        <v>0.92945732317984098</v>
      </c>
      <c r="D2635">
        <v>1.01882748604636</v>
      </c>
      <c r="E2635">
        <v>0.95870090633121097</v>
      </c>
      <c r="F2635">
        <v>0.46776374979483198</v>
      </c>
      <c r="G2635">
        <v>0.32366161014760397</v>
      </c>
      <c r="H2635">
        <v>0.194319818954306</v>
      </c>
      <c r="I2635">
        <v>0.144092812628621</v>
      </c>
      <c r="J2635">
        <v>6.4949903217850005E-2</v>
      </c>
      <c r="K2635">
        <v>3.07779235514891E-2</v>
      </c>
      <c r="L2635">
        <v>1280.14560002708</v>
      </c>
      <c r="M2635">
        <v>24.002888980400801</v>
      </c>
      <c r="N2635">
        <v>53.813571707353901</v>
      </c>
      <c r="O2635">
        <v>52.966932945556998</v>
      </c>
      <c r="P2635">
        <v>-0.102364122111211</v>
      </c>
      <c r="Q2635">
        <v>9.6470834081223505E-2</v>
      </c>
      <c r="R2635">
        <v>0.97056771982763301</v>
      </c>
      <c r="S2635" t="s">
        <v>6931</v>
      </c>
      <c r="T2635" t="s">
        <v>8590</v>
      </c>
      <c r="U2635" t="s">
        <v>8590</v>
      </c>
      <c r="V2635" t="s">
        <v>8590</v>
      </c>
      <c r="W2635">
        <v>4</v>
      </c>
      <c r="X2635" t="s">
        <v>11225</v>
      </c>
      <c r="Y2635">
        <v>0.50701622173917393</v>
      </c>
      <c r="Z2635" t="str">
        <f>HYPERLINK("Melting_Curves/meltCurve_sp_Q96CX2_KCD12_HUMAN_.pdf", "Melting_Curves/meltCurve_sp_Q96CX2_KCD12_HUMAN_.pdf")</f>
        <v>Melting_Curves/meltCurve_sp_Q96CX2_KCD12_HUMAN_.pdf</v>
      </c>
      <c r="AA2635" t="s">
        <v>15477</v>
      </c>
      <c r="AB2635" t="s">
        <v>19719</v>
      </c>
    </row>
    <row r="2636" spans="1:28" x14ac:dyDescent="0.25">
      <c r="A2636" t="s">
        <v>2640</v>
      </c>
      <c r="B2636">
        <v>0.99876560204751996</v>
      </c>
      <c r="C2636">
        <v>0.953776484783871</v>
      </c>
      <c r="D2636">
        <v>0.95762477251970002</v>
      </c>
      <c r="E2636">
        <v>0.77806783681789204</v>
      </c>
      <c r="F2636">
        <v>0.41878729502464601</v>
      </c>
      <c r="G2636">
        <v>0.1495755849474</v>
      </c>
      <c r="H2636">
        <v>9.36124625178089E-2</v>
      </c>
      <c r="I2636">
        <v>7.0583007530580097E-2</v>
      </c>
      <c r="J2636">
        <v>9.0990646793501898E-2</v>
      </c>
      <c r="K2636">
        <v>5.3204028800169702E-2</v>
      </c>
      <c r="L2636">
        <v>1405.57819361835</v>
      </c>
      <c r="M2636">
        <v>27.006923627231401</v>
      </c>
      <c r="N2636">
        <v>52.3364772844943</v>
      </c>
      <c r="O2636">
        <v>51.762277811148202</v>
      </c>
      <c r="P2636">
        <v>-0.121334281793233</v>
      </c>
      <c r="Q2636">
        <v>6.9797796449139998E-2</v>
      </c>
      <c r="R2636">
        <v>0.99808841239921398</v>
      </c>
      <c r="S2636" t="s">
        <v>6932</v>
      </c>
      <c r="T2636" t="s">
        <v>8590</v>
      </c>
      <c r="U2636" t="s">
        <v>8590</v>
      </c>
      <c r="V2636" t="s">
        <v>8590</v>
      </c>
      <c r="W2636">
        <v>9</v>
      </c>
      <c r="X2636" t="s">
        <v>11226</v>
      </c>
      <c r="Y2636">
        <v>0.45059176126394679</v>
      </c>
      <c r="Z2636" t="str">
        <f>HYPERLINK("Melting_Curves/meltCurve_sp_Q96D46_NMD3_HUMAN_.pdf", "Melting_Curves/meltCurve_sp_Q96D46_NMD3_HUMAN_.pdf")</f>
        <v>Melting_Curves/meltCurve_sp_Q96D46_NMD3_HUMAN_.pdf</v>
      </c>
      <c r="AA2636" t="s">
        <v>15478</v>
      </c>
      <c r="AB2636" t="s">
        <v>19720</v>
      </c>
    </row>
    <row r="2637" spans="1:28" x14ac:dyDescent="0.25">
      <c r="A2637" t="s">
        <v>2641</v>
      </c>
      <c r="B2637">
        <v>0.99876560204751996</v>
      </c>
      <c r="C2637">
        <v>1.0083957315632699</v>
      </c>
      <c r="D2637">
        <v>0.93556814464421101</v>
      </c>
      <c r="E2637">
        <v>0.753281937620497</v>
      </c>
      <c r="F2637">
        <v>0.59164689863076902</v>
      </c>
      <c r="G2637">
        <v>0.43673141978637903</v>
      </c>
      <c r="H2637">
        <v>0.34593562483783002</v>
      </c>
      <c r="I2637">
        <v>0.30643470617188601</v>
      </c>
      <c r="J2637">
        <v>0.37710244939030002</v>
      </c>
      <c r="K2637">
        <v>0.323969548797648</v>
      </c>
      <c r="L2637">
        <v>958.94908764690194</v>
      </c>
      <c r="M2637">
        <v>18.5590163127514</v>
      </c>
      <c r="N2637">
        <v>54.746494174134803</v>
      </c>
      <c r="O2637">
        <v>51.081560666544497</v>
      </c>
      <c r="P2637">
        <v>-6.1424444742002003E-2</v>
      </c>
      <c r="Q2637">
        <v>0.323774656871748</v>
      </c>
      <c r="R2637">
        <v>0.99438932764573096</v>
      </c>
      <c r="S2637" t="s">
        <v>6933</v>
      </c>
      <c r="T2637" t="s">
        <v>8590</v>
      </c>
      <c r="U2637" t="s">
        <v>8590</v>
      </c>
      <c r="V2637" t="s">
        <v>8590</v>
      </c>
      <c r="W2637">
        <v>11</v>
      </c>
      <c r="X2637" t="s">
        <v>11227</v>
      </c>
      <c r="Y2637">
        <v>0.5975448671778224</v>
      </c>
      <c r="Z2637" t="str">
        <f>HYPERLINK("Melting_Curves/meltCurve_sp_Q96D71_2_REPS1_HUMAN_.pdf", "Melting_Curves/meltCurve_sp_Q96D71_2_REPS1_HUMAN_.pdf")</f>
        <v>Melting_Curves/meltCurve_sp_Q96D71_2_REPS1_HUMAN_.pdf</v>
      </c>
      <c r="AA2637" t="s">
        <v>15479</v>
      </c>
      <c r="AB2637" t="s">
        <v>19721</v>
      </c>
    </row>
    <row r="2638" spans="1:28" x14ac:dyDescent="0.25">
      <c r="A2638" t="s">
        <v>2642</v>
      </c>
      <c r="B2638">
        <v>0.99876560204751996</v>
      </c>
      <c r="C2638">
        <v>0.96923021132232801</v>
      </c>
      <c r="D2638">
        <v>0.96600301382501996</v>
      </c>
      <c r="E2638">
        <v>0.93010044249317803</v>
      </c>
      <c r="F2638">
        <v>0.80018296726282001</v>
      </c>
      <c r="G2638">
        <v>0.49024154271644999</v>
      </c>
      <c r="H2638">
        <v>0.205247368000987</v>
      </c>
      <c r="I2638">
        <v>0.11051834778583899</v>
      </c>
      <c r="J2638">
        <v>7.3832312257563495E-2</v>
      </c>
      <c r="K2638">
        <v>6.6566646479478603E-2</v>
      </c>
      <c r="L2638">
        <v>1140.3855831932301</v>
      </c>
      <c r="M2638">
        <v>20.1670352968579</v>
      </c>
      <c r="N2638">
        <v>56.751495822096402</v>
      </c>
      <c r="O2638">
        <v>55.999794112585498</v>
      </c>
      <c r="P2638">
        <v>-8.68793868828273E-2</v>
      </c>
      <c r="Q2638">
        <v>3.5043775313414599E-2</v>
      </c>
      <c r="R2638">
        <v>0.99873652230438503</v>
      </c>
      <c r="S2638" t="s">
        <v>6934</v>
      </c>
      <c r="T2638" t="s">
        <v>8590</v>
      </c>
      <c r="U2638" t="s">
        <v>8590</v>
      </c>
      <c r="V2638" t="s">
        <v>8590</v>
      </c>
      <c r="W2638">
        <v>20</v>
      </c>
      <c r="X2638" t="s">
        <v>11228</v>
      </c>
      <c r="Y2638">
        <v>0.57927425435344782</v>
      </c>
      <c r="Z2638" t="str">
        <f>HYPERLINK("Melting_Curves/meltCurve_sp_Q96DC8_ECHD3_HUMAN_.pdf", "Melting_Curves/meltCurve_sp_Q96DC8_ECHD3_HUMAN_.pdf")</f>
        <v>Melting_Curves/meltCurve_sp_Q96DC8_ECHD3_HUMAN_.pdf</v>
      </c>
      <c r="AA2638" t="s">
        <v>15480</v>
      </c>
      <c r="AB2638" t="s">
        <v>19722</v>
      </c>
    </row>
    <row r="2639" spans="1:28" x14ac:dyDescent="0.25">
      <c r="A2639" t="s">
        <v>2643</v>
      </c>
      <c r="B2639">
        <v>0.99876560204751996</v>
      </c>
      <c r="C2639">
        <v>0.81024667363584701</v>
      </c>
      <c r="D2639">
        <v>0.76143880185062995</v>
      </c>
      <c r="E2639">
        <v>0.53850754473344797</v>
      </c>
      <c r="F2639">
        <v>0.35294695456349401</v>
      </c>
      <c r="G2639">
        <v>0.187601357656309</v>
      </c>
      <c r="H2639">
        <v>0.12269274771010499</v>
      </c>
      <c r="I2639">
        <v>0.110107192276344</v>
      </c>
      <c r="J2639">
        <v>0.10105394734192499</v>
      </c>
      <c r="K2639">
        <v>9.0513205380928594E-2</v>
      </c>
      <c r="L2639">
        <v>611.396335090506</v>
      </c>
      <c r="M2639">
        <v>12.2926278906058</v>
      </c>
      <c r="N2639">
        <v>50.174039675696697</v>
      </c>
      <c r="O2639">
        <v>48.475520336243797</v>
      </c>
      <c r="P2639">
        <v>-6.01894080192652E-2</v>
      </c>
      <c r="Q2639">
        <v>5.0789465668299699E-2</v>
      </c>
      <c r="R2639">
        <v>0.990980179539243</v>
      </c>
      <c r="S2639" t="s">
        <v>6935</v>
      </c>
      <c r="T2639" t="s">
        <v>8590</v>
      </c>
      <c r="U2639" t="s">
        <v>8590</v>
      </c>
      <c r="V2639" t="s">
        <v>8590</v>
      </c>
      <c r="W2639">
        <v>11</v>
      </c>
      <c r="X2639" t="s">
        <v>11229</v>
      </c>
      <c r="Y2639">
        <v>0.39097188327552013</v>
      </c>
      <c r="Z2639" t="str">
        <f>HYPERLINK("Melting_Curves/meltCurve_sp_Q96DE0_NUD16_HUMAN_.pdf", "Melting_Curves/meltCurve_sp_Q96DE0_NUD16_HUMAN_.pdf")</f>
        <v>Melting_Curves/meltCurve_sp_Q96DE0_NUD16_HUMAN_.pdf</v>
      </c>
      <c r="AA2639" t="s">
        <v>15481</v>
      </c>
      <c r="AB2639" t="s">
        <v>19723</v>
      </c>
    </row>
    <row r="2640" spans="1:28" x14ac:dyDescent="0.25">
      <c r="A2640" t="s">
        <v>2644</v>
      </c>
      <c r="B2640">
        <v>0.99876560204751996</v>
      </c>
      <c r="C2640">
        <v>0.88873483556639199</v>
      </c>
      <c r="D2640">
        <v>0.99989930739285104</v>
      </c>
      <c r="E2640">
        <v>0.85686730661909705</v>
      </c>
      <c r="F2640">
        <v>0.77437671979477096</v>
      </c>
      <c r="G2640">
        <v>0.30520420825352501</v>
      </c>
      <c r="H2640">
        <v>0.127205263079433</v>
      </c>
      <c r="I2640">
        <v>8.4863895744505494E-2</v>
      </c>
      <c r="J2640">
        <v>6.0909064340572902E-2</v>
      </c>
      <c r="K2640">
        <v>4.9043754703387399E-2</v>
      </c>
      <c r="L2640">
        <v>1334.6010242797799</v>
      </c>
      <c r="M2640">
        <v>24.2712471184674</v>
      </c>
      <c r="N2640">
        <v>55.207604689488299</v>
      </c>
      <c r="O2640">
        <v>54.617717659189701</v>
      </c>
      <c r="P2640">
        <v>-0.105961405629105</v>
      </c>
      <c r="Q2640">
        <v>4.6232292909482699E-2</v>
      </c>
      <c r="R2640">
        <v>0.98776756224444695</v>
      </c>
      <c r="S2640" t="s">
        <v>6936</v>
      </c>
      <c r="T2640" t="s">
        <v>8590</v>
      </c>
      <c r="U2640" t="s">
        <v>8590</v>
      </c>
      <c r="V2640" t="s">
        <v>8590</v>
      </c>
      <c r="W2640">
        <v>21</v>
      </c>
      <c r="X2640" t="s">
        <v>11230</v>
      </c>
      <c r="Y2640">
        <v>0.53199018225452999</v>
      </c>
      <c r="Z2640" t="str">
        <f>HYPERLINK("Melting_Curves/meltCurve_sp_Q96DG6_CMBL_HUMAN_.pdf", "Melting_Curves/meltCurve_sp_Q96DG6_CMBL_HUMAN_.pdf")</f>
        <v>Melting_Curves/meltCurve_sp_Q96DG6_CMBL_HUMAN_.pdf</v>
      </c>
      <c r="AA2640" t="s">
        <v>15482</v>
      </c>
      <c r="AB2640" t="s">
        <v>19724</v>
      </c>
    </row>
    <row r="2641" spans="1:28" x14ac:dyDescent="0.25">
      <c r="A2641" t="s">
        <v>2645</v>
      </c>
      <c r="B2641">
        <v>0.99876560204751996</v>
      </c>
      <c r="C2641">
        <v>1.03717395281873</v>
      </c>
      <c r="D2641">
        <v>1.03317847692035</v>
      </c>
      <c r="E2641">
        <v>0.97238447563132202</v>
      </c>
      <c r="F2641">
        <v>0.78524142485417103</v>
      </c>
      <c r="G2641">
        <v>0.45480694999162202</v>
      </c>
      <c r="H2641">
        <v>0.31491897965693599</v>
      </c>
      <c r="I2641">
        <v>0.24963613870499399</v>
      </c>
      <c r="J2641">
        <v>0.24255665967688</v>
      </c>
      <c r="K2641">
        <v>0.19718738948874601</v>
      </c>
      <c r="L2641">
        <v>1390.7478758457901</v>
      </c>
      <c r="M2641">
        <v>25.205652624073299</v>
      </c>
      <c r="N2641">
        <v>56.506187154573396</v>
      </c>
      <c r="O2641">
        <v>54.832245201990901</v>
      </c>
      <c r="P2641">
        <v>-8.9208122969846995E-2</v>
      </c>
      <c r="Q2641">
        <v>0.22375856339353201</v>
      </c>
      <c r="R2641">
        <v>0.99549117761876604</v>
      </c>
      <c r="S2641" t="s">
        <v>6937</v>
      </c>
      <c r="T2641" t="s">
        <v>8590</v>
      </c>
      <c r="U2641" t="s">
        <v>8590</v>
      </c>
      <c r="V2641" t="s">
        <v>8590</v>
      </c>
      <c r="W2641">
        <v>1</v>
      </c>
      <c r="X2641" t="s">
        <v>11231</v>
      </c>
      <c r="Y2641">
        <v>0.62350866473343347</v>
      </c>
      <c r="Z2641" t="str">
        <f>HYPERLINK("Melting_Curves/meltCurve_sp_Q96DH6_2_MSI2H_HUMAN_.pdf", "Melting_Curves/meltCurve_sp_Q96DH6_2_MSI2H_HUMAN_.pdf")</f>
        <v>Melting_Curves/meltCurve_sp_Q96DH6_2_MSI2H_HUMAN_.pdf</v>
      </c>
      <c r="AA2641" t="s">
        <v>15483</v>
      </c>
      <c r="AB2641" t="s">
        <v>19725</v>
      </c>
    </row>
    <row r="2642" spans="1:28" x14ac:dyDescent="0.25">
      <c r="A2642" t="s">
        <v>2646</v>
      </c>
      <c r="B2642">
        <v>0.99876560204751996</v>
      </c>
      <c r="C2642">
        <v>1.0079239439002601</v>
      </c>
      <c r="D2642">
        <v>0.98461004341242797</v>
      </c>
      <c r="E2642">
        <v>0.73153372890919899</v>
      </c>
      <c r="F2642">
        <v>0.44645879221830398</v>
      </c>
      <c r="G2642">
        <v>0.163681941416256</v>
      </c>
      <c r="H2642">
        <v>8.5957240919811106E-2</v>
      </c>
      <c r="I2642">
        <v>6.5495689194383699E-2</v>
      </c>
      <c r="J2642">
        <v>5.90692726028565E-2</v>
      </c>
      <c r="K2642">
        <v>2.33361477542019E-2</v>
      </c>
      <c r="L2642">
        <v>1194.29592616121</v>
      </c>
      <c r="M2642">
        <v>22.874960535139699</v>
      </c>
      <c r="N2642">
        <v>52.420027721834103</v>
      </c>
      <c r="O2642">
        <v>51.815644696362099</v>
      </c>
      <c r="P2642">
        <v>-0.105530615630098</v>
      </c>
      <c r="Q2642">
        <v>4.3839581014762402E-2</v>
      </c>
      <c r="R2642">
        <v>0.99888462464502503</v>
      </c>
      <c r="S2642" t="s">
        <v>6938</v>
      </c>
      <c r="T2642" t="s">
        <v>8590</v>
      </c>
      <c r="U2642" t="s">
        <v>8590</v>
      </c>
      <c r="V2642" t="s">
        <v>8590</v>
      </c>
      <c r="W2642">
        <v>1</v>
      </c>
      <c r="X2642" t="s">
        <v>11232</v>
      </c>
      <c r="Y2642">
        <v>0.44333652528841039</v>
      </c>
      <c r="Z2642" t="str">
        <f>HYPERLINK("Melting_Curves/meltCurve_sp_Q96DI7_SNR40_HUMAN_.pdf", "Melting_Curves/meltCurve_sp_Q96DI7_SNR40_HUMAN_.pdf")</f>
        <v>Melting_Curves/meltCurve_sp_Q96DI7_SNR40_HUMAN_.pdf</v>
      </c>
      <c r="AA2642" t="s">
        <v>15484</v>
      </c>
      <c r="AB2642" t="s">
        <v>19726</v>
      </c>
    </row>
    <row r="2643" spans="1:28" x14ac:dyDescent="0.25">
      <c r="A2643" t="s">
        <v>2647</v>
      </c>
      <c r="B2643">
        <v>0.99876560204751996</v>
      </c>
      <c r="C2643">
        <v>0.77057742118858996</v>
      </c>
      <c r="D2643">
        <v>0.68179010279374297</v>
      </c>
      <c r="E2643">
        <v>0.75217478552288297</v>
      </c>
      <c r="F2643">
        <v>0.68878575731679503</v>
      </c>
      <c r="G2643">
        <v>0.71110888829418795</v>
      </c>
      <c r="H2643">
        <v>0.53829888989646002</v>
      </c>
      <c r="I2643">
        <v>0.43209046612281199</v>
      </c>
      <c r="J2643">
        <v>0.47441146120424699</v>
      </c>
      <c r="K2643">
        <v>0.464973453480923</v>
      </c>
      <c r="L2643">
        <v>210.52402200551899</v>
      </c>
      <c r="M2643">
        <v>3.2442456794910899</v>
      </c>
      <c r="N2643">
        <v>64.891517231476996</v>
      </c>
      <c r="O2643">
        <v>49.391110176788096</v>
      </c>
      <c r="P2643">
        <v>-1.6824612797438701E-2</v>
      </c>
      <c r="Q2643">
        <v>0</v>
      </c>
      <c r="R2643">
        <v>0.82553237003938695</v>
      </c>
      <c r="S2643" t="s">
        <v>6939</v>
      </c>
      <c r="T2643" t="s">
        <v>8590</v>
      </c>
      <c r="U2643" t="s">
        <v>8590</v>
      </c>
      <c r="V2643" t="s">
        <v>8590</v>
      </c>
      <c r="W2643">
        <v>1</v>
      </c>
      <c r="X2643" t="s">
        <v>11233</v>
      </c>
      <c r="Y2643">
        <v>0.64980037825800241</v>
      </c>
      <c r="Z2643" t="str">
        <f>HYPERLINK("Melting_Curves/meltCurve_sp_Q96DR7_ARHGQ_HUMAN_.pdf", "Melting_Curves/meltCurve_sp_Q96DR7_ARHGQ_HUMAN_.pdf")</f>
        <v>Melting_Curves/meltCurve_sp_Q96DR7_ARHGQ_HUMAN_.pdf</v>
      </c>
      <c r="AA2643" t="s">
        <v>15485</v>
      </c>
      <c r="AB2643" t="s">
        <v>19727</v>
      </c>
    </row>
    <row r="2644" spans="1:28" x14ac:dyDescent="0.25">
      <c r="A2644" t="s">
        <v>2648</v>
      </c>
      <c r="B2644">
        <v>0.99876560204751996</v>
      </c>
      <c r="C2644">
        <v>1.1570183671205601</v>
      </c>
      <c r="D2644">
        <v>1.0757886996010899</v>
      </c>
      <c r="E2644">
        <v>1.35425770016364</v>
      </c>
      <c r="F2644">
        <v>0.72350818312812304</v>
      </c>
      <c r="G2644">
        <v>0.32480491898090502</v>
      </c>
      <c r="H2644">
        <v>0.16166981210349499</v>
      </c>
      <c r="I2644">
        <v>8.0688298983072296E-2</v>
      </c>
      <c r="J2644">
        <v>6.46503224124481E-2</v>
      </c>
      <c r="K2644">
        <v>5.3161796485519899E-2</v>
      </c>
      <c r="L2644">
        <v>1999.35685174223</v>
      </c>
      <c r="M2644">
        <v>36.287917725521403</v>
      </c>
      <c r="N2644">
        <v>55.3793374376597</v>
      </c>
      <c r="O2644">
        <v>54.930517526655798</v>
      </c>
      <c r="P2644">
        <v>-0.15120877759697801</v>
      </c>
      <c r="Q2644">
        <v>8.4438946530441802E-2</v>
      </c>
      <c r="R2644">
        <v>0.92205310924444495</v>
      </c>
      <c r="S2644" t="s">
        <v>6940</v>
      </c>
      <c r="T2644" t="s">
        <v>8590</v>
      </c>
      <c r="U2644" t="s">
        <v>8590</v>
      </c>
      <c r="V2644" t="s">
        <v>8590</v>
      </c>
      <c r="W2644">
        <v>2</v>
      </c>
      <c r="X2644" t="s">
        <v>11234</v>
      </c>
      <c r="Y2644">
        <v>0.54939156961329683</v>
      </c>
      <c r="Z2644" t="str">
        <f>HYPERLINK("Melting_Curves/meltCurve_sp_Q96DT5_DYH11_HUMAN_.pdf", "Melting_Curves/meltCurve_sp_Q96DT5_DYH11_HUMAN_.pdf")</f>
        <v>Melting_Curves/meltCurve_sp_Q96DT5_DYH11_HUMAN_.pdf</v>
      </c>
      <c r="AA2644" t="s">
        <v>15486</v>
      </c>
      <c r="AB2644" t="s">
        <v>19728</v>
      </c>
    </row>
    <row r="2645" spans="1:28" x14ac:dyDescent="0.25">
      <c r="A2645" t="s">
        <v>2649</v>
      </c>
      <c r="B2645">
        <v>0.99876560204751996</v>
      </c>
      <c r="C2645">
        <v>0.93200988327790502</v>
      </c>
      <c r="D2645">
        <v>0.71614490428887101</v>
      </c>
      <c r="E2645">
        <v>0.61603664109257195</v>
      </c>
      <c r="F2645">
        <v>0.40680985198046699</v>
      </c>
      <c r="G2645">
        <v>0.19471428405305799</v>
      </c>
      <c r="H2645">
        <v>0.153024273246536</v>
      </c>
      <c r="I2645">
        <v>7.61742671200345E-2</v>
      </c>
      <c r="J2645">
        <v>0.11904940109003399</v>
      </c>
      <c r="K2645">
        <v>9.8829324768635096E-2</v>
      </c>
      <c r="L2645">
        <v>643.70337152703405</v>
      </c>
      <c r="M2645">
        <v>12.7265089511159</v>
      </c>
      <c r="N2645">
        <v>51.025773607666999</v>
      </c>
      <c r="O2645">
        <v>49.379666245632897</v>
      </c>
      <c r="P2645">
        <v>-6.1051802502193803E-2</v>
      </c>
      <c r="Q2645">
        <v>5.2642259023111898E-2</v>
      </c>
      <c r="R2645">
        <v>0.98754211954662996</v>
      </c>
      <c r="S2645" t="s">
        <v>6941</v>
      </c>
      <c r="T2645" t="s">
        <v>8590</v>
      </c>
      <c r="U2645" t="s">
        <v>8590</v>
      </c>
      <c r="V2645" t="s">
        <v>8590</v>
      </c>
      <c r="W2645">
        <v>4</v>
      </c>
      <c r="X2645" t="s">
        <v>11235</v>
      </c>
      <c r="Y2645">
        <v>0.41571912224237428</v>
      </c>
      <c r="Z2645" t="str">
        <f>HYPERLINK("Melting_Curves/meltCurve_sp_Q96DX5_ASB9_HUMAN_.pdf", "Melting_Curves/meltCurve_sp_Q96DX5_ASB9_HUMAN_.pdf")</f>
        <v>Melting_Curves/meltCurve_sp_Q96DX5_ASB9_HUMAN_.pdf</v>
      </c>
      <c r="AA2645" t="s">
        <v>15487</v>
      </c>
      <c r="AB2645" t="s">
        <v>19729</v>
      </c>
    </row>
    <row r="2646" spans="1:28" x14ac:dyDescent="0.25">
      <c r="A2646" t="s">
        <v>2650</v>
      </c>
      <c r="B2646">
        <v>0.99876560204751996</v>
      </c>
      <c r="C2646">
        <v>1.0208882692480299</v>
      </c>
      <c r="D2646">
        <v>0.99765587758275998</v>
      </c>
      <c r="E2646">
        <v>0.72309976811662102</v>
      </c>
      <c r="F2646">
        <v>0.58095353614396905</v>
      </c>
      <c r="G2646">
        <v>0.45538313163809602</v>
      </c>
      <c r="H2646">
        <v>0.31738196826763199</v>
      </c>
      <c r="I2646">
        <v>0.37697488943664098</v>
      </c>
      <c r="J2646">
        <v>0.40682217705669499</v>
      </c>
      <c r="K2646">
        <v>0.44749250996456302</v>
      </c>
      <c r="L2646">
        <v>1266.08350262103</v>
      </c>
      <c r="M2646">
        <v>24.908113291809698</v>
      </c>
      <c r="N2646">
        <v>54.161296048847298</v>
      </c>
      <c r="O2646">
        <v>50.505917166427203</v>
      </c>
      <c r="P2646">
        <v>-7.4970235651612205E-2</v>
      </c>
      <c r="Q2646">
        <v>0.39194278840685098</v>
      </c>
      <c r="R2646">
        <v>0.97824082104273502</v>
      </c>
      <c r="S2646" t="s">
        <v>6942</v>
      </c>
      <c r="T2646" t="s">
        <v>8590</v>
      </c>
      <c r="U2646" t="s">
        <v>8590</v>
      </c>
      <c r="V2646" t="s">
        <v>8590</v>
      </c>
      <c r="W2646">
        <v>3</v>
      </c>
      <c r="X2646" t="s">
        <v>11236</v>
      </c>
      <c r="Y2646">
        <v>0.61697776878440891</v>
      </c>
      <c r="Z2646" t="str">
        <f>HYPERLINK("Melting_Curves/meltCurve_sp_Q96E09_F122A_HUMAN_.pdf", "Melting_Curves/meltCurve_sp_Q96E09_F122A_HUMAN_.pdf")</f>
        <v>Melting_Curves/meltCurve_sp_Q96E09_F122A_HUMAN_.pdf</v>
      </c>
      <c r="AA2646" t="s">
        <v>15488</v>
      </c>
      <c r="AB2646" t="s">
        <v>19730</v>
      </c>
    </row>
    <row r="2647" spans="1:28" x14ac:dyDescent="0.25">
      <c r="A2647" t="s">
        <v>2651</v>
      </c>
      <c r="B2647">
        <v>0.99876560204751996</v>
      </c>
      <c r="C2647">
        <v>0.97639506675655097</v>
      </c>
      <c r="D2647">
        <v>0.99939560983612497</v>
      </c>
      <c r="E2647">
        <v>0.86398859921820703</v>
      </c>
      <c r="F2647">
        <v>0.61490892436732003</v>
      </c>
      <c r="G2647">
        <v>0.35460708634003801</v>
      </c>
      <c r="H2647">
        <v>0.23170626945609299</v>
      </c>
      <c r="I2647">
        <v>0.21041186703682199</v>
      </c>
      <c r="J2647">
        <v>0.22495536546078301</v>
      </c>
      <c r="K2647">
        <v>0.21799217647188601</v>
      </c>
      <c r="L2647">
        <v>1293.24101130086</v>
      </c>
      <c r="M2647">
        <v>24.311775158756198</v>
      </c>
      <c r="N2647">
        <v>54.414358998485703</v>
      </c>
      <c r="O2647">
        <v>52.838050458585897</v>
      </c>
      <c r="P2647">
        <v>-9.0857856830738007E-2</v>
      </c>
      <c r="Q2647">
        <v>0.21014756198016599</v>
      </c>
      <c r="R2647">
        <v>0.998763934579049</v>
      </c>
      <c r="S2647" t="s">
        <v>6943</v>
      </c>
      <c r="T2647" t="s">
        <v>8590</v>
      </c>
      <c r="U2647" t="s">
        <v>8590</v>
      </c>
      <c r="V2647" t="s">
        <v>8590</v>
      </c>
      <c r="W2647">
        <v>6</v>
      </c>
      <c r="X2647" t="s">
        <v>11237</v>
      </c>
      <c r="Y2647">
        <v>0.56519468902134062</v>
      </c>
      <c r="Z2647" t="str">
        <f>HYPERLINK("Melting_Curves/meltCurve_sp_Q96E11_3_RRFM_HUMAN_.pdf", "Melting_Curves/meltCurve_sp_Q96E11_3_RRFM_HUMAN_.pdf")</f>
        <v>Melting_Curves/meltCurve_sp_Q96E11_3_RRFM_HUMAN_.pdf</v>
      </c>
      <c r="AA2647" t="s">
        <v>15489</v>
      </c>
      <c r="AB2647" t="s">
        <v>19731</v>
      </c>
    </row>
    <row r="2648" spans="1:28" x14ac:dyDescent="0.25">
      <c r="A2648" t="s">
        <v>2652</v>
      </c>
      <c r="B2648">
        <v>0.99876560204751996</v>
      </c>
      <c r="C2648">
        <v>0.96613394566562105</v>
      </c>
      <c r="D2648">
        <v>1.0674051991176601</v>
      </c>
      <c r="E2648">
        <v>0.87570425785921602</v>
      </c>
      <c r="F2648">
        <v>0.77761396104490099</v>
      </c>
      <c r="G2648">
        <v>0.596833052651499</v>
      </c>
      <c r="H2648">
        <v>0.52722799819660104</v>
      </c>
      <c r="I2648">
        <v>0.50314538069023695</v>
      </c>
      <c r="J2648">
        <v>0.55557372045561504</v>
      </c>
      <c r="K2648">
        <v>0.59731576904507</v>
      </c>
      <c r="L2648">
        <v>1405.6822894925299</v>
      </c>
      <c r="M2648">
        <v>26.6591503627542</v>
      </c>
      <c r="O2648">
        <v>52.433940029143898</v>
      </c>
      <c r="P2648">
        <v>-5.81088549038275E-2</v>
      </c>
      <c r="Q2648">
        <v>0.54284447654620005</v>
      </c>
      <c r="R2648">
        <v>0.96546280006416896</v>
      </c>
      <c r="S2648" t="s">
        <v>6944</v>
      </c>
      <c r="T2648" t="s">
        <v>8590</v>
      </c>
      <c r="U2648" t="s">
        <v>8590</v>
      </c>
      <c r="V2648" t="s">
        <v>8590</v>
      </c>
      <c r="W2648">
        <v>7</v>
      </c>
      <c r="X2648" t="s">
        <v>11238</v>
      </c>
      <c r="Y2648">
        <v>0.74051551136861193</v>
      </c>
      <c r="Z2648" t="str">
        <f>HYPERLINK("Melting_Curves/meltCurve_sp_Q96E39_RMXL1_HUMAN_.pdf", "Melting_Curves/meltCurve_sp_Q96E39_RMXL1_HUMAN_.pdf")</f>
        <v>Melting_Curves/meltCurve_sp_Q96E39_RMXL1_HUMAN_.pdf</v>
      </c>
      <c r="AA2648" t="s">
        <v>15490</v>
      </c>
      <c r="AB2648" t="s">
        <v>19732</v>
      </c>
    </row>
    <row r="2649" spans="1:28" x14ac:dyDescent="0.25">
      <c r="A2649" t="s">
        <v>2653</v>
      </c>
      <c r="B2649">
        <v>0.99876560204751996</v>
      </c>
      <c r="C2649">
        <v>0.95816967887246296</v>
      </c>
      <c r="D2649">
        <v>1.01549960084795</v>
      </c>
      <c r="E2649">
        <v>0.77376247158807299</v>
      </c>
      <c r="F2649">
        <v>0.65492909378436304</v>
      </c>
      <c r="G2649">
        <v>0.42302141004353</v>
      </c>
      <c r="H2649">
        <v>0.284110752505703</v>
      </c>
      <c r="I2649">
        <v>0.234263950359341</v>
      </c>
      <c r="J2649">
        <v>0.23312652307288201</v>
      </c>
      <c r="K2649">
        <v>0.18490016841562401</v>
      </c>
      <c r="L2649">
        <v>865.10116278139901</v>
      </c>
      <c r="M2649">
        <v>16.069526245501802</v>
      </c>
      <c r="N2649">
        <v>55.372859417352302</v>
      </c>
      <c r="O2649">
        <v>53.021903839090797</v>
      </c>
      <c r="P2649">
        <v>-6.21339076787309E-2</v>
      </c>
      <c r="Q2649">
        <v>0.18001236098126999</v>
      </c>
      <c r="R2649">
        <v>0.99280882628240497</v>
      </c>
      <c r="S2649" t="s">
        <v>6945</v>
      </c>
      <c r="T2649" t="s">
        <v>8590</v>
      </c>
      <c r="U2649" t="s">
        <v>8590</v>
      </c>
      <c r="V2649" t="s">
        <v>8590</v>
      </c>
      <c r="W2649">
        <v>4</v>
      </c>
      <c r="X2649" t="s">
        <v>11239</v>
      </c>
      <c r="Y2649">
        <v>0.57366440447646594</v>
      </c>
      <c r="Z2649" t="str">
        <f>HYPERLINK("Melting_Curves/meltCurve_sp_Q96EB1_ELP4_HUMAN_.pdf", "Melting_Curves/meltCurve_sp_Q96EB1_ELP4_HUMAN_.pdf")</f>
        <v>Melting_Curves/meltCurve_sp_Q96EB1_ELP4_HUMAN_.pdf</v>
      </c>
      <c r="AA2649" t="s">
        <v>15491</v>
      </c>
      <c r="AB2649" t="s">
        <v>19733</v>
      </c>
    </row>
    <row r="2650" spans="1:28" x14ac:dyDescent="0.25">
      <c r="A2650" t="s">
        <v>2654</v>
      </c>
      <c r="B2650">
        <v>0.99876560204751996</v>
      </c>
      <c r="C2650">
        <v>0.94911888946331002</v>
      </c>
      <c r="D2650">
        <v>0.95006901780311304</v>
      </c>
      <c r="E2650">
        <v>0.85262845408029098</v>
      </c>
      <c r="F2650">
        <v>0.79846581423051199</v>
      </c>
      <c r="G2650">
        <v>0.53324033190543996</v>
      </c>
      <c r="H2650">
        <v>0.53264965519491103</v>
      </c>
      <c r="I2650">
        <v>0.404869448281091</v>
      </c>
      <c r="J2650">
        <v>0.46160723658438502</v>
      </c>
      <c r="K2650">
        <v>0.35841674547542601</v>
      </c>
      <c r="L2650">
        <v>736.38080986625801</v>
      </c>
      <c r="M2650">
        <v>13.4436130356276</v>
      </c>
      <c r="N2650">
        <v>60.434339862398197</v>
      </c>
      <c r="O2650">
        <v>53.606108623079997</v>
      </c>
      <c r="P2650">
        <v>-4.0257036619845601E-2</v>
      </c>
      <c r="Q2650">
        <v>0.358003434414225</v>
      </c>
      <c r="R2650">
        <v>0.97375627000228104</v>
      </c>
      <c r="S2650" t="s">
        <v>6946</v>
      </c>
      <c r="T2650" t="s">
        <v>8590</v>
      </c>
      <c r="U2650" t="s">
        <v>8590</v>
      </c>
      <c r="V2650" t="s">
        <v>8590</v>
      </c>
      <c r="W2650">
        <v>4</v>
      </c>
      <c r="X2650" t="s">
        <v>11240</v>
      </c>
      <c r="Y2650">
        <v>0.68825366092532747</v>
      </c>
      <c r="Z2650" t="str">
        <f>HYPERLINK("Melting_Curves/meltCurve_sp_Q96ED9_2_HOOK2_HUMAN_.pdf", "Melting_Curves/meltCurve_sp_Q96ED9_2_HOOK2_HUMAN_.pdf")</f>
        <v>Melting_Curves/meltCurve_sp_Q96ED9_2_HOOK2_HUMAN_.pdf</v>
      </c>
      <c r="AA2650" t="s">
        <v>15492</v>
      </c>
      <c r="AB2650" t="s">
        <v>19734</v>
      </c>
    </row>
    <row r="2651" spans="1:28" x14ac:dyDescent="0.25">
      <c r="A2651" t="s">
        <v>2655</v>
      </c>
      <c r="B2651">
        <v>0.99876560204751996</v>
      </c>
      <c r="C2651">
        <v>1.1039389024683699</v>
      </c>
      <c r="D2651">
        <v>0.99547877990535905</v>
      </c>
      <c r="E2651">
        <v>0.897424203997091</v>
      </c>
      <c r="F2651">
        <v>0.60385474741020495</v>
      </c>
      <c r="G2651">
        <v>0.33539686431329202</v>
      </c>
      <c r="H2651">
        <v>0.195170592510225</v>
      </c>
      <c r="I2651">
        <v>0.10746948755095601</v>
      </c>
      <c r="J2651">
        <v>0.10138595142397901</v>
      </c>
      <c r="K2651">
        <v>8.6949504862897806E-2</v>
      </c>
      <c r="L2651">
        <v>1158.65554770209</v>
      </c>
      <c r="M2651">
        <v>21.423170888806698</v>
      </c>
      <c r="N2651">
        <v>54.597537642702299</v>
      </c>
      <c r="O2651">
        <v>53.619583800401998</v>
      </c>
      <c r="P2651">
        <v>-9.0776465968336106E-2</v>
      </c>
      <c r="Q2651">
        <v>9.1212809892376706E-2</v>
      </c>
      <c r="R2651">
        <v>0.99010746221450596</v>
      </c>
      <c r="S2651" t="s">
        <v>6947</v>
      </c>
      <c r="T2651" t="s">
        <v>8590</v>
      </c>
      <c r="U2651" t="s">
        <v>8590</v>
      </c>
      <c r="V2651" t="s">
        <v>8590</v>
      </c>
      <c r="W2651">
        <v>4</v>
      </c>
      <c r="X2651" t="s">
        <v>11241</v>
      </c>
      <c r="Y2651">
        <v>0.52888511522423853</v>
      </c>
      <c r="Z2651" t="str">
        <f>HYPERLINK("Melting_Curves/meltCurve_sp_Q96EE3_SEH1_HUMAN_.pdf", "Melting_Curves/meltCurve_sp_Q96EE3_SEH1_HUMAN_.pdf")</f>
        <v>Melting_Curves/meltCurve_sp_Q96EE3_SEH1_HUMAN_.pdf</v>
      </c>
      <c r="AA2651" t="s">
        <v>15493</v>
      </c>
      <c r="AB2651" t="s">
        <v>19735</v>
      </c>
    </row>
    <row r="2652" spans="1:28" x14ac:dyDescent="0.25">
      <c r="A2652" t="s">
        <v>2656</v>
      </c>
      <c r="B2652">
        <v>0.99876560204751996</v>
      </c>
      <c r="C2652">
        <v>0.98178010766548096</v>
      </c>
      <c r="D2652">
        <v>1.11543190379641</v>
      </c>
      <c r="E2652">
        <v>0.95985895583904701</v>
      </c>
      <c r="F2652">
        <v>0.99191780829993403</v>
      </c>
      <c r="G2652">
        <v>0.81466199435994002</v>
      </c>
      <c r="H2652">
        <v>0.76408603065342795</v>
      </c>
      <c r="I2652">
        <v>0.72818721043337697</v>
      </c>
      <c r="J2652">
        <v>0.94541705112561703</v>
      </c>
      <c r="K2652">
        <v>0.87163548491813103</v>
      </c>
      <c r="L2652">
        <v>13410.5390103672</v>
      </c>
      <c r="M2652">
        <v>250</v>
      </c>
      <c r="O2652">
        <v>53.638723340241299</v>
      </c>
      <c r="P2652">
        <v>-0.20414642581516601</v>
      </c>
      <c r="Q2652">
        <v>0.82479754185596399</v>
      </c>
      <c r="R2652">
        <v>0.65302101330354601</v>
      </c>
      <c r="S2652" t="s">
        <v>6948</v>
      </c>
      <c r="T2652" t="s">
        <v>8590</v>
      </c>
      <c r="U2652" t="s">
        <v>8590</v>
      </c>
      <c r="V2652" t="s">
        <v>8590</v>
      </c>
      <c r="W2652">
        <v>5</v>
      </c>
      <c r="X2652" t="s">
        <v>11242</v>
      </c>
      <c r="Y2652">
        <v>0.90448534471167541</v>
      </c>
      <c r="Z2652" t="str">
        <f>HYPERLINK("Melting_Curves/meltCurve_sp_Q96EI5_TCAL4_HUMAN_.pdf", "Melting_Curves/meltCurve_sp_Q96EI5_TCAL4_HUMAN_.pdf")</f>
        <v>Melting_Curves/meltCurve_sp_Q96EI5_TCAL4_HUMAN_.pdf</v>
      </c>
      <c r="AA2652" t="s">
        <v>15494</v>
      </c>
      <c r="AB2652" t="s">
        <v>19736</v>
      </c>
    </row>
    <row r="2653" spans="1:28" x14ac:dyDescent="0.25">
      <c r="A2653" t="s">
        <v>2657</v>
      </c>
      <c r="B2653">
        <v>0.99876560204751996</v>
      </c>
      <c r="C2653">
        <v>0.96935054783448504</v>
      </c>
      <c r="D2653">
        <v>1.0089337453629901</v>
      </c>
      <c r="E2653">
        <v>0.943817378097911</v>
      </c>
      <c r="F2653">
        <v>0.87671120077554598</v>
      </c>
      <c r="G2653">
        <v>0.59134248844255499</v>
      </c>
      <c r="H2653">
        <v>0.20013569715924101</v>
      </c>
      <c r="I2653">
        <v>0.11391804821031901</v>
      </c>
      <c r="J2653">
        <v>0.102313861627405</v>
      </c>
      <c r="K2653">
        <v>6.3201614280081503E-2</v>
      </c>
      <c r="L2653">
        <v>1441.2684463651101</v>
      </c>
      <c r="M2653">
        <v>25.126357710701502</v>
      </c>
      <c r="N2653">
        <v>57.630290309318802</v>
      </c>
      <c r="O2653">
        <v>57.001198894585201</v>
      </c>
      <c r="P2653">
        <v>-0.10409450277028599</v>
      </c>
      <c r="Q2653">
        <v>5.5425101551560003E-2</v>
      </c>
      <c r="R2653">
        <v>0.99720042515659602</v>
      </c>
      <c r="S2653" t="s">
        <v>6949</v>
      </c>
      <c r="T2653" t="s">
        <v>8590</v>
      </c>
      <c r="U2653" t="s">
        <v>8590</v>
      </c>
      <c r="V2653" t="s">
        <v>8590</v>
      </c>
      <c r="W2653">
        <v>15</v>
      </c>
      <c r="X2653" t="s">
        <v>11243</v>
      </c>
      <c r="Y2653">
        <v>0.61040243999749177</v>
      </c>
      <c r="Z2653" t="str">
        <f>HYPERLINK("Melting_Curves/meltCurve_sp_Q96EK6_GNA1_HUMAN_.pdf", "Melting_Curves/meltCurve_sp_Q96EK6_GNA1_HUMAN_.pdf")</f>
        <v>Melting_Curves/meltCurve_sp_Q96EK6_GNA1_HUMAN_.pdf</v>
      </c>
      <c r="AA2653" t="s">
        <v>15495</v>
      </c>
      <c r="AB2653" t="s">
        <v>19737</v>
      </c>
    </row>
    <row r="2654" spans="1:28" x14ac:dyDescent="0.25">
      <c r="A2654" t="s">
        <v>2658</v>
      </c>
      <c r="B2654">
        <v>0.99876560204751996</v>
      </c>
      <c r="C2654">
        <v>1.01832567381075</v>
      </c>
      <c r="D2654">
        <v>0.99644537009801504</v>
      </c>
      <c r="E2654">
        <v>0.71846919920290098</v>
      </c>
      <c r="F2654">
        <v>0.31454405162522597</v>
      </c>
      <c r="G2654">
        <v>0.128376106021515</v>
      </c>
      <c r="H2654">
        <v>7.3187737502616201E-2</v>
      </c>
      <c r="I2654">
        <v>4.1439648156224897E-2</v>
      </c>
      <c r="J2654">
        <v>3.2205362692347701E-2</v>
      </c>
      <c r="K2654">
        <v>2.6997653935790199E-2</v>
      </c>
      <c r="L2654">
        <v>1532.6012561815201</v>
      </c>
      <c r="M2654">
        <v>29.7872945844938</v>
      </c>
      <c r="N2654">
        <v>51.618397342430903</v>
      </c>
      <c r="O2654">
        <v>51.221285963460403</v>
      </c>
      <c r="P2654">
        <v>-0.13871250477953301</v>
      </c>
      <c r="Q2654">
        <v>4.5903918263676201E-2</v>
      </c>
      <c r="R2654">
        <v>0.99819512912442199</v>
      </c>
      <c r="S2654" t="s">
        <v>6950</v>
      </c>
      <c r="T2654" t="s">
        <v>8590</v>
      </c>
      <c r="U2654" t="s">
        <v>8590</v>
      </c>
      <c r="V2654" t="s">
        <v>8590</v>
      </c>
      <c r="W2654">
        <v>3</v>
      </c>
      <c r="X2654" t="s">
        <v>11244</v>
      </c>
      <c r="Y2654">
        <v>0.41622802302640582</v>
      </c>
      <c r="Z2654" t="str">
        <f>HYPERLINK("Melting_Curves/meltCurve_sp_Q96EM0_T3HPD_HUMAN_.pdf", "Melting_Curves/meltCurve_sp_Q96EM0_T3HPD_HUMAN_.pdf")</f>
        <v>Melting_Curves/meltCurve_sp_Q96EM0_T3HPD_HUMAN_.pdf</v>
      </c>
      <c r="AA2654" t="s">
        <v>15496</v>
      </c>
      <c r="AB2654" t="s">
        <v>19738</v>
      </c>
    </row>
    <row r="2655" spans="1:28" x14ac:dyDescent="0.25">
      <c r="A2655" t="s">
        <v>2659</v>
      </c>
      <c r="B2655">
        <v>0.99876560204751996</v>
      </c>
      <c r="C2655">
        <v>1.10242973832267</v>
      </c>
      <c r="D2655">
        <v>1.0135325155144199</v>
      </c>
      <c r="E2655">
        <v>1.0218988150021699</v>
      </c>
      <c r="F2655">
        <v>0.93321244087629196</v>
      </c>
      <c r="G2655">
        <v>0.58688670489976102</v>
      </c>
      <c r="H2655">
        <v>0.306007909665449</v>
      </c>
      <c r="I2655">
        <v>0.149935658788966</v>
      </c>
      <c r="J2655">
        <v>0.12804493204478401</v>
      </c>
      <c r="K2655">
        <v>7.3230876445810097E-2</v>
      </c>
      <c r="L2655">
        <v>1434.9397647794401</v>
      </c>
      <c r="M2655">
        <v>24.843161118652599</v>
      </c>
      <c r="N2655">
        <v>58.186971598781</v>
      </c>
      <c r="O2655">
        <v>57.389598587660402</v>
      </c>
      <c r="P2655">
        <v>-9.92043650336768E-2</v>
      </c>
      <c r="Q2655">
        <v>8.3334009431557804E-2</v>
      </c>
      <c r="R2655">
        <v>0.99062757947264801</v>
      </c>
      <c r="S2655" t="s">
        <v>6951</v>
      </c>
      <c r="T2655" t="s">
        <v>8590</v>
      </c>
      <c r="U2655" t="s">
        <v>8590</v>
      </c>
      <c r="V2655" t="s">
        <v>8590</v>
      </c>
      <c r="W2655">
        <v>15</v>
      </c>
      <c r="X2655" t="s">
        <v>11245</v>
      </c>
      <c r="Y2655">
        <v>0.63412714691565264</v>
      </c>
      <c r="Z2655" t="str">
        <f>HYPERLINK("Melting_Curves/meltCurve_sp_Q96EN8_MOCOS_HUMAN_.pdf", "Melting_Curves/meltCurve_sp_Q96EN8_MOCOS_HUMAN_.pdf")</f>
        <v>Melting_Curves/meltCurve_sp_Q96EN8_MOCOS_HUMAN_.pdf</v>
      </c>
      <c r="AA2655" t="s">
        <v>15497</v>
      </c>
      <c r="AB2655" t="s">
        <v>19739</v>
      </c>
    </row>
    <row r="2656" spans="1:28" x14ac:dyDescent="0.25">
      <c r="A2656" t="s">
        <v>2660</v>
      </c>
      <c r="B2656">
        <v>0.99876560204751996</v>
      </c>
      <c r="C2656">
        <v>0.89617815917024601</v>
      </c>
      <c r="D2656">
        <v>0.85177041964267297</v>
      </c>
      <c r="E2656">
        <v>0.80717686867987903</v>
      </c>
      <c r="F2656">
        <v>0.66357505396387295</v>
      </c>
      <c r="G2656">
        <v>0.56317219394201501</v>
      </c>
      <c r="H2656">
        <v>0.39739334286782402</v>
      </c>
      <c r="I2656">
        <v>0.31648653262103998</v>
      </c>
      <c r="J2656">
        <v>0.26397066540383202</v>
      </c>
      <c r="K2656">
        <v>0.195203425641477</v>
      </c>
      <c r="L2656">
        <v>450.165678600354</v>
      </c>
      <c r="M2656">
        <v>7.7628456070246399</v>
      </c>
      <c r="N2656">
        <v>57.989781627235502</v>
      </c>
      <c r="O2656">
        <v>54.518624614136499</v>
      </c>
      <c r="P2656">
        <v>-3.5642257357901101E-2</v>
      </c>
      <c r="Q2656">
        <v>0</v>
      </c>
      <c r="R2656">
        <v>0.99213732051598502</v>
      </c>
      <c r="S2656" t="s">
        <v>6952</v>
      </c>
      <c r="T2656" t="s">
        <v>8590</v>
      </c>
      <c r="U2656" t="s">
        <v>8590</v>
      </c>
      <c r="V2656" t="s">
        <v>8590</v>
      </c>
      <c r="W2656">
        <v>6</v>
      </c>
      <c r="X2656" t="s">
        <v>11246</v>
      </c>
      <c r="Y2656">
        <v>0.60225911857846082</v>
      </c>
      <c r="Z2656" t="str">
        <f>HYPERLINK("Melting_Curves/meltCurve_sp_Q96EP5_2_DAZP1_HUMAN_.pdf", "Melting_Curves/meltCurve_sp_Q96EP5_2_DAZP1_HUMAN_.pdf")</f>
        <v>Melting_Curves/meltCurve_sp_Q96EP5_2_DAZP1_HUMAN_.pdf</v>
      </c>
      <c r="AA2656" t="s">
        <v>15498</v>
      </c>
      <c r="AB2656" t="s">
        <v>19740</v>
      </c>
    </row>
    <row r="2657" spans="1:28" x14ac:dyDescent="0.25">
      <c r="A2657" t="s">
        <v>2661</v>
      </c>
      <c r="B2657">
        <v>0.99876560204751996</v>
      </c>
      <c r="C2657">
        <v>1.0557255788531501</v>
      </c>
      <c r="D2657">
        <v>0.99005212176245005</v>
      </c>
      <c r="E2657">
        <v>0.94924392611825903</v>
      </c>
      <c r="F2657">
        <v>0.96486783084553995</v>
      </c>
      <c r="G2657">
        <v>0.70676011296719299</v>
      </c>
      <c r="H2657">
        <v>0.56353829998195504</v>
      </c>
      <c r="I2657">
        <v>0.59417294713174895</v>
      </c>
      <c r="J2657">
        <v>0.74915713664113404</v>
      </c>
      <c r="K2657">
        <v>0.66906055100763395</v>
      </c>
      <c r="L2657">
        <v>2977.4188229185102</v>
      </c>
      <c r="M2657">
        <v>53.917556028040998</v>
      </c>
      <c r="O2657">
        <v>55.145886251711197</v>
      </c>
      <c r="P2657">
        <v>-8.6831421878783205E-2</v>
      </c>
      <c r="Q2657">
        <v>0.64476188430459502</v>
      </c>
      <c r="R2657">
        <v>0.91421424364000703</v>
      </c>
      <c r="S2657" t="s">
        <v>6953</v>
      </c>
      <c r="T2657" t="s">
        <v>8590</v>
      </c>
      <c r="U2657" t="s">
        <v>8590</v>
      </c>
      <c r="V2657" t="s">
        <v>8590</v>
      </c>
      <c r="W2657">
        <v>7</v>
      </c>
      <c r="X2657" t="s">
        <v>11247</v>
      </c>
      <c r="Y2657">
        <v>0.82574940318341872</v>
      </c>
      <c r="Z2657" t="str">
        <f>HYPERLINK("Melting_Curves/meltCurve_sp_Q96EV2_RBM33_HUMAN_.pdf", "Melting_Curves/meltCurve_sp_Q96EV2_RBM33_HUMAN_.pdf")</f>
        <v>Melting_Curves/meltCurve_sp_Q96EV2_RBM33_HUMAN_.pdf</v>
      </c>
      <c r="AA2657" t="s">
        <v>15499</v>
      </c>
      <c r="AB2657" t="s">
        <v>19741</v>
      </c>
    </row>
    <row r="2658" spans="1:28" x14ac:dyDescent="0.25">
      <c r="A2658" t="s">
        <v>2662</v>
      </c>
      <c r="B2658">
        <v>0.99876560204751996</v>
      </c>
      <c r="C2658">
        <v>1.01847509639219</v>
      </c>
      <c r="D2658">
        <v>0.88693210501526898</v>
      </c>
      <c r="E2658">
        <v>0.87092086381897005</v>
      </c>
      <c r="F2658">
        <v>0.78352727418442403</v>
      </c>
      <c r="G2658">
        <v>0.48365113121402498</v>
      </c>
      <c r="H2658">
        <v>0.33557450308729903</v>
      </c>
      <c r="I2658">
        <v>0.27687317797196798</v>
      </c>
      <c r="J2658">
        <v>0.348757319097454</v>
      </c>
      <c r="K2658">
        <v>0.28725759610621598</v>
      </c>
      <c r="L2658">
        <v>1057.80183157234</v>
      </c>
      <c r="M2658">
        <v>19.3910907758744</v>
      </c>
      <c r="N2658">
        <v>56.905701808573497</v>
      </c>
      <c r="O2658">
        <v>53.980695857048502</v>
      </c>
      <c r="P2658">
        <v>-6.5032774616187297E-2</v>
      </c>
      <c r="Q2658">
        <v>0.27587666902164298</v>
      </c>
      <c r="R2658">
        <v>0.98041705213003605</v>
      </c>
      <c r="S2658" t="s">
        <v>6954</v>
      </c>
      <c r="T2658" t="s">
        <v>8590</v>
      </c>
      <c r="U2658" t="s">
        <v>8590</v>
      </c>
      <c r="V2658" t="s">
        <v>8590</v>
      </c>
      <c r="W2658">
        <v>5</v>
      </c>
      <c r="X2658" t="s">
        <v>11248</v>
      </c>
      <c r="Y2658">
        <v>0.63731449494859427</v>
      </c>
      <c r="Z2658" t="str">
        <f>HYPERLINK("Melting_Curves/meltCurve_sp_Q96EV8_DTBP1_HUMAN_.pdf", "Melting_Curves/meltCurve_sp_Q96EV8_DTBP1_HUMAN_.pdf")</f>
        <v>Melting_Curves/meltCurve_sp_Q96EV8_DTBP1_HUMAN_.pdf</v>
      </c>
      <c r="AA2658" t="s">
        <v>15500</v>
      </c>
      <c r="AB2658" t="s">
        <v>19742</v>
      </c>
    </row>
    <row r="2659" spans="1:28" x14ac:dyDescent="0.25">
      <c r="A2659" t="s">
        <v>2663</v>
      </c>
      <c r="B2659">
        <v>0.99876560204751996</v>
      </c>
      <c r="C2659">
        <v>1.02716238646709</v>
      </c>
      <c r="D2659">
        <v>0.82285418067917004</v>
      </c>
      <c r="E2659">
        <v>0.72759795604726096</v>
      </c>
      <c r="F2659">
        <v>0.51239415069607097</v>
      </c>
      <c r="G2659">
        <v>0.366263598487789</v>
      </c>
      <c r="H2659">
        <v>0.21265354270926601</v>
      </c>
      <c r="I2659">
        <v>0.18075396375925801</v>
      </c>
      <c r="J2659">
        <v>0.185705349580183</v>
      </c>
      <c r="K2659">
        <v>0.20114357867042801</v>
      </c>
      <c r="L2659">
        <v>754.42981211915298</v>
      </c>
      <c r="M2659">
        <v>14.4864982052747</v>
      </c>
      <c r="N2659">
        <v>53.407544300883302</v>
      </c>
      <c r="O2659">
        <v>51.115925229755298</v>
      </c>
      <c r="P2659">
        <v>-6.0133581518098202E-2</v>
      </c>
      <c r="Q2659">
        <v>0.15136764066179501</v>
      </c>
      <c r="R2659">
        <v>0.98811769960526197</v>
      </c>
      <c r="S2659" t="s">
        <v>6955</v>
      </c>
      <c r="T2659" t="s">
        <v>8590</v>
      </c>
      <c r="U2659" t="s">
        <v>8590</v>
      </c>
      <c r="V2659" t="s">
        <v>8590</v>
      </c>
      <c r="W2659">
        <v>3</v>
      </c>
      <c r="X2659" t="s">
        <v>11249</v>
      </c>
      <c r="Y2659">
        <v>0.51296578970506812</v>
      </c>
      <c r="Z2659" t="str">
        <f>HYPERLINK("Melting_Curves/meltCurve_sp_Q96EY1_2_DNJA3_HUMAN_.pdf", "Melting_Curves/meltCurve_sp_Q96EY1_2_DNJA3_HUMAN_.pdf")</f>
        <v>Melting_Curves/meltCurve_sp_Q96EY1_2_DNJA3_HUMAN_.pdf</v>
      </c>
      <c r="AA2659" t="s">
        <v>15501</v>
      </c>
      <c r="AB2659" t="s">
        <v>19743</v>
      </c>
    </row>
    <row r="2660" spans="1:28" x14ac:dyDescent="0.25">
      <c r="A2660" t="s">
        <v>2664</v>
      </c>
      <c r="B2660">
        <v>0.99876560204751996</v>
      </c>
      <c r="C2660">
        <v>1.21341406129799</v>
      </c>
      <c r="D2660">
        <v>1.1374533009805501</v>
      </c>
      <c r="E2660">
        <v>0.95502117500794903</v>
      </c>
      <c r="F2660">
        <v>0.84208434126767795</v>
      </c>
      <c r="G2660">
        <v>0.45417692452928199</v>
      </c>
      <c r="H2660">
        <v>0.381120481258993</v>
      </c>
      <c r="I2660">
        <v>0.30640311956794097</v>
      </c>
      <c r="J2660">
        <v>0.450285369316343</v>
      </c>
      <c r="K2660">
        <v>0.33817308310651101</v>
      </c>
      <c r="L2660">
        <v>2152.14732506886</v>
      </c>
      <c r="M2660">
        <v>39.545857398662399</v>
      </c>
      <c r="N2660">
        <v>56.2948187107732</v>
      </c>
      <c r="O2660">
        <v>54.282963427205601</v>
      </c>
      <c r="P2660">
        <v>-0.115490294896719</v>
      </c>
      <c r="Q2660">
        <v>0.36588645397271302</v>
      </c>
      <c r="R2660">
        <v>0.93247934310996095</v>
      </c>
      <c r="S2660" t="s">
        <v>6956</v>
      </c>
      <c r="T2660" t="s">
        <v>8590</v>
      </c>
      <c r="U2660" t="s">
        <v>8590</v>
      </c>
      <c r="V2660" t="s">
        <v>8590</v>
      </c>
      <c r="W2660">
        <v>2</v>
      </c>
      <c r="X2660" t="s">
        <v>11250</v>
      </c>
      <c r="Y2660">
        <v>0.67315065067244895</v>
      </c>
      <c r="Z2660" t="str">
        <f>HYPERLINK("Melting_Curves/meltCurve_sp_Q96EY4_TMA16_HUMAN_.pdf", "Melting_Curves/meltCurve_sp_Q96EY4_TMA16_HUMAN_.pdf")</f>
        <v>Melting_Curves/meltCurve_sp_Q96EY4_TMA16_HUMAN_.pdf</v>
      </c>
      <c r="AA2660" t="s">
        <v>15502</v>
      </c>
      <c r="AB2660" t="s">
        <v>19744</v>
      </c>
    </row>
    <row r="2661" spans="1:28" x14ac:dyDescent="0.25">
      <c r="A2661" t="s">
        <v>2665</v>
      </c>
      <c r="B2661">
        <v>0.99876560204751996</v>
      </c>
      <c r="C2661">
        <v>1.0334091307458</v>
      </c>
      <c r="D2661">
        <v>0.84244716579559398</v>
      </c>
      <c r="E2661">
        <v>0.49769457339247603</v>
      </c>
      <c r="F2661">
        <v>0.19873455652494301</v>
      </c>
      <c r="G2661">
        <v>0.11806308648651299</v>
      </c>
      <c r="H2661">
        <v>9.1286412553931703E-2</v>
      </c>
      <c r="I2661">
        <v>6.7800708265638401E-2</v>
      </c>
      <c r="J2661">
        <v>7.2131750163079503E-2</v>
      </c>
      <c r="K2661">
        <v>5.6404651593514203E-2</v>
      </c>
      <c r="L2661">
        <v>1206.6196602269499</v>
      </c>
      <c r="M2661">
        <v>24.3804579281454</v>
      </c>
      <c r="N2661">
        <v>49.791882075451902</v>
      </c>
      <c r="O2661">
        <v>49.161904552788698</v>
      </c>
      <c r="P2661">
        <v>-0.115497217017098</v>
      </c>
      <c r="Q2661">
        <v>6.8437709915548497E-2</v>
      </c>
      <c r="R2661">
        <v>0.99632896346591704</v>
      </c>
      <c r="S2661" t="s">
        <v>6957</v>
      </c>
      <c r="T2661" t="s">
        <v>8590</v>
      </c>
      <c r="U2661" t="s">
        <v>8590</v>
      </c>
      <c r="V2661" t="s">
        <v>8590</v>
      </c>
      <c r="W2661">
        <v>6</v>
      </c>
      <c r="X2661" t="s">
        <v>11251</v>
      </c>
      <c r="Y2661">
        <v>0.37188102991542299</v>
      </c>
      <c r="Z2661" t="str">
        <f>HYPERLINK("Melting_Curves/meltCurve_sp_Q96EY7_PTCD3_HUMAN_.pdf", "Melting_Curves/meltCurve_sp_Q96EY7_PTCD3_HUMAN_.pdf")</f>
        <v>Melting_Curves/meltCurve_sp_Q96EY7_PTCD3_HUMAN_.pdf</v>
      </c>
      <c r="AA2661" t="s">
        <v>15503</v>
      </c>
      <c r="AB2661" t="s">
        <v>19745</v>
      </c>
    </row>
    <row r="2662" spans="1:28" x14ac:dyDescent="0.25">
      <c r="A2662" t="s">
        <v>2666</v>
      </c>
      <c r="B2662">
        <v>0.99876560204751996</v>
      </c>
      <c r="C2662">
        <v>0.99507774246311798</v>
      </c>
      <c r="D2662">
        <v>0.98926036151263996</v>
      </c>
      <c r="E2662">
        <v>0.97580438549392701</v>
      </c>
      <c r="F2662">
        <v>0.88605389794937905</v>
      </c>
      <c r="G2662">
        <v>0.69280408302893803</v>
      </c>
      <c r="H2662">
        <v>0.46952587101269799</v>
      </c>
      <c r="I2662">
        <v>0.32047460622464802</v>
      </c>
      <c r="J2662">
        <v>0.24000193910630299</v>
      </c>
      <c r="K2662">
        <v>0.18205126111356501</v>
      </c>
      <c r="L2662">
        <v>962.06225585854702</v>
      </c>
      <c r="M2662">
        <v>16.211202523158601</v>
      </c>
      <c r="N2662">
        <v>60.328887625156298</v>
      </c>
      <c r="O2662">
        <v>58.464515256689197</v>
      </c>
      <c r="P2662">
        <v>-6.1276655158884502E-2</v>
      </c>
      <c r="Q2662">
        <v>0.11610675773276501</v>
      </c>
      <c r="R2662">
        <v>0.99957258611942101</v>
      </c>
      <c r="S2662" t="s">
        <v>6958</v>
      </c>
      <c r="T2662" t="s">
        <v>8590</v>
      </c>
      <c r="U2662" t="s">
        <v>8590</v>
      </c>
      <c r="V2662" t="s">
        <v>8590</v>
      </c>
      <c r="W2662">
        <v>10</v>
      </c>
      <c r="X2662" t="s">
        <v>11252</v>
      </c>
      <c r="Y2662">
        <v>0.69469570754283372</v>
      </c>
      <c r="Z2662" t="str">
        <f>HYPERLINK("Melting_Curves/meltCurve_sp_Q96EY8_MMAB_HUMAN_.pdf", "Melting_Curves/meltCurve_sp_Q96EY8_MMAB_HUMAN_.pdf")</f>
        <v>Melting_Curves/meltCurve_sp_Q96EY8_MMAB_HUMAN_.pdf</v>
      </c>
      <c r="AA2662" t="s">
        <v>15504</v>
      </c>
      <c r="AB2662" t="s">
        <v>19746</v>
      </c>
    </row>
    <row r="2663" spans="1:28" x14ac:dyDescent="0.25">
      <c r="A2663" t="s">
        <v>2667</v>
      </c>
      <c r="B2663">
        <v>0.99876560204751996</v>
      </c>
      <c r="C2663">
        <v>0.87919418846472996</v>
      </c>
      <c r="D2663">
        <v>0.92048289037011599</v>
      </c>
      <c r="E2663">
        <v>0.52878705595453501</v>
      </c>
      <c r="F2663">
        <v>0.168030062196977</v>
      </c>
      <c r="G2663">
        <v>9.7232703325526901E-2</v>
      </c>
      <c r="H2663">
        <v>6.2983126843146206E-2</v>
      </c>
      <c r="I2663">
        <v>5.134835819361E-2</v>
      </c>
      <c r="J2663">
        <v>5.04132042972028E-2</v>
      </c>
      <c r="K2663">
        <v>3.6693218105000203E-2</v>
      </c>
      <c r="L2663">
        <v>1402.1861579926599</v>
      </c>
      <c r="M2663">
        <v>28.107322280233301</v>
      </c>
      <c r="N2663">
        <v>50.068707205658697</v>
      </c>
      <c r="O2663">
        <v>49.636394195486702</v>
      </c>
      <c r="P2663">
        <v>-0.13469811926767</v>
      </c>
      <c r="Q2663">
        <v>4.8522394699175998E-2</v>
      </c>
      <c r="R2663">
        <v>0.99034739489694701</v>
      </c>
      <c r="S2663" t="s">
        <v>6959</v>
      </c>
      <c r="T2663" t="s">
        <v>8590</v>
      </c>
      <c r="U2663" t="s">
        <v>8590</v>
      </c>
      <c r="V2663" t="s">
        <v>8590</v>
      </c>
      <c r="W2663">
        <v>13</v>
      </c>
      <c r="X2663" t="s">
        <v>11253</v>
      </c>
      <c r="Y2663">
        <v>0.36879668166416901</v>
      </c>
      <c r="Z2663" t="str">
        <f>HYPERLINK("Melting_Curves/meltCurve_sp_Q96F10_SAT2_HUMAN_.pdf", "Melting_Curves/meltCurve_sp_Q96F10_SAT2_HUMAN_.pdf")</f>
        <v>Melting_Curves/meltCurve_sp_Q96F10_SAT2_HUMAN_.pdf</v>
      </c>
      <c r="AA2663" t="s">
        <v>15505</v>
      </c>
      <c r="AB2663" t="s">
        <v>19747</v>
      </c>
    </row>
    <row r="2664" spans="1:28" x14ac:dyDescent="0.25">
      <c r="A2664" t="s">
        <v>2668</v>
      </c>
      <c r="B2664">
        <v>0.99876560204751996</v>
      </c>
      <c r="C2664">
        <v>1.1371688874761301</v>
      </c>
      <c r="D2664">
        <v>1.0575898778053701</v>
      </c>
      <c r="E2664">
        <v>0.98064981703069398</v>
      </c>
      <c r="F2664">
        <v>1.04011478889106</v>
      </c>
      <c r="G2664">
        <v>0.78110068362693397</v>
      </c>
      <c r="H2664">
        <v>0.63008129128099499</v>
      </c>
      <c r="I2664">
        <v>0.56739670659885899</v>
      </c>
      <c r="J2664">
        <v>0.67719432987709305</v>
      </c>
      <c r="K2664">
        <v>0.51659307935792398</v>
      </c>
      <c r="L2664">
        <v>4567.8846255747003</v>
      </c>
      <c r="M2664">
        <v>80.302780540747705</v>
      </c>
      <c r="O2664">
        <v>56.8480207012311</v>
      </c>
      <c r="P2664">
        <v>-0.14224041055727499</v>
      </c>
      <c r="Q2664">
        <v>0.597220186859583</v>
      </c>
      <c r="R2664">
        <v>0.91773119110440304</v>
      </c>
      <c r="S2664" t="s">
        <v>6960</v>
      </c>
      <c r="T2664" t="s">
        <v>8590</v>
      </c>
      <c r="U2664" t="s">
        <v>8590</v>
      </c>
      <c r="V2664" t="s">
        <v>8590</v>
      </c>
      <c r="W2664">
        <v>1</v>
      </c>
      <c r="X2664" t="s">
        <v>11254</v>
      </c>
      <c r="Y2664">
        <v>0.82428530531886379</v>
      </c>
      <c r="Z2664" t="str">
        <f>HYPERLINK("Melting_Curves/meltCurve_sp_Q96F24_2_NRBF2_HUMAN_.pdf", "Melting_Curves/meltCurve_sp_Q96F24_2_NRBF2_HUMAN_.pdf")</f>
        <v>Melting_Curves/meltCurve_sp_Q96F24_2_NRBF2_HUMAN_.pdf</v>
      </c>
      <c r="AA2664" t="s">
        <v>15506</v>
      </c>
      <c r="AB2664" t="s">
        <v>19748</v>
      </c>
    </row>
    <row r="2665" spans="1:28" x14ac:dyDescent="0.25">
      <c r="A2665" t="s">
        <v>2669</v>
      </c>
      <c r="B2665">
        <v>0.99876560204751996</v>
      </c>
      <c r="C2665">
        <v>0.94651522011497302</v>
      </c>
      <c r="D2665">
        <v>0.75521375571074201</v>
      </c>
      <c r="E2665">
        <v>0.70265106233021302</v>
      </c>
      <c r="F2665">
        <v>0.65297986358877702</v>
      </c>
      <c r="G2665">
        <v>0.46958686167056202</v>
      </c>
      <c r="H2665">
        <v>0.44267412271465501</v>
      </c>
      <c r="I2665">
        <v>0.344555531518561</v>
      </c>
      <c r="J2665">
        <v>0.41150669356153502</v>
      </c>
      <c r="K2665">
        <v>0.44048758827321099</v>
      </c>
      <c r="L2665">
        <v>558.10749307506001</v>
      </c>
      <c r="M2665">
        <v>11.115773466390101</v>
      </c>
      <c r="N2665">
        <v>56.883088585224002</v>
      </c>
      <c r="O2665">
        <v>48.665798464711699</v>
      </c>
      <c r="P2665">
        <v>-3.63108571632434E-2</v>
      </c>
      <c r="Q2665">
        <v>0.36431796113301101</v>
      </c>
      <c r="R2665">
        <v>0.95759544239304395</v>
      </c>
      <c r="S2665" t="s">
        <v>6961</v>
      </c>
      <c r="T2665" t="s">
        <v>8590</v>
      </c>
      <c r="U2665" t="s">
        <v>8590</v>
      </c>
      <c r="V2665" t="s">
        <v>8590</v>
      </c>
      <c r="W2665">
        <v>1</v>
      </c>
      <c r="X2665" t="s">
        <v>11255</v>
      </c>
      <c r="Y2665">
        <v>0.60500387270087164</v>
      </c>
      <c r="Z2665" t="str">
        <f>HYPERLINK("Melting_Curves/meltCurve_sp_Q96F63_CCD97_HUMAN_.pdf", "Melting_Curves/meltCurve_sp_Q96F63_CCD97_HUMAN_.pdf")</f>
        <v>Melting_Curves/meltCurve_sp_Q96F63_CCD97_HUMAN_.pdf</v>
      </c>
      <c r="AA2665" t="s">
        <v>15507</v>
      </c>
      <c r="AB2665" t="s">
        <v>19749</v>
      </c>
    </row>
    <row r="2666" spans="1:28" x14ac:dyDescent="0.25">
      <c r="A2666" t="s">
        <v>2670</v>
      </c>
      <c r="B2666">
        <v>0.99876560204751996</v>
      </c>
      <c r="C2666">
        <v>0.96793431639187899</v>
      </c>
      <c r="D2666">
        <v>0.78257847555201099</v>
      </c>
      <c r="E2666">
        <v>0.73013785417589505</v>
      </c>
      <c r="F2666">
        <v>0.665498394028047</v>
      </c>
      <c r="G2666">
        <v>0.56131475125985397</v>
      </c>
      <c r="H2666">
        <v>0.45519182367236699</v>
      </c>
      <c r="I2666">
        <v>0.36132383094293702</v>
      </c>
      <c r="J2666">
        <v>0.29935682731934699</v>
      </c>
      <c r="K2666">
        <v>0.18369860037667701</v>
      </c>
      <c r="L2666">
        <v>397.13417467675703</v>
      </c>
      <c r="M2666">
        <v>6.8206351036370902</v>
      </c>
      <c r="N2666">
        <v>58.225412814142402</v>
      </c>
      <c r="O2666">
        <v>53.835687320759803</v>
      </c>
      <c r="P2666">
        <v>-3.1737956315387401E-2</v>
      </c>
      <c r="Q2666">
        <v>0</v>
      </c>
      <c r="R2666">
        <v>0.97727684404719295</v>
      </c>
      <c r="S2666" t="s">
        <v>6962</v>
      </c>
      <c r="T2666" t="s">
        <v>8590</v>
      </c>
      <c r="U2666" t="s">
        <v>8590</v>
      </c>
      <c r="V2666" t="s">
        <v>8590</v>
      </c>
      <c r="W2666">
        <v>6</v>
      </c>
      <c r="X2666" t="s">
        <v>11256</v>
      </c>
      <c r="Y2666">
        <v>0.60242127555207392</v>
      </c>
      <c r="Z2666" t="str">
        <f>HYPERLINK("Melting_Curves/meltCurve_sp_Q96FJ2_DYL2_HUMAN_.pdf", "Melting_Curves/meltCurve_sp_Q96FJ2_DYL2_HUMAN_.pdf")</f>
        <v>Melting_Curves/meltCurve_sp_Q96FJ2_DYL2_HUMAN_.pdf</v>
      </c>
      <c r="AA2666" t="s">
        <v>15508</v>
      </c>
      <c r="AB2666" t="s">
        <v>19750</v>
      </c>
    </row>
    <row r="2667" spans="1:28" x14ac:dyDescent="0.25">
      <c r="A2667" t="s">
        <v>2671</v>
      </c>
      <c r="B2667">
        <v>0.99876560204751996</v>
      </c>
      <c r="C2667">
        <v>0.93980562046537697</v>
      </c>
      <c r="D2667">
        <v>0.98198096831113402</v>
      </c>
      <c r="E2667">
        <v>0.89583979304630001</v>
      </c>
      <c r="F2667">
        <v>0.50007336701069904</v>
      </c>
      <c r="G2667">
        <v>0.25656249840296902</v>
      </c>
      <c r="H2667">
        <v>0.15984439779314899</v>
      </c>
      <c r="I2667">
        <v>8.7168604803854605E-2</v>
      </c>
      <c r="J2667">
        <v>7.9053943034829405E-2</v>
      </c>
      <c r="K2667">
        <v>6.4844369520667203E-2</v>
      </c>
      <c r="L2667">
        <v>1354.5864110457601</v>
      </c>
      <c r="M2667">
        <v>25.525792979419499</v>
      </c>
      <c r="N2667">
        <v>53.4745861946218</v>
      </c>
      <c r="O2667">
        <v>52.744845471178998</v>
      </c>
      <c r="P2667">
        <v>-0.110301616563376</v>
      </c>
      <c r="Q2667">
        <v>8.8330398720852604E-2</v>
      </c>
      <c r="R2667">
        <v>0.99181338436806699</v>
      </c>
      <c r="S2667" t="s">
        <v>6963</v>
      </c>
      <c r="T2667" t="s">
        <v>8590</v>
      </c>
      <c r="U2667" t="s">
        <v>8590</v>
      </c>
      <c r="V2667" t="s">
        <v>8590</v>
      </c>
      <c r="W2667">
        <v>11</v>
      </c>
      <c r="X2667" t="s">
        <v>11257</v>
      </c>
      <c r="Y2667">
        <v>0.49350974960734673</v>
      </c>
      <c r="Z2667" t="str">
        <f>HYPERLINK("Melting_Curves/meltCurve_sp_Q96FV2_SCRN2_HUMAN_.pdf", "Melting_Curves/meltCurve_sp_Q96FV2_SCRN2_HUMAN_.pdf")</f>
        <v>Melting_Curves/meltCurve_sp_Q96FV2_SCRN2_HUMAN_.pdf</v>
      </c>
      <c r="AA2667" t="s">
        <v>15509</v>
      </c>
      <c r="AB2667" t="s">
        <v>19751</v>
      </c>
    </row>
    <row r="2668" spans="1:28" x14ac:dyDescent="0.25">
      <c r="A2668" t="s">
        <v>2672</v>
      </c>
      <c r="B2668">
        <v>0.99876560204751996</v>
      </c>
      <c r="C2668">
        <v>1.4537098202713701</v>
      </c>
      <c r="D2668">
        <v>1.3097999457121601</v>
      </c>
      <c r="E2668">
        <v>1.4530695305727199</v>
      </c>
      <c r="F2668">
        <v>1.1115289265752899</v>
      </c>
      <c r="G2668">
        <v>0.51843639582818302</v>
      </c>
      <c r="H2668">
        <v>0.130469736127723</v>
      </c>
      <c r="I2668">
        <v>0.12164538007961501</v>
      </c>
      <c r="J2668">
        <v>0</v>
      </c>
      <c r="K2668">
        <v>0</v>
      </c>
      <c r="L2668">
        <v>4592.5615588403598</v>
      </c>
      <c r="M2668">
        <v>80.613699845458498</v>
      </c>
      <c r="N2668">
        <v>57.062964217756701</v>
      </c>
      <c r="O2668">
        <v>56.934960484687799</v>
      </c>
      <c r="P2668">
        <v>-0.33218802132451802</v>
      </c>
      <c r="Q2668">
        <v>6.15436928728606E-2</v>
      </c>
      <c r="R2668">
        <v>0.84421014243692505</v>
      </c>
      <c r="S2668" t="s">
        <v>6964</v>
      </c>
      <c r="T2668" t="s">
        <v>8590</v>
      </c>
      <c r="U2668" t="s">
        <v>8590</v>
      </c>
      <c r="V2668" t="s">
        <v>8590</v>
      </c>
      <c r="W2668">
        <v>2</v>
      </c>
      <c r="X2668" t="s">
        <v>11258</v>
      </c>
      <c r="Y2668">
        <v>0.5933008970493846</v>
      </c>
      <c r="Z2668" t="str">
        <f>HYPERLINK("Melting_Curves/meltCurve_sp_Q96FX7_TRM61_HUMAN_.pdf", "Melting_Curves/meltCurve_sp_Q96FX7_TRM61_HUMAN_.pdf")</f>
        <v>Melting_Curves/meltCurve_sp_Q96FX7_TRM61_HUMAN_.pdf</v>
      </c>
      <c r="AA2668" t="s">
        <v>15510</v>
      </c>
      <c r="AB2668" t="s">
        <v>19752</v>
      </c>
    </row>
    <row r="2669" spans="1:28" x14ac:dyDescent="0.25">
      <c r="A2669" t="s">
        <v>2673</v>
      </c>
      <c r="B2669">
        <v>0.99876560204751996</v>
      </c>
      <c r="C2669">
        <v>0.94914764477522695</v>
      </c>
      <c r="D2669">
        <v>0.93314353335946898</v>
      </c>
      <c r="E2669">
        <v>0.93373827068629001</v>
      </c>
      <c r="F2669">
        <v>0.87006893350428804</v>
      </c>
      <c r="G2669">
        <v>0.75383076470462296</v>
      </c>
      <c r="H2669">
        <v>0.543080752438035</v>
      </c>
      <c r="I2669">
        <v>0.494267443566275</v>
      </c>
      <c r="J2669">
        <v>0.48630357203162899</v>
      </c>
      <c r="K2669">
        <v>0.31578250320819301</v>
      </c>
      <c r="L2669">
        <v>567.46696502119096</v>
      </c>
      <c r="M2669">
        <v>9.1043073109156403</v>
      </c>
      <c r="N2669">
        <v>64.067750734438206</v>
      </c>
      <c r="O2669">
        <v>59.5431490930373</v>
      </c>
      <c r="P2669">
        <v>-3.4066126755463201E-2</v>
      </c>
      <c r="Q2669">
        <v>0.10943459636005699</v>
      </c>
      <c r="R2669">
        <v>0.97694620758890804</v>
      </c>
      <c r="S2669" t="s">
        <v>6965</v>
      </c>
      <c r="T2669" t="s">
        <v>8590</v>
      </c>
      <c r="U2669" t="s">
        <v>8590</v>
      </c>
      <c r="V2669" t="s">
        <v>8590</v>
      </c>
      <c r="W2669">
        <v>31</v>
      </c>
      <c r="X2669" t="s">
        <v>11259</v>
      </c>
      <c r="Y2669">
        <v>0.74488378008991996</v>
      </c>
      <c r="Z2669" t="str">
        <f>HYPERLINK("Melting_Curves/meltCurve_sp_Q96G03_PGM2_HUMAN_.pdf", "Melting_Curves/meltCurve_sp_Q96G03_PGM2_HUMAN_.pdf")</f>
        <v>Melting_Curves/meltCurve_sp_Q96G03_PGM2_HUMAN_.pdf</v>
      </c>
      <c r="AA2669" t="s">
        <v>15511</v>
      </c>
      <c r="AB2669" t="s">
        <v>19753</v>
      </c>
    </row>
    <row r="2670" spans="1:28" x14ac:dyDescent="0.25">
      <c r="A2670" t="s">
        <v>2674</v>
      </c>
      <c r="B2670">
        <v>0.99876560204751996</v>
      </c>
      <c r="C2670">
        <v>1.04251177804777</v>
      </c>
      <c r="D2670">
        <v>0.937123151618941</v>
      </c>
      <c r="E2670">
        <v>0.95726915351606801</v>
      </c>
      <c r="F2670">
        <v>0.90755200918385603</v>
      </c>
      <c r="G2670">
        <v>0.62762297741583195</v>
      </c>
      <c r="H2670">
        <v>0.15618657659653701</v>
      </c>
      <c r="I2670">
        <v>7.6852751429136196E-2</v>
      </c>
      <c r="J2670">
        <v>7.5642414682200607E-2</v>
      </c>
      <c r="K2670">
        <v>4.6039236748617297E-2</v>
      </c>
      <c r="L2670">
        <v>1852.0619738820899</v>
      </c>
      <c r="M2670">
        <v>32.141050585517597</v>
      </c>
      <c r="N2670">
        <v>57.788689869399697</v>
      </c>
      <c r="O2670">
        <v>57.401257348392697</v>
      </c>
      <c r="P2670">
        <v>-0.133821028333032</v>
      </c>
      <c r="Q2670">
        <v>4.4031623226185201E-2</v>
      </c>
      <c r="R2670">
        <v>0.994213517197445</v>
      </c>
      <c r="S2670" t="s">
        <v>6966</v>
      </c>
      <c r="T2670" t="s">
        <v>8590</v>
      </c>
      <c r="U2670" t="s">
        <v>8590</v>
      </c>
      <c r="V2670" t="s">
        <v>8590</v>
      </c>
      <c r="W2670">
        <v>4</v>
      </c>
      <c r="X2670" t="s">
        <v>11260</v>
      </c>
      <c r="Y2670">
        <v>0.61121483911507268</v>
      </c>
      <c r="Z2670" t="str">
        <f>HYPERLINK("Melting_Curves/meltCurve_sp_Q96G46_DUS3L_HUMAN_.pdf", "Melting_Curves/meltCurve_sp_Q96G46_DUS3L_HUMAN_.pdf")</f>
        <v>Melting_Curves/meltCurve_sp_Q96G46_DUS3L_HUMAN_.pdf</v>
      </c>
      <c r="AA2670" t="s">
        <v>15512</v>
      </c>
      <c r="AB2670" t="s">
        <v>19754</v>
      </c>
    </row>
    <row r="2671" spans="1:28" x14ac:dyDescent="0.25">
      <c r="A2671" t="s">
        <v>2675</v>
      </c>
      <c r="B2671">
        <v>0.99876560204751996</v>
      </c>
      <c r="C2671">
        <v>0.94038208172585502</v>
      </c>
      <c r="D2671">
        <v>0.94163392253293299</v>
      </c>
      <c r="E2671">
        <v>0.81817356693967003</v>
      </c>
      <c r="F2671">
        <v>0.65839712659509098</v>
      </c>
      <c r="G2671">
        <v>0.43317551936599802</v>
      </c>
      <c r="H2671">
        <v>0.23424070397084701</v>
      </c>
      <c r="I2671">
        <v>0.13089462326308901</v>
      </c>
      <c r="J2671">
        <v>7.4155536173270406E-2</v>
      </c>
      <c r="K2671">
        <v>4.7246759210082097E-2</v>
      </c>
      <c r="L2671">
        <v>758.80577886011201</v>
      </c>
      <c r="M2671">
        <v>13.6509005925053</v>
      </c>
      <c r="N2671">
        <v>55.586503504127698</v>
      </c>
      <c r="O2671">
        <v>54.434319334969601</v>
      </c>
      <c r="P2671">
        <v>-6.2703522446042104E-2</v>
      </c>
      <c r="Q2671">
        <v>0</v>
      </c>
      <c r="R2671">
        <v>0.99809047305512799</v>
      </c>
      <c r="S2671" t="s">
        <v>6967</v>
      </c>
      <c r="T2671" t="s">
        <v>8590</v>
      </c>
      <c r="U2671" t="s">
        <v>8590</v>
      </c>
      <c r="V2671" t="s">
        <v>8590</v>
      </c>
      <c r="W2671">
        <v>13</v>
      </c>
      <c r="X2671" t="s">
        <v>11261</v>
      </c>
      <c r="Y2671">
        <v>0.53951935170511467</v>
      </c>
      <c r="Z2671" t="str">
        <f>HYPERLINK("Melting_Curves/meltCurve_sp_Q96GA7_SDSL_HUMAN_.pdf", "Melting_Curves/meltCurve_sp_Q96GA7_SDSL_HUMAN_.pdf")</f>
        <v>Melting_Curves/meltCurve_sp_Q96GA7_SDSL_HUMAN_.pdf</v>
      </c>
      <c r="AA2671" t="s">
        <v>15513</v>
      </c>
      <c r="AB2671" t="s">
        <v>19755</v>
      </c>
    </row>
    <row r="2672" spans="1:28" x14ac:dyDescent="0.25">
      <c r="A2672" t="s">
        <v>2676</v>
      </c>
      <c r="B2672">
        <v>0.99876560204751996</v>
      </c>
      <c r="C2672">
        <v>0.89834399780140095</v>
      </c>
      <c r="D2672">
        <v>0.88610517116306098</v>
      </c>
      <c r="E2672">
        <v>0.88820949531965998</v>
      </c>
      <c r="F2672">
        <v>0.78233264705458705</v>
      </c>
      <c r="G2672">
        <v>0.71269509235691397</v>
      </c>
      <c r="H2672">
        <v>0.57655258701617595</v>
      </c>
      <c r="I2672">
        <v>0.54263508951078099</v>
      </c>
      <c r="J2672">
        <v>0.54174045821813499</v>
      </c>
      <c r="K2672">
        <v>0.39684800738946202</v>
      </c>
      <c r="L2672">
        <v>346.00923821080897</v>
      </c>
      <c r="M2672">
        <v>5.2194996701720697</v>
      </c>
      <c r="N2672">
        <v>66.291663684654296</v>
      </c>
      <c r="O2672">
        <v>58.423030538414402</v>
      </c>
      <c r="P2672">
        <v>-2.24529899493605E-2</v>
      </c>
      <c r="Q2672">
        <v>0</v>
      </c>
      <c r="R2672">
        <v>0.96895914273830197</v>
      </c>
      <c r="S2672" t="s">
        <v>6968</v>
      </c>
      <c r="T2672" t="s">
        <v>8590</v>
      </c>
      <c r="U2672" t="s">
        <v>8590</v>
      </c>
      <c r="V2672" t="s">
        <v>8590</v>
      </c>
      <c r="W2672">
        <v>14</v>
      </c>
      <c r="X2672" t="s">
        <v>11262</v>
      </c>
      <c r="Y2672">
        <v>0.72939988720390148</v>
      </c>
      <c r="Z2672" t="str">
        <f>HYPERLINK("Melting_Curves/meltCurve_sp_Q96GD0_PLPP_HUMAN_.pdf", "Melting_Curves/meltCurve_sp_Q96GD0_PLPP_HUMAN_.pdf")</f>
        <v>Melting_Curves/meltCurve_sp_Q96GD0_PLPP_HUMAN_.pdf</v>
      </c>
      <c r="AA2672" t="s">
        <v>15514</v>
      </c>
      <c r="AB2672" t="s">
        <v>19756</v>
      </c>
    </row>
    <row r="2673" spans="1:28" x14ac:dyDescent="0.25">
      <c r="A2673" t="s">
        <v>2677</v>
      </c>
      <c r="B2673">
        <v>0.99876560204751996</v>
      </c>
      <c r="C2673">
        <v>1.0549855613764101</v>
      </c>
      <c r="D2673">
        <v>1.12421488098321</v>
      </c>
      <c r="E2673">
        <v>0.98155878420853904</v>
      </c>
      <c r="F2673">
        <v>1.02906032120391</v>
      </c>
      <c r="G2673">
        <v>0.72579674252639303</v>
      </c>
      <c r="H2673">
        <v>0.664848992628713</v>
      </c>
      <c r="I2673">
        <v>0.61607681299499095</v>
      </c>
      <c r="J2673">
        <v>0.76475090189114703</v>
      </c>
      <c r="K2673">
        <v>0.699338921191477</v>
      </c>
      <c r="L2673">
        <v>14139.6203728365</v>
      </c>
      <c r="M2673">
        <v>250</v>
      </c>
      <c r="O2673">
        <v>56.554862143345602</v>
      </c>
      <c r="P2673">
        <v>-0.34672758960847599</v>
      </c>
      <c r="Q2673">
        <v>0.68625390397125097</v>
      </c>
      <c r="R2673">
        <v>0.90218948281390199</v>
      </c>
      <c r="S2673" t="s">
        <v>6969</v>
      </c>
      <c r="T2673" t="s">
        <v>8590</v>
      </c>
      <c r="U2673" t="s">
        <v>8590</v>
      </c>
      <c r="V2673" t="s">
        <v>8590</v>
      </c>
      <c r="W2673">
        <v>2</v>
      </c>
      <c r="X2673" t="s">
        <v>11263</v>
      </c>
      <c r="Y2673">
        <v>0.85945701031073396</v>
      </c>
      <c r="Z2673" t="str">
        <f>HYPERLINK("Melting_Curves/meltCurve_sp_Q96GE6_2_CALL4_HUMAN_.pdf", "Melting_Curves/meltCurve_sp_Q96GE6_2_CALL4_HUMAN_.pdf")</f>
        <v>Melting_Curves/meltCurve_sp_Q96GE6_2_CALL4_HUMAN_.pdf</v>
      </c>
      <c r="AA2673" t="s">
        <v>15515</v>
      </c>
      <c r="AB2673" t="s">
        <v>19757</v>
      </c>
    </row>
    <row r="2674" spans="1:28" x14ac:dyDescent="0.25">
      <c r="A2674" t="s">
        <v>2678</v>
      </c>
      <c r="B2674">
        <v>0.99876560204751996</v>
      </c>
      <c r="C2674">
        <v>0.77051010341398096</v>
      </c>
      <c r="D2674">
        <v>0.81647198234279805</v>
      </c>
      <c r="E2674">
        <v>0.65203619326489204</v>
      </c>
      <c r="F2674">
        <v>0.60769931077637596</v>
      </c>
      <c r="G2674">
        <v>0.46262397377105602</v>
      </c>
      <c r="H2674">
        <v>0.39355932388905901</v>
      </c>
      <c r="I2674">
        <v>0.40077574063560401</v>
      </c>
      <c r="J2674">
        <v>0.43369106598635798</v>
      </c>
      <c r="K2674">
        <v>0.460570978067465</v>
      </c>
      <c r="L2674">
        <v>502.28472730483202</v>
      </c>
      <c r="M2674">
        <v>10.3552220975506</v>
      </c>
      <c r="N2674">
        <v>56.438662482635003</v>
      </c>
      <c r="O2674">
        <v>46.801070341216402</v>
      </c>
      <c r="P2674">
        <v>-3.4123692532656097E-2</v>
      </c>
      <c r="Q2674">
        <v>0.38336579586545899</v>
      </c>
      <c r="R2674">
        <v>0.93365170987852897</v>
      </c>
      <c r="S2674" t="s">
        <v>6970</v>
      </c>
      <c r="T2674" t="s">
        <v>8590</v>
      </c>
      <c r="U2674" t="s">
        <v>8590</v>
      </c>
      <c r="V2674" t="s">
        <v>8590</v>
      </c>
      <c r="W2674">
        <v>2</v>
      </c>
      <c r="X2674" t="s">
        <v>11264</v>
      </c>
      <c r="Y2674">
        <v>0.58793489051964654</v>
      </c>
      <c r="Z2674" t="str">
        <f>HYPERLINK("Melting_Curves/meltCurve_sp_Q96GF1_RN185_HUMAN_.pdf", "Melting_Curves/meltCurve_sp_Q96GF1_RN185_HUMAN_.pdf")</f>
        <v>Melting_Curves/meltCurve_sp_Q96GF1_RN185_HUMAN_.pdf</v>
      </c>
      <c r="AA2674" t="s">
        <v>15516</v>
      </c>
      <c r="AB2674" t="s">
        <v>19758</v>
      </c>
    </row>
    <row r="2675" spans="1:28" x14ac:dyDescent="0.25">
      <c r="A2675" t="s">
        <v>2679</v>
      </c>
      <c r="B2675">
        <v>0.99876560204751996</v>
      </c>
      <c r="C2675">
        <v>0.93845030812593999</v>
      </c>
      <c r="D2675">
        <v>0.967559163648821</v>
      </c>
      <c r="E2675">
        <v>0.91912071007645801</v>
      </c>
      <c r="F2675">
        <v>0.85706171923385299</v>
      </c>
      <c r="G2675">
        <v>0.32137627887987802</v>
      </c>
      <c r="H2675">
        <v>0.122475277878796</v>
      </c>
      <c r="I2675">
        <v>9.9836755629531496E-2</v>
      </c>
      <c r="J2675">
        <v>9.7145810215086004E-2</v>
      </c>
      <c r="K2675">
        <v>8.3009023000131896E-2</v>
      </c>
      <c r="L2675">
        <v>1939.7389182683301</v>
      </c>
      <c r="M2675">
        <v>35.062205357034003</v>
      </c>
      <c r="N2675">
        <v>55.633081244428197</v>
      </c>
      <c r="O2675">
        <v>55.143749220927504</v>
      </c>
      <c r="P2675">
        <v>-0.14484185174252601</v>
      </c>
      <c r="Q2675">
        <v>8.8808584238833504E-2</v>
      </c>
      <c r="R2675">
        <v>0.99454858735260099</v>
      </c>
      <c r="S2675" t="s">
        <v>6971</v>
      </c>
      <c r="T2675" t="s">
        <v>8590</v>
      </c>
      <c r="U2675" t="s">
        <v>8590</v>
      </c>
      <c r="V2675" t="s">
        <v>8590</v>
      </c>
      <c r="W2675">
        <v>8</v>
      </c>
      <c r="X2675" t="s">
        <v>11265</v>
      </c>
      <c r="Y2675">
        <v>0.55870371351135184</v>
      </c>
      <c r="Z2675" t="str">
        <f>HYPERLINK("Melting_Curves/meltCurve_sp_Q96GG9_DCNL1_HUMAN_.pdf", "Melting_Curves/meltCurve_sp_Q96GG9_DCNL1_HUMAN_.pdf")</f>
        <v>Melting_Curves/meltCurve_sp_Q96GG9_DCNL1_HUMAN_.pdf</v>
      </c>
      <c r="AA2675" t="s">
        <v>15517</v>
      </c>
      <c r="AB2675" t="s">
        <v>19759</v>
      </c>
    </row>
    <row r="2676" spans="1:28" x14ac:dyDescent="0.25">
      <c r="A2676" t="s">
        <v>2680</v>
      </c>
      <c r="B2676">
        <v>0.99876560204751996</v>
      </c>
      <c r="C2676">
        <v>0.91813930485362105</v>
      </c>
      <c r="D2676">
        <v>0.94067910630003604</v>
      </c>
      <c r="E2676">
        <v>0.78040997666884004</v>
      </c>
      <c r="F2676">
        <v>0.507699463162398</v>
      </c>
      <c r="G2676">
        <v>0.216809747499318</v>
      </c>
      <c r="H2676">
        <v>0.135721848666254</v>
      </c>
      <c r="I2676">
        <v>0.113897614251786</v>
      </c>
      <c r="J2676">
        <v>0.11330101298473801</v>
      </c>
      <c r="K2676">
        <v>8.9390826313798494E-2</v>
      </c>
      <c r="L2676">
        <v>1121.2781372670099</v>
      </c>
      <c r="M2676">
        <v>21.3483139571611</v>
      </c>
      <c r="N2676">
        <v>53.023131888925001</v>
      </c>
      <c r="O2676">
        <v>52.068698344211597</v>
      </c>
      <c r="P2676">
        <v>-9.3156294179176993E-2</v>
      </c>
      <c r="Q2676">
        <v>9.1187544771853896E-2</v>
      </c>
      <c r="R2676">
        <v>0.99525257342083795</v>
      </c>
      <c r="S2676" t="s">
        <v>6972</v>
      </c>
      <c r="T2676" t="s">
        <v>8590</v>
      </c>
      <c r="U2676" t="s">
        <v>8590</v>
      </c>
      <c r="V2676" t="s">
        <v>8590</v>
      </c>
      <c r="W2676">
        <v>19</v>
      </c>
      <c r="X2676" t="s">
        <v>11266</v>
      </c>
      <c r="Y2676">
        <v>0.48172873142980571</v>
      </c>
      <c r="Z2676" t="str">
        <f>HYPERLINK("Melting_Curves/meltCurve_sp_Q96GK7_FAH2A_HUMAN_.pdf", "Melting_Curves/meltCurve_sp_Q96GK7_FAH2A_HUMAN_.pdf")</f>
        <v>Melting_Curves/meltCurve_sp_Q96GK7_FAH2A_HUMAN_.pdf</v>
      </c>
      <c r="AA2676" t="s">
        <v>15518</v>
      </c>
      <c r="AB2676" t="s">
        <v>19760</v>
      </c>
    </row>
    <row r="2677" spans="1:28" x14ac:dyDescent="0.25">
      <c r="A2677" t="s">
        <v>2681</v>
      </c>
      <c r="B2677">
        <v>0.99876560204751996</v>
      </c>
      <c r="C2677">
        <v>0.92361499794254798</v>
      </c>
      <c r="D2677">
        <v>0.89689877669203499</v>
      </c>
      <c r="E2677">
        <v>0.84042180907844</v>
      </c>
      <c r="F2677">
        <v>0.70652345558739404</v>
      </c>
      <c r="G2677">
        <v>0.38100773503582902</v>
      </c>
      <c r="H2677">
        <v>0.32162786696437201</v>
      </c>
      <c r="I2677">
        <v>0.27173575780753501</v>
      </c>
      <c r="J2677">
        <v>0.25392303026025098</v>
      </c>
      <c r="K2677">
        <v>0.26110532437056</v>
      </c>
      <c r="L2677">
        <v>944.19213043521995</v>
      </c>
      <c r="M2677">
        <v>17.598674686736</v>
      </c>
      <c r="N2677">
        <v>55.624843300262398</v>
      </c>
      <c r="O2677">
        <v>52.972959240556001</v>
      </c>
      <c r="P2677">
        <v>-6.3772646099887406E-2</v>
      </c>
      <c r="Q2677">
        <v>0.23220499741438599</v>
      </c>
      <c r="R2677">
        <v>0.98401979053486199</v>
      </c>
      <c r="S2677" t="s">
        <v>6973</v>
      </c>
      <c r="T2677" t="s">
        <v>8590</v>
      </c>
      <c r="U2677" t="s">
        <v>8590</v>
      </c>
      <c r="V2677" t="s">
        <v>8590</v>
      </c>
      <c r="W2677">
        <v>7</v>
      </c>
      <c r="X2677" t="s">
        <v>11267</v>
      </c>
      <c r="Y2677">
        <v>0.59441218053516154</v>
      </c>
      <c r="Z2677" t="str">
        <f>HYPERLINK("Melting_Curves/meltCurve_sp_Q96GS4_CQ059_HUMAN_.pdf", "Melting_Curves/meltCurve_sp_Q96GS4_CQ059_HUMAN_.pdf")</f>
        <v>Melting_Curves/meltCurve_sp_Q96GS4_CQ059_HUMAN_.pdf</v>
      </c>
      <c r="AA2677" t="s">
        <v>15519</v>
      </c>
      <c r="AB2677" t="s">
        <v>19761</v>
      </c>
    </row>
    <row r="2678" spans="1:28" x14ac:dyDescent="0.25">
      <c r="A2678" t="s">
        <v>2682</v>
      </c>
      <c r="B2678">
        <v>0.99876560204751996</v>
      </c>
      <c r="C2678">
        <v>0.96383862672502596</v>
      </c>
      <c r="D2678">
        <v>0.92506443628877899</v>
      </c>
      <c r="E2678">
        <v>0.84198093626641601</v>
      </c>
      <c r="F2678">
        <v>0.73574064699768604</v>
      </c>
      <c r="G2678">
        <v>0.49724042781783401</v>
      </c>
      <c r="H2678">
        <v>0.20098641957812999</v>
      </c>
      <c r="I2678">
        <v>0.13514635791339899</v>
      </c>
      <c r="J2678">
        <v>0.11219684841191301</v>
      </c>
      <c r="K2678">
        <v>8.9454123317761799E-2</v>
      </c>
      <c r="L2678">
        <v>837.78228128223202</v>
      </c>
      <c r="M2678">
        <v>14.907482913128399</v>
      </c>
      <c r="N2678">
        <v>56.338382588106299</v>
      </c>
      <c r="O2678">
        <v>55.216579663841202</v>
      </c>
      <c r="P2678">
        <v>-6.6278509845058398E-2</v>
      </c>
      <c r="Q2678">
        <v>1.8132337516819301E-2</v>
      </c>
      <c r="R2678">
        <v>0.99376001266304104</v>
      </c>
      <c r="S2678" t="s">
        <v>6974</v>
      </c>
      <c r="T2678" t="s">
        <v>8590</v>
      </c>
      <c r="U2678" t="s">
        <v>8590</v>
      </c>
      <c r="V2678" t="s">
        <v>8590</v>
      </c>
      <c r="W2678">
        <v>14</v>
      </c>
      <c r="X2678" t="s">
        <v>11268</v>
      </c>
      <c r="Y2678">
        <v>0.56546237052312387</v>
      </c>
      <c r="Z2678" t="str">
        <f>HYPERLINK("Melting_Curves/meltCurve_sp_Q96GW9_SYMM_HUMAN_.pdf", "Melting_Curves/meltCurve_sp_Q96GW9_SYMM_HUMAN_.pdf")</f>
        <v>Melting_Curves/meltCurve_sp_Q96GW9_SYMM_HUMAN_.pdf</v>
      </c>
      <c r="AA2678" t="s">
        <v>15520</v>
      </c>
      <c r="AB2678" t="s">
        <v>19762</v>
      </c>
    </row>
    <row r="2679" spans="1:28" x14ac:dyDescent="0.25">
      <c r="A2679" t="s">
        <v>2683</v>
      </c>
      <c r="B2679">
        <v>0.99876560204751996</v>
      </c>
      <c r="C2679">
        <v>0.94283239431216803</v>
      </c>
      <c r="D2679">
        <v>0.84880673520965699</v>
      </c>
      <c r="E2679">
        <v>0.88575164434185605</v>
      </c>
      <c r="F2679">
        <v>0.74966088500232098</v>
      </c>
      <c r="G2679">
        <v>0.65787020868770596</v>
      </c>
      <c r="H2679">
        <v>0.52515480712870699</v>
      </c>
      <c r="I2679">
        <v>0.485136537576775</v>
      </c>
      <c r="J2679">
        <v>0.481412833625737</v>
      </c>
      <c r="K2679">
        <v>0.45120689562174499</v>
      </c>
      <c r="L2679">
        <v>486.02097967774603</v>
      </c>
      <c r="M2679">
        <v>8.6759846379273693</v>
      </c>
      <c r="N2679">
        <v>64.403271631007001</v>
      </c>
      <c r="O2679">
        <v>53.281640133796898</v>
      </c>
      <c r="P2679">
        <v>-2.6955145345795999E-2</v>
      </c>
      <c r="Q2679">
        <v>0.33839561510542798</v>
      </c>
      <c r="R2679">
        <v>0.97465410394459795</v>
      </c>
      <c r="S2679" t="s">
        <v>6975</v>
      </c>
      <c r="T2679" t="s">
        <v>8590</v>
      </c>
      <c r="U2679" t="s">
        <v>8590</v>
      </c>
      <c r="V2679" t="s">
        <v>8590</v>
      </c>
      <c r="W2679">
        <v>8</v>
      </c>
      <c r="X2679" t="s">
        <v>11269</v>
      </c>
      <c r="Y2679">
        <v>0.70519145241420844</v>
      </c>
      <c r="Z2679" t="str">
        <f>HYPERLINK("Melting_Curves/meltCurve_sp_Q96GX9_MTNB_HUMAN_.pdf", "Melting_Curves/meltCurve_sp_Q96GX9_MTNB_HUMAN_.pdf")</f>
        <v>Melting_Curves/meltCurve_sp_Q96GX9_MTNB_HUMAN_.pdf</v>
      </c>
      <c r="AA2679" t="s">
        <v>15521</v>
      </c>
      <c r="AB2679" t="s">
        <v>19763</v>
      </c>
    </row>
    <row r="2680" spans="1:28" x14ac:dyDescent="0.25">
      <c r="A2680" t="s">
        <v>2684</v>
      </c>
      <c r="B2680">
        <v>0.99876560204751996</v>
      </c>
      <c r="C2680">
        <v>1.0015187678558199</v>
      </c>
      <c r="D2680">
        <v>0.946733160004816</v>
      </c>
      <c r="E2680">
        <v>0.97743216113799802</v>
      </c>
      <c r="F2680">
        <v>0.70955980061115698</v>
      </c>
      <c r="G2680">
        <v>0.22053954505633999</v>
      </c>
      <c r="H2680">
        <v>8.1639507572362394E-2</v>
      </c>
      <c r="I2680">
        <v>4.8928761256746001E-2</v>
      </c>
      <c r="J2680">
        <v>4.5875423804286102E-2</v>
      </c>
      <c r="K2680">
        <v>3.4469522765795499E-2</v>
      </c>
      <c r="L2680">
        <v>1793.70945524182</v>
      </c>
      <c r="M2680">
        <v>32.969672398570701</v>
      </c>
      <c r="N2680">
        <v>54.556871967677601</v>
      </c>
      <c r="O2680">
        <v>54.205849802716301</v>
      </c>
      <c r="P2680">
        <v>-0.145384083166084</v>
      </c>
      <c r="Q2680">
        <v>4.3893162144941697E-2</v>
      </c>
      <c r="R2680">
        <v>0.99802563592129501</v>
      </c>
      <c r="S2680" t="s">
        <v>6976</v>
      </c>
      <c r="T2680" t="s">
        <v>8590</v>
      </c>
      <c r="U2680" t="s">
        <v>8590</v>
      </c>
      <c r="V2680" t="s">
        <v>8590</v>
      </c>
      <c r="W2680">
        <v>9</v>
      </c>
      <c r="X2680" t="s">
        <v>11270</v>
      </c>
      <c r="Y2680">
        <v>0.50823387146047228</v>
      </c>
      <c r="Z2680" t="str">
        <f>HYPERLINK("Melting_Curves/meltCurve_sp_Q96H20_SNF8_HUMAN_.pdf", "Melting_Curves/meltCurve_sp_Q96H20_SNF8_HUMAN_.pdf")</f>
        <v>Melting_Curves/meltCurve_sp_Q96H20_SNF8_HUMAN_.pdf</v>
      </c>
      <c r="AA2680" t="s">
        <v>15522</v>
      </c>
      <c r="AB2680" t="s">
        <v>19764</v>
      </c>
    </row>
    <row r="2681" spans="1:28" x14ac:dyDescent="0.25">
      <c r="A2681" t="s">
        <v>2685</v>
      </c>
      <c r="B2681">
        <v>0.99876560204751996</v>
      </c>
      <c r="C2681">
        <v>0.92175862053981295</v>
      </c>
      <c r="D2681">
        <v>1.0106346885006801</v>
      </c>
      <c r="E2681">
        <v>0.89226754212914805</v>
      </c>
      <c r="F2681">
        <v>0.88611709123656701</v>
      </c>
      <c r="G2681">
        <v>0.74561776536739699</v>
      </c>
      <c r="H2681">
        <v>0.64667879560367303</v>
      </c>
      <c r="I2681">
        <v>0.61856404178061097</v>
      </c>
      <c r="J2681">
        <v>0.68093094630864803</v>
      </c>
      <c r="K2681">
        <v>0.64533491548960997</v>
      </c>
      <c r="L2681">
        <v>957.473410242417</v>
      </c>
      <c r="M2681">
        <v>17.655974490451101</v>
      </c>
      <c r="O2681">
        <v>53.5481090519839</v>
      </c>
      <c r="P2681">
        <v>-3.0541096164667499E-2</v>
      </c>
      <c r="Q2681">
        <v>0.62951217788504898</v>
      </c>
      <c r="R2681">
        <v>0.94040390040954902</v>
      </c>
      <c r="S2681" t="s">
        <v>6977</v>
      </c>
      <c r="T2681" t="s">
        <v>8590</v>
      </c>
      <c r="U2681" t="s">
        <v>8590</v>
      </c>
      <c r="V2681" t="s">
        <v>8590</v>
      </c>
      <c r="W2681">
        <v>27</v>
      </c>
      <c r="X2681" t="s">
        <v>11271</v>
      </c>
      <c r="Y2681">
        <v>0.81129456642857023</v>
      </c>
      <c r="Z2681" t="str">
        <f>HYPERLINK("Melting_Curves/meltCurve_sp_Q96HC4_PDLI5_HUMAN_.pdf", "Melting_Curves/meltCurve_sp_Q96HC4_PDLI5_HUMAN_.pdf")</f>
        <v>Melting_Curves/meltCurve_sp_Q96HC4_PDLI5_HUMAN_.pdf</v>
      </c>
      <c r="AA2681" t="s">
        <v>15523</v>
      </c>
      <c r="AB2681" t="s">
        <v>19765</v>
      </c>
    </row>
    <row r="2682" spans="1:28" x14ac:dyDescent="0.25">
      <c r="A2682" t="s">
        <v>2686</v>
      </c>
      <c r="B2682">
        <v>0.99876560204751996</v>
      </c>
      <c r="C2682">
        <v>0.95770481853511702</v>
      </c>
      <c r="D2682">
        <v>0.93913811944005898</v>
      </c>
      <c r="E2682">
        <v>0.61190418327698803</v>
      </c>
      <c r="F2682">
        <v>0.29793171779629402</v>
      </c>
      <c r="G2682">
        <v>0.19005234199055901</v>
      </c>
      <c r="H2682">
        <v>0.124092326134876</v>
      </c>
      <c r="I2682">
        <v>0.107754303519984</v>
      </c>
      <c r="J2682">
        <v>9.1375794919650505E-2</v>
      </c>
      <c r="K2682">
        <v>8.9740074869631495E-2</v>
      </c>
      <c r="L2682">
        <v>1235.3540512418199</v>
      </c>
      <c r="M2682">
        <v>24.4571903228831</v>
      </c>
      <c r="N2682">
        <v>50.990953946398299</v>
      </c>
      <c r="O2682">
        <v>50.176812398108197</v>
      </c>
      <c r="P2682">
        <v>-0.109325411666823</v>
      </c>
      <c r="Q2682">
        <v>0.10283722358214401</v>
      </c>
      <c r="R2682">
        <v>0.99765612629913503</v>
      </c>
      <c r="S2682" t="s">
        <v>6978</v>
      </c>
      <c r="T2682" t="s">
        <v>8590</v>
      </c>
      <c r="U2682" t="s">
        <v>8590</v>
      </c>
      <c r="V2682" t="s">
        <v>8590</v>
      </c>
      <c r="W2682">
        <v>11</v>
      </c>
      <c r="X2682" t="s">
        <v>11272</v>
      </c>
      <c r="Y2682">
        <v>0.42559042268399189</v>
      </c>
      <c r="Z2682" t="str">
        <f>HYPERLINK("Melting_Curves/meltCurve_sp_Q96HD9_ACY3_HUMAN_.pdf", "Melting_Curves/meltCurve_sp_Q96HD9_ACY3_HUMAN_.pdf")</f>
        <v>Melting_Curves/meltCurve_sp_Q96HD9_ACY3_HUMAN_.pdf</v>
      </c>
      <c r="AA2682" t="s">
        <v>15524</v>
      </c>
      <c r="AB2682" t="s">
        <v>19766</v>
      </c>
    </row>
    <row r="2683" spans="1:28" x14ac:dyDescent="0.25">
      <c r="A2683" t="s">
        <v>2687</v>
      </c>
      <c r="B2683">
        <v>0.99876560204751996</v>
      </c>
      <c r="C2683">
        <v>0.94004507091982303</v>
      </c>
      <c r="D2683">
        <v>0.95077465290191698</v>
      </c>
      <c r="E2683">
        <v>0.85242833377733995</v>
      </c>
      <c r="F2683">
        <v>0.49255534043371502</v>
      </c>
      <c r="G2683">
        <v>0.160203259913484</v>
      </c>
      <c r="H2683">
        <v>8.0859111616129006E-2</v>
      </c>
      <c r="I2683">
        <v>5.1159534273527103E-2</v>
      </c>
      <c r="J2683">
        <v>4.5546015145247302E-2</v>
      </c>
      <c r="K2683">
        <v>3.9905188249866698E-2</v>
      </c>
      <c r="L2683">
        <v>1455.4788701275299</v>
      </c>
      <c r="M2683">
        <v>27.5475698589877</v>
      </c>
      <c r="N2683">
        <v>53.018341784445603</v>
      </c>
      <c r="O2683">
        <v>52.559037958791002</v>
      </c>
      <c r="P2683">
        <v>-0.125082989655555</v>
      </c>
      <c r="Q2683">
        <v>4.5406698206593599E-2</v>
      </c>
      <c r="R2683">
        <v>0.99690606832528095</v>
      </c>
      <c r="S2683" t="s">
        <v>6979</v>
      </c>
      <c r="T2683" t="s">
        <v>8590</v>
      </c>
      <c r="U2683" t="s">
        <v>8590</v>
      </c>
      <c r="V2683" t="s">
        <v>8590</v>
      </c>
      <c r="W2683">
        <v>14</v>
      </c>
      <c r="X2683" t="s">
        <v>11273</v>
      </c>
      <c r="Y2683">
        <v>0.46110993964443908</v>
      </c>
      <c r="Z2683" t="str">
        <f>HYPERLINK("Melting_Curves/meltCurve_sp_Q96HE7_ERO1A_HUMAN_.pdf", "Melting_Curves/meltCurve_sp_Q96HE7_ERO1A_HUMAN_.pdf")</f>
        <v>Melting_Curves/meltCurve_sp_Q96HE7_ERO1A_HUMAN_.pdf</v>
      </c>
      <c r="AA2683" t="s">
        <v>15525</v>
      </c>
      <c r="AB2683" t="s">
        <v>19767</v>
      </c>
    </row>
    <row r="2684" spans="1:28" x14ac:dyDescent="0.25">
      <c r="A2684" t="s">
        <v>2688</v>
      </c>
      <c r="B2684">
        <v>0.99876560204751996</v>
      </c>
      <c r="C2684">
        <v>1.03426506191307</v>
      </c>
      <c r="D2684">
        <v>1.0222505639041899</v>
      </c>
      <c r="E2684">
        <v>1.0038675863089701</v>
      </c>
      <c r="F2684">
        <v>0.95233363847704999</v>
      </c>
      <c r="G2684">
        <v>0.67608646933525796</v>
      </c>
      <c r="H2684">
        <v>0.56616909140167004</v>
      </c>
      <c r="I2684">
        <v>0.53039294231832002</v>
      </c>
      <c r="J2684">
        <v>0.67035461940414898</v>
      </c>
      <c r="K2684">
        <v>0.64199337877935103</v>
      </c>
      <c r="L2684">
        <v>2779.0953308705298</v>
      </c>
      <c r="M2684">
        <v>50.3322027628586</v>
      </c>
      <c r="O2684">
        <v>55.128089024356001</v>
      </c>
      <c r="P2684">
        <v>-9.0749500974205199E-2</v>
      </c>
      <c r="Q2684">
        <v>0.60241409640493004</v>
      </c>
      <c r="R2684">
        <v>0.96240403070310698</v>
      </c>
      <c r="S2684" t="s">
        <v>6980</v>
      </c>
      <c r="T2684" t="s">
        <v>8590</v>
      </c>
      <c r="U2684" t="s">
        <v>8590</v>
      </c>
      <c r="V2684" t="s">
        <v>8590</v>
      </c>
      <c r="W2684">
        <v>16</v>
      </c>
      <c r="X2684" t="s">
        <v>11274</v>
      </c>
      <c r="Y2684">
        <v>0.80501207741584546</v>
      </c>
      <c r="Z2684" t="str">
        <f>HYPERLINK("Melting_Curves/meltCurve_sp_Q96HJ9_2_CG055_HUMAN_.pdf", "Melting_Curves/meltCurve_sp_Q96HJ9_2_CG055_HUMAN_.pdf")</f>
        <v>Melting_Curves/meltCurve_sp_Q96HJ9_2_CG055_HUMAN_.pdf</v>
      </c>
      <c r="AA2684" t="s">
        <v>15526</v>
      </c>
      <c r="AB2684" t="s">
        <v>19768</v>
      </c>
    </row>
    <row r="2685" spans="1:28" x14ac:dyDescent="0.25">
      <c r="A2685" t="s">
        <v>2689</v>
      </c>
      <c r="B2685">
        <v>0.99876560204751996</v>
      </c>
      <c r="C2685">
        <v>0.90616194304307796</v>
      </c>
      <c r="D2685">
        <v>0.92426460185180304</v>
      </c>
      <c r="E2685">
        <v>0.93587932671499197</v>
      </c>
      <c r="F2685">
        <v>0.95588762233683</v>
      </c>
      <c r="G2685">
        <v>0.80098122337498501</v>
      </c>
      <c r="H2685">
        <v>0.48001452883041301</v>
      </c>
      <c r="I2685">
        <v>0.15410489542244901</v>
      </c>
      <c r="J2685">
        <v>2.56440943945122E-2</v>
      </c>
      <c r="K2685">
        <v>2.5456173343752199E-2</v>
      </c>
      <c r="L2685">
        <v>1612.6688757126201</v>
      </c>
      <c r="M2685">
        <v>26.705245808017999</v>
      </c>
      <c r="N2685">
        <v>60.387718844320197</v>
      </c>
      <c r="O2685">
        <v>60.052154340705798</v>
      </c>
      <c r="P2685">
        <v>-0.111176376011248</v>
      </c>
      <c r="Q2685">
        <v>0</v>
      </c>
      <c r="R2685">
        <v>0.98405401041334795</v>
      </c>
      <c r="S2685" t="s">
        <v>6981</v>
      </c>
      <c r="T2685" t="s">
        <v>8590</v>
      </c>
      <c r="U2685" t="s">
        <v>8590</v>
      </c>
      <c r="V2685" t="s">
        <v>8590</v>
      </c>
      <c r="W2685">
        <v>5</v>
      </c>
      <c r="X2685" t="s">
        <v>11275</v>
      </c>
      <c r="Y2685">
        <v>0.68625061217967387</v>
      </c>
      <c r="Z2685" t="str">
        <f>HYPERLINK("Melting_Curves/meltCurve_sp_Q96HJ9_CG055_HUMAN_.pdf", "Melting_Curves/meltCurve_sp_Q96HJ9_CG055_HUMAN_.pdf")</f>
        <v>Melting_Curves/meltCurve_sp_Q96HJ9_CG055_HUMAN_.pdf</v>
      </c>
      <c r="AA2685" t="s">
        <v>15526</v>
      </c>
      <c r="AB2685" t="s">
        <v>19769</v>
      </c>
    </row>
    <row r="2686" spans="1:28" x14ac:dyDescent="0.25">
      <c r="A2686" t="s">
        <v>2690</v>
      </c>
      <c r="B2686">
        <v>0.99876560204751996</v>
      </c>
      <c r="C2686">
        <v>0.84281033390834204</v>
      </c>
      <c r="D2686">
        <v>0.77666424205852103</v>
      </c>
      <c r="E2686">
        <v>0.390175205368189</v>
      </c>
      <c r="F2686">
        <v>0.13591778368301499</v>
      </c>
      <c r="G2686">
        <v>8.4345337479953805E-2</v>
      </c>
      <c r="H2686">
        <v>5.5161244095894298E-2</v>
      </c>
      <c r="I2686">
        <v>4.3727470718384703E-2</v>
      </c>
      <c r="J2686">
        <v>3.5769843555700502E-2</v>
      </c>
      <c r="K2686">
        <v>2.9156773115373701E-2</v>
      </c>
      <c r="L2686">
        <v>927.70689162757401</v>
      </c>
      <c r="M2686">
        <v>19.1581304557286</v>
      </c>
      <c r="N2686">
        <v>48.566664085143799</v>
      </c>
      <c r="O2686">
        <v>47.905334841130298</v>
      </c>
      <c r="P2686">
        <v>-9.7241079021976706E-2</v>
      </c>
      <c r="Q2686">
        <v>2.74237303950957E-2</v>
      </c>
      <c r="R2686">
        <v>0.99184775705974704</v>
      </c>
      <c r="S2686" t="s">
        <v>6982</v>
      </c>
      <c r="T2686" t="s">
        <v>8590</v>
      </c>
      <c r="U2686" t="s">
        <v>8590</v>
      </c>
      <c r="V2686" t="s">
        <v>8590</v>
      </c>
      <c r="W2686">
        <v>6</v>
      </c>
      <c r="X2686" t="s">
        <v>11276</v>
      </c>
      <c r="Y2686">
        <v>0.31551236178767722</v>
      </c>
      <c r="Z2686" t="str">
        <f>HYPERLINK("Melting_Curves/meltCurve_sp_Q96HP4_OXND1_HUMAN_.pdf", "Melting_Curves/meltCurve_sp_Q96HP4_OXND1_HUMAN_.pdf")</f>
        <v>Melting_Curves/meltCurve_sp_Q96HP4_OXND1_HUMAN_.pdf</v>
      </c>
      <c r="AA2686" t="s">
        <v>15527</v>
      </c>
      <c r="AB2686" t="s">
        <v>19770</v>
      </c>
    </row>
    <row r="2687" spans="1:28" x14ac:dyDescent="0.25">
      <c r="A2687" t="s">
        <v>2691</v>
      </c>
      <c r="B2687">
        <v>0.99876560204751996</v>
      </c>
      <c r="C2687">
        <v>1.0342445599622201</v>
      </c>
      <c r="D2687">
        <v>0.96569316563927998</v>
      </c>
      <c r="E2687">
        <v>1.0678906588638899</v>
      </c>
      <c r="F2687">
        <v>1.05645421074407</v>
      </c>
      <c r="G2687">
        <v>0.88831600655538301</v>
      </c>
      <c r="H2687">
        <v>0.64979369410920496</v>
      </c>
      <c r="I2687">
        <v>0.43540074342961399</v>
      </c>
      <c r="J2687">
        <v>0.39021264168202002</v>
      </c>
      <c r="K2687">
        <v>0.37361364438995398</v>
      </c>
      <c r="L2687">
        <v>1905.15001198505</v>
      </c>
      <c r="M2687">
        <v>31.534008191719099</v>
      </c>
      <c r="N2687">
        <v>62.9553043038864</v>
      </c>
      <c r="O2687">
        <v>60.174319644414098</v>
      </c>
      <c r="P2687">
        <v>-8.3864113976578794E-2</v>
      </c>
      <c r="Q2687">
        <v>0.35987345944711002</v>
      </c>
      <c r="R2687">
        <v>0.98360290517027804</v>
      </c>
      <c r="S2687" t="s">
        <v>6983</v>
      </c>
      <c r="T2687" t="s">
        <v>8590</v>
      </c>
      <c r="U2687" t="s">
        <v>8590</v>
      </c>
      <c r="V2687" t="s">
        <v>8590</v>
      </c>
      <c r="W2687">
        <v>3</v>
      </c>
      <c r="X2687" t="s">
        <v>11277</v>
      </c>
      <c r="Y2687">
        <v>0.79903385947207239</v>
      </c>
      <c r="Z2687" t="str">
        <f>HYPERLINK("Melting_Curves/meltCurve_sp_Q96HQ2_2_C2AIL_HUMAN_.pdf", "Melting_Curves/meltCurve_sp_Q96HQ2_2_C2AIL_HUMAN_.pdf")</f>
        <v>Melting_Curves/meltCurve_sp_Q96HQ2_2_C2AIL_HUMAN_.pdf</v>
      </c>
      <c r="AA2687" t="s">
        <v>15528</v>
      </c>
      <c r="AB2687" t="s">
        <v>19771</v>
      </c>
    </row>
    <row r="2688" spans="1:28" x14ac:dyDescent="0.25">
      <c r="A2688" t="s">
        <v>2692</v>
      </c>
      <c r="B2688">
        <v>0.99876560204751996</v>
      </c>
      <c r="C2688">
        <v>1.11175556603173</v>
      </c>
      <c r="D2688">
        <v>0.94396300688470702</v>
      </c>
      <c r="E2688">
        <v>0.85453714712819395</v>
      </c>
      <c r="F2688">
        <v>0.67639318852192298</v>
      </c>
      <c r="G2688">
        <v>0.44337097238315498</v>
      </c>
      <c r="H2688">
        <v>0.36328920464054598</v>
      </c>
      <c r="I2688">
        <v>0.29868980463817701</v>
      </c>
      <c r="J2688">
        <v>0.39407144313717302</v>
      </c>
      <c r="K2688">
        <v>0.364607411904951</v>
      </c>
      <c r="L2688">
        <v>1243.0691811034101</v>
      </c>
      <c r="M2688">
        <v>23.514117665601098</v>
      </c>
      <c r="N2688">
        <v>55.633657182157798</v>
      </c>
      <c r="O2688">
        <v>52.486905232074797</v>
      </c>
      <c r="P2688">
        <v>-7.3376699608170906E-2</v>
      </c>
      <c r="Q2688">
        <v>0.34486168808830397</v>
      </c>
      <c r="R2688">
        <v>0.97622951856198503</v>
      </c>
      <c r="S2688" t="s">
        <v>6984</v>
      </c>
      <c r="T2688" t="s">
        <v>8590</v>
      </c>
      <c r="U2688" t="s">
        <v>8590</v>
      </c>
      <c r="V2688" t="s">
        <v>8590</v>
      </c>
      <c r="W2688">
        <v>5</v>
      </c>
      <c r="X2688" t="s">
        <v>11278</v>
      </c>
      <c r="Y2688">
        <v>0.6325584810156657</v>
      </c>
      <c r="Z2688" t="str">
        <f>HYPERLINK("Melting_Curves/meltCurve_sp_Q96HR9_REEP6_HUMAN_.pdf", "Melting_Curves/meltCurve_sp_Q96HR9_REEP6_HUMAN_.pdf")</f>
        <v>Melting_Curves/meltCurve_sp_Q96HR9_REEP6_HUMAN_.pdf</v>
      </c>
      <c r="AA2688" t="s">
        <v>15529</v>
      </c>
      <c r="AB2688" t="s">
        <v>19772</v>
      </c>
    </row>
    <row r="2689" spans="1:28" x14ac:dyDescent="0.25">
      <c r="A2689" t="s">
        <v>2693</v>
      </c>
      <c r="B2689">
        <v>0.99876560204751996</v>
      </c>
      <c r="C2689">
        <v>1.0672659691133799</v>
      </c>
      <c r="D2689">
        <v>1.01741659484137</v>
      </c>
      <c r="E2689">
        <v>0.952512905526811</v>
      </c>
      <c r="F2689">
        <v>0.83774709290114102</v>
      </c>
      <c r="G2689">
        <v>0.66351726226988295</v>
      </c>
      <c r="H2689">
        <v>0.44726975709404698</v>
      </c>
      <c r="I2689">
        <v>0.323632256078078</v>
      </c>
      <c r="J2689">
        <v>0.25147180524125001</v>
      </c>
      <c r="K2689">
        <v>0.122919412381872</v>
      </c>
      <c r="L2689">
        <v>802.57156081200696</v>
      </c>
      <c r="M2689">
        <v>13.412036759161399</v>
      </c>
      <c r="N2689">
        <v>60.125796059732203</v>
      </c>
      <c r="O2689">
        <v>58.556327338865401</v>
      </c>
      <c r="P2689">
        <v>-5.54995701720985E-2</v>
      </c>
      <c r="Q2689">
        <v>3.09177106829958E-2</v>
      </c>
      <c r="R2689">
        <v>0.99201907174001303</v>
      </c>
      <c r="S2689" t="s">
        <v>6985</v>
      </c>
      <c r="T2689" t="s">
        <v>8590</v>
      </c>
      <c r="U2689" t="s">
        <v>8590</v>
      </c>
      <c r="V2689" t="s">
        <v>8590</v>
      </c>
      <c r="W2689">
        <v>9</v>
      </c>
      <c r="X2689" t="s">
        <v>11279</v>
      </c>
      <c r="Y2689">
        <v>0.67743552099937221</v>
      </c>
      <c r="Z2689" t="str">
        <f>HYPERLINK("Melting_Curves/meltCurve_sp_Q96HS1_PGAM5_HUMAN_.pdf", "Melting_Curves/meltCurve_sp_Q96HS1_PGAM5_HUMAN_.pdf")</f>
        <v>Melting_Curves/meltCurve_sp_Q96HS1_PGAM5_HUMAN_.pdf</v>
      </c>
      <c r="AA2689" t="s">
        <v>15530</v>
      </c>
      <c r="AB2689" t="s">
        <v>19773</v>
      </c>
    </row>
    <row r="2690" spans="1:28" x14ac:dyDescent="0.25">
      <c r="A2690" t="s">
        <v>2694</v>
      </c>
      <c r="B2690">
        <v>0.99876560204751996</v>
      </c>
      <c r="C2690">
        <v>1.0451926715611499</v>
      </c>
      <c r="D2690">
        <v>1.01936073387575</v>
      </c>
      <c r="E2690">
        <v>0.89617561207418395</v>
      </c>
      <c r="F2690">
        <v>0.83521509820619</v>
      </c>
      <c r="G2690">
        <v>0.61750368848445902</v>
      </c>
      <c r="H2690">
        <v>0.40421978556176402</v>
      </c>
      <c r="I2690">
        <v>0.410917803664129</v>
      </c>
      <c r="J2690">
        <v>0.49339835166880303</v>
      </c>
      <c r="K2690">
        <v>0.37360841220907998</v>
      </c>
      <c r="L2690">
        <v>1221.36769267465</v>
      </c>
      <c r="M2690">
        <v>22.182544460171599</v>
      </c>
      <c r="N2690">
        <v>59.370268646625398</v>
      </c>
      <c r="O2690">
        <v>54.618236599417102</v>
      </c>
      <c r="P2690">
        <v>-6.0911218195068798E-2</v>
      </c>
      <c r="Q2690">
        <v>0.40010634033054598</v>
      </c>
      <c r="R2690">
        <v>0.97525257290207701</v>
      </c>
      <c r="S2690" t="s">
        <v>6986</v>
      </c>
      <c r="T2690" t="s">
        <v>8590</v>
      </c>
      <c r="U2690" t="s">
        <v>8590</v>
      </c>
      <c r="V2690" t="s">
        <v>8590</v>
      </c>
      <c r="W2690">
        <v>4</v>
      </c>
      <c r="X2690" t="s">
        <v>11280</v>
      </c>
      <c r="Y2690">
        <v>0.70803767087327951</v>
      </c>
      <c r="Z2690" t="str">
        <f>HYPERLINK("Melting_Curves/meltCurve_sp_Q96HY6_DDRGK_HUMAN_.pdf", "Melting_Curves/meltCurve_sp_Q96HY6_DDRGK_HUMAN_.pdf")</f>
        <v>Melting_Curves/meltCurve_sp_Q96HY6_DDRGK_HUMAN_.pdf</v>
      </c>
      <c r="AA2690" t="s">
        <v>15531</v>
      </c>
      <c r="AB2690" t="s">
        <v>19774</v>
      </c>
    </row>
    <row r="2691" spans="1:28" x14ac:dyDescent="0.25">
      <c r="A2691" t="s">
        <v>2695</v>
      </c>
      <c r="B2691">
        <v>0.99876560204751996</v>
      </c>
      <c r="C2691">
        <v>0.79133405747503505</v>
      </c>
      <c r="D2691">
        <v>0.45975786333837498</v>
      </c>
      <c r="E2691">
        <v>0.35445667129229103</v>
      </c>
      <c r="F2691">
        <v>0.206634332863705</v>
      </c>
      <c r="G2691">
        <v>0.11586949996573601</v>
      </c>
      <c r="H2691">
        <v>6.36102558672062E-2</v>
      </c>
      <c r="I2691">
        <v>4.8888915371076598E-2</v>
      </c>
      <c r="J2691">
        <v>4.6093815555807799E-2</v>
      </c>
      <c r="K2691">
        <v>3.9626765784958197E-2</v>
      </c>
      <c r="L2691">
        <v>666.41179848018896</v>
      </c>
      <c r="M2691">
        <v>14.3446206492115</v>
      </c>
      <c r="N2691">
        <v>46.747635547221002</v>
      </c>
      <c r="O2691">
        <v>45.582371977685803</v>
      </c>
      <c r="P2691">
        <v>-7.5329839965753903E-2</v>
      </c>
      <c r="Q2691">
        <v>4.2623789454513998E-2</v>
      </c>
      <c r="R2691">
        <v>0.98002881514584905</v>
      </c>
      <c r="S2691" t="s">
        <v>6987</v>
      </c>
      <c r="T2691" t="s">
        <v>8590</v>
      </c>
      <c r="U2691" t="s">
        <v>8590</v>
      </c>
      <c r="V2691" t="s">
        <v>8590</v>
      </c>
      <c r="W2691">
        <v>22</v>
      </c>
      <c r="X2691" t="s">
        <v>11281</v>
      </c>
      <c r="Y2691">
        <v>0.27828437790492089</v>
      </c>
      <c r="Z2691" t="str">
        <f>HYPERLINK("Melting_Curves/meltCurve_sp_Q96HY7_DHTK1_HUMAN_.pdf", "Melting_Curves/meltCurve_sp_Q96HY7_DHTK1_HUMAN_.pdf")</f>
        <v>Melting_Curves/meltCurve_sp_Q96HY7_DHTK1_HUMAN_.pdf</v>
      </c>
      <c r="AA2691" t="s">
        <v>15532</v>
      </c>
      <c r="AB2691" t="s">
        <v>19775</v>
      </c>
    </row>
    <row r="2692" spans="1:28" x14ac:dyDescent="0.25">
      <c r="A2692" t="s">
        <v>2696</v>
      </c>
      <c r="B2692">
        <v>0.99876560204751996</v>
      </c>
      <c r="C2692">
        <v>0.97764941839861996</v>
      </c>
      <c r="D2692">
        <v>0.90398936633539795</v>
      </c>
      <c r="E2692">
        <v>0.87023166063567803</v>
      </c>
      <c r="F2692">
        <v>0.72281504922718898</v>
      </c>
      <c r="G2692">
        <v>0.55033001606841803</v>
      </c>
      <c r="H2692">
        <v>0.23439399898583199</v>
      </c>
      <c r="I2692">
        <v>0.13731272717367199</v>
      </c>
      <c r="J2692">
        <v>0.107927148039931</v>
      </c>
      <c r="K2692">
        <v>6.4246646865695894E-2</v>
      </c>
      <c r="L2692">
        <v>814.67642139752695</v>
      </c>
      <c r="M2692">
        <v>14.3443806541794</v>
      </c>
      <c r="N2692">
        <v>56.794135906099797</v>
      </c>
      <c r="O2692">
        <v>55.724528504637597</v>
      </c>
      <c r="P2692">
        <v>-6.4361726427985502E-2</v>
      </c>
      <c r="Q2692">
        <v>0</v>
      </c>
      <c r="R2692">
        <v>0.99216928372313695</v>
      </c>
      <c r="S2692" t="s">
        <v>6988</v>
      </c>
      <c r="T2692" t="s">
        <v>8590</v>
      </c>
      <c r="U2692" t="s">
        <v>8590</v>
      </c>
      <c r="V2692" t="s">
        <v>8590</v>
      </c>
      <c r="W2692">
        <v>23</v>
      </c>
      <c r="X2692" t="s">
        <v>11282</v>
      </c>
      <c r="Y2692">
        <v>0.5764827957266585</v>
      </c>
      <c r="Z2692" t="str">
        <f>HYPERLINK("Melting_Curves/meltCurve_sp_Q96I15_SCLY_HUMAN_.pdf", "Melting_Curves/meltCurve_sp_Q96I15_SCLY_HUMAN_.pdf")</f>
        <v>Melting_Curves/meltCurve_sp_Q96I15_SCLY_HUMAN_.pdf</v>
      </c>
      <c r="AA2692" t="s">
        <v>15533</v>
      </c>
      <c r="AB2692" t="s">
        <v>19776</v>
      </c>
    </row>
    <row r="2693" spans="1:28" x14ac:dyDescent="0.25">
      <c r="A2693" t="s">
        <v>2697</v>
      </c>
      <c r="B2693">
        <v>0.99876560204751996</v>
      </c>
      <c r="C2693">
        <v>0.98305372782724798</v>
      </c>
      <c r="D2693">
        <v>1.1056216170576001</v>
      </c>
      <c r="E2693">
        <v>0.92228130288780596</v>
      </c>
      <c r="F2693">
        <v>0.88691743918219001</v>
      </c>
      <c r="G2693">
        <v>0.67397403654618404</v>
      </c>
      <c r="H2693">
        <v>0.59996415343199805</v>
      </c>
      <c r="I2693">
        <v>0.59203754341401804</v>
      </c>
      <c r="J2693">
        <v>0.65007169090135797</v>
      </c>
      <c r="K2693">
        <v>0.58429295140862103</v>
      </c>
      <c r="L2693">
        <v>1609.6843821857699</v>
      </c>
      <c r="M2693">
        <v>29.663737181587599</v>
      </c>
      <c r="O2693">
        <v>54.019557955449699</v>
      </c>
      <c r="P2693">
        <v>-5.4727515955661298E-2</v>
      </c>
      <c r="Q2693">
        <v>0.60135349811194305</v>
      </c>
      <c r="R2693">
        <v>0.95089732568215501</v>
      </c>
      <c r="S2693" t="s">
        <v>6989</v>
      </c>
      <c r="T2693" t="s">
        <v>8590</v>
      </c>
      <c r="U2693" t="s">
        <v>8590</v>
      </c>
      <c r="V2693" t="s">
        <v>8590</v>
      </c>
      <c r="W2693">
        <v>1</v>
      </c>
      <c r="X2693" t="s">
        <v>11283</v>
      </c>
      <c r="Y2693">
        <v>0.79358534931988867</v>
      </c>
      <c r="Z2693" t="str">
        <f>HYPERLINK("Melting_Curves/meltCurve_sp_Q96I23_PREY_HUMAN_.pdf", "Melting_Curves/meltCurve_sp_Q96I23_PREY_HUMAN_.pdf")</f>
        <v>Melting_Curves/meltCurve_sp_Q96I23_PREY_HUMAN_.pdf</v>
      </c>
      <c r="AA2693" t="s">
        <v>15534</v>
      </c>
      <c r="AB2693" t="s">
        <v>19777</v>
      </c>
    </row>
    <row r="2694" spans="1:28" x14ac:dyDescent="0.25">
      <c r="A2694" t="s">
        <v>2698</v>
      </c>
      <c r="B2694">
        <v>0.99876560204751996</v>
      </c>
      <c r="C2694">
        <v>0.98799268109357796</v>
      </c>
      <c r="D2694">
        <v>0.99233303160023301</v>
      </c>
      <c r="E2694">
        <v>0.91734072710119496</v>
      </c>
      <c r="F2694">
        <v>0.81239946956500797</v>
      </c>
      <c r="G2694">
        <v>0.53002273887029605</v>
      </c>
      <c r="H2694">
        <v>0.38112052216717801</v>
      </c>
      <c r="I2694">
        <v>0.319066493942681</v>
      </c>
      <c r="J2694">
        <v>0.36729921669142301</v>
      </c>
      <c r="K2694">
        <v>0.31127996029944899</v>
      </c>
      <c r="L2694">
        <v>1256.6825641350299</v>
      </c>
      <c r="M2694">
        <v>22.833470584377999</v>
      </c>
      <c r="N2694">
        <v>57.582287942304902</v>
      </c>
      <c r="O2694">
        <v>54.6199447039373</v>
      </c>
      <c r="P2694">
        <v>-7.1301457056030096E-2</v>
      </c>
      <c r="Q2694">
        <v>0.31777243651904502</v>
      </c>
      <c r="R2694">
        <v>0.99648553310686105</v>
      </c>
      <c r="S2694" t="s">
        <v>6990</v>
      </c>
      <c r="T2694" t="s">
        <v>8590</v>
      </c>
      <c r="U2694" t="s">
        <v>8590</v>
      </c>
      <c r="V2694" t="s">
        <v>8590</v>
      </c>
      <c r="W2694">
        <v>14</v>
      </c>
      <c r="X2694" t="s">
        <v>11284</v>
      </c>
      <c r="Y2694">
        <v>0.66708885013048991</v>
      </c>
      <c r="Z2694" t="str">
        <f>HYPERLINK("Melting_Curves/meltCurve_sp_Q96I24_FUBP3_HUMAN_.pdf", "Melting_Curves/meltCurve_sp_Q96I24_FUBP3_HUMAN_.pdf")</f>
        <v>Melting_Curves/meltCurve_sp_Q96I24_FUBP3_HUMAN_.pdf</v>
      </c>
      <c r="AA2694" t="s">
        <v>15535</v>
      </c>
      <c r="AB2694" t="s">
        <v>19778</v>
      </c>
    </row>
    <row r="2695" spans="1:28" x14ac:dyDescent="0.25">
      <c r="A2695" t="s">
        <v>2699</v>
      </c>
      <c r="B2695">
        <v>0.99876560204751996</v>
      </c>
      <c r="C2695">
        <v>1.00203754568102</v>
      </c>
      <c r="D2695">
        <v>1.1020945866955001</v>
      </c>
      <c r="E2695">
        <v>0.93931025777736399</v>
      </c>
      <c r="F2695">
        <v>0.89272953081024398</v>
      </c>
      <c r="G2695">
        <v>0.62400306825488705</v>
      </c>
      <c r="H2695">
        <v>0.38453670097466103</v>
      </c>
      <c r="I2695">
        <v>0.22622306318819399</v>
      </c>
      <c r="J2695">
        <v>0.17046066824741801</v>
      </c>
      <c r="K2695">
        <v>0.12671299883168799</v>
      </c>
      <c r="L2695">
        <v>1103.3055497906601</v>
      </c>
      <c r="M2695">
        <v>18.936739221023601</v>
      </c>
      <c r="N2695">
        <v>58.918775883357398</v>
      </c>
      <c r="O2695">
        <v>57.6246390375034</v>
      </c>
      <c r="P2695">
        <v>-7.43490319051541E-2</v>
      </c>
      <c r="Q2695">
        <v>9.5057925402984494E-2</v>
      </c>
      <c r="R2695">
        <v>0.99029219945974001</v>
      </c>
      <c r="S2695" t="s">
        <v>6991</v>
      </c>
      <c r="T2695" t="s">
        <v>8590</v>
      </c>
      <c r="U2695" t="s">
        <v>8590</v>
      </c>
      <c r="V2695" t="s">
        <v>8590</v>
      </c>
      <c r="W2695">
        <v>5</v>
      </c>
      <c r="X2695" t="s">
        <v>11285</v>
      </c>
      <c r="Y2695">
        <v>0.656390589283112</v>
      </c>
      <c r="Z2695" t="str">
        <f>HYPERLINK("Melting_Curves/meltCurve_sp_Q96I25_SPF45_HUMAN_.pdf", "Melting_Curves/meltCurve_sp_Q96I25_SPF45_HUMAN_.pdf")</f>
        <v>Melting_Curves/meltCurve_sp_Q96I25_SPF45_HUMAN_.pdf</v>
      </c>
      <c r="AA2695" t="s">
        <v>15536</v>
      </c>
      <c r="AB2695" t="s">
        <v>19779</v>
      </c>
    </row>
    <row r="2696" spans="1:28" x14ac:dyDescent="0.25">
      <c r="A2696" t="s">
        <v>2700</v>
      </c>
      <c r="B2696">
        <v>0.99876560204751996</v>
      </c>
      <c r="C2696">
        <v>0.80788171126603603</v>
      </c>
      <c r="D2696">
        <v>0.76975149548752497</v>
      </c>
      <c r="E2696">
        <v>0.60272104095466195</v>
      </c>
      <c r="F2696">
        <v>0.511953578813507</v>
      </c>
      <c r="G2696">
        <v>0.401224231804725</v>
      </c>
      <c r="H2696">
        <v>0.17413380530828301</v>
      </c>
      <c r="I2696">
        <v>0.15188616510150499</v>
      </c>
      <c r="J2696">
        <v>9.6789317213237802E-2</v>
      </c>
      <c r="K2696">
        <v>0.12450454237674601</v>
      </c>
      <c r="L2696">
        <v>461.62541232388401</v>
      </c>
      <c r="M2696">
        <v>8.7812868634725501</v>
      </c>
      <c r="N2696">
        <v>52.569219480202499</v>
      </c>
      <c r="O2696">
        <v>50.056837034311002</v>
      </c>
      <c r="P2696">
        <v>-4.3891555836569798E-2</v>
      </c>
      <c r="Q2696">
        <v>0</v>
      </c>
      <c r="R2696">
        <v>0.98021309077769303</v>
      </c>
      <c r="S2696" t="s">
        <v>6992</v>
      </c>
      <c r="T2696" t="s">
        <v>8590</v>
      </c>
      <c r="U2696" t="s">
        <v>8590</v>
      </c>
      <c r="V2696" t="s">
        <v>8590</v>
      </c>
      <c r="W2696">
        <v>4</v>
      </c>
      <c r="X2696" t="s">
        <v>11286</v>
      </c>
      <c r="Y2696">
        <v>0.45934488892402342</v>
      </c>
      <c r="Z2696" t="str">
        <f>HYPERLINK("Melting_Curves/meltCurve_sp_Q96I51_WBS16_HUMAN_.pdf", "Melting_Curves/meltCurve_sp_Q96I51_WBS16_HUMAN_.pdf")</f>
        <v>Melting_Curves/meltCurve_sp_Q96I51_WBS16_HUMAN_.pdf</v>
      </c>
      <c r="AA2696" t="s">
        <v>15537</v>
      </c>
      <c r="AB2696" t="s">
        <v>19780</v>
      </c>
    </row>
    <row r="2697" spans="1:28" x14ac:dyDescent="0.25">
      <c r="A2697" t="s">
        <v>2701</v>
      </c>
      <c r="B2697">
        <v>0.99876560204751996</v>
      </c>
      <c r="C2697">
        <v>0.92085602772258202</v>
      </c>
      <c r="D2697">
        <v>0.61842634321814605</v>
      </c>
      <c r="E2697">
        <v>0.30478878304703999</v>
      </c>
      <c r="F2697">
        <v>0.19131496351215099</v>
      </c>
      <c r="G2697">
        <v>0.118366585945999</v>
      </c>
      <c r="H2697">
        <v>8.0276231078342197E-2</v>
      </c>
      <c r="I2697">
        <v>7.1400657838263895E-2</v>
      </c>
      <c r="J2697">
        <v>7.18497043157484E-2</v>
      </c>
      <c r="K2697">
        <v>6.4020727468285604E-2</v>
      </c>
      <c r="L2697">
        <v>932.82153332951998</v>
      </c>
      <c r="M2697">
        <v>19.780942413068001</v>
      </c>
      <c r="N2697">
        <v>47.545677107749</v>
      </c>
      <c r="O2697">
        <v>46.683565359237598</v>
      </c>
      <c r="P2697">
        <v>-9.8037030471439093E-2</v>
      </c>
      <c r="Q2697">
        <v>7.4551166295087096E-2</v>
      </c>
      <c r="R2697">
        <v>0.99682912214796404</v>
      </c>
      <c r="S2697" t="s">
        <v>6993</v>
      </c>
      <c r="T2697" t="s">
        <v>8590</v>
      </c>
      <c r="U2697" t="s">
        <v>8590</v>
      </c>
      <c r="V2697" t="s">
        <v>8590</v>
      </c>
      <c r="W2697">
        <v>10</v>
      </c>
      <c r="X2697" t="s">
        <v>11287</v>
      </c>
      <c r="Y2697">
        <v>0.30914646778357291</v>
      </c>
      <c r="Z2697" t="str">
        <f>HYPERLINK("Melting_Curves/meltCurve_sp_Q96I59_SYNM_HUMAN_.pdf", "Melting_Curves/meltCurve_sp_Q96I59_SYNM_HUMAN_.pdf")</f>
        <v>Melting_Curves/meltCurve_sp_Q96I59_SYNM_HUMAN_.pdf</v>
      </c>
      <c r="AA2697" t="s">
        <v>15538</v>
      </c>
      <c r="AB2697" t="s">
        <v>19781</v>
      </c>
    </row>
    <row r="2698" spans="1:28" x14ac:dyDescent="0.25">
      <c r="A2698" t="s">
        <v>2702</v>
      </c>
      <c r="B2698">
        <v>0.99876560204751996</v>
      </c>
      <c r="C2698">
        <v>0.96644352684802104</v>
      </c>
      <c r="D2698">
        <v>0.99392091231416402</v>
      </c>
      <c r="E2698">
        <v>0.79375755725691199</v>
      </c>
      <c r="F2698">
        <v>0.298325882660534</v>
      </c>
      <c r="G2698">
        <v>0.108708268739882</v>
      </c>
      <c r="H2698">
        <v>6.2287751084956898E-2</v>
      </c>
      <c r="I2698">
        <v>4.5928136747663703E-2</v>
      </c>
      <c r="J2698">
        <v>4.0966710882167801E-2</v>
      </c>
      <c r="K2698">
        <v>3.3913718417718598E-2</v>
      </c>
      <c r="L2698">
        <v>1978.14202308013</v>
      </c>
      <c r="M2698">
        <v>38.317199674790999</v>
      </c>
      <c r="N2698">
        <v>51.772080442316501</v>
      </c>
      <c r="O2698">
        <v>51.485409833646798</v>
      </c>
      <c r="P2698">
        <v>-0.176492013196929</v>
      </c>
      <c r="Q2698">
        <v>5.1418885737062499E-2</v>
      </c>
      <c r="R2698">
        <v>0.99841963901823805</v>
      </c>
      <c r="S2698" t="s">
        <v>6994</v>
      </c>
      <c r="T2698" t="s">
        <v>8590</v>
      </c>
      <c r="U2698" t="s">
        <v>8590</v>
      </c>
      <c r="V2698" t="s">
        <v>8590</v>
      </c>
      <c r="W2698">
        <v>37</v>
      </c>
      <c r="X2698" t="s">
        <v>11288</v>
      </c>
      <c r="Y2698">
        <v>0.42269737701676341</v>
      </c>
      <c r="Z2698" t="str">
        <f>HYPERLINK("Melting_Curves/meltCurve_sp_Q96I99_SUCB2_HUMAN_.pdf", "Melting_Curves/meltCurve_sp_Q96I99_SUCB2_HUMAN_.pdf")</f>
        <v>Melting_Curves/meltCurve_sp_Q96I99_SUCB2_HUMAN_.pdf</v>
      </c>
      <c r="AA2698" t="s">
        <v>15539</v>
      </c>
      <c r="AB2698" t="s">
        <v>19782</v>
      </c>
    </row>
    <row r="2699" spans="1:28" x14ac:dyDescent="0.25">
      <c r="A2699" t="s">
        <v>2703</v>
      </c>
      <c r="B2699">
        <v>0.99876560204751996</v>
      </c>
      <c r="C2699">
        <v>1.0800859212365199</v>
      </c>
      <c r="D2699">
        <v>1.1422394547264501</v>
      </c>
      <c r="E2699">
        <v>0.96218162583836497</v>
      </c>
      <c r="F2699">
        <v>0.82500079826126105</v>
      </c>
      <c r="G2699">
        <v>0.56813972605417595</v>
      </c>
      <c r="H2699">
        <v>0.46533298006486101</v>
      </c>
      <c r="I2699">
        <v>0.37266459737775298</v>
      </c>
      <c r="J2699">
        <v>0.350950749175233</v>
      </c>
      <c r="K2699">
        <v>0.40134467411275498</v>
      </c>
      <c r="L2699">
        <v>1389.5163616088901</v>
      </c>
      <c r="M2699">
        <v>25.162836048355199</v>
      </c>
      <c r="N2699">
        <v>58.448125501079097</v>
      </c>
      <c r="O2699">
        <v>54.875750089725102</v>
      </c>
      <c r="P2699">
        <v>-7.1604569215526201E-2</v>
      </c>
      <c r="Q2699">
        <v>0.37537995449218697</v>
      </c>
      <c r="R2699">
        <v>0.96507069605568996</v>
      </c>
      <c r="S2699" t="s">
        <v>6995</v>
      </c>
      <c r="T2699" t="s">
        <v>8590</v>
      </c>
      <c r="U2699" t="s">
        <v>8590</v>
      </c>
      <c r="V2699" t="s">
        <v>8590</v>
      </c>
      <c r="W2699">
        <v>4</v>
      </c>
      <c r="X2699" t="s">
        <v>11289</v>
      </c>
      <c r="Y2699">
        <v>0.69799932730518799</v>
      </c>
      <c r="Z2699" t="str">
        <f>HYPERLINK("Melting_Curves/meltCurve_sp_Q96IF1_AJUBA_HUMAN_.pdf", "Melting_Curves/meltCurve_sp_Q96IF1_AJUBA_HUMAN_.pdf")</f>
        <v>Melting_Curves/meltCurve_sp_Q96IF1_AJUBA_HUMAN_.pdf</v>
      </c>
      <c r="AA2699" t="s">
        <v>15540</v>
      </c>
      <c r="AB2699" t="s">
        <v>19783</v>
      </c>
    </row>
    <row r="2700" spans="1:28" x14ac:dyDescent="0.25">
      <c r="A2700" t="s">
        <v>2704</v>
      </c>
      <c r="B2700">
        <v>0.99876560204751996</v>
      </c>
      <c r="C2700">
        <v>0.96271726152353099</v>
      </c>
      <c r="D2700">
        <v>0.96059289798834202</v>
      </c>
      <c r="E2700">
        <v>0.91908885636511595</v>
      </c>
      <c r="F2700">
        <v>0.69068185714735697</v>
      </c>
      <c r="G2700">
        <v>0.49951955500231998</v>
      </c>
      <c r="H2700">
        <v>0.44959940794477299</v>
      </c>
      <c r="I2700">
        <v>0.37271570056325198</v>
      </c>
      <c r="J2700">
        <v>0.56106989212747005</v>
      </c>
      <c r="K2700">
        <v>0.38265452012142098</v>
      </c>
      <c r="L2700">
        <v>1585.7771635409099</v>
      </c>
      <c r="M2700">
        <v>30.0842785782147</v>
      </c>
      <c r="N2700">
        <v>56.687715803609699</v>
      </c>
      <c r="O2700">
        <v>52.479900882718098</v>
      </c>
      <c r="P2700">
        <v>-8.03415463693056E-2</v>
      </c>
      <c r="Q2700">
        <v>0.43940300529067899</v>
      </c>
      <c r="R2700">
        <v>0.95788114191264695</v>
      </c>
      <c r="S2700" t="s">
        <v>6996</v>
      </c>
      <c r="T2700" t="s">
        <v>8590</v>
      </c>
      <c r="U2700" t="s">
        <v>8590</v>
      </c>
      <c r="V2700" t="s">
        <v>8590</v>
      </c>
      <c r="W2700">
        <v>1</v>
      </c>
      <c r="X2700" t="s">
        <v>11290</v>
      </c>
      <c r="Y2700">
        <v>0.68053150397622941</v>
      </c>
      <c r="Z2700" t="str">
        <f>HYPERLINK("Melting_Curves/meltCurve_sp_Q96II8_3_LRCH3_HUMAN_.pdf", "Melting_Curves/meltCurve_sp_Q96II8_3_LRCH3_HUMAN_.pdf")</f>
        <v>Melting_Curves/meltCurve_sp_Q96II8_3_LRCH3_HUMAN_.pdf</v>
      </c>
      <c r="AA2700" t="s">
        <v>15541</v>
      </c>
      <c r="AB2700" t="s">
        <v>19784</v>
      </c>
    </row>
    <row r="2701" spans="1:28" x14ac:dyDescent="0.25">
      <c r="A2701" t="s">
        <v>2705</v>
      </c>
      <c r="B2701">
        <v>0.99876560204751996</v>
      </c>
      <c r="C2701">
        <v>1.0227591761647801</v>
      </c>
      <c r="D2701">
        <v>0.86322313811344697</v>
      </c>
      <c r="E2701">
        <v>0.66500214601017404</v>
      </c>
      <c r="F2701">
        <v>0.36548541206449298</v>
      </c>
      <c r="G2701">
        <v>0.13493634997263301</v>
      </c>
      <c r="H2701">
        <v>5.9422601856110202E-2</v>
      </c>
      <c r="I2701">
        <v>4.5162073041517301E-2</v>
      </c>
      <c r="J2701">
        <v>3.9248311312786097E-2</v>
      </c>
      <c r="K2701">
        <v>3.0674220821449098E-2</v>
      </c>
      <c r="L2701">
        <v>1011.19093828762</v>
      </c>
      <c r="M2701">
        <v>19.675991510231299</v>
      </c>
      <c r="N2701">
        <v>51.513019815489002</v>
      </c>
      <c r="O2701">
        <v>50.8700990893634</v>
      </c>
      <c r="P2701">
        <v>-9.4518611180571394E-2</v>
      </c>
      <c r="Q2701">
        <v>2.2564257893682702E-2</v>
      </c>
      <c r="R2701">
        <v>0.99696368938024305</v>
      </c>
      <c r="S2701" t="s">
        <v>6997</v>
      </c>
      <c r="T2701" t="s">
        <v>8590</v>
      </c>
      <c r="U2701" t="s">
        <v>8590</v>
      </c>
      <c r="V2701" t="s">
        <v>8590</v>
      </c>
      <c r="W2701">
        <v>11</v>
      </c>
      <c r="X2701" t="s">
        <v>11291</v>
      </c>
      <c r="Y2701">
        <v>0.407700200374779</v>
      </c>
      <c r="Z2701" t="str">
        <f>HYPERLINK("Melting_Curves/meltCurve_sp_Q96IJ6_GMPPA_HUMAN_.pdf", "Melting_Curves/meltCurve_sp_Q96IJ6_GMPPA_HUMAN_.pdf")</f>
        <v>Melting_Curves/meltCurve_sp_Q96IJ6_GMPPA_HUMAN_.pdf</v>
      </c>
      <c r="AA2701" t="s">
        <v>15542</v>
      </c>
      <c r="AB2701" t="s">
        <v>19785</v>
      </c>
    </row>
    <row r="2702" spans="1:28" x14ac:dyDescent="0.25">
      <c r="A2702" t="s">
        <v>2706</v>
      </c>
      <c r="B2702">
        <v>0.99876560204751996</v>
      </c>
      <c r="C2702">
        <v>1.1143090600238399</v>
      </c>
      <c r="D2702">
        <v>0</v>
      </c>
      <c r="E2702">
        <v>0.89804147984910898</v>
      </c>
      <c r="F2702">
        <v>0.803154117514988</v>
      </c>
      <c r="G2702">
        <v>0.59001967939484301</v>
      </c>
      <c r="H2702">
        <v>0.37473637141098698</v>
      </c>
      <c r="I2702">
        <v>0.50435158085538501</v>
      </c>
      <c r="J2702">
        <v>0.77190135930130699</v>
      </c>
      <c r="K2702">
        <v>0.49307929726849697</v>
      </c>
      <c r="L2702">
        <v>11065.505328839399</v>
      </c>
      <c r="M2702">
        <v>250</v>
      </c>
      <c r="O2702">
        <v>44.259189944831</v>
      </c>
      <c r="P2702">
        <v>-0.62922432270404904</v>
      </c>
      <c r="Q2702">
        <v>0.554416670581793</v>
      </c>
      <c r="R2702">
        <v>0.40317796699005298</v>
      </c>
      <c r="S2702" t="s">
        <v>6998</v>
      </c>
      <c r="T2702" t="s">
        <v>8590</v>
      </c>
      <c r="U2702" t="s">
        <v>8590</v>
      </c>
      <c r="V2702" t="s">
        <v>8590</v>
      </c>
      <c r="W2702">
        <v>2</v>
      </c>
      <c r="X2702" t="s">
        <v>11292</v>
      </c>
      <c r="Y2702">
        <v>0.61775413804483459</v>
      </c>
      <c r="Z2702" t="str">
        <f>HYPERLINK("Melting_Curves/meltCurve_sp_Q96IQ9_2_ZN414_HUMAN_.pdf", "Melting_Curves/meltCurve_sp_Q96IQ9_2_ZN414_HUMAN_.pdf")</f>
        <v>Melting_Curves/meltCurve_sp_Q96IQ9_2_ZN414_HUMAN_.pdf</v>
      </c>
      <c r="AA2702" t="s">
        <v>15543</v>
      </c>
      <c r="AB2702" t="s">
        <v>19786</v>
      </c>
    </row>
    <row r="2703" spans="1:28" x14ac:dyDescent="0.25">
      <c r="A2703" t="s">
        <v>2707</v>
      </c>
      <c r="B2703">
        <v>0.99876560204751996</v>
      </c>
      <c r="C2703">
        <v>0.92587581457789803</v>
      </c>
      <c r="D2703">
        <v>0.95831183712185597</v>
      </c>
      <c r="E2703">
        <v>0.86926245894185605</v>
      </c>
      <c r="F2703">
        <v>0.75251341948445505</v>
      </c>
      <c r="G2703">
        <v>0.491250728099839</v>
      </c>
      <c r="H2703">
        <v>0.19582024991277699</v>
      </c>
      <c r="I2703">
        <v>0.15491062318625901</v>
      </c>
      <c r="J2703">
        <v>0.146094773355052</v>
      </c>
      <c r="K2703">
        <v>7.7744278758217794E-2</v>
      </c>
      <c r="L2703">
        <v>935.252380267018</v>
      </c>
      <c r="M2703">
        <v>16.678331649614901</v>
      </c>
      <c r="N2703">
        <v>56.444387592887601</v>
      </c>
      <c r="O2703">
        <v>55.288334688976697</v>
      </c>
      <c r="P2703">
        <v>-7.15299061026516E-2</v>
      </c>
      <c r="Q2703">
        <v>5.1582300187901102E-2</v>
      </c>
      <c r="R2703">
        <v>0.99209025200366596</v>
      </c>
      <c r="S2703" t="s">
        <v>6999</v>
      </c>
      <c r="T2703" t="s">
        <v>8590</v>
      </c>
      <c r="U2703" t="s">
        <v>8590</v>
      </c>
      <c r="V2703" t="s">
        <v>8590</v>
      </c>
      <c r="W2703">
        <v>9</v>
      </c>
      <c r="X2703" t="s">
        <v>11293</v>
      </c>
      <c r="Y2703">
        <v>0.57493359207703709</v>
      </c>
      <c r="Z2703" t="str">
        <f>HYPERLINK("Melting_Curves/meltCurve_sp_Q96IU4_ABHEB_HUMAN_.pdf", "Melting_Curves/meltCurve_sp_Q96IU4_ABHEB_HUMAN_.pdf")</f>
        <v>Melting_Curves/meltCurve_sp_Q96IU4_ABHEB_HUMAN_.pdf</v>
      </c>
      <c r="AA2703" t="s">
        <v>15544</v>
      </c>
      <c r="AB2703" t="s">
        <v>19787</v>
      </c>
    </row>
    <row r="2704" spans="1:28" x14ac:dyDescent="0.25">
      <c r="A2704" t="s">
        <v>2708</v>
      </c>
      <c r="B2704">
        <v>0.99876560204751996</v>
      </c>
      <c r="C2704">
        <v>0.92856056385154795</v>
      </c>
      <c r="D2704">
        <v>0.81026637335406304</v>
      </c>
      <c r="E2704">
        <v>0.69447205095141196</v>
      </c>
      <c r="F2704">
        <v>0.60439336612619798</v>
      </c>
      <c r="G2704">
        <v>0.46430240449558302</v>
      </c>
      <c r="H2704">
        <v>0.37053142245338599</v>
      </c>
      <c r="I2704">
        <v>0.35296270205911701</v>
      </c>
      <c r="J2704">
        <v>0.38559668290381499</v>
      </c>
      <c r="K2704">
        <v>0.35634713148786001</v>
      </c>
      <c r="L2704">
        <v>591.00182487471204</v>
      </c>
      <c r="M2704">
        <v>11.652486864604001</v>
      </c>
      <c r="N2704">
        <v>55.577755983861103</v>
      </c>
      <c r="O2704">
        <v>49.294260769959102</v>
      </c>
      <c r="P2704">
        <v>-4.0227946271675197E-2</v>
      </c>
      <c r="Q2704">
        <v>0.31946860789247999</v>
      </c>
      <c r="R2704">
        <v>0.99090467030164298</v>
      </c>
      <c r="S2704" t="s">
        <v>7000</v>
      </c>
      <c r="T2704" t="s">
        <v>8590</v>
      </c>
      <c r="U2704" t="s">
        <v>8590</v>
      </c>
      <c r="V2704" t="s">
        <v>8590</v>
      </c>
      <c r="W2704">
        <v>6</v>
      </c>
      <c r="X2704" t="s">
        <v>11294</v>
      </c>
      <c r="Y2704">
        <v>0.58618176024403579</v>
      </c>
      <c r="Z2704" t="str">
        <f>HYPERLINK("Melting_Curves/meltCurve_sp_Q96IV0_2_NGLY1_HUMAN_.pdf", "Melting_Curves/meltCurve_sp_Q96IV0_2_NGLY1_HUMAN_.pdf")</f>
        <v>Melting_Curves/meltCurve_sp_Q96IV0_2_NGLY1_HUMAN_.pdf</v>
      </c>
      <c r="AA2704" t="s">
        <v>15545</v>
      </c>
      <c r="AB2704" t="s">
        <v>19788</v>
      </c>
    </row>
    <row r="2705" spans="1:28" x14ac:dyDescent="0.25">
      <c r="A2705" t="s">
        <v>2709</v>
      </c>
      <c r="B2705">
        <v>0.99876560204751996</v>
      </c>
      <c r="C2705">
        <v>0.850125534020163</v>
      </c>
      <c r="D2705">
        <v>0.86402206809777304</v>
      </c>
      <c r="E2705">
        <v>0.68002210492594195</v>
      </c>
      <c r="F2705">
        <v>0.468362877771974</v>
      </c>
      <c r="G2705">
        <v>0.156240955555909</v>
      </c>
      <c r="H2705">
        <v>8.1940006112888E-2</v>
      </c>
      <c r="I2705">
        <v>8.0924954811888897E-2</v>
      </c>
      <c r="J2705">
        <v>4.86714417694264E-2</v>
      </c>
      <c r="K2705">
        <v>4.1827161314996801E-2</v>
      </c>
      <c r="L2705">
        <v>768.08262220678796</v>
      </c>
      <c r="M2705">
        <v>14.7646924154977</v>
      </c>
      <c r="N2705">
        <v>52.043856445669597</v>
      </c>
      <c r="O2705">
        <v>51.095238526713899</v>
      </c>
      <c r="P2705">
        <v>-7.2021008105712894E-2</v>
      </c>
      <c r="Q2705">
        <v>3.1529266026806601E-3</v>
      </c>
      <c r="R2705">
        <v>0.98577966362228697</v>
      </c>
      <c r="S2705" t="s">
        <v>7001</v>
      </c>
      <c r="T2705" t="s">
        <v>8590</v>
      </c>
      <c r="U2705" t="s">
        <v>8590</v>
      </c>
      <c r="V2705" t="s">
        <v>8590</v>
      </c>
      <c r="W2705">
        <v>1</v>
      </c>
      <c r="X2705" t="s">
        <v>11295</v>
      </c>
      <c r="Y2705">
        <v>0.4254186897961168</v>
      </c>
      <c r="Z2705" t="str">
        <f>HYPERLINK("Melting_Curves/meltCurve_sp_Q96IY4_CBPB2_HUMAN_.pdf", "Melting_Curves/meltCurve_sp_Q96IY4_CBPB2_HUMAN_.pdf")</f>
        <v>Melting_Curves/meltCurve_sp_Q96IY4_CBPB2_HUMAN_.pdf</v>
      </c>
      <c r="AA2705" t="s">
        <v>15546</v>
      </c>
      <c r="AB2705" t="s">
        <v>19789</v>
      </c>
    </row>
    <row r="2706" spans="1:28" x14ac:dyDescent="0.25">
      <c r="A2706" t="s">
        <v>2710</v>
      </c>
      <c r="B2706">
        <v>0.99876560204751996</v>
      </c>
      <c r="C2706">
        <v>0.92702917724480205</v>
      </c>
      <c r="D2706">
        <v>1.0227905087256099</v>
      </c>
      <c r="E2706">
        <v>0.93804373315089695</v>
      </c>
      <c r="F2706">
        <v>0.976061528329213</v>
      </c>
      <c r="G2706">
        <v>0.79918183209347005</v>
      </c>
      <c r="H2706">
        <v>0.713577394595032</v>
      </c>
      <c r="I2706">
        <v>0.72919512993828906</v>
      </c>
      <c r="J2706">
        <v>0.95810464563141895</v>
      </c>
      <c r="K2706">
        <v>0.88959198114873606</v>
      </c>
      <c r="L2706">
        <v>13350.0606557217</v>
      </c>
      <c r="M2706">
        <v>250</v>
      </c>
      <c r="O2706">
        <v>53.396825434093898</v>
      </c>
      <c r="P2706">
        <v>-0.21310935401791101</v>
      </c>
      <c r="Q2706">
        <v>0.81793019286287705</v>
      </c>
      <c r="R2706">
        <v>0.51351780906570799</v>
      </c>
      <c r="S2706" t="s">
        <v>7002</v>
      </c>
      <c r="T2706" t="s">
        <v>8590</v>
      </c>
      <c r="U2706" t="s">
        <v>8590</v>
      </c>
      <c r="V2706" t="s">
        <v>8590</v>
      </c>
      <c r="W2706">
        <v>6</v>
      </c>
      <c r="X2706" t="s">
        <v>11296</v>
      </c>
      <c r="Y2706">
        <v>0.89927324215652393</v>
      </c>
      <c r="Z2706" t="str">
        <f>HYPERLINK("Melting_Curves/meltCurve_sp_Q96IZ0_PAWR_HUMAN_.pdf", "Melting_Curves/meltCurve_sp_Q96IZ0_PAWR_HUMAN_.pdf")</f>
        <v>Melting_Curves/meltCurve_sp_Q96IZ0_PAWR_HUMAN_.pdf</v>
      </c>
      <c r="AA2706" t="s">
        <v>15547</v>
      </c>
      <c r="AB2706" t="s">
        <v>19790</v>
      </c>
    </row>
    <row r="2707" spans="1:28" x14ac:dyDescent="0.25">
      <c r="A2707" t="s">
        <v>2711</v>
      </c>
      <c r="B2707">
        <v>0.99876560204751996</v>
      </c>
      <c r="C2707">
        <v>0.81552865126151397</v>
      </c>
      <c r="D2707">
        <v>0.64170086837650697</v>
      </c>
      <c r="E2707">
        <v>0.51229242431938904</v>
      </c>
      <c r="F2707">
        <v>0.21800221095115299</v>
      </c>
      <c r="G2707">
        <v>7.5371707526100507E-2</v>
      </c>
      <c r="H2707">
        <v>6.4051102421663994E-2</v>
      </c>
      <c r="I2707">
        <v>5.3339066938371503E-2</v>
      </c>
      <c r="J2707">
        <v>3.7850482136150401E-2</v>
      </c>
      <c r="K2707">
        <v>5.1516571966853997E-2</v>
      </c>
      <c r="L2707">
        <v>647.25371245002304</v>
      </c>
      <c r="M2707">
        <v>13.3117340589154</v>
      </c>
      <c r="N2707">
        <v>48.675952946143298</v>
      </c>
      <c r="O2707">
        <v>47.564810543503697</v>
      </c>
      <c r="P2707">
        <v>-6.9472616343759105E-2</v>
      </c>
      <c r="Q2707">
        <v>7.2158639466663003E-3</v>
      </c>
      <c r="R2707">
        <v>0.98237986110185005</v>
      </c>
      <c r="S2707" t="s">
        <v>7003</v>
      </c>
      <c r="T2707" t="s">
        <v>8590</v>
      </c>
      <c r="U2707" t="s">
        <v>8590</v>
      </c>
      <c r="V2707" t="s">
        <v>8590</v>
      </c>
      <c r="W2707">
        <v>3</v>
      </c>
      <c r="X2707" t="s">
        <v>11297</v>
      </c>
      <c r="Y2707">
        <v>0.32365157346992213</v>
      </c>
      <c r="Z2707" t="str">
        <f>HYPERLINK("Melting_Curves/meltCurve_sp_Q96J02_2_ITCH_HUMAN_.pdf", "Melting_Curves/meltCurve_sp_Q96J02_2_ITCH_HUMAN_.pdf")</f>
        <v>Melting_Curves/meltCurve_sp_Q96J02_2_ITCH_HUMAN_.pdf</v>
      </c>
      <c r="AA2707" t="s">
        <v>15548</v>
      </c>
      <c r="AB2707" t="s">
        <v>19791</v>
      </c>
    </row>
    <row r="2708" spans="1:28" x14ac:dyDescent="0.25">
      <c r="A2708" t="s">
        <v>2712</v>
      </c>
      <c r="B2708">
        <v>0.99876560204751996</v>
      </c>
      <c r="C2708">
        <v>1.0117803343957501</v>
      </c>
      <c r="D2708">
        <v>0.846301551896947</v>
      </c>
      <c r="E2708">
        <v>0.511301169673683</v>
      </c>
      <c r="F2708">
        <v>0.34727566588665998</v>
      </c>
      <c r="G2708">
        <v>0.19452141944155901</v>
      </c>
      <c r="H2708">
        <v>0.112960382905127</v>
      </c>
      <c r="I2708">
        <v>9.9915933374242705E-2</v>
      </c>
      <c r="J2708">
        <v>9.2396723437884701E-2</v>
      </c>
      <c r="K2708">
        <v>8.0230885634354696E-2</v>
      </c>
      <c r="L2708">
        <v>919.34147904951703</v>
      </c>
      <c r="M2708">
        <v>18.385002145312001</v>
      </c>
      <c r="N2708">
        <v>50.527355336267703</v>
      </c>
      <c r="O2708">
        <v>49.424623235372302</v>
      </c>
      <c r="P2708">
        <v>-8.49501101144675E-2</v>
      </c>
      <c r="Q2708">
        <v>8.6551852987799993E-2</v>
      </c>
      <c r="R2708">
        <v>0.99625164136810096</v>
      </c>
      <c r="S2708" t="s">
        <v>7004</v>
      </c>
      <c r="T2708" t="s">
        <v>8590</v>
      </c>
      <c r="U2708" t="s">
        <v>8590</v>
      </c>
      <c r="V2708" t="s">
        <v>8590</v>
      </c>
      <c r="W2708">
        <v>10</v>
      </c>
      <c r="X2708" t="s">
        <v>11298</v>
      </c>
      <c r="Y2708">
        <v>0.40614714222491172</v>
      </c>
      <c r="Z2708" t="str">
        <f>HYPERLINK("Melting_Curves/meltCurve_sp_Q96JB2_COG3_HUMAN_.pdf", "Melting_Curves/meltCurve_sp_Q96JB2_COG3_HUMAN_.pdf")</f>
        <v>Melting_Curves/meltCurve_sp_Q96JB2_COG3_HUMAN_.pdf</v>
      </c>
      <c r="AA2708" t="s">
        <v>15549</v>
      </c>
      <c r="AB2708" t="s">
        <v>19792</v>
      </c>
    </row>
    <row r="2709" spans="1:28" x14ac:dyDescent="0.25">
      <c r="A2709" t="s">
        <v>2713</v>
      </c>
      <c r="B2709">
        <v>0.99876560204751996</v>
      </c>
      <c r="C2709">
        <v>1.0219043834289101</v>
      </c>
      <c r="D2709">
        <v>0.95633002073034301</v>
      </c>
      <c r="E2709">
        <v>0.698349136415787</v>
      </c>
      <c r="F2709">
        <v>0.263825428073584</v>
      </c>
      <c r="G2709">
        <v>0.10843906404663101</v>
      </c>
      <c r="H2709">
        <v>8.4872513084113102E-2</v>
      </c>
      <c r="I2709">
        <v>5.9273904317978597E-2</v>
      </c>
      <c r="J2709">
        <v>5.5782768422768803E-2</v>
      </c>
      <c r="K2709">
        <v>4.7707886201980201E-2</v>
      </c>
      <c r="L2709">
        <v>1710.3680929684599</v>
      </c>
      <c r="M2709">
        <v>33.502670943819702</v>
      </c>
      <c r="N2709">
        <v>51.258578709172902</v>
      </c>
      <c r="O2709">
        <v>50.870834789552603</v>
      </c>
      <c r="P2709">
        <v>-0.15423449826029401</v>
      </c>
      <c r="Q2709">
        <v>6.3238315113361296E-2</v>
      </c>
      <c r="R2709">
        <v>0.99874929855051697</v>
      </c>
      <c r="S2709" t="s">
        <v>7005</v>
      </c>
      <c r="T2709" t="s">
        <v>8590</v>
      </c>
      <c r="U2709" t="s">
        <v>8590</v>
      </c>
      <c r="V2709" t="s">
        <v>8590</v>
      </c>
      <c r="W2709">
        <v>12</v>
      </c>
      <c r="X2709" t="s">
        <v>11299</v>
      </c>
      <c r="Y2709">
        <v>0.41305472768274432</v>
      </c>
      <c r="Z2709" t="str">
        <f>HYPERLINK("Melting_Curves/meltCurve_sp_Q96JB5_CK5P3_HUMAN_.pdf", "Melting_Curves/meltCurve_sp_Q96JB5_CK5P3_HUMAN_.pdf")</f>
        <v>Melting_Curves/meltCurve_sp_Q96JB5_CK5P3_HUMAN_.pdf</v>
      </c>
      <c r="AA2709" t="s">
        <v>15550</v>
      </c>
      <c r="AB2709" t="s">
        <v>19793</v>
      </c>
    </row>
    <row r="2710" spans="1:28" x14ac:dyDescent="0.25">
      <c r="A2710" t="s">
        <v>2714</v>
      </c>
      <c r="B2710">
        <v>0.99876560204751996</v>
      </c>
      <c r="C2710">
        <v>0.99332799018711504</v>
      </c>
      <c r="D2710">
        <v>0.92761862365565095</v>
      </c>
      <c r="E2710">
        <v>0.80589661952700398</v>
      </c>
      <c r="F2710">
        <v>0.49050980095953001</v>
      </c>
      <c r="G2710">
        <v>0.192849265409818</v>
      </c>
      <c r="H2710">
        <v>0.13032916943008099</v>
      </c>
      <c r="I2710">
        <v>0.119402626617705</v>
      </c>
      <c r="J2710">
        <v>0.134164674496383</v>
      </c>
      <c r="K2710">
        <v>0.113610104465698</v>
      </c>
      <c r="L2710">
        <v>1361.68053792666</v>
      </c>
      <c r="M2710">
        <v>26.017709929638801</v>
      </c>
      <c r="N2710">
        <v>52.860386725204599</v>
      </c>
      <c r="O2710">
        <v>52.030430351155601</v>
      </c>
      <c r="P2710">
        <v>-0.11081034973682</v>
      </c>
      <c r="Q2710">
        <v>0.113612420102884</v>
      </c>
      <c r="R2710">
        <v>0.99787977832247499</v>
      </c>
      <c r="S2710" t="s">
        <v>7006</v>
      </c>
      <c r="T2710" t="s">
        <v>8590</v>
      </c>
      <c r="U2710" t="s">
        <v>8590</v>
      </c>
      <c r="V2710" t="s">
        <v>8590</v>
      </c>
      <c r="W2710">
        <v>6</v>
      </c>
      <c r="X2710" t="s">
        <v>11300</v>
      </c>
      <c r="Y2710">
        <v>0.48563421852628902</v>
      </c>
      <c r="Z2710" t="str">
        <f>HYPERLINK("Melting_Curves/meltCurve_sp_Q96JE7_SC16B_HUMAN_.pdf", "Melting_Curves/meltCurve_sp_Q96JE7_SC16B_HUMAN_.pdf")</f>
        <v>Melting_Curves/meltCurve_sp_Q96JE7_SC16B_HUMAN_.pdf</v>
      </c>
      <c r="AA2710" t="s">
        <v>15551</v>
      </c>
      <c r="AB2710" t="s">
        <v>19794</v>
      </c>
    </row>
    <row r="2711" spans="1:28" x14ac:dyDescent="0.25">
      <c r="A2711" t="s">
        <v>2715</v>
      </c>
      <c r="B2711">
        <v>0.99876560204751996</v>
      </c>
      <c r="C2711">
        <v>1.0521042055168699</v>
      </c>
      <c r="D2711">
        <v>0.89867888113912797</v>
      </c>
      <c r="E2711">
        <v>0.82136843898474698</v>
      </c>
      <c r="F2711">
        <v>0.39522861267332299</v>
      </c>
      <c r="G2711">
        <v>0.23806970910343001</v>
      </c>
      <c r="H2711">
        <v>0.124945051519709</v>
      </c>
      <c r="I2711">
        <v>9.4550294507146707E-2</v>
      </c>
      <c r="J2711">
        <v>9.9516639821321501E-2</v>
      </c>
      <c r="K2711">
        <v>9.7222232660949107E-2</v>
      </c>
      <c r="L2711">
        <v>1373.42656397061</v>
      </c>
      <c r="M2711">
        <v>26.3988291180064</v>
      </c>
      <c r="N2711">
        <v>52.4897471925104</v>
      </c>
      <c r="O2711">
        <v>51.730251438364498</v>
      </c>
      <c r="P2711">
        <v>-0.114311279919785</v>
      </c>
      <c r="Q2711">
        <v>0.10400765364240799</v>
      </c>
      <c r="R2711">
        <v>0.98899525184210102</v>
      </c>
      <c r="S2711" t="s">
        <v>7007</v>
      </c>
      <c r="T2711" t="s">
        <v>8590</v>
      </c>
      <c r="U2711" t="s">
        <v>8590</v>
      </c>
      <c r="V2711" t="s">
        <v>8590</v>
      </c>
      <c r="W2711">
        <v>6</v>
      </c>
      <c r="X2711" t="s">
        <v>11301</v>
      </c>
      <c r="Y2711">
        <v>0.47054591421759318</v>
      </c>
      <c r="Z2711" t="str">
        <f>HYPERLINK("Melting_Curves/meltCurve_sp_Q96JG6_3_CC132_HUMAN_.pdf", "Melting_Curves/meltCurve_sp_Q96JG6_3_CC132_HUMAN_.pdf")</f>
        <v>Melting_Curves/meltCurve_sp_Q96JG6_3_CC132_HUMAN_.pdf</v>
      </c>
      <c r="AA2711" t="s">
        <v>15552</v>
      </c>
      <c r="AB2711" t="s">
        <v>19795</v>
      </c>
    </row>
    <row r="2712" spans="1:28" x14ac:dyDescent="0.25">
      <c r="A2712" t="s">
        <v>2716</v>
      </c>
      <c r="B2712">
        <v>0.99876560204751996</v>
      </c>
      <c r="C2712">
        <v>1.03718938595063</v>
      </c>
      <c r="D2712">
        <v>1.0187232592609501</v>
      </c>
      <c r="E2712">
        <v>0.94682211391028204</v>
      </c>
      <c r="F2712">
        <v>0.95160953758761602</v>
      </c>
      <c r="G2712">
        <v>0.62945790758854003</v>
      </c>
      <c r="H2712">
        <v>0.45834980393758101</v>
      </c>
      <c r="I2712">
        <v>0.48624029528152801</v>
      </c>
      <c r="J2712">
        <v>0.54742520929806904</v>
      </c>
      <c r="K2712">
        <v>0.63655231096960097</v>
      </c>
      <c r="L2712">
        <v>2784.77010635642</v>
      </c>
      <c r="M2712">
        <v>50.3104814279178</v>
      </c>
      <c r="O2712">
        <v>55.264444153997601</v>
      </c>
      <c r="P2712">
        <v>-0.106364089208003</v>
      </c>
      <c r="Q2712">
        <v>0.53265026607030896</v>
      </c>
      <c r="R2712">
        <v>0.95369978709577796</v>
      </c>
      <c r="S2712" t="s">
        <v>7008</v>
      </c>
      <c r="T2712" t="s">
        <v>8590</v>
      </c>
      <c r="U2712" t="s">
        <v>8590</v>
      </c>
      <c r="V2712" t="s">
        <v>8590</v>
      </c>
      <c r="W2712">
        <v>2</v>
      </c>
      <c r="X2712" t="s">
        <v>11302</v>
      </c>
      <c r="Y2712">
        <v>0.77293003665459914</v>
      </c>
      <c r="Z2712" t="str">
        <f>HYPERLINK("Melting_Curves/meltCurve_sp_Q96JH7_VCIP1_HUMAN_.pdf", "Melting_Curves/meltCurve_sp_Q96JH7_VCIP1_HUMAN_.pdf")</f>
        <v>Melting_Curves/meltCurve_sp_Q96JH7_VCIP1_HUMAN_.pdf</v>
      </c>
      <c r="AA2712" t="s">
        <v>15553</v>
      </c>
      <c r="AB2712" t="s">
        <v>19796</v>
      </c>
    </row>
    <row r="2713" spans="1:28" x14ac:dyDescent="0.25">
      <c r="A2713" t="s">
        <v>2717</v>
      </c>
      <c r="B2713">
        <v>0.99876560204751996</v>
      </c>
      <c r="C2713">
        <v>0.94123766493521799</v>
      </c>
      <c r="D2713">
        <v>1.0180738531890501</v>
      </c>
      <c r="E2713">
        <v>0.89348870508228095</v>
      </c>
      <c r="F2713">
        <v>0.83280065658084501</v>
      </c>
      <c r="G2713">
        <v>0.62485915096011102</v>
      </c>
      <c r="H2713">
        <v>0.53053849221975802</v>
      </c>
      <c r="I2713">
        <v>0.55844524933181505</v>
      </c>
      <c r="J2713">
        <v>0.604598581217895</v>
      </c>
      <c r="K2713">
        <v>0.60301596119748302</v>
      </c>
      <c r="L2713">
        <v>1421.18094035682</v>
      </c>
      <c r="M2713">
        <v>26.667250631251701</v>
      </c>
      <c r="O2713">
        <v>52.996139171418797</v>
      </c>
      <c r="P2713">
        <v>-5.41689822773532E-2</v>
      </c>
      <c r="Q2713">
        <v>0.569401883705976</v>
      </c>
      <c r="R2713">
        <v>0.96404396322375097</v>
      </c>
      <c r="S2713" t="s">
        <v>7009</v>
      </c>
      <c r="T2713" t="s">
        <v>8590</v>
      </c>
      <c r="U2713" t="s">
        <v>8590</v>
      </c>
      <c r="V2713" t="s">
        <v>8590</v>
      </c>
      <c r="W2713">
        <v>6</v>
      </c>
      <c r="X2713" t="s">
        <v>11303</v>
      </c>
      <c r="Y2713">
        <v>0.76371945999171964</v>
      </c>
      <c r="Z2713" t="str">
        <f>HYPERLINK("Melting_Curves/meltCurve_sp_Q96JM3_CHAP1_HUMAN_.pdf", "Melting_Curves/meltCurve_sp_Q96JM3_CHAP1_HUMAN_.pdf")</f>
        <v>Melting_Curves/meltCurve_sp_Q96JM3_CHAP1_HUMAN_.pdf</v>
      </c>
      <c r="AA2713" t="s">
        <v>15554</v>
      </c>
      <c r="AB2713" t="s">
        <v>19797</v>
      </c>
    </row>
    <row r="2714" spans="1:28" x14ac:dyDescent="0.25">
      <c r="A2714" t="s">
        <v>2718</v>
      </c>
      <c r="B2714">
        <v>0.99876560204751996</v>
      </c>
      <c r="C2714">
        <v>1.04607323536081</v>
      </c>
      <c r="D2714">
        <v>1.09390943226698</v>
      </c>
      <c r="E2714">
        <v>0.93721361813114001</v>
      </c>
      <c r="F2714">
        <v>0.64633777034083995</v>
      </c>
      <c r="G2714">
        <v>0.427364192425364</v>
      </c>
      <c r="H2714">
        <v>0.38026061913432002</v>
      </c>
      <c r="I2714">
        <v>0.44781787519730698</v>
      </c>
      <c r="J2714">
        <v>0.56439100668537101</v>
      </c>
      <c r="K2714">
        <v>0.665433303201724</v>
      </c>
      <c r="L2714">
        <v>2785.8510748129802</v>
      </c>
      <c r="M2714">
        <v>53.514822102598202</v>
      </c>
      <c r="N2714">
        <v>57.6705667653425</v>
      </c>
      <c r="O2714">
        <v>51.985018849855102</v>
      </c>
      <c r="P2714">
        <v>-0.129382399370123</v>
      </c>
      <c r="Q2714">
        <v>0.49726510608473701</v>
      </c>
      <c r="R2714">
        <v>0.90303099124575903</v>
      </c>
      <c r="S2714" t="s">
        <v>7010</v>
      </c>
      <c r="T2714" t="s">
        <v>8590</v>
      </c>
      <c r="U2714" t="s">
        <v>8590</v>
      </c>
      <c r="V2714" t="s">
        <v>8590</v>
      </c>
      <c r="W2714">
        <v>2</v>
      </c>
      <c r="X2714" t="s">
        <v>11304</v>
      </c>
      <c r="Y2714">
        <v>0.70033065186080878</v>
      </c>
      <c r="Z2714" t="str">
        <f>HYPERLINK("Melting_Curves/meltCurve_sp_Q96JP2_MY15B_HUMAN_.pdf", "Melting_Curves/meltCurve_sp_Q96JP2_MY15B_HUMAN_.pdf")</f>
        <v>Melting_Curves/meltCurve_sp_Q96JP2_MY15B_HUMAN_.pdf</v>
      </c>
      <c r="AA2714" t="s">
        <v>15555</v>
      </c>
      <c r="AB2714" t="s">
        <v>19798</v>
      </c>
    </row>
    <row r="2715" spans="1:28" x14ac:dyDescent="0.25">
      <c r="A2715" t="s">
        <v>2719</v>
      </c>
      <c r="B2715">
        <v>0.99876560204751996</v>
      </c>
      <c r="C2715">
        <v>0.92660833536131804</v>
      </c>
      <c r="D2715">
        <v>0.94914201904253004</v>
      </c>
      <c r="E2715">
        <v>0.85988556107121095</v>
      </c>
      <c r="F2715">
        <v>0.79073676319089403</v>
      </c>
      <c r="G2715">
        <v>0.61349643430459699</v>
      </c>
      <c r="H2715">
        <v>0.44648931688169702</v>
      </c>
      <c r="I2715">
        <v>0.38308845755973298</v>
      </c>
      <c r="J2715">
        <v>0.49289391307609598</v>
      </c>
      <c r="K2715">
        <v>0.39972657516280502</v>
      </c>
      <c r="L2715">
        <v>825.03780843517904</v>
      </c>
      <c r="M2715">
        <v>15.1122497858427</v>
      </c>
      <c r="N2715">
        <v>60.348647098015903</v>
      </c>
      <c r="O2715">
        <v>53.6647877132093</v>
      </c>
      <c r="P2715">
        <v>-4.35360105336383E-2</v>
      </c>
      <c r="Q2715">
        <v>0.381661479980133</v>
      </c>
      <c r="R2715">
        <v>0.96905743553613999</v>
      </c>
      <c r="S2715" t="s">
        <v>7011</v>
      </c>
      <c r="T2715" t="s">
        <v>8590</v>
      </c>
      <c r="U2715" t="s">
        <v>8590</v>
      </c>
      <c r="V2715" t="s">
        <v>8590</v>
      </c>
      <c r="W2715">
        <v>5</v>
      </c>
      <c r="X2715" t="s">
        <v>11305</v>
      </c>
      <c r="Y2715">
        <v>0.69461144781998552</v>
      </c>
      <c r="Z2715" t="str">
        <f>HYPERLINK("Melting_Curves/meltCurve_sp_Q96JP5_2_ZFP91_HUMAN_.pdf", "Melting_Curves/meltCurve_sp_Q96JP5_2_ZFP91_HUMAN_.pdf")</f>
        <v>Melting_Curves/meltCurve_sp_Q96JP5_2_ZFP91_HUMAN_.pdf</v>
      </c>
      <c r="AA2715" t="s">
        <v>15556</v>
      </c>
      <c r="AB2715" t="s">
        <v>19799</v>
      </c>
    </row>
    <row r="2716" spans="1:28" x14ac:dyDescent="0.25">
      <c r="A2716" t="s">
        <v>2720</v>
      </c>
      <c r="B2716">
        <v>0.99876560204751996</v>
      </c>
      <c r="C2716">
        <v>0.98836627051397496</v>
      </c>
      <c r="D2716">
        <v>0.97101326148426204</v>
      </c>
      <c r="E2716">
        <v>0.89083956454906399</v>
      </c>
      <c r="F2716">
        <v>0.84975709260370402</v>
      </c>
      <c r="G2716">
        <v>0.63900789363622001</v>
      </c>
      <c r="H2716">
        <v>0.34818560106989599</v>
      </c>
      <c r="I2716">
        <v>0.22413364215241</v>
      </c>
      <c r="J2716">
        <v>0.193181541947584</v>
      </c>
      <c r="K2716">
        <v>0.179890490001158</v>
      </c>
      <c r="L2716">
        <v>998.36273951808903</v>
      </c>
      <c r="M2716">
        <v>17.305520083020902</v>
      </c>
      <c r="N2716">
        <v>58.595878208527601</v>
      </c>
      <c r="O2716">
        <v>56.936605827835102</v>
      </c>
      <c r="P2716">
        <v>-6.70749392165539E-2</v>
      </c>
      <c r="Q2716">
        <v>0.11732223708535899</v>
      </c>
      <c r="R2716">
        <v>0.99476821082502798</v>
      </c>
      <c r="S2716" t="s">
        <v>7012</v>
      </c>
      <c r="T2716" t="s">
        <v>8590</v>
      </c>
      <c r="U2716" t="s">
        <v>8590</v>
      </c>
      <c r="V2716" t="s">
        <v>8590</v>
      </c>
      <c r="W2716">
        <v>19</v>
      </c>
      <c r="X2716" t="s">
        <v>11306</v>
      </c>
      <c r="Y2716">
        <v>0.64948506165639652</v>
      </c>
      <c r="Z2716" t="str">
        <f>HYPERLINK("Melting_Curves/meltCurve_sp_Q96JQ2_CLMN_HUMAN_.pdf", "Melting_Curves/meltCurve_sp_Q96JQ2_CLMN_HUMAN_.pdf")</f>
        <v>Melting_Curves/meltCurve_sp_Q96JQ2_CLMN_HUMAN_.pdf</v>
      </c>
      <c r="AA2716" t="s">
        <v>15557</v>
      </c>
      <c r="AB2716" t="s">
        <v>19800</v>
      </c>
    </row>
    <row r="2717" spans="1:28" x14ac:dyDescent="0.25">
      <c r="A2717" t="s">
        <v>2721</v>
      </c>
      <c r="B2717">
        <v>0.99876560204751996</v>
      </c>
      <c r="C2717">
        <v>0.90124603282879301</v>
      </c>
      <c r="D2717">
        <v>0.97115994466696498</v>
      </c>
      <c r="E2717">
        <v>0.89054704751235203</v>
      </c>
      <c r="F2717">
        <v>0.88367459924012304</v>
      </c>
      <c r="G2717">
        <v>0.67713661241346901</v>
      </c>
      <c r="H2717">
        <v>0.60911206152212805</v>
      </c>
      <c r="I2717">
        <v>0.56592429633344399</v>
      </c>
      <c r="J2717">
        <v>0.68158518344178498</v>
      </c>
      <c r="K2717">
        <v>0.66863871722519497</v>
      </c>
      <c r="L2717">
        <v>1242.2234899953301</v>
      </c>
      <c r="M2717">
        <v>23.2205389973386</v>
      </c>
      <c r="O2717">
        <v>53.104728077593499</v>
      </c>
      <c r="P2717">
        <v>-4.1178347209829998E-2</v>
      </c>
      <c r="Q2717">
        <v>0.623311840548882</v>
      </c>
      <c r="R2717">
        <v>0.88835169675315295</v>
      </c>
      <c r="S2717" t="s">
        <v>7013</v>
      </c>
      <c r="T2717" t="s">
        <v>8590</v>
      </c>
      <c r="U2717" t="s">
        <v>8590</v>
      </c>
      <c r="V2717" t="s">
        <v>8590</v>
      </c>
      <c r="W2717">
        <v>14</v>
      </c>
      <c r="X2717" t="s">
        <v>11307</v>
      </c>
      <c r="Y2717">
        <v>0.7967613241917455</v>
      </c>
      <c r="Z2717" t="str">
        <f>HYPERLINK("Melting_Curves/meltCurve_sp_Q96JY6_PDLI2_HUMAN_.pdf", "Melting_Curves/meltCurve_sp_Q96JY6_PDLI2_HUMAN_.pdf")</f>
        <v>Melting_Curves/meltCurve_sp_Q96JY6_PDLI2_HUMAN_.pdf</v>
      </c>
      <c r="AA2717" t="s">
        <v>15558</v>
      </c>
      <c r="AB2717" t="s">
        <v>19801</v>
      </c>
    </row>
    <row r="2718" spans="1:28" x14ac:dyDescent="0.25">
      <c r="A2718" t="s">
        <v>2722</v>
      </c>
      <c r="B2718">
        <v>0.99876560204751996</v>
      </c>
      <c r="C2718">
        <v>0.91642132966113499</v>
      </c>
      <c r="D2718">
        <v>0.97512071280283696</v>
      </c>
      <c r="E2718">
        <v>0.86594240610832296</v>
      </c>
      <c r="F2718">
        <v>0.85475312609688603</v>
      </c>
      <c r="G2718">
        <v>0.72265053990710304</v>
      </c>
      <c r="H2718">
        <v>0.54055569702987505</v>
      </c>
      <c r="I2718">
        <v>0.45135326222914901</v>
      </c>
      <c r="J2718">
        <v>0.52173772308599398</v>
      </c>
      <c r="K2718">
        <v>0.39524520314175599</v>
      </c>
      <c r="L2718">
        <v>623.27306712274503</v>
      </c>
      <c r="M2718">
        <v>10.7322565302155</v>
      </c>
      <c r="N2718">
        <v>64.147173210235593</v>
      </c>
      <c r="O2718">
        <v>56.167387895666202</v>
      </c>
      <c r="P2718">
        <v>-3.2544121209328598E-2</v>
      </c>
      <c r="Q2718">
        <v>0.31897234361371501</v>
      </c>
      <c r="R2718">
        <v>0.96363078017808501</v>
      </c>
      <c r="S2718" t="s">
        <v>7014</v>
      </c>
      <c r="T2718" t="s">
        <v>8590</v>
      </c>
      <c r="U2718" t="s">
        <v>8590</v>
      </c>
      <c r="V2718" t="s">
        <v>8590</v>
      </c>
      <c r="W2718">
        <v>1</v>
      </c>
      <c r="X2718" t="s">
        <v>11308</v>
      </c>
      <c r="Y2718">
        <v>0.73666506830028322</v>
      </c>
      <c r="Z2718" t="str">
        <f>HYPERLINK("Melting_Curves/meltCurve_sp_Q96K17_2_BT3L4_HUMAN_.pdf", "Melting_Curves/meltCurve_sp_Q96K17_2_BT3L4_HUMAN_.pdf")</f>
        <v>Melting_Curves/meltCurve_sp_Q96K17_2_BT3L4_HUMAN_.pdf</v>
      </c>
      <c r="AA2718" t="s">
        <v>15559</v>
      </c>
      <c r="AB2718" t="s">
        <v>19802</v>
      </c>
    </row>
    <row r="2719" spans="1:28" x14ac:dyDescent="0.25">
      <c r="A2719" t="s">
        <v>2723</v>
      </c>
      <c r="B2719">
        <v>0.99876560204751996</v>
      </c>
      <c r="C2719">
        <v>0.90593527928152195</v>
      </c>
      <c r="D2719">
        <v>0.96249431136034402</v>
      </c>
      <c r="E2719">
        <v>0.85013132132970104</v>
      </c>
      <c r="F2719">
        <v>0.81128944543157</v>
      </c>
      <c r="G2719">
        <v>0.62579750511343502</v>
      </c>
      <c r="H2719">
        <v>0.56053275568492</v>
      </c>
      <c r="I2719">
        <v>0.52602499612988596</v>
      </c>
      <c r="J2719">
        <v>0.71271677551595403</v>
      </c>
      <c r="K2719">
        <v>0.64659156122547501</v>
      </c>
      <c r="L2719">
        <v>1034.23105971262</v>
      </c>
      <c r="M2719">
        <v>19.980889366365599</v>
      </c>
      <c r="O2719">
        <v>51.250908138473498</v>
      </c>
      <c r="P2719">
        <v>-3.8647351642120999E-2</v>
      </c>
      <c r="Q2719">
        <v>0.60349169276960002</v>
      </c>
      <c r="R2719">
        <v>0.86018144900846605</v>
      </c>
      <c r="S2719" t="s">
        <v>7015</v>
      </c>
      <c r="T2719" t="s">
        <v>8590</v>
      </c>
      <c r="U2719" t="s">
        <v>8590</v>
      </c>
      <c r="V2719" t="s">
        <v>8590</v>
      </c>
      <c r="W2719">
        <v>5</v>
      </c>
      <c r="X2719" t="s">
        <v>11309</v>
      </c>
      <c r="Y2719">
        <v>0.76443805852796942</v>
      </c>
      <c r="Z2719" t="str">
        <f>HYPERLINK("Melting_Curves/meltCurve_sp_Q96KC8_DNJC1_HUMAN_.pdf", "Melting_Curves/meltCurve_sp_Q96KC8_DNJC1_HUMAN_.pdf")</f>
        <v>Melting_Curves/meltCurve_sp_Q96KC8_DNJC1_HUMAN_.pdf</v>
      </c>
      <c r="AA2719" t="s">
        <v>15560</v>
      </c>
      <c r="AB2719" t="s">
        <v>19803</v>
      </c>
    </row>
    <row r="2720" spans="1:28" x14ac:dyDescent="0.25">
      <c r="A2720" t="s">
        <v>2724</v>
      </c>
      <c r="B2720">
        <v>0.99876560204751996</v>
      </c>
      <c r="C2720">
        <v>1.0132158852292401</v>
      </c>
      <c r="D2720">
        <v>0.94497813041381795</v>
      </c>
      <c r="E2720">
        <v>0.92696512962619404</v>
      </c>
      <c r="F2720">
        <v>0.62449532883355496</v>
      </c>
      <c r="G2720">
        <v>0.21400982539305699</v>
      </c>
      <c r="H2720">
        <v>0.150148109367434</v>
      </c>
      <c r="I2720">
        <v>0.111717963934667</v>
      </c>
      <c r="J2720">
        <v>0.116260088782451</v>
      </c>
      <c r="K2720">
        <v>9.64084115386106E-2</v>
      </c>
      <c r="L2720">
        <v>1738.0389179143101</v>
      </c>
      <c r="M2720">
        <v>32.4756289492978</v>
      </c>
      <c r="N2720">
        <v>53.938718940243298</v>
      </c>
      <c r="O2720">
        <v>53.316549875513601</v>
      </c>
      <c r="P2720">
        <v>-0.13524940495072699</v>
      </c>
      <c r="Q2720">
        <v>0.111826613563239</v>
      </c>
      <c r="R2720">
        <v>0.99768872169771505</v>
      </c>
      <c r="S2720" t="s">
        <v>7016</v>
      </c>
      <c r="T2720" t="s">
        <v>8590</v>
      </c>
      <c r="U2720" t="s">
        <v>8590</v>
      </c>
      <c r="V2720" t="s">
        <v>8590</v>
      </c>
      <c r="W2720">
        <v>14</v>
      </c>
      <c r="X2720" t="s">
        <v>11310</v>
      </c>
      <c r="Y2720">
        <v>0.51701115418229704</v>
      </c>
      <c r="Z2720" t="str">
        <f>HYPERLINK("Melting_Curves/meltCurve_sp_Q96KG9_3_NTKL_HUMAN_.pdf", "Melting_Curves/meltCurve_sp_Q96KG9_3_NTKL_HUMAN_.pdf")</f>
        <v>Melting_Curves/meltCurve_sp_Q96KG9_3_NTKL_HUMAN_.pdf</v>
      </c>
      <c r="AA2720" t="s">
        <v>15561</v>
      </c>
      <c r="AB2720" t="s">
        <v>19804</v>
      </c>
    </row>
    <row r="2721" spans="1:28" x14ac:dyDescent="0.25">
      <c r="A2721" t="s">
        <v>2725</v>
      </c>
      <c r="B2721">
        <v>0.99876560204751996</v>
      </c>
      <c r="C2721">
        <v>1.0068325924268899</v>
      </c>
      <c r="D2721">
        <v>1.0511218108820799</v>
      </c>
      <c r="E2721">
        <v>0.95385449870727501</v>
      </c>
      <c r="F2721">
        <v>0.86887452694600797</v>
      </c>
      <c r="G2721">
        <v>0.70661235542035905</v>
      </c>
      <c r="H2721">
        <v>0.57122550020434704</v>
      </c>
      <c r="I2721">
        <v>0.567567204054373</v>
      </c>
      <c r="J2721">
        <v>0.62039162240495904</v>
      </c>
      <c r="K2721">
        <v>0.458398671537189</v>
      </c>
      <c r="L2721">
        <v>1161.19688040085</v>
      </c>
      <c r="M2721">
        <v>20.900763947785698</v>
      </c>
      <c r="O2721">
        <v>55.056537509857797</v>
      </c>
      <c r="P2721">
        <v>-4.4865489619330901E-2</v>
      </c>
      <c r="Q2721">
        <v>0.52727642426152099</v>
      </c>
      <c r="R2721">
        <v>0.96316668333953603</v>
      </c>
      <c r="S2721" t="s">
        <v>7017</v>
      </c>
      <c r="T2721" t="s">
        <v>8590</v>
      </c>
      <c r="U2721" t="s">
        <v>8590</v>
      </c>
      <c r="V2721" t="s">
        <v>8590</v>
      </c>
      <c r="W2721">
        <v>4</v>
      </c>
      <c r="X2721" t="s">
        <v>11311</v>
      </c>
      <c r="Y2721">
        <v>0.77823112413188111</v>
      </c>
      <c r="Z2721" t="str">
        <f>HYPERLINK("Melting_Curves/meltCurve_sp_Q96KM6_Z512B_HUMAN_.pdf", "Melting_Curves/meltCurve_sp_Q96KM6_Z512B_HUMAN_.pdf")</f>
        <v>Melting_Curves/meltCurve_sp_Q96KM6_Z512B_HUMAN_.pdf</v>
      </c>
      <c r="AA2721" t="s">
        <v>15562</v>
      </c>
      <c r="AB2721" t="s">
        <v>19805</v>
      </c>
    </row>
    <row r="2722" spans="1:28" x14ac:dyDescent="0.25">
      <c r="A2722" t="s">
        <v>2726</v>
      </c>
      <c r="B2722">
        <v>0.99876560204751996</v>
      </c>
      <c r="C2722">
        <v>0.95762779083619298</v>
      </c>
      <c r="D2722">
        <v>0.816587056369658</v>
      </c>
      <c r="E2722">
        <v>0.41638337591171698</v>
      </c>
      <c r="F2722">
        <v>0.16865576770735</v>
      </c>
      <c r="G2722">
        <v>7.6868145356923795E-2</v>
      </c>
      <c r="H2722">
        <v>5.4126055832946697E-2</v>
      </c>
      <c r="I2722">
        <v>4.32352876213008E-2</v>
      </c>
      <c r="J2722">
        <v>3.41335722972987E-2</v>
      </c>
      <c r="K2722">
        <v>4.5031346646023401E-2</v>
      </c>
      <c r="L2722">
        <v>1119.53661523306</v>
      </c>
      <c r="M2722">
        <v>22.867678647922698</v>
      </c>
      <c r="N2722">
        <v>49.129555131451397</v>
      </c>
      <c r="O2722">
        <v>48.587384696602001</v>
      </c>
      <c r="P2722">
        <v>-0.113128492199543</v>
      </c>
      <c r="Q2722">
        <v>3.8553555520033103E-2</v>
      </c>
      <c r="R2722">
        <v>0.99971385621655695</v>
      </c>
      <c r="S2722" t="s">
        <v>7018</v>
      </c>
      <c r="T2722" t="s">
        <v>8590</v>
      </c>
      <c r="U2722" t="s">
        <v>8590</v>
      </c>
      <c r="V2722" t="s">
        <v>8590</v>
      </c>
      <c r="W2722">
        <v>7</v>
      </c>
      <c r="X2722" t="s">
        <v>11312</v>
      </c>
      <c r="Y2722">
        <v>0.33585110078629171</v>
      </c>
      <c r="Z2722" t="str">
        <f>HYPERLINK("Melting_Curves/meltCurve_sp_Q96KP1_EXOC2_HUMAN_.pdf", "Melting_Curves/meltCurve_sp_Q96KP1_EXOC2_HUMAN_.pdf")</f>
        <v>Melting_Curves/meltCurve_sp_Q96KP1_EXOC2_HUMAN_.pdf</v>
      </c>
      <c r="AA2722" t="s">
        <v>15563</v>
      </c>
      <c r="AB2722" t="s">
        <v>19806</v>
      </c>
    </row>
    <row r="2723" spans="1:28" x14ac:dyDescent="0.25">
      <c r="A2723" t="s">
        <v>2727</v>
      </c>
      <c r="B2723">
        <v>0.99876560204751996</v>
      </c>
      <c r="C2723">
        <v>0.95430662807570799</v>
      </c>
      <c r="D2723">
        <v>0.85202503641277305</v>
      </c>
      <c r="E2723">
        <v>0.89767223044156996</v>
      </c>
      <c r="F2723">
        <v>0.53551809465</v>
      </c>
      <c r="G2723">
        <v>0.197879043036676</v>
      </c>
      <c r="H2723">
        <v>9.3500274619440604E-2</v>
      </c>
      <c r="I2723">
        <v>6.5226171398261604E-2</v>
      </c>
      <c r="J2723">
        <v>5.12517762200312E-2</v>
      </c>
      <c r="K2723">
        <v>3.69967702332933E-2</v>
      </c>
      <c r="L2723">
        <v>1340.97788815229</v>
      </c>
      <c r="M2723">
        <v>25.169609689482101</v>
      </c>
      <c r="N2723">
        <v>53.480575473219197</v>
      </c>
      <c r="O2723">
        <v>52.944771464104001</v>
      </c>
      <c r="P2723">
        <v>-0.11343754582956</v>
      </c>
      <c r="Q2723">
        <v>4.5540224300569997E-2</v>
      </c>
      <c r="R2723">
        <v>0.98604685924996605</v>
      </c>
      <c r="S2723" t="s">
        <v>7019</v>
      </c>
      <c r="T2723" t="s">
        <v>8590</v>
      </c>
      <c r="U2723" t="s">
        <v>8590</v>
      </c>
      <c r="V2723" t="s">
        <v>8590</v>
      </c>
      <c r="W2723">
        <v>27</v>
      </c>
      <c r="X2723" t="s">
        <v>11313</v>
      </c>
      <c r="Y2723">
        <v>0.47666684322749509</v>
      </c>
      <c r="Z2723" t="str">
        <f>HYPERLINK("Melting_Curves/meltCurve_sp_Q96KP4_CNDP2_HUMAN_.pdf", "Melting_Curves/meltCurve_sp_Q96KP4_CNDP2_HUMAN_.pdf")</f>
        <v>Melting_Curves/meltCurve_sp_Q96KP4_CNDP2_HUMAN_.pdf</v>
      </c>
      <c r="AA2723" t="s">
        <v>15564</v>
      </c>
      <c r="AB2723" t="s">
        <v>19807</v>
      </c>
    </row>
    <row r="2724" spans="1:28" x14ac:dyDescent="0.25">
      <c r="A2724" t="s">
        <v>2728</v>
      </c>
      <c r="B2724">
        <v>0.99876560204751996</v>
      </c>
      <c r="C2724">
        <v>0.96959965208359999</v>
      </c>
      <c r="D2724">
        <v>0.93246561874328504</v>
      </c>
      <c r="E2724">
        <v>0.937188629959124</v>
      </c>
      <c r="F2724">
        <v>0.81444403584931002</v>
      </c>
      <c r="G2724">
        <v>0.59576838455713299</v>
      </c>
      <c r="H2724">
        <v>0.430513381319995</v>
      </c>
      <c r="I2724">
        <v>0.393911822427509</v>
      </c>
      <c r="J2724">
        <v>0.44645582021726898</v>
      </c>
      <c r="K2724">
        <v>0.448472564774341</v>
      </c>
      <c r="L2724">
        <v>1287.6508430142801</v>
      </c>
      <c r="M2724">
        <v>23.5458256961643</v>
      </c>
      <c r="N2724">
        <v>59.129128517872601</v>
      </c>
      <c r="O2724">
        <v>54.297132091421901</v>
      </c>
      <c r="P2724">
        <v>-6.3450273439181207E-2</v>
      </c>
      <c r="Q2724">
        <v>0.41473976233612603</v>
      </c>
      <c r="R2724">
        <v>0.98482458675960405</v>
      </c>
      <c r="S2724" t="s">
        <v>7020</v>
      </c>
      <c r="T2724" t="s">
        <v>8590</v>
      </c>
      <c r="U2724" t="s">
        <v>8590</v>
      </c>
      <c r="V2724" t="s">
        <v>8590</v>
      </c>
      <c r="W2724">
        <v>11</v>
      </c>
      <c r="X2724" t="s">
        <v>11314</v>
      </c>
      <c r="Y2724">
        <v>0.70728091594663478</v>
      </c>
      <c r="Z2724" t="str">
        <f>HYPERLINK("Melting_Curves/meltCurve_sp_Q96KR1_ZFR_HUMAN_.pdf", "Melting_Curves/meltCurve_sp_Q96KR1_ZFR_HUMAN_.pdf")</f>
        <v>Melting_Curves/meltCurve_sp_Q96KR1_ZFR_HUMAN_.pdf</v>
      </c>
      <c r="AA2724" t="s">
        <v>15565</v>
      </c>
      <c r="AB2724" t="s">
        <v>19808</v>
      </c>
    </row>
    <row r="2725" spans="1:28" x14ac:dyDescent="0.25">
      <c r="A2725" t="s">
        <v>2729</v>
      </c>
      <c r="B2725">
        <v>0.99876560204751996</v>
      </c>
      <c r="C2725">
        <v>1.1344409809052001</v>
      </c>
      <c r="D2725">
        <v>0.981456607198398</v>
      </c>
      <c r="E2725">
        <v>0.93951269138330795</v>
      </c>
      <c r="F2725">
        <v>0.91926715200977405</v>
      </c>
      <c r="G2725">
        <v>0.68613173237195002</v>
      </c>
      <c r="H2725">
        <v>0.72108486881339895</v>
      </c>
      <c r="I2725">
        <v>0.73885942661492598</v>
      </c>
      <c r="J2725">
        <v>0.73610515081085304</v>
      </c>
      <c r="K2725">
        <v>0.95083809839895606</v>
      </c>
      <c r="L2725">
        <v>8941.8384708551803</v>
      </c>
      <c r="M2725">
        <v>168.07704527149599</v>
      </c>
      <c r="O2725">
        <v>53.1932998450146</v>
      </c>
      <c r="P2725">
        <v>-0.18436779005648801</v>
      </c>
      <c r="Q2725">
        <v>0.76660391538415096</v>
      </c>
      <c r="R2725">
        <v>0.67307484245562399</v>
      </c>
      <c r="S2725" t="s">
        <v>7021</v>
      </c>
      <c r="T2725" t="s">
        <v>8590</v>
      </c>
      <c r="U2725" t="s">
        <v>8590</v>
      </c>
      <c r="V2725" t="s">
        <v>8590</v>
      </c>
      <c r="W2725">
        <v>2</v>
      </c>
      <c r="X2725" t="s">
        <v>11315</v>
      </c>
      <c r="Y2725">
        <v>0.86935288143943612</v>
      </c>
      <c r="Z2725" t="str">
        <f>HYPERLINK("Melting_Curves/meltCurve_sp_Q96L91_3_EP400_HUMAN_.pdf", "Melting_Curves/meltCurve_sp_Q96L91_3_EP400_HUMAN_.pdf")</f>
        <v>Melting_Curves/meltCurve_sp_Q96L91_3_EP400_HUMAN_.pdf</v>
      </c>
      <c r="AA2725" t="s">
        <v>15566</v>
      </c>
      <c r="AB2725" t="s">
        <v>19809</v>
      </c>
    </row>
    <row r="2726" spans="1:28" x14ac:dyDescent="0.25">
      <c r="A2726" t="s">
        <v>2730</v>
      </c>
      <c r="B2726">
        <v>0.99876560204751996</v>
      </c>
      <c r="C2726">
        <v>0.94829000488342197</v>
      </c>
      <c r="D2726">
        <v>0.93910814392914799</v>
      </c>
      <c r="E2726">
        <v>0.59431360479800499</v>
      </c>
      <c r="F2726">
        <v>0.34292801622063901</v>
      </c>
      <c r="G2726">
        <v>0.24656024906983301</v>
      </c>
      <c r="H2726">
        <v>0.156934548416089</v>
      </c>
      <c r="I2726">
        <v>0.123262341798261</v>
      </c>
      <c r="J2726">
        <v>9.0261434790140205E-2</v>
      </c>
      <c r="K2726">
        <v>6.2128091476631501E-2</v>
      </c>
      <c r="L2726">
        <v>972.58707594100395</v>
      </c>
      <c r="M2726">
        <v>19.176102622249701</v>
      </c>
      <c r="N2726">
        <v>51.3015007639979</v>
      </c>
      <c r="O2726">
        <v>50.176796342399598</v>
      </c>
      <c r="P2726">
        <v>-8.6194782715912396E-2</v>
      </c>
      <c r="Q2726">
        <v>9.7874701297350195E-2</v>
      </c>
      <c r="R2726">
        <v>0.99288173668365598</v>
      </c>
      <c r="S2726" t="s">
        <v>7022</v>
      </c>
      <c r="T2726" t="s">
        <v>8590</v>
      </c>
      <c r="U2726" t="s">
        <v>8590</v>
      </c>
      <c r="V2726" t="s">
        <v>8590</v>
      </c>
      <c r="W2726">
        <v>9</v>
      </c>
      <c r="X2726" t="s">
        <v>11316</v>
      </c>
      <c r="Y2726">
        <v>0.4337594165259227</v>
      </c>
      <c r="Z2726" t="str">
        <f>HYPERLINK("Melting_Curves/meltCurve_sp_Q96L92_3_SNX27_HUMAN_.pdf", "Melting_Curves/meltCurve_sp_Q96L92_3_SNX27_HUMAN_.pdf")</f>
        <v>Melting_Curves/meltCurve_sp_Q96L92_3_SNX27_HUMAN_.pdf</v>
      </c>
      <c r="AA2726" t="s">
        <v>15567</v>
      </c>
      <c r="AB2726" t="s">
        <v>19810</v>
      </c>
    </row>
    <row r="2727" spans="1:28" x14ac:dyDescent="0.25">
      <c r="A2727" t="s">
        <v>2731</v>
      </c>
      <c r="B2727">
        <v>0.99876560204751996</v>
      </c>
      <c r="C2727">
        <v>1.03140907679552</v>
      </c>
      <c r="D2727">
        <v>0.89481026411610298</v>
      </c>
      <c r="E2727">
        <v>0.934968856915386</v>
      </c>
      <c r="F2727">
        <v>0.80141466628319202</v>
      </c>
      <c r="G2727">
        <v>0.44438528473779798</v>
      </c>
      <c r="H2727">
        <v>0.37144134687487101</v>
      </c>
      <c r="I2727">
        <v>0.26994663948723902</v>
      </c>
      <c r="J2727">
        <v>0.415196894218338</v>
      </c>
      <c r="K2727">
        <v>0.33714902249040601</v>
      </c>
      <c r="L2727">
        <v>1727.0972063853701</v>
      </c>
      <c r="M2727">
        <v>31.854162261389199</v>
      </c>
      <c r="N2727">
        <v>56.236429923326803</v>
      </c>
      <c r="O2727">
        <v>54.006545568335298</v>
      </c>
      <c r="P2727">
        <v>-9.7241635774691498E-2</v>
      </c>
      <c r="Q2727">
        <v>0.34053732990566998</v>
      </c>
      <c r="R2727">
        <v>0.97202940058341503</v>
      </c>
      <c r="S2727" t="s">
        <v>7023</v>
      </c>
      <c r="T2727" t="s">
        <v>8590</v>
      </c>
      <c r="U2727" t="s">
        <v>8590</v>
      </c>
      <c r="V2727" t="s">
        <v>8590</v>
      </c>
      <c r="W2727">
        <v>1</v>
      </c>
      <c r="X2727" t="s">
        <v>11317</v>
      </c>
      <c r="Y2727">
        <v>0.65696515767715602</v>
      </c>
      <c r="Z2727" t="str">
        <f>HYPERLINK("Melting_Curves/meltCurve_sp_Q96LD4_TRI47_HUMAN_.pdf", "Melting_Curves/meltCurve_sp_Q96LD4_TRI47_HUMAN_.pdf")</f>
        <v>Melting_Curves/meltCurve_sp_Q96LD4_TRI47_HUMAN_.pdf</v>
      </c>
      <c r="AA2727" t="s">
        <v>15568</v>
      </c>
      <c r="AB2727" t="s">
        <v>19811</v>
      </c>
    </row>
    <row r="2728" spans="1:28" x14ac:dyDescent="0.25">
      <c r="A2728" t="s">
        <v>2732</v>
      </c>
      <c r="B2728">
        <v>0.99876560204751996</v>
      </c>
      <c r="C2728">
        <v>0.845084981303725</v>
      </c>
      <c r="D2728">
        <v>0.80351176517357403</v>
      </c>
      <c r="E2728">
        <v>0.64798600981038501</v>
      </c>
      <c r="F2728">
        <v>0.33674339481457299</v>
      </c>
      <c r="G2728">
        <v>0.22165462328411401</v>
      </c>
      <c r="H2728">
        <v>5.72171977429091E-2</v>
      </c>
      <c r="I2728">
        <v>0</v>
      </c>
      <c r="J2728">
        <v>0</v>
      </c>
      <c r="K2728">
        <v>0</v>
      </c>
      <c r="L2728">
        <v>733.10481697551904</v>
      </c>
      <c r="M2728">
        <v>14.3561884854265</v>
      </c>
      <c r="N2728">
        <v>51.065421628539703</v>
      </c>
      <c r="O2728">
        <v>50.105252487049398</v>
      </c>
      <c r="P2728">
        <v>-7.1638751777070006E-2</v>
      </c>
      <c r="Q2728">
        <v>0</v>
      </c>
      <c r="R2728">
        <v>0.98389457101063005</v>
      </c>
      <c r="S2728" t="s">
        <v>7024</v>
      </c>
      <c r="T2728" t="s">
        <v>8590</v>
      </c>
      <c r="U2728" t="s">
        <v>8590</v>
      </c>
      <c r="V2728" t="s">
        <v>8590</v>
      </c>
      <c r="W2728">
        <v>1</v>
      </c>
      <c r="X2728" t="s">
        <v>11318</v>
      </c>
      <c r="Y2728">
        <v>0.39360823232780862</v>
      </c>
      <c r="Z2728" t="str">
        <f>HYPERLINK("Melting_Curves/meltCurve_sp_Q96LD8_SENP8_HUMAN_.pdf", "Melting_Curves/meltCurve_sp_Q96LD8_SENP8_HUMAN_.pdf")</f>
        <v>Melting_Curves/meltCurve_sp_Q96LD8_SENP8_HUMAN_.pdf</v>
      </c>
      <c r="AA2728" t="s">
        <v>15569</v>
      </c>
      <c r="AB2728" t="s">
        <v>19812</v>
      </c>
    </row>
    <row r="2729" spans="1:28" x14ac:dyDescent="0.25">
      <c r="A2729" t="s">
        <v>2733</v>
      </c>
      <c r="B2729">
        <v>0.99876560204751996</v>
      </c>
      <c r="C2729">
        <v>0.96015893929749097</v>
      </c>
      <c r="D2729">
        <v>0.55499325940384103</v>
      </c>
      <c r="E2729">
        <v>0.332803962753567</v>
      </c>
      <c r="F2729">
        <v>0.12141937526355</v>
      </c>
      <c r="G2729">
        <v>6.6430948996780106E-2</v>
      </c>
      <c r="H2729">
        <v>3.8268985972423099E-2</v>
      </c>
      <c r="I2729">
        <v>2.7586584316311401E-2</v>
      </c>
      <c r="J2729">
        <v>2.0252960218130198E-2</v>
      </c>
      <c r="K2729">
        <v>1.90223036564671E-2</v>
      </c>
      <c r="L2729">
        <v>911.10849174336499</v>
      </c>
      <c r="M2729">
        <v>19.279080518518501</v>
      </c>
      <c r="N2729">
        <v>47.384552821513999</v>
      </c>
      <c r="O2729">
        <v>46.759262376424203</v>
      </c>
      <c r="P2729">
        <v>-0.100511813273574</v>
      </c>
      <c r="Q2729">
        <v>2.4915864713185399E-2</v>
      </c>
      <c r="R2729">
        <v>0.98715178366897705</v>
      </c>
      <c r="S2729" t="s">
        <v>7025</v>
      </c>
      <c r="T2729" t="s">
        <v>8590</v>
      </c>
      <c r="U2729" t="s">
        <v>8590</v>
      </c>
      <c r="V2729" t="s">
        <v>8590</v>
      </c>
      <c r="W2729">
        <v>7</v>
      </c>
      <c r="X2729" t="s">
        <v>11319</v>
      </c>
      <c r="Y2729">
        <v>0.27616880221866241</v>
      </c>
      <c r="Z2729" t="str">
        <f>HYPERLINK("Melting_Curves/meltCurve_sp_Q96LJ7_DHRS1_HUMAN_.pdf", "Melting_Curves/meltCurve_sp_Q96LJ7_DHRS1_HUMAN_.pdf")</f>
        <v>Melting_Curves/meltCurve_sp_Q96LJ7_DHRS1_HUMAN_.pdf</v>
      </c>
      <c r="AA2729" t="s">
        <v>15570</v>
      </c>
      <c r="AB2729" t="s">
        <v>19813</v>
      </c>
    </row>
    <row r="2730" spans="1:28" x14ac:dyDescent="0.25">
      <c r="A2730" t="s">
        <v>2734</v>
      </c>
      <c r="B2730">
        <v>0.99876560204751996</v>
      </c>
      <c r="C2730">
        <v>1.0495368229236499</v>
      </c>
      <c r="D2730">
        <v>1.0616392151268701</v>
      </c>
      <c r="E2730">
        <v>0.97682175397833204</v>
      </c>
      <c r="F2730">
        <v>0.90999310148163903</v>
      </c>
      <c r="G2730">
        <v>0.68913335672418696</v>
      </c>
      <c r="H2730">
        <v>0.54518779780224402</v>
      </c>
      <c r="I2730">
        <v>0.45721177856791601</v>
      </c>
      <c r="J2730">
        <v>0.39621493172734401</v>
      </c>
      <c r="K2730">
        <v>9.6500488282265998E-2</v>
      </c>
      <c r="L2730">
        <v>760.34685342697401</v>
      </c>
      <c r="M2730">
        <v>12.2133668912006</v>
      </c>
      <c r="N2730">
        <v>62.2553027813629</v>
      </c>
      <c r="O2730">
        <v>60.656849765923198</v>
      </c>
      <c r="P2730">
        <v>-5.0349285290750001E-2</v>
      </c>
      <c r="Q2730">
        <v>0</v>
      </c>
      <c r="R2730">
        <v>0.96252244890258898</v>
      </c>
      <c r="S2730" t="s">
        <v>7026</v>
      </c>
      <c r="T2730" t="s">
        <v>8590</v>
      </c>
      <c r="U2730" t="s">
        <v>8590</v>
      </c>
      <c r="V2730" t="s">
        <v>8590</v>
      </c>
      <c r="W2730">
        <v>5</v>
      </c>
      <c r="X2730" t="s">
        <v>11320</v>
      </c>
      <c r="Y2730">
        <v>0.72931966277672322</v>
      </c>
      <c r="Z2730" t="str">
        <f>HYPERLINK("Melting_Curves/meltCurve_sp_Q96M27_PRRC1_HUMAN_.pdf", "Melting_Curves/meltCurve_sp_Q96M27_PRRC1_HUMAN_.pdf")</f>
        <v>Melting_Curves/meltCurve_sp_Q96M27_PRRC1_HUMAN_.pdf</v>
      </c>
      <c r="AA2730" t="s">
        <v>15571</v>
      </c>
      <c r="AB2730" t="s">
        <v>19814</v>
      </c>
    </row>
    <row r="2731" spans="1:28" x14ac:dyDescent="0.25">
      <c r="A2731" t="s">
        <v>2735</v>
      </c>
      <c r="B2731">
        <v>0.99876560204751996</v>
      </c>
      <c r="C2731">
        <v>1.0159820879175401</v>
      </c>
      <c r="D2731">
        <v>0.93308958101900397</v>
      </c>
      <c r="E2731">
        <v>0.92788874903648799</v>
      </c>
      <c r="F2731">
        <v>0.75128214849215103</v>
      </c>
      <c r="G2731">
        <v>0.31011936691365699</v>
      </c>
      <c r="H2731">
        <v>0.210200345867254</v>
      </c>
      <c r="I2731">
        <v>0.19510676959723899</v>
      </c>
      <c r="J2731">
        <v>0.22157633803250201</v>
      </c>
      <c r="K2731">
        <v>0.178487809655728</v>
      </c>
      <c r="L2731">
        <v>1808.52839939454</v>
      </c>
      <c r="M2731">
        <v>33.395773175400997</v>
      </c>
      <c r="N2731">
        <v>54.959426717489798</v>
      </c>
      <c r="O2731">
        <v>53.961338755508599</v>
      </c>
      <c r="P2731">
        <v>-0.124793644271798</v>
      </c>
      <c r="Q2731">
        <v>0.19343048922092901</v>
      </c>
      <c r="R2731">
        <v>0.99505968020962698</v>
      </c>
      <c r="S2731" t="s">
        <v>7027</v>
      </c>
      <c r="T2731" t="s">
        <v>8590</v>
      </c>
      <c r="U2731" t="s">
        <v>8590</v>
      </c>
      <c r="V2731" t="s">
        <v>8590</v>
      </c>
      <c r="W2731">
        <v>6</v>
      </c>
      <c r="X2731" t="s">
        <v>11321</v>
      </c>
      <c r="Y2731">
        <v>0.57828954063813287</v>
      </c>
      <c r="Z2731" t="str">
        <f>HYPERLINK("Melting_Curves/meltCurve_sp_Q96ME1_4_FXL18_HUMAN_.pdf", "Melting_Curves/meltCurve_sp_Q96ME1_4_FXL18_HUMAN_.pdf")</f>
        <v>Melting_Curves/meltCurve_sp_Q96ME1_4_FXL18_HUMAN_.pdf</v>
      </c>
      <c r="AA2731" t="s">
        <v>15572</v>
      </c>
      <c r="AB2731" t="s">
        <v>19815</v>
      </c>
    </row>
    <row r="2732" spans="1:28" x14ac:dyDescent="0.25">
      <c r="A2732" t="s">
        <v>2736</v>
      </c>
      <c r="B2732">
        <v>0.99876560204751996</v>
      </c>
      <c r="C2732">
        <v>0.89838570734591905</v>
      </c>
      <c r="D2732">
        <v>0.72567248524617101</v>
      </c>
      <c r="E2732">
        <v>0.64588303591183605</v>
      </c>
      <c r="F2732">
        <v>0.33200505202515801</v>
      </c>
      <c r="G2732">
        <v>0.202727266480422</v>
      </c>
      <c r="H2732">
        <v>9.7956692649678004E-2</v>
      </c>
      <c r="I2732">
        <v>6.7234070570167698E-2</v>
      </c>
      <c r="J2732">
        <v>8.4796584224727897E-2</v>
      </c>
      <c r="K2732">
        <v>2.99056027577045E-2</v>
      </c>
      <c r="L2732">
        <v>632.90084293691302</v>
      </c>
      <c r="M2732">
        <v>12.450186430934</v>
      </c>
      <c r="N2732">
        <v>50.863094622122702</v>
      </c>
      <c r="O2732">
        <v>49.576610357296303</v>
      </c>
      <c r="P2732">
        <v>-6.2577654599948199E-2</v>
      </c>
      <c r="Q2732">
        <v>3.4720163541251598E-3</v>
      </c>
      <c r="R2732">
        <v>0.98624719843036601</v>
      </c>
      <c r="S2732" t="s">
        <v>7028</v>
      </c>
      <c r="T2732" t="s">
        <v>8590</v>
      </c>
      <c r="U2732" t="s">
        <v>8590</v>
      </c>
      <c r="V2732" t="s">
        <v>8590</v>
      </c>
      <c r="W2732">
        <v>1</v>
      </c>
      <c r="X2732" t="s">
        <v>11322</v>
      </c>
      <c r="Y2732">
        <v>0.3944683570862525</v>
      </c>
      <c r="Z2732" t="str">
        <f>HYPERLINK("Melting_Curves/meltCurve_sp_Q96MG8_PCMD1_HUMAN_.pdf", "Melting_Curves/meltCurve_sp_Q96MG8_PCMD1_HUMAN_.pdf")</f>
        <v>Melting_Curves/meltCurve_sp_Q96MG8_PCMD1_HUMAN_.pdf</v>
      </c>
      <c r="AA2732" t="s">
        <v>15573</v>
      </c>
      <c r="AB2732" t="s">
        <v>19816</v>
      </c>
    </row>
    <row r="2733" spans="1:28" x14ac:dyDescent="0.25">
      <c r="A2733" t="s">
        <v>2737</v>
      </c>
      <c r="B2733">
        <v>0.99876560204751996</v>
      </c>
      <c r="C2733">
        <v>1.05689033753482</v>
      </c>
      <c r="D2733">
        <v>1.0426362200052</v>
      </c>
      <c r="E2733">
        <v>0.999596903462452</v>
      </c>
      <c r="F2733">
        <v>0.91189127358419197</v>
      </c>
      <c r="G2733">
        <v>0.67203629960162004</v>
      </c>
      <c r="H2733">
        <v>0.59737228030624101</v>
      </c>
      <c r="I2733">
        <v>0.57791211613869597</v>
      </c>
      <c r="J2733">
        <v>0.73430273947295799</v>
      </c>
      <c r="K2733">
        <v>0.63503375489275204</v>
      </c>
      <c r="L2733">
        <v>2711.6278812718601</v>
      </c>
      <c r="M2733">
        <v>49.999276353491801</v>
      </c>
      <c r="O2733">
        <v>54.146797441309602</v>
      </c>
      <c r="P2733">
        <v>-8.3799798042546794E-2</v>
      </c>
      <c r="Q2733">
        <v>0.63699580004050604</v>
      </c>
      <c r="R2733">
        <v>0.94346822679812903</v>
      </c>
      <c r="S2733" t="s">
        <v>7029</v>
      </c>
      <c r="T2733" t="s">
        <v>8590</v>
      </c>
      <c r="U2733" t="s">
        <v>8590</v>
      </c>
      <c r="V2733" t="s">
        <v>8590</v>
      </c>
      <c r="W2733">
        <v>5</v>
      </c>
      <c r="X2733" t="s">
        <v>11323</v>
      </c>
      <c r="Y2733">
        <v>0.81008936532690456</v>
      </c>
      <c r="Z2733" t="str">
        <f>HYPERLINK("Melting_Curves/meltCurve_sp_Q96MH2_HEXI2_HUMAN_.pdf", "Melting_Curves/meltCurve_sp_Q96MH2_HEXI2_HUMAN_.pdf")</f>
        <v>Melting_Curves/meltCurve_sp_Q96MH2_HEXI2_HUMAN_.pdf</v>
      </c>
      <c r="AA2733" t="s">
        <v>15574</v>
      </c>
      <c r="AB2733" t="s">
        <v>19817</v>
      </c>
    </row>
    <row r="2734" spans="1:28" x14ac:dyDescent="0.25">
      <c r="A2734" t="s">
        <v>2738</v>
      </c>
      <c r="B2734">
        <v>0.99876560204751996</v>
      </c>
      <c r="C2734">
        <v>0.754378339411793</v>
      </c>
      <c r="D2734">
        <v>1.04997763319329</v>
      </c>
      <c r="E2734">
        <v>0.91404018134419496</v>
      </c>
      <c r="F2734">
        <v>1.2155631280449199</v>
      </c>
      <c r="G2734">
        <v>1.01278945764763</v>
      </c>
      <c r="H2734">
        <v>0.96504530300977498</v>
      </c>
      <c r="I2734">
        <v>1.15570849541321</v>
      </c>
      <c r="J2734">
        <v>1.36766525857473</v>
      </c>
      <c r="K2734">
        <v>1.47048666752462</v>
      </c>
      <c r="L2734">
        <v>3240.1119502148699</v>
      </c>
      <c r="M2734">
        <v>49.7321072156927</v>
      </c>
      <c r="O2734">
        <v>65.046227197063502</v>
      </c>
      <c r="P2734">
        <v>9.1301338527634904E-2</v>
      </c>
      <c r="Q2734">
        <v>1.47766343396185</v>
      </c>
      <c r="R2734">
        <v>0.71243821009000197</v>
      </c>
      <c r="S2734" t="s">
        <v>7030</v>
      </c>
      <c r="T2734" t="s">
        <v>8590</v>
      </c>
      <c r="U2734" t="s">
        <v>8590</v>
      </c>
      <c r="V2734" t="s">
        <v>8590</v>
      </c>
      <c r="W2734">
        <v>1</v>
      </c>
      <c r="X2734" t="s">
        <v>11324</v>
      </c>
      <c r="Y2734">
        <v>1.0766054206662921</v>
      </c>
      <c r="Z2734" t="str">
        <f>HYPERLINK("Melting_Curves/meltCurve_sp_Q96MU7_2_YTDC1_HUMAN_.pdf", "Melting_Curves/meltCurve_sp_Q96MU7_2_YTDC1_HUMAN_.pdf")</f>
        <v>Melting_Curves/meltCurve_sp_Q96MU7_2_YTDC1_HUMAN_.pdf</v>
      </c>
      <c r="AA2734" t="s">
        <v>15575</v>
      </c>
      <c r="AB2734" t="s">
        <v>19818</v>
      </c>
    </row>
    <row r="2735" spans="1:28" x14ac:dyDescent="0.25">
      <c r="A2735" t="s">
        <v>2739</v>
      </c>
      <c r="B2735">
        <v>0.99876560204751996</v>
      </c>
      <c r="C2735">
        <v>0.77398368861117495</v>
      </c>
      <c r="D2735">
        <v>0.69333443496031699</v>
      </c>
      <c r="E2735">
        <v>0.96190607721575105</v>
      </c>
      <c r="F2735">
        <v>1.4056649302759601</v>
      </c>
      <c r="G2735">
        <v>1.04910532048092</v>
      </c>
      <c r="H2735">
        <v>1.1204974353147601</v>
      </c>
      <c r="I2735">
        <v>1.3154328177339101</v>
      </c>
      <c r="J2735">
        <v>1.5924531338326999</v>
      </c>
      <c r="K2735">
        <v>1.62361369575335</v>
      </c>
      <c r="L2735">
        <v>3186.4910367418302</v>
      </c>
      <c r="M2735">
        <v>50.758079034824497</v>
      </c>
      <c r="O2735">
        <v>62.680781024341698</v>
      </c>
      <c r="P2735">
        <v>0.10122343399321899</v>
      </c>
      <c r="Q2735">
        <v>1.5</v>
      </c>
      <c r="R2735">
        <v>0.63008960322984098</v>
      </c>
      <c r="S2735" t="s">
        <v>7031</v>
      </c>
      <c r="T2735" t="s">
        <v>8590</v>
      </c>
      <c r="U2735" t="s">
        <v>8590</v>
      </c>
      <c r="V2735" t="s">
        <v>8590</v>
      </c>
      <c r="W2735">
        <v>2</v>
      </c>
      <c r="X2735" t="s">
        <v>11325</v>
      </c>
      <c r="Y2735">
        <v>1.1191655725604059</v>
      </c>
      <c r="Z2735" t="str">
        <f>HYPERLINK("Melting_Curves/meltCurve_sp_Q96MW1_CCD43_HUMAN_.pdf", "Melting_Curves/meltCurve_sp_Q96MW1_CCD43_HUMAN_.pdf")</f>
        <v>Melting_Curves/meltCurve_sp_Q96MW1_CCD43_HUMAN_.pdf</v>
      </c>
      <c r="AA2735" t="s">
        <v>15576</v>
      </c>
      <c r="AB2735" t="s">
        <v>19819</v>
      </c>
    </row>
    <row r="2736" spans="1:28" x14ac:dyDescent="0.25">
      <c r="A2736" t="s">
        <v>2740</v>
      </c>
      <c r="B2736">
        <v>0.99876560204751996</v>
      </c>
      <c r="C2736">
        <v>1.0455097925896799</v>
      </c>
      <c r="D2736">
        <v>1.02431618972163</v>
      </c>
      <c r="E2736">
        <v>0.858397624929775</v>
      </c>
      <c r="F2736">
        <v>0.60717364899428605</v>
      </c>
      <c r="G2736">
        <v>0.25927131489149202</v>
      </c>
      <c r="H2736">
        <v>9.2160478559735096E-2</v>
      </c>
      <c r="I2736">
        <v>8.8298049741087598E-2</v>
      </c>
      <c r="J2736">
        <v>6.6704467615109606E-2</v>
      </c>
      <c r="K2736">
        <v>6.78355343085663E-2</v>
      </c>
      <c r="L2736">
        <v>1310.3429137532701</v>
      </c>
      <c r="M2736">
        <v>24.384716660178501</v>
      </c>
      <c r="N2736">
        <v>54.026391942785203</v>
      </c>
      <c r="O2736">
        <v>53.378748305793998</v>
      </c>
      <c r="P2736">
        <v>-0.107198408781139</v>
      </c>
      <c r="Q2736">
        <v>6.1373988519521902E-2</v>
      </c>
      <c r="R2736">
        <v>0.99739808620425596</v>
      </c>
      <c r="S2736" t="s">
        <v>7032</v>
      </c>
      <c r="T2736" t="s">
        <v>8590</v>
      </c>
      <c r="U2736" t="s">
        <v>8590</v>
      </c>
      <c r="V2736" t="s">
        <v>8590</v>
      </c>
      <c r="W2736">
        <v>4</v>
      </c>
      <c r="X2736" t="s">
        <v>11326</v>
      </c>
      <c r="Y2736">
        <v>0.50022942255059843</v>
      </c>
      <c r="Z2736" t="str">
        <f>HYPERLINK("Melting_Curves/meltCurve_sp_Q96MX6_WDR92_HUMAN_.pdf", "Melting_Curves/meltCurve_sp_Q96MX6_WDR92_HUMAN_.pdf")</f>
        <v>Melting_Curves/meltCurve_sp_Q96MX6_WDR92_HUMAN_.pdf</v>
      </c>
      <c r="AA2736" t="s">
        <v>15577</v>
      </c>
      <c r="AB2736" t="s">
        <v>19820</v>
      </c>
    </row>
    <row r="2737" spans="1:28" x14ac:dyDescent="0.25">
      <c r="A2737" t="s">
        <v>2741</v>
      </c>
      <c r="B2737">
        <v>0.99876560204751996</v>
      </c>
      <c r="C2737">
        <v>1.1271299192837101</v>
      </c>
      <c r="D2737">
        <v>0.98581434262478296</v>
      </c>
      <c r="E2737">
        <v>0.65804168536229202</v>
      </c>
      <c r="F2737">
        <v>0.47674177207496499</v>
      </c>
      <c r="G2737">
        <v>0.40016160932719602</v>
      </c>
      <c r="H2737">
        <v>0.176326480451619</v>
      </c>
      <c r="I2737">
        <v>0.14619144611552601</v>
      </c>
      <c r="J2737">
        <v>0.115735195275583</v>
      </c>
      <c r="K2737">
        <v>0</v>
      </c>
      <c r="L2737">
        <v>759.90636260392796</v>
      </c>
      <c r="M2737">
        <v>14.265538848256201</v>
      </c>
      <c r="N2737">
        <v>53.598526884803199</v>
      </c>
      <c r="O2737">
        <v>52.254709627601599</v>
      </c>
      <c r="P2737">
        <v>-6.53900999086377E-2</v>
      </c>
      <c r="Q2737">
        <v>4.2021304194718702E-2</v>
      </c>
      <c r="R2737">
        <v>0.965219175228334</v>
      </c>
      <c r="S2737" t="s">
        <v>7033</v>
      </c>
      <c r="T2737" t="s">
        <v>8590</v>
      </c>
      <c r="U2737" t="s">
        <v>8590</v>
      </c>
      <c r="V2737" t="s">
        <v>8590</v>
      </c>
      <c r="W2737">
        <v>1</v>
      </c>
      <c r="X2737" t="s">
        <v>11327</v>
      </c>
      <c r="Y2737">
        <v>0.48749701459884531</v>
      </c>
      <c r="Z2737" t="str">
        <f>HYPERLINK("Melting_Curves/meltCurve_sp_Q96N67_4_DOCK7_HUMAN_.pdf", "Melting_Curves/meltCurve_sp_Q96N67_4_DOCK7_HUMAN_.pdf")</f>
        <v>Melting_Curves/meltCurve_sp_Q96N67_4_DOCK7_HUMAN_.pdf</v>
      </c>
      <c r="AA2737" t="s">
        <v>15578</v>
      </c>
      <c r="AB2737" t="s">
        <v>19821</v>
      </c>
    </row>
    <row r="2738" spans="1:28" x14ac:dyDescent="0.25">
      <c r="A2738" t="s">
        <v>2742</v>
      </c>
      <c r="B2738">
        <v>0.99876560204751996</v>
      </c>
      <c r="C2738">
        <v>1.0802792507738599</v>
      </c>
      <c r="D2738">
        <v>0.99897867436225496</v>
      </c>
      <c r="E2738">
        <v>0.91153411590063804</v>
      </c>
      <c r="F2738">
        <v>0.62439056320612896</v>
      </c>
      <c r="G2738">
        <v>0.42905539218322403</v>
      </c>
      <c r="H2738">
        <v>0.26136615973267302</v>
      </c>
      <c r="I2738">
        <v>0.15451770331304601</v>
      </c>
      <c r="J2738">
        <v>9.7599827627983596E-2</v>
      </c>
      <c r="K2738">
        <v>7.3837933514671897E-2</v>
      </c>
      <c r="L2738">
        <v>917.28633514136595</v>
      </c>
      <c r="M2738">
        <v>16.585469590041299</v>
      </c>
      <c r="N2738">
        <v>55.744992418490099</v>
      </c>
      <c r="O2738">
        <v>54.521345562141903</v>
      </c>
      <c r="P2738">
        <v>-7.1405570376144201E-2</v>
      </c>
      <c r="Q2738">
        <v>6.1138841444035301E-2</v>
      </c>
      <c r="R2738">
        <v>0.98827692201112105</v>
      </c>
      <c r="S2738" t="s">
        <v>7034</v>
      </c>
      <c r="T2738" t="s">
        <v>8590</v>
      </c>
      <c r="U2738" t="s">
        <v>8590</v>
      </c>
      <c r="V2738" t="s">
        <v>8590</v>
      </c>
      <c r="W2738">
        <v>31</v>
      </c>
      <c r="X2738" t="s">
        <v>11328</v>
      </c>
      <c r="Y2738">
        <v>0.55602800402710484</v>
      </c>
      <c r="Z2738" t="str">
        <f>HYPERLINK("Melting_Curves/meltCurve_sp_Q96N76_HUTU_HUMAN_.pdf", "Melting_Curves/meltCurve_sp_Q96N76_HUTU_HUMAN_.pdf")</f>
        <v>Melting_Curves/meltCurve_sp_Q96N76_HUTU_HUMAN_.pdf</v>
      </c>
      <c r="AA2738" t="s">
        <v>15579</v>
      </c>
      <c r="AB2738" t="s">
        <v>19822</v>
      </c>
    </row>
    <row r="2739" spans="1:28" x14ac:dyDescent="0.25">
      <c r="A2739" t="s">
        <v>2743</v>
      </c>
      <c r="B2739">
        <v>0.99876560204751996</v>
      </c>
      <c r="C2739">
        <v>1.68855841227595</v>
      </c>
      <c r="D2739">
        <v>1.60284467966616</v>
      </c>
      <c r="E2739">
        <v>1.3545230832203301</v>
      </c>
      <c r="F2739">
        <v>0.76180164692496699</v>
      </c>
      <c r="G2739">
        <v>0.35518414268492599</v>
      </c>
      <c r="H2739">
        <v>0.26043402859222597</v>
      </c>
      <c r="I2739">
        <v>0.16248457280440301</v>
      </c>
      <c r="J2739">
        <v>0.18741607157381901</v>
      </c>
      <c r="K2739">
        <v>0.113792666308299</v>
      </c>
      <c r="L2739">
        <v>2251.2958803256402</v>
      </c>
      <c r="M2739">
        <v>41.053555940164102</v>
      </c>
      <c r="N2739">
        <v>55.446205007756703</v>
      </c>
      <c r="O2739">
        <v>54.708389239204003</v>
      </c>
      <c r="P2739">
        <v>-0.15359244877421499</v>
      </c>
      <c r="Q2739">
        <v>0.18128607102159999</v>
      </c>
      <c r="R2739">
        <v>0.71658496247959702</v>
      </c>
      <c r="S2739" t="s">
        <v>7035</v>
      </c>
      <c r="T2739" t="s">
        <v>8590</v>
      </c>
      <c r="U2739" t="s">
        <v>8590</v>
      </c>
      <c r="V2739" t="s">
        <v>8590</v>
      </c>
      <c r="W2739">
        <v>7</v>
      </c>
      <c r="X2739" t="s">
        <v>11329</v>
      </c>
      <c r="Y2739">
        <v>0.58915957481858361</v>
      </c>
      <c r="Z2739" t="str">
        <f>HYPERLINK("Melting_Curves/meltCurve_sp_Q96NA2_RILP_HUMAN_.pdf", "Melting_Curves/meltCurve_sp_Q96NA2_RILP_HUMAN_.pdf")</f>
        <v>Melting_Curves/meltCurve_sp_Q96NA2_RILP_HUMAN_.pdf</v>
      </c>
      <c r="AA2739" t="s">
        <v>15580</v>
      </c>
      <c r="AB2739" t="s">
        <v>19823</v>
      </c>
    </row>
    <row r="2740" spans="1:28" x14ac:dyDescent="0.25">
      <c r="A2740" t="s">
        <v>2744</v>
      </c>
      <c r="B2740">
        <v>0.99876560204751996</v>
      </c>
      <c r="C2740">
        <v>0.94727023254550802</v>
      </c>
      <c r="D2740">
        <v>0.86805260252943595</v>
      </c>
      <c r="E2740">
        <v>0.59306164302779696</v>
      </c>
      <c r="F2740">
        <v>0.485755571211615</v>
      </c>
      <c r="G2740">
        <v>0.33503824249182101</v>
      </c>
      <c r="H2740">
        <v>0.30298908755280601</v>
      </c>
      <c r="I2740">
        <v>0.36415959858087998</v>
      </c>
      <c r="J2740">
        <v>0.44836437255637401</v>
      </c>
      <c r="K2740">
        <v>0.372372496414901</v>
      </c>
      <c r="L2740">
        <v>1072.09008766437</v>
      </c>
      <c r="M2740">
        <v>21.988492559759901</v>
      </c>
      <c r="N2740">
        <v>51.789451551832101</v>
      </c>
      <c r="O2740">
        <v>48.358980147377402</v>
      </c>
      <c r="P2740">
        <v>-7.2522019876921695E-2</v>
      </c>
      <c r="Q2740">
        <v>0.36202774328604898</v>
      </c>
      <c r="R2740">
        <v>0.97533592450303397</v>
      </c>
      <c r="S2740" t="s">
        <v>7036</v>
      </c>
      <c r="T2740" t="s">
        <v>8590</v>
      </c>
      <c r="U2740" t="s">
        <v>8590</v>
      </c>
      <c r="V2740" t="s">
        <v>8590</v>
      </c>
      <c r="W2740">
        <v>1</v>
      </c>
      <c r="X2740" t="s">
        <v>11330</v>
      </c>
      <c r="Y2740">
        <v>0.55561672116666794</v>
      </c>
      <c r="Z2740" t="str">
        <f>HYPERLINK("Melting_Curves/meltCurve_sp_Q96NB3_ZN830_HUMAN_.pdf", "Melting_Curves/meltCurve_sp_Q96NB3_ZN830_HUMAN_.pdf")</f>
        <v>Melting_Curves/meltCurve_sp_Q96NB3_ZN830_HUMAN_.pdf</v>
      </c>
      <c r="AA2740" t="s">
        <v>15581</v>
      </c>
      <c r="AB2740" t="s">
        <v>19824</v>
      </c>
    </row>
    <row r="2741" spans="1:28" x14ac:dyDescent="0.25">
      <c r="A2741" t="s">
        <v>2745</v>
      </c>
      <c r="B2741">
        <v>0.99876560204751996</v>
      </c>
      <c r="C2741">
        <v>0.94583085075136097</v>
      </c>
      <c r="D2741">
        <v>1.0354106421556499</v>
      </c>
      <c r="E2741">
        <v>0.93768840364639705</v>
      </c>
      <c r="F2741">
        <v>1.20076926065833</v>
      </c>
      <c r="G2741">
        <v>0.93350454880433997</v>
      </c>
      <c r="H2741">
        <v>0.95416122020497196</v>
      </c>
      <c r="I2741">
        <v>0.92602028804283998</v>
      </c>
      <c r="J2741">
        <v>1.13101178816024</v>
      </c>
      <c r="K2741">
        <v>1.09646198874367</v>
      </c>
      <c r="L2741">
        <v>9676.3540111699695</v>
      </c>
      <c r="M2741">
        <v>147.13934917225799</v>
      </c>
      <c r="O2741">
        <v>65.751052466465197</v>
      </c>
      <c r="P2741">
        <v>6.48955369046057E-2</v>
      </c>
      <c r="Q2741">
        <v>1.11599751395612</v>
      </c>
      <c r="R2741">
        <v>0.269875615075653</v>
      </c>
      <c r="S2741" t="s">
        <v>7037</v>
      </c>
      <c r="T2741" t="s">
        <v>8590</v>
      </c>
      <c r="U2741" t="s">
        <v>8590</v>
      </c>
      <c r="V2741" t="s">
        <v>8590</v>
      </c>
      <c r="W2741">
        <v>3</v>
      </c>
      <c r="X2741" t="s">
        <v>11331</v>
      </c>
      <c r="Y2741">
        <v>1.016343558971101</v>
      </c>
      <c r="Z2741" t="str">
        <f>HYPERLINK("Melting_Curves/meltCurve_sp_Q96NC0_ZMAT2_HUMAN_.pdf", "Melting_Curves/meltCurve_sp_Q96NC0_ZMAT2_HUMAN_.pdf")</f>
        <v>Melting_Curves/meltCurve_sp_Q96NC0_ZMAT2_HUMAN_.pdf</v>
      </c>
      <c r="AA2741" t="s">
        <v>15582</v>
      </c>
      <c r="AB2741" t="s">
        <v>19825</v>
      </c>
    </row>
    <row r="2742" spans="1:28" x14ac:dyDescent="0.25">
      <c r="A2742" t="s">
        <v>2746</v>
      </c>
      <c r="B2742">
        <v>0.99876560204751996</v>
      </c>
      <c r="C2742">
        <v>0.90362623244182105</v>
      </c>
      <c r="D2742">
        <v>1.0583177562430599</v>
      </c>
      <c r="E2742">
        <v>0.88226801107853803</v>
      </c>
      <c r="F2742">
        <v>0.83945660075056805</v>
      </c>
      <c r="G2742">
        <v>0.39876335987038702</v>
      </c>
      <c r="H2742">
        <v>0.14957740793836699</v>
      </c>
      <c r="I2742">
        <v>8.7022903488371398E-2</v>
      </c>
      <c r="J2742">
        <v>9.81239543542686E-2</v>
      </c>
      <c r="K2742">
        <v>7.62330044418216E-2</v>
      </c>
      <c r="L2742">
        <v>1466.92966995087</v>
      </c>
      <c r="M2742">
        <v>26.3202512483901</v>
      </c>
      <c r="N2742">
        <v>56.054829377518899</v>
      </c>
      <c r="O2742">
        <v>55.415139217632799</v>
      </c>
      <c r="P2742">
        <v>-0.110436764327814</v>
      </c>
      <c r="Q2742">
        <v>6.9947981704485698E-2</v>
      </c>
      <c r="R2742">
        <v>0.98753896669867403</v>
      </c>
      <c r="S2742" t="s">
        <v>7038</v>
      </c>
      <c r="T2742" t="s">
        <v>8590</v>
      </c>
      <c r="U2742" t="s">
        <v>8590</v>
      </c>
      <c r="V2742" t="s">
        <v>8590</v>
      </c>
      <c r="W2742">
        <v>1</v>
      </c>
      <c r="X2742" t="s">
        <v>11332</v>
      </c>
      <c r="Y2742">
        <v>0.56556550783146708</v>
      </c>
      <c r="Z2742" t="str">
        <f>HYPERLINK("Melting_Curves/meltCurve_sp_Q96NL8_CH037_HUMAN_.pdf", "Melting_Curves/meltCurve_sp_Q96NL8_CH037_HUMAN_.pdf")</f>
        <v>Melting_Curves/meltCurve_sp_Q96NL8_CH037_HUMAN_.pdf</v>
      </c>
      <c r="AA2742" t="s">
        <v>15583</v>
      </c>
      <c r="AB2742" t="s">
        <v>19826</v>
      </c>
    </row>
    <row r="2743" spans="1:28" x14ac:dyDescent="0.25">
      <c r="A2743" t="s">
        <v>2747</v>
      </c>
      <c r="B2743">
        <v>0.99876560204751996</v>
      </c>
      <c r="C2743">
        <v>1.0457307417727899</v>
      </c>
      <c r="D2743">
        <v>1.10431776197299</v>
      </c>
      <c r="E2743">
        <v>0.98076592796388196</v>
      </c>
      <c r="F2743">
        <v>0.96618455280440396</v>
      </c>
      <c r="G2743">
        <v>0.65037040679799496</v>
      </c>
      <c r="H2743">
        <v>0.61152913772964801</v>
      </c>
      <c r="I2743">
        <v>0.59410952235770698</v>
      </c>
      <c r="J2743">
        <v>0.68981632827572303</v>
      </c>
      <c r="K2743">
        <v>0.60712440806621504</v>
      </c>
      <c r="L2743">
        <v>3736.0463097657598</v>
      </c>
      <c r="M2743">
        <v>68.195619314367207</v>
      </c>
      <c r="O2743">
        <v>54.737228962800302</v>
      </c>
      <c r="P2743">
        <v>-0.11661974397189</v>
      </c>
      <c r="Q2743">
        <v>0.62558080708274</v>
      </c>
      <c r="R2743">
        <v>0.95207431252729002</v>
      </c>
      <c r="S2743" t="s">
        <v>7039</v>
      </c>
      <c r="T2743" t="s">
        <v>8590</v>
      </c>
      <c r="U2743" t="s">
        <v>8590</v>
      </c>
      <c r="V2743" t="s">
        <v>8590</v>
      </c>
      <c r="W2743">
        <v>2</v>
      </c>
      <c r="X2743" t="s">
        <v>11333</v>
      </c>
      <c r="Y2743">
        <v>0.81058290893545271</v>
      </c>
      <c r="Z2743" t="str">
        <f>HYPERLINK("Melting_Curves/meltCurve_sp_Q96NT1_NP1L5_HUMAN_.pdf", "Melting_Curves/meltCurve_sp_Q96NT1_NP1L5_HUMAN_.pdf")</f>
        <v>Melting_Curves/meltCurve_sp_Q96NT1_NP1L5_HUMAN_.pdf</v>
      </c>
      <c r="AA2743" t="s">
        <v>15584</v>
      </c>
      <c r="AB2743" t="s">
        <v>19827</v>
      </c>
    </row>
    <row r="2744" spans="1:28" x14ac:dyDescent="0.25">
      <c r="A2744" t="s">
        <v>2748</v>
      </c>
      <c r="B2744">
        <v>0.99876560204751996</v>
      </c>
      <c r="C2744">
        <v>1.01777476187773</v>
      </c>
      <c r="D2744">
        <v>1.0262156101520901</v>
      </c>
      <c r="E2744">
        <v>1.0107673096978</v>
      </c>
      <c r="F2744">
        <v>0.86782072652256503</v>
      </c>
      <c r="G2744">
        <v>0.22477173136680001</v>
      </c>
      <c r="H2744">
        <v>9.2688243071959997E-2</v>
      </c>
      <c r="I2744">
        <v>5.8980756445300597E-2</v>
      </c>
      <c r="J2744">
        <v>5.6536436640368601E-2</v>
      </c>
      <c r="K2744">
        <v>4.7060468012838801E-2</v>
      </c>
      <c r="L2744">
        <v>2533.57917995649</v>
      </c>
      <c r="M2744">
        <v>45.983867485656802</v>
      </c>
      <c r="N2744">
        <v>55.251195781072703</v>
      </c>
      <c r="O2744">
        <v>54.993244421293298</v>
      </c>
      <c r="P2744">
        <v>-0.196465086064112</v>
      </c>
      <c r="Q2744">
        <v>6.01715035721474E-2</v>
      </c>
      <c r="R2744">
        <v>0.99897851047113895</v>
      </c>
      <c r="S2744" t="s">
        <v>7040</v>
      </c>
      <c r="T2744" t="s">
        <v>8590</v>
      </c>
      <c r="U2744" t="s">
        <v>8590</v>
      </c>
      <c r="V2744" t="s">
        <v>8590</v>
      </c>
      <c r="W2744">
        <v>21</v>
      </c>
      <c r="X2744" t="s">
        <v>11334</v>
      </c>
      <c r="Y2744">
        <v>0.5358283492018866</v>
      </c>
      <c r="Z2744" t="str">
        <f>HYPERLINK("Melting_Curves/meltCurve_sp_Q96NU7_HUTI_HUMAN_.pdf", "Melting_Curves/meltCurve_sp_Q96NU7_HUTI_HUMAN_.pdf")</f>
        <v>Melting_Curves/meltCurve_sp_Q96NU7_HUTI_HUMAN_.pdf</v>
      </c>
      <c r="AA2744" t="s">
        <v>15585</v>
      </c>
      <c r="AB2744" t="s">
        <v>19828</v>
      </c>
    </row>
    <row r="2745" spans="1:28" x14ac:dyDescent="0.25">
      <c r="A2745" t="s">
        <v>2749</v>
      </c>
      <c r="B2745">
        <v>0.99876560204751996</v>
      </c>
      <c r="C2745">
        <v>1.00763270293372</v>
      </c>
      <c r="D2745">
        <v>1.05302969351458</v>
      </c>
      <c r="E2745">
        <v>1.0196967331401401</v>
      </c>
      <c r="F2745">
        <v>1.09804032859525</v>
      </c>
      <c r="G2745">
        <v>0.81003986331403999</v>
      </c>
      <c r="H2745">
        <v>0.63653204998378099</v>
      </c>
      <c r="I2745">
        <v>0.65560759011737202</v>
      </c>
      <c r="J2745">
        <v>0.74739299030347595</v>
      </c>
      <c r="K2745">
        <v>0.74958440734532406</v>
      </c>
      <c r="L2745">
        <v>14220.271804132701</v>
      </c>
      <c r="M2745">
        <v>250</v>
      </c>
      <c r="O2745">
        <v>56.877447467985199</v>
      </c>
      <c r="P2745">
        <v>-0.33264584364085398</v>
      </c>
      <c r="Q2745">
        <v>0.69727925780449396</v>
      </c>
      <c r="R2745">
        <v>0.91482849361929397</v>
      </c>
      <c r="S2745" t="s">
        <v>7041</v>
      </c>
      <c r="T2745" t="s">
        <v>8590</v>
      </c>
      <c r="U2745" t="s">
        <v>8590</v>
      </c>
      <c r="V2745" t="s">
        <v>8590</v>
      </c>
      <c r="W2745">
        <v>1</v>
      </c>
      <c r="X2745" t="s">
        <v>11335</v>
      </c>
      <c r="Y2745">
        <v>0.86765131873908297</v>
      </c>
      <c r="Z2745" t="str">
        <f>HYPERLINK("Melting_Curves/meltCurve_sp_Q96NZ9_PRAP1_HUMAN_.pdf", "Melting_Curves/meltCurve_sp_Q96NZ9_PRAP1_HUMAN_.pdf")</f>
        <v>Melting_Curves/meltCurve_sp_Q96NZ9_PRAP1_HUMAN_.pdf</v>
      </c>
      <c r="AA2745" t="s">
        <v>15586</v>
      </c>
      <c r="AB2745" t="s">
        <v>19829</v>
      </c>
    </row>
    <row r="2746" spans="1:28" x14ac:dyDescent="0.25">
      <c r="A2746" t="s">
        <v>2750</v>
      </c>
      <c r="B2746">
        <v>0.99876560204751996</v>
      </c>
      <c r="C2746">
        <v>0.85740719433247004</v>
      </c>
      <c r="D2746">
        <v>0.91160964143697198</v>
      </c>
      <c r="E2746">
        <v>0.59245958996339299</v>
      </c>
      <c r="F2746">
        <v>0.39255595033789598</v>
      </c>
      <c r="G2746">
        <v>0.28644673354926198</v>
      </c>
      <c r="H2746">
        <v>0.154463699364425</v>
      </c>
      <c r="I2746">
        <v>0.127782288772848</v>
      </c>
      <c r="J2746">
        <v>0.116838988930801</v>
      </c>
      <c r="K2746">
        <v>5.5976356174923497E-2</v>
      </c>
      <c r="L2746">
        <v>697.61891065408599</v>
      </c>
      <c r="M2746">
        <v>13.6175550839466</v>
      </c>
      <c r="N2746">
        <v>51.737675213346201</v>
      </c>
      <c r="O2746">
        <v>50.162501058832603</v>
      </c>
      <c r="P2746">
        <v>-6.3627378607501006E-2</v>
      </c>
      <c r="Q2746">
        <v>6.2610903283383104E-2</v>
      </c>
      <c r="R2746">
        <v>0.98606646059925396</v>
      </c>
      <c r="S2746" t="s">
        <v>7042</v>
      </c>
      <c r="T2746" t="s">
        <v>8590</v>
      </c>
      <c r="U2746" t="s">
        <v>8590</v>
      </c>
      <c r="V2746" t="s">
        <v>8590</v>
      </c>
      <c r="W2746">
        <v>4</v>
      </c>
      <c r="X2746" t="s">
        <v>11336</v>
      </c>
      <c r="Y2746">
        <v>0.43853414703404198</v>
      </c>
      <c r="Z2746" t="str">
        <f>HYPERLINK("Melting_Curves/meltCurve_sp_Q96P16_3_RPR1A_HUMAN_.pdf", "Melting_Curves/meltCurve_sp_Q96P16_3_RPR1A_HUMAN_.pdf")</f>
        <v>Melting_Curves/meltCurve_sp_Q96P16_3_RPR1A_HUMAN_.pdf</v>
      </c>
      <c r="AA2746" t="s">
        <v>15587</v>
      </c>
      <c r="AB2746" t="s">
        <v>19830</v>
      </c>
    </row>
    <row r="2747" spans="1:28" x14ac:dyDescent="0.25">
      <c r="A2747" t="s">
        <v>2751</v>
      </c>
      <c r="B2747">
        <v>0.99876560204751996</v>
      </c>
      <c r="C2747">
        <v>0.55749821673021305</v>
      </c>
      <c r="D2747">
        <v>0.84380043103491398</v>
      </c>
      <c r="E2747">
        <v>0.71408276966758</v>
      </c>
      <c r="F2747">
        <v>0.47726558873555702</v>
      </c>
      <c r="G2747">
        <v>0.26139040244040002</v>
      </c>
      <c r="H2747">
        <v>0.14964470393419099</v>
      </c>
      <c r="I2747">
        <v>7.6503029277383797E-2</v>
      </c>
      <c r="J2747">
        <v>9.5405623899847206E-2</v>
      </c>
      <c r="K2747">
        <v>4.8668738509325099E-2</v>
      </c>
      <c r="L2747">
        <v>494.69199084852198</v>
      </c>
      <c r="M2747">
        <v>9.5605563317344195</v>
      </c>
      <c r="N2747">
        <v>51.743004770186403</v>
      </c>
      <c r="O2747">
        <v>49.631071215812597</v>
      </c>
      <c r="P2747">
        <v>-4.8185924825994098E-2</v>
      </c>
      <c r="Q2747">
        <v>0</v>
      </c>
      <c r="R2747">
        <v>0.87336120393502703</v>
      </c>
      <c r="S2747" t="s">
        <v>7043</v>
      </c>
      <c r="T2747" t="s">
        <v>8590</v>
      </c>
      <c r="U2747" t="s">
        <v>8590</v>
      </c>
      <c r="V2747" t="s">
        <v>8590</v>
      </c>
      <c r="W2747">
        <v>4</v>
      </c>
      <c r="X2747" t="s">
        <v>11337</v>
      </c>
      <c r="Y2747">
        <v>0.43231268866394618</v>
      </c>
      <c r="Z2747" t="str">
        <f>HYPERLINK("Melting_Curves/meltCurve_sp_Q96P47_AGAP3_HUMAN_.pdf", "Melting_Curves/meltCurve_sp_Q96P47_AGAP3_HUMAN_.pdf")</f>
        <v>Melting_Curves/meltCurve_sp_Q96P47_AGAP3_HUMAN_.pdf</v>
      </c>
      <c r="AA2747" t="s">
        <v>15588</v>
      </c>
      <c r="AB2747" t="s">
        <v>19831</v>
      </c>
    </row>
    <row r="2748" spans="1:28" x14ac:dyDescent="0.25">
      <c r="A2748" t="s">
        <v>2752</v>
      </c>
      <c r="B2748">
        <v>0.99876560204751996</v>
      </c>
      <c r="C2748">
        <v>1.0552424296468801</v>
      </c>
      <c r="D2748">
        <v>0.82205915333525403</v>
      </c>
      <c r="E2748">
        <v>0.42849379864238102</v>
      </c>
      <c r="F2748">
        <v>0.17615854636566999</v>
      </c>
      <c r="G2748">
        <v>0.110333700970549</v>
      </c>
      <c r="H2748">
        <v>3.0886561989252801E-2</v>
      </c>
      <c r="I2748">
        <v>2.4764922130537999E-2</v>
      </c>
      <c r="J2748">
        <v>0</v>
      </c>
      <c r="K2748">
        <v>6.02839932831939E-2</v>
      </c>
      <c r="L2748">
        <v>1178.0191557605301</v>
      </c>
      <c r="M2748">
        <v>23.938620040054101</v>
      </c>
      <c r="N2748">
        <v>49.3542961792486</v>
      </c>
      <c r="O2748">
        <v>48.870450716951098</v>
      </c>
      <c r="P2748">
        <v>-0.118322242527977</v>
      </c>
      <c r="Q2748">
        <v>3.3801029765256799E-2</v>
      </c>
      <c r="R2748">
        <v>0.99301887963178204</v>
      </c>
      <c r="S2748" t="s">
        <v>7044</v>
      </c>
      <c r="T2748" t="s">
        <v>8590</v>
      </c>
      <c r="U2748" t="s">
        <v>8590</v>
      </c>
      <c r="V2748" t="s">
        <v>8590</v>
      </c>
      <c r="W2748">
        <v>2</v>
      </c>
      <c r="X2748" t="s">
        <v>11338</v>
      </c>
      <c r="Y2748">
        <v>0.339794957353863</v>
      </c>
      <c r="Z2748" t="str">
        <f>HYPERLINK("Melting_Curves/meltCurve_sp_Q96P48_7_ARAP1_HUMAN_.pdf", "Melting_Curves/meltCurve_sp_Q96P48_7_ARAP1_HUMAN_.pdf")</f>
        <v>Melting_Curves/meltCurve_sp_Q96P48_7_ARAP1_HUMAN_.pdf</v>
      </c>
      <c r="AA2748" t="s">
        <v>15589</v>
      </c>
      <c r="AB2748" t="s">
        <v>19832</v>
      </c>
    </row>
    <row r="2749" spans="1:28" x14ac:dyDescent="0.25">
      <c r="A2749" t="s">
        <v>2753</v>
      </c>
      <c r="B2749">
        <v>0.99876560204751996</v>
      </c>
      <c r="C2749">
        <v>1.0129246577981601</v>
      </c>
      <c r="D2749">
        <v>0.937924648147346</v>
      </c>
      <c r="E2749">
        <v>1.01460377782602</v>
      </c>
      <c r="F2749">
        <v>0.86187368504192696</v>
      </c>
      <c r="G2749">
        <v>0.78709753986113695</v>
      </c>
      <c r="H2749">
        <v>0.55309607537149297</v>
      </c>
      <c r="I2749">
        <v>0.40116742789848697</v>
      </c>
      <c r="J2749">
        <v>0.297827638333579</v>
      </c>
      <c r="K2749">
        <v>9.7060548872124203E-2</v>
      </c>
      <c r="L2749">
        <v>883.12753826853395</v>
      </c>
      <c r="M2749">
        <v>14.2512414073052</v>
      </c>
      <c r="N2749">
        <v>61.968463876105403</v>
      </c>
      <c r="O2749">
        <v>60.786582214645698</v>
      </c>
      <c r="P2749">
        <v>-5.8619003356181899E-2</v>
      </c>
      <c r="Q2749">
        <v>0</v>
      </c>
      <c r="R2749">
        <v>0.985202089323998</v>
      </c>
      <c r="S2749" t="s">
        <v>7045</v>
      </c>
      <c r="T2749" t="s">
        <v>8590</v>
      </c>
      <c r="U2749" t="s">
        <v>8590</v>
      </c>
      <c r="V2749" t="s">
        <v>8590</v>
      </c>
      <c r="W2749">
        <v>19</v>
      </c>
      <c r="X2749" t="s">
        <v>11339</v>
      </c>
      <c r="Y2749">
        <v>0.72803753136256266</v>
      </c>
      <c r="Z2749" t="str">
        <f>HYPERLINK("Melting_Curves/meltCurve_sp_Q96P70_IPO9_HUMAN_.pdf", "Melting_Curves/meltCurve_sp_Q96P70_IPO9_HUMAN_.pdf")</f>
        <v>Melting_Curves/meltCurve_sp_Q96P70_IPO9_HUMAN_.pdf</v>
      </c>
      <c r="AA2749" t="s">
        <v>15590</v>
      </c>
      <c r="AB2749" t="s">
        <v>19833</v>
      </c>
    </row>
    <row r="2750" spans="1:28" x14ac:dyDescent="0.25">
      <c r="A2750" t="s">
        <v>2754</v>
      </c>
      <c r="B2750">
        <v>0.99876560204751996</v>
      </c>
      <c r="C2750">
        <v>0.94782631468200695</v>
      </c>
      <c r="D2750">
        <v>0.88708458881949004</v>
      </c>
      <c r="E2750">
        <v>0.89966121470109905</v>
      </c>
      <c r="F2750">
        <v>0.75157428063640597</v>
      </c>
      <c r="G2750">
        <v>0.53075183910040602</v>
      </c>
      <c r="H2750">
        <v>0.42981249555276202</v>
      </c>
      <c r="I2750">
        <v>0.39628225409599199</v>
      </c>
      <c r="J2750">
        <v>0.34268647259381901</v>
      </c>
      <c r="K2750">
        <v>0.22004566938387099</v>
      </c>
      <c r="L2750">
        <v>577.77096750815599</v>
      </c>
      <c r="M2750">
        <v>10.0833602885331</v>
      </c>
      <c r="N2750">
        <v>59.251070645333797</v>
      </c>
      <c r="O2750">
        <v>55.182684900590097</v>
      </c>
      <c r="P2750">
        <v>-3.9245279553070403E-2</v>
      </c>
      <c r="Q2750">
        <v>0.14130216837277601</v>
      </c>
      <c r="R2750">
        <v>0.98159657907872799</v>
      </c>
      <c r="S2750" t="s">
        <v>7046</v>
      </c>
      <c r="T2750" t="s">
        <v>8590</v>
      </c>
      <c r="U2750" t="s">
        <v>8590</v>
      </c>
      <c r="V2750" t="s">
        <v>8590</v>
      </c>
      <c r="W2750">
        <v>4</v>
      </c>
      <c r="X2750" t="s">
        <v>11340</v>
      </c>
      <c r="Y2750">
        <v>0.64868126410447136</v>
      </c>
      <c r="Z2750" t="str">
        <f>HYPERLINK("Melting_Curves/meltCurve_sp_Q96PD5_PGRP2_HUMAN_.pdf", "Melting_Curves/meltCurve_sp_Q96PD5_PGRP2_HUMAN_.pdf")</f>
        <v>Melting_Curves/meltCurve_sp_Q96PD5_PGRP2_HUMAN_.pdf</v>
      </c>
      <c r="AA2750" t="s">
        <v>15591</v>
      </c>
      <c r="AB2750" t="s">
        <v>19834</v>
      </c>
    </row>
    <row r="2751" spans="1:28" x14ac:dyDescent="0.25">
      <c r="A2751" t="s">
        <v>2755</v>
      </c>
      <c r="B2751">
        <v>0.99876560204751996</v>
      </c>
      <c r="C2751">
        <v>0.97223407476842205</v>
      </c>
      <c r="D2751">
        <v>1.0658330996972301</v>
      </c>
      <c r="E2751">
        <v>0.972514463263083</v>
      </c>
      <c r="F2751">
        <v>1.02870700008031</v>
      </c>
      <c r="G2751">
        <v>0.83940025295832299</v>
      </c>
      <c r="H2751">
        <v>0.70709128038398905</v>
      </c>
      <c r="I2751">
        <v>0.62513150299520004</v>
      </c>
      <c r="J2751">
        <v>0.549000038691137</v>
      </c>
      <c r="K2751">
        <v>0.43518379236608101</v>
      </c>
      <c r="L2751">
        <v>981.56301207845502</v>
      </c>
      <c r="M2751">
        <v>15.842561243931</v>
      </c>
      <c r="N2751">
        <v>67.842478019532805</v>
      </c>
      <c r="O2751">
        <v>60.995374074898997</v>
      </c>
      <c r="P2751">
        <v>-4.0684717454480601E-2</v>
      </c>
      <c r="Q2751">
        <v>0.373490890797127</v>
      </c>
      <c r="R2751">
        <v>0.96993086722778898</v>
      </c>
      <c r="S2751" t="s">
        <v>7047</v>
      </c>
      <c r="T2751" t="s">
        <v>8590</v>
      </c>
      <c r="U2751" t="s">
        <v>8590</v>
      </c>
      <c r="V2751" t="s">
        <v>8590</v>
      </c>
      <c r="W2751">
        <v>9</v>
      </c>
      <c r="X2751" t="s">
        <v>11341</v>
      </c>
      <c r="Y2751">
        <v>0.83137469984374046</v>
      </c>
      <c r="Z2751" t="str">
        <f>HYPERLINK("Melting_Curves/meltCurve_sp_Q96PE7_MCEE_HUMAN_.pdf", "Melting_Curves/meltCurve_sp_Q96PE7_MCEE_HUMAN_.pdf")</f>
        <v>Melting_Curves/meltCurve_sp_Q96PE7_MCEE_HUMAN_.pdf</v>
      </c>
      <c r="AA2751" t="s">
        <v>15592</v>
      </c>
      <c r="AB2751" t="s">
        <v>19835</v>
      </c>
    </row>
    <row r="2752" spans="1:28" x14ac:dyDescent="0.25">
      <c r="A2752" t="s">
        <v>2756</v>
      </c>
      <c r="B2752">
        <v>0.99876560204751996</v>
      </c>
      <c r="C2752">
        <v>0.97041986029356897</v>
      </c>
      <c r="D2752">
        <v>0.95958261283403601</v>
      </c>
      <c r="E2752">
        <v>0.75609863744072003</v>
      </c>
      <c r="F2752">
        <v>0.56736952599373203</v>
      </c>
      <c r="G2752">
        <v>0.57871503025438897</v>
      </c>
      <c r="H2752">
        <v>0.52206485597510099</v>
      </c>
      <c r="I2752">
        <v>0.47700573977333199</v>
      </c>
      <c r="J2752">
        <v>0.53894244233549105</v>
      </c>
      <c r="K2752">
        <v>0.47516920773937399</v>
      </c>
      <c r="L2752">
        <v>1343.32567986913</v>
      </c>
      <c r="M2752">
        <v>26.921692416493901</v>
      </c>
      <c r="O2752">
        <v>49.624646612770299</v>
      </c>
      <c r="P2752">
        <v>-6.6454432386532397E-2</v>
      </c>
      <c r="Q2752">
        <v>0.510024180150073</v>
      </c>
      <c r="R2752">
        <v>0.98250912411053304</v>
      </c>
      <c r="S2752" t="s">
        <v>7048</v>
      </c>
      <c r="T2752" t="s">
        <v>8590</v>
      </c>
      <c r="U2752" t="s">
        <v>8590</v>
      </c>
      <c r="V2752" t="s">
        <v>8590</v>
      </c>
      <c r="W2752">
        <v>5</v>
      </c>
      <c r="X2752" t="s">
        <v>11342</v>
      </c>
      <c r="Y2752">
        <v>0.67544280612877639</v>
      </c>
      <c r="Z2752" t="str">
        <f>HYPERLINK("Melting_Curves/meltCurve_sp_Q96PK6_RBM14_HUMAN_.pdf", "Melting_Curves/meltCurve_sp_Q96PK6_RBM14_HUMAN_.pdf")</f>
        <v>Melting_Curves/meltCurve_sp_Q96PK6_RBM14_HUMAN_.pdf</v>
      </c>
      <c r="AA2752" t="s">
        <v>15593</v>
      </c>
      <c r="AB2752" t="s">
        <v>19836</v>
      </c>
    </row>
    <row r="2753" spans="1:28" x14ac:dyDescent="0.25">
      <c r="A2753" t="s">
        <v>2757</v>
      </c>
      <c r="B2753">
        <v>0.99876560204751996</v>
      </c>
      <c r="C2753">
        <v>1.0965021923617699</v>
      </c>
      <c r="D2753">
        <v>1.1491253521257401</v>
      </c>
      <c r="E2753">
        <v>1.0591062675849201</v>
      </c>
      <c r="F2753">
        <v>0.89650168944281405</v>
      </c>
      <c r="G2753">
        <v>0.83404240143830899</v>
      </c>
      <c r="H2753">
        <v>0.59887686634530002</v>
      </c>
      <c r="I2753">
        <v>0.64912421156612798</v>
      </c>
      <c r="J2753">
        <v>0.75887655295907697</v>
      </c>
      <c r="K2753">
        <v>0.82619588573388103</v>
      </c>
      <c r="L2753">
        <v>1948.2059394134899</v>
      </c>
      <c r="M2753">
        <v>35.3931098666678</v>
      </c>
      <c r="O2753">
        <v>54.869942045744402</v>
      </c>
      <c r="P2753">
        <v>-4.5957904054644297E-2</v>
      </c>
      <c r="Q2753">
        <v>0.71500678705278797</v>
      </c>
      <c r="R2753">
        <v>0.76211876643120402</v>
      </c>
      <c r="S2753" t="s">
        <v>7049</v>
      </c>
      <c r="T2753" t="s">
        <v>8590</v>
      </c>
      <c r="U2753" t="s">
        <v>8590</v>
      </c>
      <c r="V2753" t="s">
        <v>8590</v>
      </c>
      <c r="W2753">
        <v>3</v>
      </c>
      <c r="X2753" t="s">
        <v>11343</v>
      </c>
      <c r="Y2753">
        <v>0.85930423567563385</v>
      </c>
      <c r="Z2753" t="str">
        <f>HYPERLINK("Melting_Curves/meltCurve_sp_Q96PM5_3_ZN363_HUMAN_.pdf", "Melting_Curves/meltCurve_sp_Q96PM5_3_ZN363_HUMAN_.pdf")</f>
        <v>Melting_Curves/meltCurve_sp_Q96PM5_3_ZN363_HUMAN_.pdf</v>
      </c>
      <c r="AA2753" t="s">
        <v>15594</v>
      </c>
      <c r="AB2753" t="s">
        <v>19837</v>
      </c>
    </row>
    <row r="2754" spans="1:28" x14ac:dyDescent="0.25">
      <c r="A2754" t="s">
        <v>2758</v>
      </c>
      <c r="B2754">
        <v>0.99876560204751996</v>
      </c>
      <c r="C2754">
        <v>1.20390211477023</v>
      </c>
      <c r="D2754">
        <v>0.91652203429667101</v>
      </c>
      <c r="E2754">
        <v>0.92533015275401598</v>
      </c>
      <c r="F2754">
        <v>0.82161616723463804</v>
      </c>
      <c r="G2754">
        <v>0.59687536945140096</v>
      </c>
      <c r="H2754">
        <v>0.39895599275666899</v>
      </c>
      <c r="I2754">
        <v>0.30913181121913402</v>
      </c>
      <c r="J2754">
        <v>0.44248392979048301</v>
      </c>
      <c r="K2754">
        <v>0.50822157788726197</v>
      </c>
      <c r="L2754">
        <v>1421.5412457893499</v>
      </c>
      <c r="M2754">
        <v>25.9869479916625</v>
      </c>
      <c r="N2754">
        <v>58.497640702361103</v>
      </c>
      <c r="O2754">
        <v>54.381279878603401</v>
      </c>
      <c r="P2754">
        <v>-7.0798908904681199E-2</v>
      </c>
      <c r="Q2754">
        <v>0.40738082913910201</v>
      </c>
      <c r="R2754">
        <v>0.90717012868788405</v>
      </c>
      <c r="S2754" t="s">
        <v>7050</v>
      </c>
      <c r="T2754" t="s">
        <v>8590</v>
      </c>
      <c r="U2754" t="s">
        <v>8590</v>
      </c>
      <c r="V2754" t="s">
        <v>8590</v>
      </c>
      <c r="W2754">
        <v>8</v>
      </c>
      <c r="X2754" t="s">
        <v>11344</v>
      </c>
      <c r="Y2754">
        <v>0.70292557869985295</v>
      </c>
      <c r="Z2754" t="str">
        <f>HYPERLINK("Melting_Curves/meltCurve_sp_Q96PU8_5_QKI_HUMAN_.pdf", "Melting_Curves/meltCurve_sp_Q96PU8_5_QKI_HUMAN_.pdf")</f>
        <v>Melting_Curves/meltCurve_sp_Q96PU8_5_QKI_HUMAN_.pdf</v>
      </c>
      <c r="AA2754" t="s">
        <v>15595</v>
      </c>
      <c r="AB2754" t="s">
        <v>19838</v>
      </c>
    </row>
    <row r="2755" spans="1:28" x14ac:dyDescent="0.25">
      <c r="A2755" t="s">
        <v>2759</v>
      </c>
      <c r="B2755">
        <v>0.99876560204751996</v>
      </c>
      <c r="C2755">
        <v>1.0406966798771</v>
      </c>
      <c r="D2755">
        <v>1.00634556140989</v>
      </c>
      <c r="E2755">
        <v>0.88913179454844204</v>
      </c>
      <c r="F2755">
        <v>0.77557700741273705</v>
      </c>
      <c r="G2755">
        <v>0.52188071351613696</v>
      </c>
      <c r="H2755">
        <v>0.394978576152616</v>
      </c>
      <c r="I2755">
        <v>0.34493227251009501</v>
      </c>
      <c r="J2755">
        <v>0.39608619222800701</v>
      </c>
      <c r="K2755">
        <v>0.28704072104966699</v>
      </c>
      <c r="L2755">
        <v>1102.3899616459501</v>
      </c>
      <c r="M2755">
        <v>20.1757907161813</v>
      </c>
      <c r="N2755">
        <v>57.594733042833298</v>
      </c>
      <c r="O2755">
        <v>54.110987032688598</v>
      </c>
      <c r="P2755">
        <v>-6.31602505056999E-2</v>
      </c>
      <c r="Q2755">
        <v>0.32244450005935199</v>
      </c>
      <c r="R2755">
        <v>0.99018780454646205</v>
      </c>
      <c r="S2755" t="s">
        <v>7051</v>
      </c>
      <c r="T2755" t="s">
        <v>8590</v>
      </c>
      <c r="U2755" t="s">
        <v>8590</v>
      </c>
      <c r="V2755" t="s">
        <v>8590</v>
      </c>
      <c r="W2755">
        <v>7</v>
      </c>
      <c r="X2755" t="s">
        <v>11345</v>
      </c>
      <c r="Y2755">
        <v>0.66205192884051201</v>
      </c>
      <c r="Z2755" t="str">
        <f>HYPERLINK("Melting_Curves/meltCurve_sp_Q96PU8_9_QKI_HUMAN_.pdf", "Melting_Curves/meltCurve_sp_Q96PU8_9_QKI_HUMAN_.pdf")</f>
        <v>Melting_Curves/meltCurve_sp_Q96PU8_9_QKI_HUMAN_.pdf</v>
      </c>
      <c r="AA2755" t="s">
        <v>15595</v>
      </c>
      <c r="AB2755" t="s">
        <v>19839</v>
      </c>
    </row>
    <row r="2756" spans="1:28" x14ac:dyDescent="0.25">
      <c r="A2756" t="s">
        <v>2760</v>
      </c>
      <c r="B2756">
        <v>0.99876560204751996</v>
      </c>
      <c r="C2756">
        <v>0.94482153468999497</v>
      </c>
      <c r="D2756">
        <v>0.77643013003155803</v>
      </c>
      <c r="E2756">
        <v>0.66058455487162704</v>
      </c>
      <c r="F2756">
        <v>0.27893221074625202</v>
      </c>
      <c r="G2756">
        <v>0.142985103893389</v>
      </c>
      <c r="H2756">
        <v>8.7616201759440404E-2</v>
      </c>
      <c r="I2756">
        <v>1.73476989747058E-2</v>
      </c>
      <c r="J2756">
        <v>3.12145566160212E-2</v>
      </c>
      <c r="K2756">
        <v>0</v>
      </c>
      <c r="L2756">
        <v>815.14721451998901</v>
      </c>
      <c r="M2756">
        <v>16.036081203692099</v>
      </c>
      <c r="N2756">
        <v>50.8320653073961</v>
      </c>
      <c r="O2756">
        <v>50.061287483664003</v>
      </c>
      <c r="P2756">
        <v>-8.0088459576569807E-2</v>
      </c>
      <c r="Q2756">
        <v>0</v>
      </c>
      <c r="R2756">
        <v>0.98743218785065401</v>
      </c>
      <c r="S2756" t="s">
        <v>7052</v>
      </c>
      <c r="T2756" t="s">
        <v>8590</v>
      </c>
      <c r="U2756" t="s">
        <v>8590</v>
      </c>
      <c r="V2756" t="s">
        <v>8590</v>
      </c>
      <c r="W2756">
        <v>2</v>
      </c>
      <c r="X2756" t="s">
        <v>11346</v>
      </c>
      <c r="Y2756">
        <v>0.38179883150166533</v>
      </c>
      <c r="Z2756" t="str">
        <f>HYPERLINK("Melting_Curves/meltCurve_sp_Q96PV6_LENG8_HUMAN_.pdf", "Melting_Curves/meltCurve_sp_Q96PV6_LENG8_HUMAN_.pdf")</f>
        <v>Melting_Curves/meltCurve_sp_Q96PV6_LENG8_HUMAN_.pdf</v>
      </c>
      <c r="AA2756" t="s">
        <v>15596</v>
      </c>
      <c r="AB2756" t="s">
        <v>19840</v>
      </c>
    </row>
    <row r="2757" spans="1:28" x14ac:dyDescent="0.25">
      <c r="A2757" t="s">
        <v>2761</v>
      </c>
      <c r="B2757">
        <v>0.99876560204751996</v>
      </c>
      <c r="C2757">
        <v>0.85479986776099703</v>
      </c>
      <c r="D2757">
        <v>0.76651269757595397</v>
      </c>
      <c r="E2757">
        <v>0.85126825945350004</v>
      </c>
      <c r="F2757">
        <v>0.63418761137824298</v>
      </c>
      <c r="G2757">
        <v>0.55505539085314903</v>
      </c>
      <c r="H2757">
        <v>0.22812709756671001</v>
      </c>
      <c r="I2757">
        <v>0.160614605996245</v>
      </c>
      <c r="J2757">
        <v>0.133280611718891</v>
      </c>
      <c r="K2757">
        <v>0.15368426996940701</v>
      </c>
      <c r="L2757">
        <v>558.56525907401203</v>
      </c>
      <c r="M2757">
        <v>9.9947656704100698</v>
      </c>
      <c r="N2757">
        <v>55.8857783651166</v>
      </c>
      <c r="O2757">
        <v>53.786734851693403</v>
      </c>
      <c r="P2757">
        <v>-4.6478173399382199E-2</v>
      </c>
      <c r="Q2757">
        <v>0</v>
      </c>
      <c r="R2757">
        <v>0.94521903789700601</v>
      </c>
      <c r="S2757" t="s">
        <v>7053</v>
      </c>
      <c r="T2757" t="s">
        <v>8590</v>
      </c>
      <c r="U2757" t="s">
        <v>8590</v>
      </c>
      <c r="V2757" t="s">
        <v>8590</v>
      </c>
      <c r="W2757">
        <v>2</v>
      </c>
      <c r="X2757" t="s">
        <v>11347</v>
      </c>
      <c r="Y2757">
        <v>0.5511951097218919</v>
      </c>
      <c r="Z2757" t="str">
        <f>HYPERLINK("Melting_Curves/meltCurve_sp_Q96PZ0_PUS7_HUMAN_.pdf", "Melting_Curves/meltCurve_sp_Q96PZ0_PUS7_HUMAN_.pdf")</f>
        <v>Melting_Curves/meltCurve_sp_Q96PZ0_PUS7_HUMAN_.pdf</v>
      </c>
      <c r="AA2757" t="s">
        <v>15597</v>
      </c>
      <c r="AB2757" t="s">
        <v>19841</v>
      </c>
    </row>
    <row r="2758" spans="1:28" x14ac:dyDescent="0.25">
      <c r="A2758" t="s">
        <v>2762</v>
      </c>
      <c r="B2758">
        <v>0.99876560204751996</v>
      </c>
      <c r="C2758">
        <v>0.98882752860330503</v>
      </c>
      <c r="D2758">
        <v>0.909922459385753</v>
      </c>
      <c r="E2758">
        <v>0.87987755577903604</v>
      </c>
      <c r="F2758">
        <v>0.392000500214713</v>
      </c>
      <c r="G2758">
        <v>0.18970977105509801</v>
      </c>
      <c r="H2758">
        <v>2.2003338076725699E-2</v>
      </c>
      <c r="I2758">
        <v>1.95329223585754E-2</v>
      </c>
      <c r="J2758">
        <v>0</v>
      </c>
      <c r="K2758">
        <v>0</v>
      </c>
      <c r="L2758">
        <v>1454.4575344585901</v>
      </c>
      <c r="M2758">
        <v>27.6471063736129</v>
      </c>
      <c r="N2758">
        <v>52.656776272520403</v>
      </c>
      <c r="O2758">
        <v>52.335022784456399</v>
      </c>
      <c r="P2758">
        <v>-0.13039767939057401</v>
      </c>
      <c r="Q2758">
        <v>1.26556093299548E-2</v>
      </c>
      <c r="R2758">
        <v>0.98916452691434997</v>
      </c>
      <c r="S2758" t="s">
        <v>7054</v>
      </c>
      <c r="T2758" t="s">
        <v>8590</v>
      </c>
      <c r="U2758" t="s">
        <v>8590</v>
      </c>
      <c r="V2758" t="s">
        <v>8590</v>
      </c>
      <c r="W2758">
        <v>4</v>
      </c>
      <c r="X2758" t="s">
        <v>11348</v>
      </c>
      <c r="Y2758">
        <v>0.43507195372159041</v>
      </c>
      <c r="Z2758" t="str">
        <f>HYPERLINK("Melting_Curves/meltCurve_sp_Q96Q05_3_TPPC9_HUMAN_.pdf", "Melting_Curves/meltCurve_sp_Q96Q05_3_TPPC9_HUMAN_.pdf")</f>
        <v>Melting_Curves/meltCurve_sp_Q96Q05_3_TPPC9_HUMAN_.pdf</v>
      </c>
      <c r="AA2758" t="s">
        <v>15598</v>
      </c>
      <c r="AB2758" t="s">
        <v>19842</v>
      </c>
    </row>
    <row r="2759" spans="1:28" x14ac:dyDescent="0.25">
      <c r="A2759" t="s">
        <v>2763</v>
      </c>
      <c r="B2759">
        <v>0.99876560204751996</v>
      </c>
      <c r="C2759">
        <v>1.03158817139994</v>
      </c>
      <c r="D2759">
        <v>1.14247043554327</v>
      </c>
      <c r="E2759">
        <v>0.99664669142930395</v>
      </c>
      <c r="F2759">
        <v>1.08937934730056</v>
      </c>
      <c r="G2759">
        <v>0.74561897951675704</v>
      </c>
      <c r="H2759">
        <v>0.65283069486319101</v>
      </c>
      <c r="I2759">
        <v>0.57730003054352297</v>
      </c>
      <c r="J2759">
        <v>0.82004745199157003</v>
      </c>
      <c r="K2759">
        <v>0.74669124059288905</v>
      </c>
      <c r="L2759">
        <v>14153.0146131119</v>
      </c>
      <c r="M2759">
        <v>250</v>
      </c>
      <c r="O2759">
        <v>56.608435662515902</v>
      </c>
      <c r="P2759">
        <v>-0.33208682533244299</v>
      </c>
      <c r="Q2759">
        <v>0.69921734940687197</v>
      </c>
      <c r="R2759">
        <v>0.81747949599200098</v>
      </c>
      <c r="S2759" t="s">
        <v>7055</v>
      </c>
      <c r="T2759" t="s">
        <v>8590</v>
      </c>
      <c r="U2759" t="s">
        <v>8590</v>
      </c>
      <c r="V2759" t="s">
        <v>8590</v>
      </c>
      <c r="W2759">
        <v>44</v>
      </c>
      <c r="X2759" t="s">
        <v>11349</v>
      </c>
      <c r="Y2759">
        <v>0.86580119892140017</v>
      </c>
      <c r="Z2759" t="str">
        <f>HYPERLINK("Melting_Curves/meltCurve_sp_Q96Q06_2_PLIN4_HUMAN_.pdf", "Melting_Curves/meltCurve_sp_Q96Q06_2_PLIN4_HUMAN_.pdf")</f>
        <v>Melting_Curves/meltCurve_sp_Q96Q06_2_PLIN4_HUMAN_.pdf</v>
      </c>
      <c r="AA2759" t="s">
        <v>15599</v>
      </c>
      <c r="AB2759" t="s">
        <v>19843</v>
      </c>
    </row>
    <row r="2760" spans="1:28" x14ac:dyDescent="0.25">
      <c r="A2760" t="s">
        <v>2764</v>
      </c>
      <c r="B2760">
        <v>0.99876560204751996</v>
      </c>
      <c r="C2760">
        <v>0.91171369472036701</v>
      </c>
      <c r="D2760">
        <v>0.809428004632884</v>
      </c>
      <c r="E2760">
        <v>0.58299801460624401</v>
      </c>
      <c r="F2760">
        <v>0.16725358373121299</v>
      </c>
      <c r="G2760">
        <v>0.104812600488842</v>
      </c>
      <c r="H2760">
        <v>5.7754393833169597E-2</v>
      </c>
      <c r="I2760">
        <v>5.2570313595656698E-2</v>
      </c>
      <c r="J2760">
        <v>4.5812588014281501E-2</v>
      </c>
      <c r="K2760">
        <v>4.2837301495912403E-2</v>
      </c>
      <c r="L2760">
        <v>1018.98764076394</v>
      </c>
      <c r="M2760">
        <v>20.459573668051199</v>
      </c>
      <c r="N2760">
        <v>49.973378651309197</v>
      </c>
      <c r="O2760">
        <v>49.336470702773397</v>
      </c>
      <c r="P2760">
        <v>-0.10022229850645401</v>
      </c>
      <c r="Q2760">
        <v>3.3320014457330897E-2</v>
      </c>
      <c r="R2760">
        <v>0.98678561511003704</v>
      </c>
      <c r="S2760" t="s">
        <v>7056</v>
      </c>
      <c r="T2760" t="s">
        <v>8590</v>
      </c>
      <c r="U2760" t="s">
        <v>8590</v>
      </c>
      <c r="V2760" t="s">
        <v>8590</v>
      </c>
      <c r="W2760">
        <v>14</v>
      </c>
      <c r="X2760" t="s">
        <v>11350</v>
      </c>
      <c r="Y2760">
        <v>0.36213976539794868</v>
      </c>
      <c r="Z2760" t="str">
        <f>HYPERLINK("Melting_Curves/meltCurve_sp_Q96Q11_2_TRNT1_HUMAN_.pdf", "Melting_Curves/meltCurve_sp_Q96Q11_2_TRNT1_HUMAN_.pdf")</f>
        <v>Melting_Curves/meltCurve_sp_Q96Q11_2_TRNT1_HUMAN_.pdf</v>
      </c>
      <c r="AA2760" t="s">
        <v>15600</v>
      </c>
      <c r="AB2760" t="s">
        <v>19844</v>
      </c>
    </row>
    <row r="2761" spans="1:28" x14ac:dyDescent="0.25">
      <c r="A2761" t="s">
        <v>2765</v>
      </c>
      <c r="B2761">
        <v>0.99876560204751996</v>
      </c>
      <c r="C2761">
        <v>1.13987466688689</v>
      </c>
      <c r="D2761">
        <v>0.89963340189485297</v>
      </c>
      <c r="E2761">
        <v>0.76369954303495602</v>
      </c>
      <c r="F2761">
        <v>0.40038533435467999</v>
      </c>
      <c r="G2761">
        <v>0.14199189897263101</v>
      </c>
      <c r="H2761">
        <v>8.9609485153172894E-2</v>
      </c>
      <c r="I2761">
        <v>8.7093707500434103E-2</v>
      </c>
      <c r="J2761">
        <v>0.119848942533411</v>
      </c>
      <c r="K2761">
        <v>3.4280997075840099E-2</v>
      </c>
      <c r="L2761">
        <v>1390.4331664067399</v>
      </c>
      <c r="M2761">
        <v>26.825525650640799</v>
      </c>
      <c r="N2761">
        <v>52.147245744752098</v>
      </c>
      <c r="O2761">
        <v>51.546992749785502</v>
      </c>
      <c r="P2761">
        <v>-0.12037898969235</v>
      </c>
      <c r="Q2761">
        <v>7.4745156673818494E-2</v>
      </c>
      <c r="R2761">
        <v>0.98283776913705101</v>
      </c>
      <c r="S2761" t="s">
        <v>7057</v>
      </c>
      <c r="T2761" t="s">
        <v>8590</v>
      </c>
      <c r="U2761" t="s">
        <v>8590</v>
      </c>
      <c r="V2761" t="s">
        <v>8590</v>
      </c>
      <c r="W2761">
        <v>3</v>
      </c>
      <c r="X2761" t="s">
        <v>11351</v>
      </c>
      <c r="Y2761">
        <v>0.44703224831690952</v>
      </c>
      <c r="Z2761" t="str">
        <f>HYPERLINK("Melting_Curves/meltCurve_sp_Q96Q42_ALS2_HUMAN_.pdf", "Melting_Curves/meltCurve_sp_Q96Q42_ALS2_HUMAN_.pdf")</f>
        <v>Melting_Curves/meltCurve_sp_Q96Q42_ALS2_HUMAN_.pdf</v>
      </c>
      <c r="AA2761" t="s">
        <v>15601</v>
      </c>
      <c r="AB2761" t="s">
        <v>19845</v>
      </c>
    </row>
    <row r="2762" spans="1:28" x14ac:dyDescent="0.25">
      <c r="A2762" t="s">
        <v>2766</v>
      </c>
      <c r="B2762">
        <v>0.99876560204751996</v>
      </c>
      <c r="C2762">
        <v>0.94519115761788597</v>
      </c>
      <c r="D2762">
        <v>1.1419285977437399</v>
      </c>
      <c r="E2762">
        <v>0.67340248992489804</v>
      </c>
      <c r="F2762">
        <v>0.45019486378143297</v>
      </c>
      <c r="G2762">
        <v>0.32863479628271097</v>
      </c>
      <c r="H2762">
        <v>0.38949620994945999</v>
      </c>
      <c r="I2762">
        <v>0.34388147469400498</v>
      </c>
      <c r="J2762">
        <v>0.41589772338634101</v>
      </c>
      <c r="K2762">
        <v>0.45718490389801703</v>
      </c>
      <c r="L2762">
        <v>3258.15786813571</v>
      </c>
      <c r="M2762">
        <v>65.283702552917802</v>
      </c>
      <c r="N2762">
        <v>51.128171569548101</v>
      </c>
      <c r="O2762">
        <v>49.860908964017099</v>
      </c>
      <c r="P2762">
        <v>-0.19811127195386999</v>
      </c>
      <c r="Q2762">
        <v>0.39476440155908099</v>
      </c>
      <c r="R2762">
        <v>0.95571065253846699</v>
      </c>
      <c r="S2762" t="s">
        <v>7058</v>
      </c>
      <c r="T2762" t="s">
        <v>8590</v>
      </c>
      <c r="U2762" t="s">
        <v>8590</v>
      </c>
      <c r="V2762" t="s">
        <v>8590</v>
      </c>
      <c r="W2762">
        <v>3</v>
      </c>
      <c r="X2762" t="s">
        <v>11352</v>
      </c>
      <c r="Y2762">
        <v>0.59542675764676212</v>
      </c>
      <c r="Z2762" t="str">
        <f>HYPERLINK("Melting_Curves/meltCurve_sp_Q96Q83_ALKB3_HUMAN_.pdf", "Melting_Curves/meltCurve_sp_Q96Q83_ALKB3_HUMAN_.pdf")</f>
        <v>Melting_Curves/meltCurve_sp_Q96Q83_ALKB3_HUMAN_.pdf</v>
      </c>
      <c r="AA2762" t="s">
        <v>15602</v>
      </c>
      <c r="AB2762" t="s">
        <v>19846</v>
      </c>
    </row>
    <row r="2763" spans="1:28" x14ac:dyDescent="0.25">
      <c r="A2763" t="s">
        <v>2767</v>
      </c>
      <c r="B2763">
        <v>0.99876560204751996</v>
      </c>
      <c r="C2763">
        <v>1.23632728285589</v>
      </c>
      <c r="D2763">
        <v>0.72681738394054396</v>
      </c>
      <c r="E2763">
        <v>1.02707314395227</v>
      </c>
      <c r="F2763">
        <v>0.84252053999174603</v>
      </c>
      <c r="G2763">
        <v>0.66436662824153603</v>
      </c>
      <c r="H2763">
        <v>0.52176821499105097</v>
      </c>
      <c r="I2763">
        <v>0.382757148614083</v>
      </c>
      <c r="J2763">
        <v>0.23574847025693099</v>
      </c>
      <c r="K2763">
        <v>6.4474690581724295E-2</v>
      </c>
      <c r="L2763">
        <v>793.33592983216204</v>
      </c>
      <c r="M2763">
        <v>13.0629106267344</v>
      </c>
      <c r="N2763">
        <v>60.7319420371064</v>
      </c>
      <c r="O2763">
        <v>59.361542367056799</v>
      </c>
      <c r="P2763">
        <v>-5.5023736420208198E-2</v>
      </c>
      <c r="Q2763">
        <v>0</v>
      </c>
      <c r="R2763">
        <v>0.88427655806467398</v>
      </c>
      <c r="S2763" t="s">
        <v>7059</v>
      </c>
      <c r="T2763" t="s">
        <v>8590</v>
      </c>
      <c r="U2763" t="s">
        <v>8590</v>
      </c>
      <c r="V2763" t="s">
        <v>8590</v>
      </c>
      <c r="W2763">
        <v>1</v>
      </c>
      <c r="X2763" t="s">
        <v>11353</v>
      </c>
      <c r="Y2763">
        <v>0.69154090256961409</v>
      </c>
      <c r="Z2763" t="str">
        <f>HYPERLINK("Melting_Curves/meltCurve_sp_Q96Q89_4_KI20B_HUMAN_.pdf", "Melting_Curves/meltCurve_sp_Q96Q89_4_KI20B_HUMAN_.pdf")</f>
        <v>Melting_Curves/meltCurve_sp_Q96Q89_4_KI20B_HUMAN_.pdf</v>
      </c>
      <c r="AA2763" t="s">
        <v>15603</v>
      </c>
      <c r="AB2763" t="s">
        <v>19847</v>
      </c>
    </row>
    <row r="2764" spans="1:28" x14ac:dyDescent="0.25">
      <c r="A2764" t="s">
        <v>2768</v>
      </c>
      <c r="B2764">
        <v>0.99876560204751996</v>
      </c>
      <c r="C2764">
        <v>1.0280185922334799</v>
      </c>
      <c r="D2764">
        <v>0.99062252420336605</v>
      </c>
      <c r="E2764">
        <v>0.86390668491198697</v>
      </c>
      <c r="F2764">
        <v>0.86491527774059196</v>
      </c>
      <c r="G2764">
        <v>0.61161148662421105</v>
      </c>
      <c r="H2764">
        <v>0.430084096739901</v>
      </c>
      <c r="I2764">
        <v>0.31937254311382002</v>
      </c>
      <c r="J2764">
        <v>0.31470555516859</v>
      </c>
      <c r="K2764">
        <v>0.23928396846488501</v>
      </c>
      <c r="L2764">
        <v>870.59904879592398</v>
      </c>
      <c r="M2764">
        <v>15.1861576022292</v>
      </c>
      <c r="N2764">
        <v>59.372091173210102</v>
      </c>
      <c r="O2764">
        <v>56.361941836494999</v>
      </c>
      <c r="P2764">
        <v>-5.36542439289939E-2</v>
      </c>
      <c r="Q2764">
        <v>0.20354670612619299</v>
      </c>
      <c r="R2764">
        <v>0.99115043519073798</v>
      </c>
      <c r="S2764" t="s">
        <v>7060</v>
      </c>
      <c r="T2764" t="s">
        <v>8590</v>
      </c>
      <c r="U2764" t="s">
        <v>8590</v>
      </c>
      <c r="V2764" t="s">
        <v>8590</v>
      </c>
      <c r="W2764">
        <v>10</v>
      </c>
      <c r="X2764" t="s">
        <v>11354</v>
      </c>
      <c r="Y2764">
        <v>0.67553965264881133</v>
      </c>
      <c r="Z2764" t="str">
        <f>HYPERLINK("Melting_Curves/meltCurve_sp_Q96QC0_PP1RA_HUMAN_.pdf", "Melting_Curves/meltCurve_sp_Q96QC0_PP1RA_HUMAN_.pdf")</f>
        <v>Melting_Curves/meltCurve_sp_Q96QC0_PP1RA_HUMAN_.pdf</v>
      </c>
      <c r="AA2764" t="s">
        <v>15604</v>
      </c>
      <c r="AB2764" t="s">
        <v>19848</v>
      </c>
    </row>
    <row r="2765" spans="1:28" x14ac:dyDescent="0.25">
      <c r="A2765" t="s">
        <v>2769</v>
      </c>
      <c r="B2765">
        <v>0.99876560204751996</v>
      </c>
      <c r="C2765">
        <v>0.99911523852740602</v>
      </c>
      <c r="D2765">
        <v>0.96708014779172102</v>
      </c>
      <c r="E2765">
        <v>0.88718744032966901</v>
      </c>
      <c r="F2765">
        <v>0.44652654446626799</v>
      </c>
      <c r="G2765">
        <v>0.157620986950054</v>
      </c>
      <c r="H2765">
        <v>9.1242893524929897E-2</v>
      </c>
      <c r="I2765">
        <v>6.9872431395977805E-2</v>
      </c>
      <c r="J2765">
        <v>6.3271895594711594E-2</v>
      </c>
      <c r="K2765">
        <v>4.6564395675151103E-2</v>
      </c>
      <c r="L2765">
        <v>1842.03020178364</v>
      </c>
      <c r="M2765">
        <v>35.063823527148202</v>
      </c>
      <c r="N2765">
        <v>52.763358221206701</v>
      </c>
      <c r="O2765">
        <v>52.363644496939401</v>
      </c>
      <c r="P2765">
        <v>-0.15555647785117099</v>
      </c>
      <c r="Q2765">
        <v>7.0782963700597598E-2</v>
      </c>
      <c r="R2765">
        <v>0.99809610303893803</v>
      </c>
      <c r="S2765" t="s">
        <v>7061</v>
      </c>
      <c r="T2765" t="s">
        <v>8590</v>
      </c>
      <c r="U2765" t="s">
        <v>8590</v>
      </c>
      <c r="V2765" t="s">
        <v>8590</v>
      </c>
      <c r="W2765">
        <v>25</v>
      </c>
      <c r="X2765" t="s">
        <v>11355</v>
      </c>
      <c r="Y2765">
        <v>0.46338914846856222</v>
      </c>
      <c r="Z2765" t="str">
        <f>HYPERLINK("Melting_Curves/meltCurve_sp_Q96QK1_VPS35_HUMAN_.pdf", "Melting_Curves/meltCurve_sp_Q96QK1_VPS35_HUMAN_.pdf")</f>
        <v>Melting_Curves/meltCurve_sp_Q96QK1_VPS35_HUMAN_.pdf</v>
      </c>
      <c r="AA2765" t="s">
        <v>15605</v>
      </c>
      <c r="AB2765" t="s">
        <v>19849</v>
      </c>
    </row>
    <row r="2766" spans="1:28" x14ac:dyDescent="0.25">
      <c r="A2766" t="s">
        <v>2770</v>
      </c>
      <c r="B2766">
        <v>0.99876560204751996</v>
      </c>
      <c r="C2766">
        <v>1.0845342577870301</v>
      </c>
      <c r="D2766">
        <v>1.03339745416246</v>
      </c>
      <c r="E2766">
        <v>1.10586049112039</v>
      </c>
      <c r="F2766">
        <v>1.0877105038097901</v>
      </c>
      <c r="G2766">
        <v>0.83678673388601599</v>
      </c>
      <c r="H2766">
        <v>0.69471104991754296</v>
      </c>
      <c r="I2766">
        <v>0.588467092179911</v>
      </c>
      <c r="J2766">
        <v>0.58581958844639503</v>
      </c>
      <c r="K2766">
        <v>0.19863779667582401</v>
      </c>
      <c r="L2766">
        <v>943.63458045461596</v>
      </c>
      <c r="M2766">
        <v>14.3340213796786</v>
      </c>
      <c r="N2766">
        <v>65.831810605555702</v>
      </c>
      <c r="O2766">
        <v>64.590292822201405</v>
      </c>
      <c r="P2766">
        <v>-5.54872630098215E-2</v>
      </c>
      <c r="Q2766">
        <v>0</v>
      </c>
      <c r="R2766">
        <v>0.90616527889780596</v>
      </c>
      <c r="S2766" t="s">
        <v>7062</v>
      </c>
      <c r="T2766" t="s">
        <v>8590</v>
      </c>
      <c r="U2766" t="s">
        <v>8590</v>
      </c>
      <c r="V2766" t="s">
        <v>8590</v>
      </c>
      <c r="W2766">
        <v>7</v>
      </c>
      <c r="X2766" t="s">
        <v>11356</v>
      </c>
      <c r="Y2766">
        <v>0.82415778772859738</v>
      </c>
      <c r="Z2766" t="str">
        <f>HYPERLINK("Melting_Curves/meltCurve_sp_Q96QR8_PURB_HUMAN_.pdf", "Melting_Curves/meltCurve_sp_Q96QR8_PURB_HUMAN_.pdf")</f>
        <v>Melting_Curves/meltCurve_sp_Q96QR8_PURB_HUMAN_.pdf</v>
      </c>
      <c r="AA2766" t="s">
        <v>15606</v>
      </c>
      <c r="AB2766" t="s">
        <v>19850</v>
      </c>
    </row>
    <row r="2767" spans="1:28" x14ac:dyDescent="0.25">
      <c r="A2767" t="s">
        <v>2771</v>
      </c>
      <c r="B2767">
        <v>0.99876560204751996</v>
      </c>
      <c r="C2767">
        <v>0.96443144760412503</v>
      </c>
      <c r="D2767">
        <v>0.94573606614939698</v>
      </c>
      <c r="E2767">
        <v>0.92370389782517703</v>
      </c>
      <c r="F2767">
        <v>0.81090459943873905</v>
      </c>
      <c r="G2767">
        <v>0.56626939727690095</v>
      </c>
      <c r="H2767">
        <v>0.383812954321399</v>
      </c>
      <c r="I2767">
        <v>0.31193355898151898</v>
      </c>
      <c r="J2767">
        <v>0.31036960744633402</v>
      </c>
      <c r="K2767">
        <v>0.31111275851324499</v>
      </c>
      <c r="L2767">
        <v>1084.25684240687</v>
      </c>
      <c r="M2767">
        <v>19.480825838855399</v>
      </c>
      <c r="N2767">
        <v>58.1161410100175</v>
      </c>
      <c r="O2767">
        <v>55.081108477499903</v>
      </c>
      <c r="P2767">
        <v>-6.3603240362002295E-2</v>
      </c>
      <c r="Q2767">
        <v>0.28068546345815398</v>
      </c>
      <c r="R2767">
        <v>0.99533652043769405</v>
      </c>
      <c r="S2767" t="s">
        <v>7063</v>
      </c>
      <c r="T2767" t="s">
        <v>8590</v>
      </c>
      <c r="U2767" t="s">
        <v>8590</v>
      </c>
      <c r="V2767" t="s">
        <v>8590</v>
      </c>
      <c r="W2767">
        <v>11</v>
      </c>
      <c r="X2767" t="s">
        <v>11357</v>
      </c>
      <c r="Y2767">
        <v>0.66584794350554433</v>
      </c>
      <c r="Z2767" t="str">
        <f>HYPERLINK("Melting_Curves/meltCurve_sp_Q96QZ7_3_MAGI1_HUMAN_.pdf", "Melting_Curves/meltCurve_sp_Q96QZ7_3_MAGI1_HUMAN_.pdf")</f>
        <v>Melting_Curves/meltCurve_sp_Q96QZ7_3_MAGI1_HUMAN_.pdf</v>
      </c>
      <c r="AA2767" t="s">
        <v>15607</v>
      </c>
      <c r="AB2767" t="s">
        <v>19851</v>
      </c>
    </row>
    <row r="2768" spans="1:28" x14ac:dyDescent="0.25">
      <c r="A2768" t="s">
        <v>2772</v>
      </c>
      <c r="B2768">
        <v>0.99876560204751996</v>
      </c>
      <c r="C2768">
        <v>0.79363578519071698</v>
      </c>
      <c r="D2768">
        <v>0.91088396394151605</v>
      </c>
      <c r="E2768">
        <v>0.93359337592249603</v>
      </c>
      <c r="F2768">
        <v>0.58929144870026495</v>
      </c>
      <c r="G2768">
        <v>0.59237751963966301</v>
      </c>
      <c r="H2768">
        <v>0.37102016747654099</v>
      </c>
      <c r="I2768">
        <v>0.37055959383998699</v>
      </c>
      <c r="J2768">
        <v>0.44449817213047799</v>
      </c>
      <c r="K2768">
        <v>0.21813166732811801</v>
      </c>
      <c r="L2768">
        <v>455.09103873215798</v>
      </c>
      <c r="M2768">
        <v>7.9738088966931002</v>
      </c>
      <c r="N2768">
        <v>59.0274536447358</v>
      </c>
      <c r="O2768">
        <v>53.818885918074102</v>
      </c>
      <c r="P2768">
        <v>-3.2780539311131597E-2</v>
      </c>
      <c r="Q2768">
        <v>0.116008992391961</v>
      </c>
      <c r="R2768">
        <v>0.88018500162815705</v>
      </c>
      <c r="S2768" t="s">
        <v>7064</v>
      </c>
      <c r="T2768" t="s">
        <v>8590</v>
      </c>
      <c r="U2768" t="s">
        <v>8590</v>
      </c>
      <c r="V2768" t="s">
        <v>8590</v>
      </c>
      <c r="W2768">
        <v>1</v>
      </c>
      <c r="X2768" t="s">
        <v>11358</v>
      </c>
      <c r="Y2768">
        <v>0.62909037508936183</v>
      </c>
      <c r="Z2768" t="str">
        <f>HYPERLINK("Melting_Curves/meltCurve_sp_Q96R06_SPAG5_HUMAN_.pdf", "Melting_Curves/meltCurve_sp_Q96R06_SPAG5_HUMAN_.pdf")</f>
        <v>Melting_Curves/meltCurve_sp_Q96R06_SPAG5_HUMAN_.pdf</v>
      </c>
      <c r="AA2768" t="s">
        <v>15608</v>
      </c>
      <c r="AB2768" t="s">
        <v>19852</v>
      </c>
    </row>
    <row r="2769" spans="1:28" x14ac:dyDescent="0.25">
      <c r="A2769" t="s">
        <v>2773</v>
      </c>
      <c r="B2769">
        <v>0.99876560204751996</v>
      </c>
      <c r="C2769">
        <v>1.04917974093536</v>
      </c>
      <c r="D2769">
        <v>0.98362776278452002</v>
      </c>
      <c r="E2769">
        <v>0.85891727628343695</v>
      </c>
      <c r="F2769">
        <v>0.83680429922520205</v>
      </c>
      <c r="G2769">
        <v>0.60051354863765705</v>
      </c>
      <c r="H2769">
        <v>0.42186416451835901</v>
      </c>
      <c r="I2769">
        <v>0.32599243857294302</v>
      </c>
      <c r="J2769">
        <v>0.28813901842887102</v>
      </c>
      <c r="K2769">
        <v>0.15672708572576699</v>
      </c>
      <c r="L2769">
        <v>716.15019029720304</v>
      </c>
      <c r="M2769">
        <v>12.2195799086403</v>
      </c>
      <c r="N2769">
        <v>59.4560122791857</v>
      </c>
      <c r="O2769">
        <v>57.103458663916797</v>
      </c>
      <c r="P2769">
        <v>-4.9224548299570202E-2</v>
      </c>
      <c r="Q2769">
        <v>8.0079323531028201E-2</v>
      </c>
      <c r="R2769">
        <v>0.98979798289360998</v>
      </c>
      <c r="S2769" t="s">
        <v>7065</v>
      </c>
      <c r="T2769" t="s">
        <v>8590</v>
      </c>
      <c r="U2769" t="s">
        <v>8590</v>
      </c>
      <c r="V2769" t="s">
        <v>8590</v>
      </c>
      <c r="W2769">
        <v>3</v>
      </c>
      <c r="X2769" t="s">
        <v>11359</v>
      </c>
      <c r="Y2769">
        <v>0.65996973677319992</v>
      </c>
      <c r="Z2769" t="str">
        <f>HYPERLINK("Melting_Curves/meltCurve_sp_Q96RE7_NACC1_HUMAN_.pdf", "Melting_Curves/meltCurve_sp_Q96RE7_NACC1_HUMAN_.pdf")</f>
        <v>Melting_Curves/meltCurve_sp_Q96RE7_NACC1_HUMAN_.pdf</v>
      </c>
      <c r="AA2769" t="s">
        <v>15609</v>
      </c>
      <c r="AB2769" t="s">
        <v>19853</v>
      </c>
    </row>
    <row r="2770" spans="1:28" x14ac:dyDescent="0.25">
      <c r="A2770" t="s">
        <v>2774</v>
      </c>
      <c r="B2770">
        <v>0.99876560204751996</v>
      </c>
      <c r="C2770">
        <v>0.94802491129543998</v>
      </c>
      <c r="D2770">
        <v>0.71640132065695195</v>
      </c>
      <c r="E2770">
        <v>0.86566323316267202</v>
      </c>
      <c r="F2770">
        <v>0.60424314049194905</v>
      </c>
      <c r="G2770">
        <v>0.47404731306972803</v>
      </c>
      <c r="H2770">
        <v>0.40527765456264903</v>
      </c>
      <c r="I2770">
        <v>0.45728639319037201</v>
      </c>
      <c r="J2770">
        <v>0.39732053413943802</v>
      </c>
      <c r="K2770">
        <v>0.50980848095985798</v>
      </c>
      <c r="L2770">
        <v>595.98282606286398</v>
      </c>
      <c r="M2770">
        <v>11.8268775908655</v>
      </c>
      <c r="N2770">
        <v>58.4138530173446</v>
      </c>
      <c r="O2770">
        <v>49.016294174266903</v>
      </c>
      <c r="P2770">
        <v>-3.6114027977369297E-2</v>
      </c>
      <c r="Q2770">
        <v>0.40145673115798303</v>
      </c>
      <c r="R2770">
        <v>0.877283429195996</v>
      </c>
      <c r="S2770" t="s">
        <v>7066</v>
      </c>
      <c r="T2770" t="s">
        <v>8590</v>
      </c>
      <c r="U2770" t="s">
        <v>8590</v>
      </c>
      <c r="V2770" t="s">
        <v>8590</v>
      </c>
      <c r="W2770">
        <v>2</v>
      </c>
      <c r="X2770" t="s">
        <v>11360</v>
      </c>
      <c r="Y2770">
        <v>0.62948977499267988</v>
      </c>
      <c r="Z2770" t="str">
        <f>HYPERLINK("Melting_Curves/meltCurve_sp_Q96RF0_2_SNX18_HUMAN_.pdf", "Melting_Curves/meltCurve_sp_Q96RF0_2_SNX18_HUMAN_.pdf")</f>
        <v>Melting_Curves/meltCurve_sp_Q96RF0_2_SNX18_HUMAN_.pdf</v>
      </c>
      <c r="AA2770" t="s">
        <v>15610</v>
      </c>
      <c r="AB2770" t="s">
        <v>19854</v>
      </c>
    </row>
    <row r="2771" spans="1:28" x14ac:dyDescent="0.25">
      <c r="A2771" t="s">
        <v>2775</v>
      </c>
      <c r="B2771">
        <v>0.99876560204751996</v>
      </c>
      <c r="C2771">
        <v>0.96831587228282101</v>
      </c>
      <c r="D2771">
        <v>0.80641910924023597</v>
      </c>
      <c r="E2771">
        <v>0.850790692431317</v>
      </c>
      <c r="F2771">
        <v>0.70028964876962396</v>
      </c>
      <c r="G2771">
        <v>0.59630897531108396</v>
      </c>
      <c r="H2771">
        <v>0.25446131507629</v>
      </c>
      <c r="I2771">
        <v>0.11106589051603601</v>
      </c>
      <c r="J2771">
        <v>9.9937953820237596E-2</v>
      </c>
      <c r="K2771">
        <v>4.6942886014421002E-2</v>
      </c>
      <c r="L2771">
        <v>759.21743923918598</v>
      </c>
      <c r="M2771">
        <v>13.3924071121777</v>
      </c>
      <c r="N2771">
        <v>56.6901347677343</v>
      </c>
      <c r="O2771">
        <v>55.470909705735501</v>
      </c>
      <c r="P2771">
        <v>-6.0367291658161903E-2</v>
      </c>
      <c r="Q2771">
        <v>0</v>
      </c>
      <c r="R2771">
        <v>0.96708744273098102</v>
      </c>
      <c r="S2771" t="s">
        <v>7067</v>
      </c>
      <c r="T2771" t="s">
        <v>8590</v>
      </c>
      <c r="U2771" t="s">
        <v>8590</v>
      </c>
      <c r="V2771" t="s">
        <v>8590</v>
      </c>
      <c r="W2771">
        <v>3</v>
      </c>
      <c r="X2771" t="s">
        <v>11361</v>
      </c>
      <c r="Y2771">
        <v>0.57382502843240191</v>
      </c>
      <c r="Z2771" t="str">
        <f>HYPERLINK("Melting_Curves/meltCurve_sp_Q96RL7_4_VP13A_HUMAN_.pdf", "Melting_Curves/meltCurve_sp_Q96RL7_4_VP13A_HUMAN_.pdf")</f>
        <v>Melting_Curves/meltCurve_sp_Q96RL7_4_VP13A_HUMAN_.pdf</v>
      </c>
      <c r="AA2771" t="s">
        <v>15611</v>
      </c>
      <c r="AB2771" t="s">
        <v>19855</v>
      </c>
    </row>
    <row r="2772" spans="1:28" x14ac:dyDescent="0.25">
      <c r="A2772" t="s">
        <v>2776</v>
      </c>
      <c r="B2772">
        <v>0.99876560204751996</v>
      </c>
      <c r="C2772">
        <v>0.96235340711421802</v>
      </c>
      <c r="D2772">
        <v>0.91107928987230302</v>
      </c>
      <c r="E2772">
        <v>0.92190797118418799</v>
      </c>
      <c r="F2772">
        <v>0.64270772475321603</v>
      </c>
      <c r="G2772">
        <v>0.72058083764474301</v>
      </c>
      <c r="H2772">
        <v>0.54102479488480704</v>
      </c>
      <c r="I2772">
        <v>0.72420257202552996</v>
      </c>
      <c r="J2772">
        <v>0.62075500495903602</v>
      </c>
      <c r="K2772">
        <v>0.74330486165283205</v>
      </c>
      <c r="L2772">
        <v>12559.4576766513</v>
      </c>
      <c r="M2772">
        <v>250</v>
      </c>
      <c r="O2772">
        <v>50.234615727153098</v>
      </c>
      <c r="P2772">
        <v>-0.41626028125713999</v>
      </c>
      <c r="Q2772">
        <v>0.66542919543982404</v>
      </c>
      <c r="R2772">
        <v>0.82489593289545204</v>
      </c>
      <c r="S2772" t="s">
        <v>7068</v>
      </c>
      <c r="T2772" t="s">
        <v>8590</v>
      </c>
      <c r="U2772" t="s">
        <v>8590</v>
      </c>
      <c r="V2772" t="s">
        <v>8590</v>
      </c>
      <c r="W2772">
        <v>1</v>
      </c>
      <c r="X2772" t="s">
        <v>11362</v>
      </c>
      <c r="Y2772">
        <v>0.779634668629133</v>
      </c>
      <c r="Z2772" t="str">
        <f>HYPERLINK("Melting_Curves/meltCurve_sp_Q96RN5_3_MED15_HUMAN_.pdf", "Melting_Curves/meltCurve_sp_Q96RN5_3_MED15_HUMAN_.pdf")</f>
        <v>Melting_Curves/meltCurve_sp_Q96RN5_3_MED15_HUMAN_.pdf</v>
      </c>
      <c r="AA2772" t="s">
        <v>15612</v>
      </c>
      <c r="AB2772" t="s">
        <v>19856</v>
      </c>
    </row>
    <row r="2773" spans="1:28" x14ac:dyDescent="0.25">
      <c r="A2773" t="s">
        <v>2777</v>
      </c>
      <c r="B2773">
        <v>0.99876560204751996</v>
      </c>
      <c r="C2773">
        <v>0.91772072972380803</v>
      </c>
      <c r="D2773">
        <v>0.83805702431653495</v>
      </c>
      <c r="E2773">
        <v>0.45965667978914998</v>
      </c>
      <c r="F2773">
        <v>0.120390277081956</v>
      </c>
      <c r="G2773">
        <v>6.8209453897421599E-2</v>
      </c>
      <c r="H2773">
        <v>3.7181727841939502E-2</v>
      </c>
      <c r="I2773">
        <v>2.9619451289344401E-2</v>
      </c>
      <c r="J2773">
        <v>2.7601671435144901E-2</v>
      </c>
      <c r="K2773">
        <v>2.2250484348789599E-2</v>
      </c>
      <c r="L2773">
        <v>1171.4701310159301</v>
      </c>
      <c r="M2773">
        <v>23.793382999607001</v>
      </c>
      <c r="N2773">
        <v>49.324432074372297</v>
      </c>
      <c r="O2773">
        <v>48.8913000206242</v>
      </c>
      <c r="P2773">
        <v>-0.119101582596481</v>
      </c>
      <c r="Q2773">
        <v>2.1083344771179801E-2</v>
      </c>
      <c r="R2773">
        <v>0.99520477794297701</v>
      </c>
      <c r="S2773" t="s">
        <v>7069</v>
      </c>
      <c r="T2773" t="s">
        <v>8590</v>
      </c>
      <c r="U2773" t="s">
        <v>8590</v>
      </c>
      <c r="V2773" t="s">
        <v>8590</v>
      </c>
      <c r="W2773">
        <v>25</v>
      </c>
      <c r="X2773" t="s">
        <v>11363</v>
      </c>
      <c r="Y2773">
        <v>0.33204535005728858</v>
      </c>
      <c r="Z2773" t="str">
        <f>HYPERLINK("Melting_Curves/meltCurve_sp_Q96RP9_EFGM_HUMAN_.pdf", "Melting_Curves/meltCurve_sp_Q96RP9_EFGM_HUMAN_.pdf")</f>
        <v>Melting_Curves/meltCurve_sp_Q96RP9_EFGM_HUMAN_.pdf</v>
      </c>
      <c r="AA2773" t="s">
        <v>15613</v>
      </c>
      <c r="AB2773" t="s">
        <v>19857</v>
      </c>
    </row>
    <row r="2774" spans="1:28" x14ac:dyDescent="0.25">
      <c r="A2774" t="s">
        <v>2778</v>
      </c>
      <c r="B2774">
        <v>0.99876560204751996</v>
      </c>
      <c r="C2774">
        <v>1.03076183752586</v>
      </c>
      <c r="D2774">
        <v>0.93488797907077203</v>
      </c>
      <c r="E2774">
        <v>0.646399321844494</v>
      </c>
      <c r="F2774">
        <v>0.24841690764388299</v>
      </c>
      <c r="G2774">
        <v>0.149298402810081</v>
      </c>
      <c r="H2774">
        <v>9.2988884663983196E-2</v>
      </c>
      <c r="I2774">
        <v>7.4999385850814906E-2</v>
      </c>
      <c r="J2774">
        <v>7.0333284437026994E-2</v>
      </c>
      <c r="K2774">
        <v>4.9949403404640297E-2</v>
      </c>
      <c r="L2774">
        <v>1511.2530214442099</v>
      </c>
      <c r="M2774">
        <v>29.815879101393001</v>
      </c>
      <c r="N2774">
        <v>50.967982406001497</v>
      </c>
      <c r="O2774">
        <v>50.4598183260822</v>
      </c>
      <c r="P2774">
        <v>-0.13649651159913501</v>
      </c>
      <c r="Q2774">
        <v>7.5990017143623995E-2</v>
      </c>
      <c r="R2774">
        <v>0.99683051133317302</v>
      </c>
      <c r="S2774" t="s">
        <v>7070</v>
      </c>
      <c r="T2774" t="s">
        <v>8590</v>
      </c>
      <c r="U2774" t="s">
        <v>8590</v>
      </c>
      <c r="V2774" t="s">
        <v>8590</v>
      </c>
      <c r="W2774">
        <v>25</v>
      </c>
      <c r="X2774" t="s">
        <v>11364</v>
      </c>
      <c r="Y2774">
        <v>0.41097959976438708</v>
      </c>
      <c r="Z2774" t="str">
        <f>HYPERLINK("Melting_Curves/meltCurve_sp_Q96RQ3_MCCA_HUMAN_.pdf", "Melting_Curves/meltCurve_sp_Q96RQ3_MCCA_HUMAN_.pdf")</f>
        <v>Melting_Curves/meltCurve_sp_Q96RQ3_MCCA_HUMAN_.pdf</v>
      </c>
      <c r="AA2774" t="s">
        <v>15614</v>
      </c>
      <c r="AB2774" t="s">
        <v>19858</v>
      </c>
    </row>
    <row r="2775" spans="1:28" x14ac:dyDescent="0.25">
      <c r="A2775" t="s">
        <v>2779</v>
      </c>
      <c r="B2775">
        <v>0.99876560204751996</v>
      </c>
      <c r="C2775">
        <v>1.05716019523007</v>
      </c>
      <c r="D2775">
        <v>0.96464618517675305</v>
      </c>
      <c r="E2775">
        <v>1.0127813349352499</v>
      </c>
      <c r="F2775">
        <v>0.85663009135382895</v>
      </c>
      <c r="G2775">
        <v>0.40967874039812002</v>
      </c>
      <c r="H2775">
        <v>0.16195206394969</v>
      </c>
      <c r="I2775">
        <v>7.7389314160946701E-2</v>
      </c>
      <c r="J2775">
        <v>4.3777534195851599E-2</v>
      </c>
      <c r="K2775">
        <v>4.0729317728209397E-2</v>
      </c>
      <c r="L2775">
        <v>1625.8166454709501</v>
      </c>
      <c r="M2775">
        <v>28.949083507804399</v>
      </c>
      <c r="N2775">
        <v>56.353811678709</v>
      </c>
      <c r="O2775">
        <v>55.895303670698397</v>
      </c>
      <c r="P2775">
        <v>-0.123382454456319</v>
      </c>
      <c r="Q2775">
        <v>4.7092737779596501E-2</v>
      </c>
      <c r="R2775">
        <v>0.99612755983671097</v>
      </c>
      <c r="S2775" t="s">
        <v>7071</v>
      </c>
      <c r="T2775" t="s">
        <v>8590</v>
      </c>
      <c r="U2775" t="s">
        <v>8590</v>
      </c>
      <c r="V2775" t="s">
        <v>8590</v>
      </c>
      <c r="W2775">
        <v>3</v>
      </c>
      <c r="X2775" t="s">
        <v>11365</v>
      </c>
      <c r="Y2775">
        <v>0.56721126798698662</v>
      </c>
      <c r="Z2775" t="str">
        <f>HYPERLINK("Melting_Curves/meltCurve_sp_Q96RS6_3_NUDC1_HUMAN_.pdf", "Melting_Curves/meltCurve_sp_Q96RS6_3_NUDC1_HUMAN_.pdf")</f>
        <v>Melting_Curves/meltCurve_sp_Q96RS6_3_NUDC1_HUMAN_.pdf</v>
      </c>
      <c r="AA2775" t="s">
        <v>15615</v>
      </c>
      <c r="AB2775" t="s">
        <v>19859</v>
      </c>
    </row>
    <row r="2776" spans="1:28" x14ac:dyDescent="0.25">
      <c r="A2776" t="s">
        <v>2780</v>
      </c>
      <c r="B2776">
        <v>0.99876560204751996</v>
      </c>
      <c r="C2776">
        <v>0.87642949390706504</v>
      </c>
      <c r="D2776">
        <v>0.98953492001251098</v>
      </c>
      <c r="E2776">
        <v>0.77917280493882601</v>
      </c>
      <c r="F2776">
        <v>0.72459751396336303</v>
      </c>
      <c r="G2776">
        <v>0.64051794520899197</v>
      </c>
      <c r="H2776">
        <v>0.43190984992112003</v>
      </c>
      <c r="I2776">
        <v>0.45691945382113902</v>
      </c>
      <c r="J2776">
        <v>0.49579663544166402</v>
      </c>
      <c r="K2776">
        <v>0.396956743024239</v>
      </c>
      <c r="L2776">
        <v>596.33001388611501</v>
      </c>
      <c r="M2776">
        <v>11.0579208488583</v>
      </c>
      <c r="N2776">
        <v>61.413388772439603</v>
      </c>
      <c r="O2776">
        <v>52.254267303517203</v>
      </c>
      <c r="P2776">
        <v>-3.3335632997317101E-2</v>
      </c>
      <c r="Q2776">
        <v>0.37009737612990801</v>
      </c>
      <c r="R2776">
        <v>0.94469902878219503</v>
      </c>
      <c r="S2776" t="s">
        <v>7072</v>
      </c>
      <c r="T2776" t="s">
        <v>8590</v>
      </c>
      <c r="U2776" t="s">
        <v>8590</v>
      </c>
      <c r="V2776" t="s">
        <v>8590</v>
      </c>
      <c r="W2776">
        <v>6</v>
      </c>
      <c r="X2776" t="s">
        <v>11366</v>
      </c>
      <c r="Y2776">
        <v>0.68034066352319278</v>
      </c>
      <c r="Z2776" t="str">
        <f>HYPERLINK("Melting_Curves/meltCurve_sp_Q96RT1_9_LAP2_HUMAN_.pdf", "Melting_Curves/meltCurve_sp_Q96RT1_9_LAP2_HUMAN_.pdf")</f>
        <v>Melting_Curves/meltCurve_sp_Q96RT1_9_LAP2_HUMAN_.pdf</v>
      </c>
      <c r="AA2776" t="s">
        <v>15616</v>
      </c>
      <c r="AB2776" t="s">
        <v>19860</v>
      </c>
    </row>
    <row r="2777" spans="1:28" x14ac:dyDescent="0.25">
      <c r="A2777" t="s">
        <v>2781</v>
      </c>
      <c r="B2777">
        <v>0.99876560204751996</v>
      </c>
      <c r="C2777">
        <v>1.0503293332902099</v>
      </c>
      <c r="D2777">
        <v>0.91496972508276897</v>
      </c>
      <c r="E2777">
        <v>0.71327758872095504</v>
      </c>
      <c r="F2777">
        <v>0.37584778338483199</v>
      </c>
      <c r="G2777">
        <v>0.34184890979821098</v>
      </c>
      <c r="H2777">
        <v>0.25355176188261602</v>
      </c>
      <c r="I2777">
        <v>0.24555758150005599</v>
      </c>
      <c r="J2777">
        <v>0.24141835439564299</v>
      </c>
      <c r="K2777">
        <v>0.15691163051954901</v>
      </c>
      <c r="L2777">
        <v>1243.7453104352101</v>
      </c>
      <c r="M2777">
        <v>24.511633469712201</v>
      </c>
      <c r="N2777">
        <v>52.0298672334266</v>
      </c>
      <c r="O2777">
        <v>50.406910410142203</v>
      </c>
      <c r="P2777">
        <v>-9.3906239410953704E-2</v>
      </c>
      <c r="Q2777">
        <v>0.227557874003459</v>
      </c>
      <c r="R2777">
        <v>0.98396172915754498</v>
      </c>
      <c r="S2777" t="s">
        <v>7073</v>
      </c>
      <c r="T2777" t="s">
        <v>8590</v>
      </c>
      <c r="U2777" t="s">
        <v>8590</v>
      </c>
      <c r="V2777" t="s">
        <v>8590</v>
      </c>
      <c r="W2777">
        <v>4</v>
      </c>
      <c r="X2777" t="s">
        <v>11367</v>
      </c>
      <c r="Y2777">
        <v>0.51135355138637728</v>
      </c>
      <c r="Z2777" t="str">
        <f>HYPERLINK("Melting_Curves/meltCurve_sp_Q96RU2_2_UBP28_HUMAN_.pdf", "Melting_Curves/meltCurve_sp_Q96RU2_2_UBP28_HUMAN_.pdf")</f>
        <v>Melting_Curves/meltCurve_sp_Q96RU2_2_UBP28_HUMAN_.pdf</v>
      </c>
      <c r="AA2777" t="s">
        <v>15617</v>
      </c>
      <c r="AB2777" t="s">
        <v>19861</v>
      </c>
    </row>
    <row r="2778" spans="1:28" x14ac:dyDescent="0.25">
      <c r="A2778" t="s">
        <v>2782</v>
      </c>
      <c r="B2778">
        <v>0.99876560204751996</v>
      </c>
      <c r="C2778">
        <v>0.92722544033218102</v>
      </c>
      <c r="D2778">
        <v>0.89312809340864896</v>
      </c>
      <c r="E2778">
        <v>0.77337880566666894</v>
      </c>
      <c r="F2778">
        <v>0.73213057048016505</v>
      </c>
      <c r="G2778">
        <v>0.46209550840691399</v>
      </c>
      <c r="H2778">
        <v>0.44242253207256499</v>
      </c>
      <c r="I2778">
        <v>0.41030490384187801</v>
      </c>
      <c r="J2778">
        <v>0.63240111073514804</v>
      </c>
      <c r="K2778">
        <v>0.46034755807877997</v>
      </c>
      <c r="L2778">
        <v>829.05681630967194</v>
      </c>
      <c r="M2778">
        <v>16.277489303989</v>
      </c>
      <c r="N2778">
        <v>60.775125286865197</v>
      </c>
      <c r="O2778">
        <v>50.182602623401102</v>
      </c>
      <c r="P2778">
        <v>-4.34535158596904E-2</v>
      </c>
      <c r="Q2778">
        <v>0.46418010389187597</v>
      </c>
      <c r="R2778">
        <v>0.88784484703019195</v>
      </c>
      <c r="S2778" t="s">
        <v>7074</v>
      </c>
      <c r="T2778" t="s">
        <v>8590</v>
      </c>
      <c r="U2778" t="s">
        <v>8590</v>
      </c>
      <c r="V2778" t="s">
        <v>8590</v>
      </c>
      <c r="W2778">
        <v>4</v>
      </c>
      <c r="X2778" t="s">
        <v>11368</v>
      </c>
      <c r="Y2778">
        <v>0.67024451583036904</v>
      </c>
      <c r="Z2778" t="str">
        <f>HYPERLINK("Melting_Curves/meltCurve_sp_Q96RU3_4_FNBP1_HUMAN_.pdf", "Melting_Curves/meltCurve_sp_Q96RU3_4_FNBP1_HUMAN_.pdf")</f>
        <v>Melting_Curves/meltCurve_sp_Q96RU3_4_FNBP1_HUMAN_.pdf</v>
      </c>
      <c r="AA2778" t="s">
        <v>15618</v>
      </c>
      <c r="AB2778" t="s">
        <v>19862</v>
      </c>
    </row>
    <row r="2779" spans="1:28" x14ac:dyDescent="0.25">
      <c r="A2779" t="s">
        <v>2783</v>
      </c>
      <c r="B2779">
        <v>0.99876560204751996</v>
      </c>
      <c r="C2779">
        <v>1.0168677569294899</v>
      </c>
      <c r="D2779">
        <v>0.98148335346082505</v>
      </c>
      <c r="E2779">
        <v>0.97748797081871797</v>
      </c>
      <c r="F2779">
        <v>0.91562560447411101</v>
      </c>
      <c r="G2779">
        <v>0.79128408769746506</v>
      </c>
      <c r="H2779">
        <v>0.70805605012857498</v>
      </c>
      <c r="I2779">
        <v>0.69944905494979004</v>
      </c>
      <c r="J2779">
        <v>0.84790538940214599</v>
      </c>
      <c r="K2779">
        <v>0.82329128074232305</v>
      </c>
      <c r="L2779">
        <v>2300.7783430443701</v>
      </c>
      <c r="M2779">
        <v>42.919864536715401</v>
      </c>
      <c r="O2779">
        <v>53.490412466552101</v>
      </c>
      <c r="P2779">
        <v>-4.6036857619736998E-2</v>
      </c>
      <c r="Q2779">
        <v>0.77050013943409301</v>
      </c>
      <c r="R2779">
        <v>0.85383818760188701</v>
      </c>
      <c r="S2779" t="s">
        <v>7075</v>
      </c>
      <c r="T2779" t="s">
        <v>8590</v>
      </c>
      <c r="U2779" t="s">
        <v>8590</v>
      </c>
      <c r="V2779" t="s">
        <v>8590</v>
      </c>
      <c r="W2779">
        <v>2</v>
      </c>
      <c r="X2779" t="s">
        <v>11369</v>
      </c>
      <c r="Y2779">
        <v>0.87532607039138333</v>
      </c>
      <c r="Z2779" t="str">
        <f>HYPERLINK("Melting_Curves/meltCurve_sp_Q96RW7_2_HMCN1_HUMAN_.pdf", "Melting_Curves/meltCurve_sp_Q96RW7_2_HMCN1_HUMAN_.pdf")</f>
        <v>Melting_Curves/meltCurve_sp_Q96RW7_2_HMCN1_HUMAN_.pdf</v>
      </c>
      <c r="AA2779" t="s">
        <v>15619</v>
      </c>
      <c r="AB2779" t="s">
        <v>19863</v>
      </c>
    </row>
    <row r="2780" spans="1:28" x14ac:dyDescent="0.25">
      <c r="A2780" t="s">
        <v>2784</v>
      </c>
      <c r="B2780">
        <v>0.99876560204751996</v>
      </c>
      <c r="C2780">
        <v>0.90325241864285399</v>
      </c>
      <c r="D2780">
        <v>0.99929484563201498</v>
      </c>
      <c r="E2780">
        <v>0.65786102400520097</v>
      </c>
      <c r="F2780">
        <v>0.18578594004106599</v>
      </c>
      <c r="G2780">
        <v>0.106793602203359</v>
      </c>
      <c r="H2780">
        <v>7.0144180679904397E-2</v>
      </c>
      <c r="I2780">
        <v>6.0931330051238103E-2</v>
      </c>
      <c r="J2780">
        <v>5.9210245814616001E-2</v>
      </c>
      <c r="K2780">
        <v>5.08087198585781E-2</v>
      </c>
      <c r="L2780">
        <v>2146.3768046453802</v>
      </c>
      <c r="M2780">
        <v>42.382975464762403</v>
      </c>
      <c r="N2780">
        <v>50.8150161760598</v>
      </c>
      <c r="O2780">
        <v>50.530086251005997</v>
      </c>
      <c r="P2780">
        <v>-0.19563564104836501</v>
      </c>
      <c r="Q2780">
        <v>6.7034119180427607E-2</v>
      </c>
      <c r="R2780">
        <v>0.99337164926924304</v>
      </c>
      <c r="S2780" t="s">
        <v>7076</v>
      </c>
      <c r="T2780" t="s">
        <v>8590</v>
      </c>
      <c r="U2780" t="s">
        <v>8590</v>
      </c>
      <c r="V2780" t="s">
        <v>8590</v>
      </c>
      <c r="W2780">
        <v>6</v>
      </c>
      <c r="X2780" t="s">
        <v>11370</v>
      </c>
      <c r="Y2780">
        <v>0.40090818618857932</v>
      </c>
      <c r="Z2780" t="str">
        <f>HYPERLINK("Melting_Curves/meltCurve_sp_Q96S19_CP013_HUMAN_.pdf", "Melting_Curves/meltCurve_sp_Q96S19_CP013_HUMAN_.pdf")</f>
        <v>Melting_Curves/meltCurve_sp_Q96S19_CP013_HUMAN_.pdf</v>
      </c>
      <c r="AA2780" t="s">
        <v>15620</v>
      </c>
      <c r="AB2780" t="s">
        <v>19864</v>
      </c>
    </row>
    <row r="2781" spans="1:28" x14ac:dyDescent="0.25">
      <c r="A2781" t="s">
        <v>2785</v>
      </c>
      <c r="B2781">
        <v>0.99876560204751996</v>
      </c>
      <c r="C2781">
        <v>0.93257785832932005</v>
      </c>
      <c r="D2781">
        <v>0.73072128172023199</v>
      </c>
      <c r="E2781">
        <v>0.60210746127218495</v>
      </c>
      <c r="F2781">
        <v>0.193010062835302</v>
      </c>
      <c r="G2781">
        <v>8.6097361770108696E-2</v>
      </c>
      <c r="H2781">
        <v>5.4005700610808699E-2</v>
      </c>
      <c r="I2781">
        <v>3.1954061950763599E-2</v>
      </c>
      <c r="J2781">
        <v>2.41722043078554E-2</v>
      </c>
      <c r="K2781">
        <v>1.5726265917830998E-2</v>
      </c>
      <c r="L2781">
        <v>834.45882584987396</v>
      </c>
      <c r="M2781">
        <v>16.735516175637901</v>
      </c>
      <c r="N2781">
        <v>49.862130222358601</v>
      </c>
      <c r="O2781">
        <v>49.165964238638303</v>
      </c>
      <c r="P2781">
        <v>-8.5094359598344799E-2</v>
      </c>
      <c r="Q2781">
        <v>9.7941743611368502E-5</v>
      </c>
      <c r="R2781">
        <v>0.98276329624261805</v>
      </c>
      <c r="S2781" t="s">
        <v>7077</v>
      </c>
      <c r="T2781" t="s">
        <v>8590</v>
      </c>
      <c r="U2781" t="s">
        <v>8590</v>
      </c>
      <c r="V2781" t="s">
        <v>8590</v>
      </c>
      <c r="W2781">
        <v>3</v>
      </c>
      <c r="X2781" t="s">
        <v>11371</v>
      </c>
      <c r="Y2781">
        <v>0.34838965428484409</v>
      </c>
      <c r="Z2781" t="str">
        <f>HYPERLINK("Melting_Curves/meltCurve_sp_Q96S44_PRPK_HUMAN_.pdf", "Melting_Curves/meltCurve_sp_Q96S44_PRPK_HUMAN_.pdf")</f>
        <v>Melting_Curves/meltCurve_sp_Q96S44_PRPK_HUMAN_.pdf</v>
      </c>
      <c r="AA2781" t="s">
        <v>15621</v>
      </c>
      <c r="AB2781" t="s">
        <v>19865</v>
      </c>
    </row>
    <row r="2782" spans="1:28" x14ac:dyDescent="0.25">
      <c r="A2782" t="s">
        <v>2786</v>
      </c>
      <c r="B2782">
        <v>0.99876560204751996</v>
      </c>
      <c r="C2782">
        <v>0.78449418132095505</v>
      </c>
      <c r="D2782">
        <v>0.85709781704719601</v>
      </c>
      <c r="E2782">
        <v>0.76492901391132195</v>
      </c>
      <c r="F2782">
        <v>0.67329454387659504</v>
      </c>
      <c r="G2782">
        <v>0.50082771644765101</v>
      </c>
      <c r="H2782">
        <v>0.43409908731040298</v>
      </c>
      <c r="I2782">
        <v>0.43118425067577298</v>
      </c>
      <c r="J2782">
        <v>0.49965647225989801</v>
      </c>
      <c r="K2782">
        <v>0.45770868731673398</v>
      </c>
      <c r="L2782">
        <v>467.25338036414399</v>
      </c>
      <c r="M2782">
        <v>9.2050207661003007</v>
      </c>
      <c r="N2782">
        <v>60.432747861551398</v>
      </c>
      <c r="O2782">
        <v>48.537379652128998</v>
      </c>
      <c r="P2782">
        <v>-2.91584805566713E-2</v>
      </c>
      <c r="Q2782">
        <v>0.38540795211011097</v>
      </c>
      <c r="R2782">
        <v>0.91351151267401998</v>
      </c>
      <c r="S2782" t="s">
        <v>7078</v>
      </c>
      <c r="T2782" t="s">
        <v>8590</v>
      </c>
      <c r="U2782" t="s">
        <v>8590</v>
      </c>
      <c r="V2782" t="s">
        <v>8590</v>
      </c>
      <c r="W2782">
        <v>1</v>
      </c>
      <c r="X2782" t="s">
        <v>11372</v>
      </c>
      <c r="Y2782">
        <v>0.6347319537254511</v>
      </c>
      <c r="Z2782" t="str">
        <f>HYPERLINK("Melting_Curves/meltCurve_sp_Q96S55_2_WRIP1_HUMAN_.pdf", "Melting_Curves/meltCurve_sp_Q96S55_2_WRIP1_HUMAN_.pdf")</f>
        <v>Melting_Curves/meltCurve_sp_Q96S55_2_WRIP1_HUMAN_.pdf</v>
      </c>
      <c r="AA2782" t="s">
        <v>15622</v>
      </c>
      <c r="AB2782" t="s">
        <v>19866</v>
      </c>
    </row>
    <row r="2783" spans="1:28" x14ac:dyDescent="0.25">
      <c r="A2783" t="s">
        <v>2787</v>
      </c>
      <c r="B2783">
        <v>0.99876560204751996</v>
      </c>
      <c r="C2783">
        <v>0.94848788183517296</v>
      </c>
      <c r="D2783">
        <v>0.87968033460302597</v>
      </c>
      <c r="E2783">
        <v>0.72363305903835395</v>
      </c>
      <c r="F2783">
        <v>0.37635129215173901</v>
      </c>
      <c r="G2783">
        <v>0.15171513930045499</v>
      </c>
      <c r="H2783">
        <v>6.7679682953446701E-2</v>
      </c>
      <c r="I2783">
        <v>5.1643558629103102E-2</v>
      </c>
      <c r="J2783">
        <v>3.7635897410214898E-2</v>
      </c>
      <c r="K2783">
        <v>0</v>
      </c>
      <c r="L2783">
        <v>1005.6665485631401</v>
      </c>
      <c r="M2783">
        <v>19.397798076473499</v>
      </c>
      <c r="N2783">
        <v>51.9150198751882</v>
      </c>
      <c r="O2783">
        <v>51.302802606768601</v>
      </c>
      <c r="P2783">
        <v>-9.3297845679235797E-2</v>
      </c>
      <c r="Q2783">
        <v>1.30291822541709E-2</v>
      </c>
      <c r="R2783">
        <v>0.995635895406351</v>
      </c>
      <c r="S2783" t="s">
        <v>7079</v>
      </c>
      <c r="T2783" t="s">
        <v>8590</v>
      </c>
      <c r="U2783" t="s">
        <v>8590</v>
      </c>
      <c r="V2783" t="s">
        <v>8590</v>
      </c>
      <c r="W2783">
        <v>1</v>
      </c>
      <c r="X2783" t="s">
        <v>11373</v>
      </c>
      <c r="Y2783">
        <v>0.41713445109337838</v>
      </c>
      <c r="Z2783" t="str">
        <f>HYPERLINK("Melting_Curves/meltCurve_sp_Q96S59_2_RANB9_HUMAN_.pdf", "Melting_Curves/meltCurve_sp_Q96S59_2_RANB9_HUMAN_.pdf")</f>
        <v>Melting_Curves/meltCurve_sp_Q96S59_2_RANB9_HUMAN_.pdf</v>
      </c>
      <c r="AA2783" t="s">
        <v>15623</v>
      </c>
      <c r="AB2783" t="s">
        <v>19867</v>
      </c>
    </row>
    <row r="2784" spans="1:28" x14ac:dyDescent="0.25">
      <c r="A2784" t="s">
        <v>2788</v>
      </c>
      <c r="B2784">
        <v>0.99876560204751996</v>
      </c>
      <c r="C2784">
        <v>1.07466603278765</v>
      </c>
      <c r="D2784">
        <v>1.04812480982218</v>
      </c>
      <c r="E2784">
        <v>1.0169621868365399</v>
      </c>
      <c r="F2784">
        <v>1.04101656737919</v>
      </c>
      <c r="G2784">
        <v>0.86788162760455301</v>
      </c>
      <c r="H2784">
        <v>0.19937421226921201</v>
      </c>
      <c r="I2784">
        <v>0.134254345760045</v>
      </c>
      <c r="J2784">
        <v>0.12780782581355299</v>
      </c>
      <c r="K2784">
        <v>0.12418410926923</v>
      </c>
      <c r="L2784">
        <v>3606.9471942631599</v>
      </c>
      <c r="M2784">
        <v>61.546862040029403</v>
      </c>
      <c r="N2784">
        <v>58.885694092940803</v>
      </c>
      <c r="O2784">
        <v>58.5431199547319</v>
      </c>
      <c r="P2784">
        <v>-0.22940281417245301</v>
      </c>
      <c r="Q2784">
        <v>0.12717235977164701</v>
      </c>
      <c r="R2784">
        <v>0.994488116599205</v>
      </c>
      <c r="S2784" t="s">
        <v>7080</v>
      </c>
      <c r="T2784" t="s">
        <v>8590</v>
      </c>
      <c r="U2784" t="s">
        <v>8590</v>
      </c>
      <c r="V2784" t="s">
        <v>8590</v>
      </c>
      <c r="W2784">
        <v>4</v>
      </c>
      <c r="X2784" t="s">
        <v>11374</v>
      </c>
      <c r="Y2784">
        <v>0.66995227416051917</v>
      </c>
      <c r="Z2784" t="str">
        <f>HYPERLINK("Melting_Curves/meltCurve_sp_Q96S66_4_CLCC1_HUMAN_.pdf", "Melting_Curves/meltCurve_sp_Q96S66_4_CLCC1_HUMAN_.pdf")</f>
        <v>Melting_Curves/meltCurve_sp_Q96S66_4_CLCC1_HUMAN_.pdf</v>
      </c>
      <c r="AA2784" t="s">
        <v>15624</v>
      </c>
      <c r="AB2784" t="s">
        <v>19868</v>
      </c>
    </row>
    <row r="2785" spans="1:28" x14ac:dyDescent="0.25">
      <c r="A2785" t="s">
        <v>2789</v>
      </c>
      <c r="B2785">
        <v>0.99876560204751996</v>
      </c>
      <c r="C2785">
        <v>0.96909071817843595</v>
      </c>
      <c r="D2785">
        <v>0.90992595031225598</v>
      </c>
      <c r="E2785">
        <v>0.80093443854759006</v>
      </c>
      <c r="F2785">
        <v>0.87610927101390701</v>
      </c>
      <c r="G2785">
        <v>0.66425492061059899</v>
      </c>
      <c r="H2785">
        <v>0.522919804830282</v>
      </c>
      <c r="I2785">
        <v>0.50179214499784597</v>
      </c>
      <c r="J2785">
        <v>0.57203317465146597</v>
      </c>
      <c r="K2785">
        <v>0.50124985283355405</v>
      </c>
      <c r="L2785">
        <v>603.53832712866199</v>
      </c>
      <c r="M2785">
        <v>11.022618563671401</v>
      </c>
      <c r="N2785">
        <v>69.091774119789207</v>
      </c>
      <c r="O2785">
        <v>53.044940826000698</v>
      </c>
      <c r="P2785">
        <v>-2.8621760742738402E-2</v>
      </c>
      <c r="Q2785">
        <v>0.44923011599501</v>
      </c>
      <c r="R2785">
        <v>0.93621096740574705</v>
      </c>
      <c r="S2785" t="s">
        <v>7081</v>
      </c>
      <c r="T2785" t="s">
        <v>8590</v>
      </c>
      <c r="U2785" t="s">
        <v>8590</v>
      </c>
      <c r="V2785" t="s">
        <v>8590</v>
      </c>
      <c r="W2785">
        <v>4</v>
      </c>
      <c r="X2785" t="s">
        <v>11375</v>
      </c>
      <c r="Y2785">
        <v>0.73420009383939278</v>
      </c>
      <c r="Z2785" t="str">
        <f>HYPERLINK("Melting_Curves/meltCurve_sp_Q96SB3_NEB2_HUMAN_.pdf", "Melting_Curves/meltCurve_sp_Q96SB3_NEB2_HUMAN_.pdf")</f>
        <v>Melting_Curves/meltCurve_sp_Q96SB3_NEB2_HUMAN_.pdf</v>
      </c>
      <c r="AA2785" t="s">
        <v>15625</v>
      </c>
      <c r="AB2785" t="s">
        <v>19869</v>
      </c>
    </row>
    <row r="2786" spans="1:28" x14ac:dyDescent="0.25">
      <c r="A2786" t="s">
        <v>2790</v>
      </c>
      <c r="B2786">
        <v>0.99876560204751996</v>
      </c>
      <c r="C2786">
        <v>0.99630777749270505</v>
      </c>
      <c r="D2786">
        <v>1.02360297870789</v>
      </c>
      <c r="E2786">
        <v>0.88449437418612797</v>
      </c>
      <c r="F2786">
        <v>0.70785066836061505</v>
      </c>
      <c r="G2786">
        <v>0.54851210665906303</v>
      </c>
      <c r="H2786">
        <v>0.44775613349904098</v>
      </c>
      <c r="I2786">
        <v>0.40282620033030098</v>
      </c>
      <c r="J2786">
        <v>0.49324780729929302</v>
      </c>
      <c r="K2786">
        <v>0.44432081756355402</v>
      </c>
      <c r="L2786">
        <v>1292.53783677256</v>
      </c>
      <c r="M2786">
        <v>24.433193421268101</v>
      </c>
      <c r="N2786">
        <v>58.057617482457701</v>
      </c>
      <c r="O2786">
        <v>52.550324098577299</v>
      </c>
      <c r="P2786">
        <v>-6.4754210877622606E-2</v>
      </c>
      <c r="Q2786">
        <v>0.44292075647689899</v>
      </c>
      <c r="R2786">
        <v>0.98855596064545004</v>
      </c>
      <c r="S2786" t="s">
        <v>7082</v>
      </c>
      <c r="T2786" t="s">
        <v>8590</v>
      </c>
      <c r="U2786" t="s">
        <v>8590</v>
      </c>
      <c r="V2786" t="s">
        <v>8590</v>
      </c>
      <c r="W2786">
        <v>6</v>
      </c>
      <c r="X2786" t="s">
        <v>11376</v>
      </c>
      <c r="Y2786">
        <v>0.68783224341213534</v>
      </c>
      <c r="Z2786" t="str">
        <f>HYPERLINK("Melting_Curves/meltCurve_sp_Q96ST2_IWS1_HUMAN_.pdf", "Melting_Curves/meltCurve_sp_Q96ST2_IWS1_HUMAN_.pdf")</f>
        <v>Melting_Curves/meltCurve_sp_Q96ST2_IWS1_HUMAN_.pdf</v>
      </c>
      <c r="AA2786" t="s">
        <v>15626</v>
      </c>
      <c r="AB2786" t="s">
        <v>19870</v>
      </c>
    </row>
    <row r="2787" spans="1:28" x14ac:dyDescent="0.25">
      <c r="A2787" t="s">
        <v>2791</v>
      </c>
      <c r="B2787">
        <v>0.99876560204751996</v>
      </c>
      <c r="C2787">
        <v>1.0199608872919199</v>
      </c>
      <c r="D2787">
        <v>0.95472090509932594</v>
      </c>
      <c r="E2787">
        <v>0.85262379843426095</v>
      </c>
      <c r="F2787">
        <v>0.73726955244616199</v>
      </c>
      <c r="G2787">
        <v>0.574138106791932</v>
      </c>
      <c r="H2787">
        <v>0.49589391229464003</v>
      </c>
      <c r="I2787">
        <v>0.41895007041642801</v>
      </c>
      <c r="J2787">
        <v>0.37102358503344202</v>
      </c>
      <c r="K2787">
        <v>0.418844663319832</v>
      </c>
      <c r="L2787">
        <v>800.77335692191104</v>
      </c>
      <c r="M2787">
        <v>14.771181570826901</v>
      </c>
      <c r="N2787">
        <v>59.666192125191699</v>
      </c>
      <c r="O2787">
        <v>53.247348894276598</v>
      </c>
      <c r="P2787">
        <v>-4.3667303846581199E-2</v>
      </c>
      <c r="Q2787">
        <v>0.37041767955828198</v>
      </c>
      <c r="R2787">
        <v>0.99382622515651198</v>
      </c>
      <c r="S2787" t="s">
        <v>7083</v>
      </c>
      <c r="T2787" t="s">
        <v>8590</v>
      </c>
      <c r="U2787" t="s">
        <v>8590</v>
      </c>
      <c r="V2787" t="s">
        <v>8590</v>
      </c>
      <c r="W2787">
        <v>6</v>
      </c>
      <c r="X2787" t="s">
        <v>11377</v>
      </c>
      <c r="Y2787">
        <v>0.68167196319420209</v>
      </c>
      <c r="Z2787" t="str">
        <f>HYPERLINK("Melting_Curves/meltCurve_sp_Q96ST3_SIN3A_HUMAN_.pdf", "Melting_Curves/meltCurve_sp_Q96ST3_SIN3A_HUMAN_.pdf")</f>
        <v>Melting_Curves/meltCurve_sp_Q96ST3_SIN3A_HUMAN_.pdf</v>
      </c>
      <c r="AA2787" t="s">
        <v>15627</v>
      </c>
      <c r="AB2787" t="s">
        <v>19871</v>
      </c>
    </row>
    <row r="2788" spans="1:28" x14ac:dyDescent="0.25">
      <c r="A2788" t="s">
        <v>2792</v>
      </c>
      <c r="B2788">
        <v>0.99876560204751996</v>
      </c>
      <c r="C2788">
        <v>1.0026125073724901</v>
      </c>
      <c r="D2788">
        <v>0.87525123876102395</v>
      </c>
      <c r="E2788">
        <v>0.64945756524168596</v>
      </c>
      <c r="F2788">
        <v>0.36738274503601798</v>
      </c>
      <c r="G2788">
        <v>0.204296300043285</v>
      </c>
      <c r="H2788">
        <v>0.122072520245549</v>
      </c>
      <c r="I2788">
        <v>9.7530330548838806E-2</v>
      </c>
      <c r="J2788">
        <v>8.8318532887079595E-2</v>
      </c>
      <c r="K2788">
        <v>6.2345237098815898E-2</v>
      </c>
      <c r="L2788">
        <v>949.87372724497698</v>
      </c>
      <c r="M2788">
        <v>18.5816628988938</v>
      </c>
      <c r="N2788">
        <v>51.554112536880503</v>
      </c>
      <c r="O2788">
        <v>50.537861910283198</v>
      </c>
      <c r="P2788">
        <v>-8.5250482700611099E-2</v>
      </c>
      <c r="Q2788">
        <v>7.2593399553141896E-2</v>
      </c>
      <c r="R2788">
        <v>0.99820674588545999</v>
      </c>
      <c r="S2788" t="s">
        <v>7084</v>
      </c>
      <c r="T2788" t="s">
        <v>8590</v>
      </c>
      <c r="U2788" t="s">
        <v>8590</v>
      </c>
      <c r="V2788" t="s">
        <v>8590</v>
      </c>
      <c r="W2788">
        <v>10</v>
      </c>
      <c r="X2788" t="s">
        <v>11378</v>
      </c>
      <c r="Y2788">
        <v>0.43105194047602002</v>
      </c>
      <c r="Z2788" t="str">
        <f>HYPERLINK("Melting_Curves/meltCurve_sp_Q96SU4_7_OSBL9_HUMAN_.pdf", "Melting_Curves/meltCurve_sp_Q96SU4_7_OSBL9_HUMAN_.pdf")</f>
        <v>Melting_Curves/meltCurve_sp_Q96SU4_7_OSBL9_HUMAN_.pdf</v>
      </c>
      <c r="AA2788" t="s">
        <v>15628</v>
      </c>
      <c r="AB2788" t="s">
        <v>19872</v>
      </c>
    </row>
    <row r="2789" spans="1:28" x14ac:dyDescent="0.25">
      <c r="A2789" t="s">
        <v>2793</v>
      </c>
      <c r="B2789">
        <v>0.99876560204751996</v>
      </c>
      <c r="C2789">
        <v>0.89662638402727501</v>
      </c>
      <c r="D2789">
        <v>0.93445558766641501</v>
      </c>
      <c r="E2789">
        <v>0.796698992967106</v>
      </c>
      <c r="F2789">
        <v>0.83932617647593999</v>
      </c>
      <c r="G2789">
        <v>0.64121677452708603</v>
      </c>
      <c r="H2789">
        <v>0.39788466368475001</v>
      </c>
      <c r="I2789">
        <v>0.273702909651375</v>
      </c>
      <c r="J2789">
        <v>0.111146067274278</v>
      </c>
      <c r="K2789">
        <v>4.1891626728079202E-2</v>
      </c>
      <c r="L2789">
        <v>779.21811646895696</v>
      </c>
      <c r="M2789">
        <v>13.2694923612469</v>
      </c>
      <c r="N2789">
        <v>58.722526563202898</v>
      </c>
      <c r="O2789">
        <v>57.436951208798803</v>
      </c>
      <c r="P2789">
        <v>-5.7766218732312503E-2</v>
      </c>
      <c r="Q2789">
        <v>0</v>
      </c>
      <c r="R2789">
        <v>0.97043470618939598</v>
      </c>
      <c r="S2789" t="s">
        <v>7085</v>
      </c>
      <c r="T2789" t="s">
        <v>8590</v>
      </c>
      <c r="U2789" t="s">
        <v>8590</v>
      </c>
      <c r="V2789" t="s">
        <v>8590</v>
      </c>
      <c r="W2789">
        <v>3</v>
      </c>
      <c r="X2789" t="s">
        <v>11379</v>
      </c>
      <c r="Y2789">
        <v>0.63469223142657183</v>
      </c>
      <c r="Z2789" t="str">
        <f>HYPERLINK("Melting_Curves/meltCurve_sp_Q96SZ5_AEDO_HUMAN_.pdf", "Melting_Curves/meltCurve_sp_Q96SZ5_AEDO_HUMAN_.pdf")</f>
        <v>Melting_Curves/meltCurve_sp_Q96SZ5_AEDO_HUMAN_.pdf</v>
      </c>
      <c r="AA2789" t="s">
        <v>15629</v>
      </c>
      <c r="AB2789" t="s">
        <v>19873</v>
      </c>
    </row>
    <row r="2790" spans="1:28" x14ac:dyDescent="0.25">
      <c r="A2790" t="s">
        <v>2794</v>
      </c>
      <c r="B2790">
        <v>0.99876560204751996</v>
      </c>
      <c r="C2790">
        <v>0.77311440967006695</v>
      </c>
      <c r="D2790">
        <v>0.89889863830757699</v>
      </c>
      <c r="E2790">
        <v>0.71329850590006405</v>
      </c>
      <c r="F2790">
        <v>0.59908664264940803</v>
      </c>
      <c r="G2790">
        <v>0.34716413223467002</v>
      </c>
      <c r="H2790">
        <v>0.30457638176913499</v>
      </c>
      <c r="I2790">
        <v>0.30711718386685</v>
      </c>
      <c r="J2790">
        <v>0.39397750982275098</v>
      </c>
      <c r="K2790">
        <v>0.27472045492736902</v>
      </c>
      <c r="L2790">
        <v>603.69094539414004</v>
      </c>
      <c r="M2790">
        <v>11.8019400218454</v>
      </c>
      <c r="N2790">
        <v>54.487019642864396</v>
      </c>
      <c r="O2790">
        <v>49.7495156855041</v>
      </c>
      <c r="P2790">
        <v>-4.4063950084326398E-2</v>
      </c>
      <c r="Q2790">
        <v>0.25720802964141598</v>
      </c>
      <c r="R2790">
        <v>0.92473846677163096</v>
      </c>
      <c r="S2790" t="s">
        <v>7086</v>
      </c>
      <c r="T2790" t="s">
        <v>8590</v>
      </c>
      <c r="U2790" t="s">
        <v>8590</v>
      </c>
      <c r="V2790" t="s">
        <v>8590</v>
      </c>
      <c r="W2790">
        <v>3</v>
      </c>
      <c r="X2790" t="s">
        <v>11380</v>
      </c>
      <c r="Y2790">
        <v>0.55789237316431362</v>
      </c>
      <c r="Z2790" t="str">
        <f>HYPERLINK("Melting_Curves/meltCurve_sp_Q96T37_2_RBM15_HUMAN_.pdf", "Melting_Curves/meltCurve_sp_Q96T37_2_RBM15_HUMAN_.pdf")</f>
        <v>Melting_Curves/meltCurve_sp_Q96T37_2_RBM15_HUMAN_.pdf</v>
      </c>
      <c r="AA2790" t="s">
        <v>15630</v>
      </c>
      <c r="AB2790" t="s">
        <v>19874</v>
      </c>
    </row>
    <row r="2791" spans="1:28" x14ac:dyDescent="0.25">
      <c r="A2791" t="s">
        <v>2795</v>
      </c>
      <c r="B2791">
        <v>0.99876560204751996</v>
      </c>
      <c r="C2791">
        <v>0.98540502549649001</v>
      </c>
      <c r="D2791">
        <v>0.91819792289856605</v>
      </c>
      <c r="E2791">
        <v>0.86673244955395101</v>
      </c>
      <c r="F2791">
        <v>0.76585274877017795</v>
      </c>
      <c r="G2791">
        <v>0.47982286240761501</v>
      </c>
      <c r="H2791">
        <v>0.244775191526793</v>
      </c>
      <c r="I2791">
        <v>0.15573672761078799</v>
      </c>
      <c r="J2791">
        <v>0.12526504245591799</v>
      </c>
      <c r="K2791">
        <v>0.11972007229199801</v>
      </c>
      <c r="L2791">
        <v>910.51861467559297</v>
      </c>
      <c r="M2791">
        <v>16.230864899108798</v>
      </c>
      <c r="N2791">
        <v>56.561892518551801</v>
      </c>
      <c r="O2791">
        <v>55.267145541286602</v>
      </c>
      <c r="P2791">
        <v>-6.8849440628007103E-2</v>
      </c>
      <c r="Q2791">
        <v>6.2322316623696201E-2</v>
      </c>
      <c r="R2791">
        <v>0.99572876517187903</v>
      </c>
      <c r="S2791" t="s">
        <v>7087</v>
      </c>
      <c r="T2791" t="s">
        <v>8590</v>
      </c>
      <c r="U2791" t="s">
        <v>8590</v>
      </c>
      <c r="V2791" t="s">
        <v>8590</v>
      </c>
      <c r="W2791">
        <v>18</v>
      </c>
      <c r="X2791" t="s">
        <v>11381</v>
      </c>
      <c r="Y2791">
        <v>0.5808253391488587</v>
      </c>
      <c r="Z2791" t="str">
        <f>HYPERLINK("Melting_Curves/meltCurve_sp_Q96T51_RUFY1_HUMAN_.pdf", "Melting_Curves/meltCurve_sp_Q96T51_RUFY1_HUMAN_.pdf")</f>
        <v>Melting_Curves/meltCurve_sp_Q96T51_RUFY1_HUMAN_.pdf</v>
      </c>
      <c r="AA2791" t="s">
        <v>15631</v>
      </c>
      <c r="AB2791" t="s">
        <v>19875</v>
      </c>
    </row>
    <row r="2792" spans="1:28" x14ac:dyDescent="0.25">
      <c r="A2792" t="s">
        <v>2796</v>
      </c>
      <c r="B2792">
        <v>0.99876560204751996</v>
      </c>
      <c r="C2792">
        <v>1.0223971065180799</v>
      </c>
      <c r="D2792">
        <v>0.72035904173864396</v>
      </c>
      <c r="E2792">
        <v>0.92054263756938104</v>
      </c>
      <c r="F2792">
        <v>0.93306350368889601</v>
      </c>
      <c r="G2792">
        <v>0.61284639628442605</v>
      </c>
      <c r="H2792">
        <v>0.43313645634808101</v>
      </c>
      <c r="I2792">
        <v>0.38080591770528899</v>
      </c>
      <c r="J2792">
        <v>0.37801328115145399</v>
      </c>
      <c r="K2792">
        <v>0.353786917989794</v>
      </c>
      <c r="L2792">
        <v>1361.40705722493</v>
      </c>
      <c r="M2792">
        <v>24.1800690544408</v>
      </c>
      <c r="N2792">
        <v>59.268572317199101</v>
      </c>
      <c r="O2792">
        <v>55.921994137919803</v>
      </c>
      <c r="P2792">
        <v>-7.0167806234331304E-2</v>
      </c>
      <c r="Q2792">
        <v>0.35089280274200702</v>
      </c>
      <c r="R2792">
        <v>0.88101320576586095</v>
      </c>
      <c r="S2792" t="s">
        <v>7088</v>
      </c>
      <c r="T2792" t="s">
        <v>8590</v>
      </c>
      <c r="U2792" t="s">
        <v>8590</v>
      </c>
      <c r="V2792" t="s">
        <v>8590</v>
      </c>
      <c r="W2792">
        <v>4</v>
      </c>
      <c r="X2792" t="s">
        <v>11382</v>
      </c>
      <c r="Y2792">
        <v>0.70989608266904525</v>
      </c>
      <c r="Z2792" t="str">
        <f>HYPERLINK("Melting_Curves/meltCurve_sp_Q96T58_MINT_HUMAN_.pdf", "Melting_Curves/meltCurve_sp_Q96T58_MINT_HUMAN_.pdf")</f>
        <v>Melting_Curves/meltCurve_sp_Q96T58_MINT_HUMAN_.pdf</v>
      </c>
      <c r="AA2792" t="s">
        <v>15632</v>
      </c>
      <c r="AB2792" t="s">
        <v>19876</v>
      </c>
    </row>
    <row r="2793" spans="1:28" x14ac:dyDescent="0.25">
      <c r="A2793" t="s">
        <v>2797</v>
      </c>
      <c r="B2793">
        <v>0.99876560204751996</v>
      </c>
      <c r="C2793">
        <v>1.0233858755520999</v>
      </c>
      <c r="D2793">
        <v>0.82483744733331499</v>
      </c>
      <c r="E2793">
        <v>0.69892727315498104</v>
      </c>
      <c r="F2793">
        <v>0.33139325877141701</v>
      </c>
      <c r="G2793">
        <v>0.21201314312713401</v>
      </c>
      <c r="H2793">
        <v>0.137817805402005</v>
      </c>
      <c r="I2793">
        <v>0.149082359795012</v>
      </c>
      <c r="J2793">
        <v>0.124602549277968</v>
      </c>
      <c r="K2793">
        <v>0.172478124785197</v>
      </c>
      <c r="L2793">
        <v>1087.5173558748199</v>
      </c>
      <c r="M2793">
        <v>21.454433515438499</v>
      </c>
      <c r="N2793">
        <v>51.438364306127703</v>
      </c>
      <c r="O2793">
        <v>50.255401904897298</v>
      </c>
      <c r="P2793">
        <v>-9.24158835637819E-2</v>
      </c>
      <c r="Q2793">
        <v>0.13411211540936899</v>
      </c>
      <c r="R2793">
        <v>0.98575413608525897</v>
      </c>
      <c r="S2793" t="s">
        <v>7089</v>
      </c>
      <c r="T2793" t="s">
        <v>8590</v>
      </c>
      <c r="U2793" t="s">
        <v>8590</v>
      </c>
      <c r="V2793" t="s">
        <v>8590</v>
      </c>
      <c r="W2793">
        <v>4</v>
      </c>
      <c r="X2793" t="s">
        <v>11383</v>
      </c>
      <c r="Y2793">
        <v>0.45316331872843041</v>
      </c>
      <c r="Z2793" t="str">
        <f>HYPERLINK("Melting_Curves/meltCurve_sp_Q96T76_MMS19_HUMAN_.pdf", "Melting_Curves/meltCurve_sp_Q96T76_MMS19_HUMAN_.pdf")</f>
        <v>Melting_Curves/meltCurve_sp_Q96T76_MMS19_HUMAN_.pdf</v>
      </c>
      <c r="AA2793" t="s">
        <v>15633</v>
      </c>
      <c r="AB2793" t="s">
        <v>19877</v>
      </c>
    </row>
    <row r="2794" spans="1:28" x14ac:dyDescent="0.25">
      <c r="A2794" t="s">
        <v>2798</v>
      </c>
      <c r="B2794">
        <v>0.99876560204751996</v>
      </c>
      <c r="C2794">
        <v>1.01470682307316</v>
      </c>
      <c r="D2794">
        <v>0.963878027253396</v>
      </c>
      <c r="E2794">
        <v>0.79695912224659604</v>
      </c>
      <c r="F2794">
        <v>0.78405394581583099</v>
      </c>
      <c r="G2794">
        <v>0.567752505791566</v>
      </c>
      <c r="H2794">
        <v>0.43923395927401698</v>
      </c>
      <c r="I2794">
        <v>0.40209983871376198</v>
      </c>
      <c r="J2794">
        <v>0.479546974412493</v>
      </c>
      <c r="K2794">
        <v>0.40611245900895798</v>
      </c>
      <c r="L2794">
        <v>847.11726458860505</v>
      </c>
      <c r="M2794">
        <v>15.785953303392199</v>
      </c>
      <c r="N2794">
        <v>59.572379645399401</v>
      </c>
      <c r="O2794">
        <v>52.823707794596302</v>
      </c>
      <c r="P2794">
        <v>-4.51618701580059E-2</v>
      </c>
      <c r="Q2794">
        <v>0.39555878360323798</v>
      </c>
      <c r="R2794">
        <v>0.97692513565503403</v>
      </c>
      <c r="S2794" t="s">
        <v>7090</v>
      </c>
      <c r="T2794" t="s">
        <v>8590</v>
      </c>
      <c r="U2794" t="s">
        <v>8590</v>
      </c>
      <c r="V2794" t="s">
        <v>8590</v>
      </c>
      <c r="W2794">
        <v>7</v>
      </c>
      <c r="X2794" t="s">
        <v>11384</v>
      </c>
      <c r="Y2794">
        <v>0.68262845556338048</v>
      </c>
      <c r="Z2794" t="str">
        <f>HYPERLINK("Melting_Curves/meltCurve_sp_Q99417_MYCBP_HUMAN_.pdf", "Melting_Curves/meltCurve_sp_Q99417_MYCBP_HUMAN_.pdf")</f>
        <v>Melting_Curves/meltCurve_sp_Q99417_MYCBP_HUMAN_.pdf</v>
      </c>
      <c r="AA2794" t="s">
        <v>15634</v>
      </c>
      <c r="AB2794" t="s">
        <v>19878</v>
      </c>
    </row>
    <row r="2795" spans="1:28" x14ac:dyDescent="0.25">
      <c r="A2795" t="s">
        <v>2799</v>
      </c>
      <c r="B2795">
        <v>0.99876560204751996</v>
      </c>
      <c r="C2795">
        <v>1.0142992715232499</v>
      </c>
      <c r="D2795">
        <v>0.85908588369693795</v>
      </c>
      <c r="E2795">
        <v>0.76443524187270895</v>
      </c>
      <c r="F2795">
        <v>0.58225003523831398</v>
      </c>
      <c r="G2795">
        <v>0.37070063383032498</v>
      </c>
      <c r="H2795">
        <v>0.21412795948000601</v>
      </c>
      <c r="I2795">
        <v>0.16032716336858099</v>
      </c>
      <c r="J2795">
        <v>0.146440588223126</v>
      </c>
      <c r="K2795">
        <v>0.101178196765093</v>
      </c>
      <c r="L2795">
        <v>708.21420597752206</v>
      </c>
      <c r="M2795">
        <v>13.1572787843926</v>
      </c>
      <c r="N2795">
        <v>54.385043775731504</v>
      </c>
      <c r="O2795">
        <v>52.6289360649522</v>
      </c>
      <c r="P2795">
        <v>-5.8562268918487599E-2</v>
      </c>
      <c r="Q2795">
        <v>6.3164820646784595E-2</v>
      </c>
      <c r="R2795">
        <v>0.99541657000796901</v>
      </c>
      <c r="S2795" t="s">
        <v>7091</v>
      </c>
      <c r="T2795" t="s">
        <v>8590</v>
      </c>
      <c r="U2795" t="s">
        <v>8590</v>
      </c>
      <c r="V2795" t="s">
        <v>8590</v>
      </c>
      <c r="W2795">
        <v>42</v>
      </c>
      <c r="X2795" t="s">
        <v>11385</v>
      </c>
      <c r="Y2795">
        <v>0.51757975175355764</v>
      </c>
      <c r="Z2795" t="str">
        <f>HYPERLINK("Melting_Curves/meltCurve_sp_Q99424_ACOX2_HUMAN_.pdf", "Melting_Curves/meltCurve_sp_Q99424_ACOX2_HUMAN_.pdf")</f>
        <v>Melting_Curves/meltCurve_sp_Q99424_ACOX2_HUMAN_.pdf</v>
      </c>
      <c r="AA2795" t="s">
        <v>15635</v>
      </c>
      <c r="AB2795" t="s">
        <v>19879</v>
      </c>
    </row>
    <row r="2796" spans="1:28" x14ac:dyDescent="0.25">
      <c r="A2796" t="s">
        <v>2800</v>
      </c>
      <c r="B2796">
        <v>0.99876560204751996</v>
      </c>
      <c r="C2796">
        <v>0.92306170771214302</v>
      </c>
      <c r="D2796">
        <v>1.0423519019277501</v>
      </c>
      <c r="E2796">
        <v>0.87192339381824402</v>
      </c>
      <c r="F2796">
        <v>0.88931887304787705</v>
      </c>
      <c r="G2796">
        <v>0.428386855463464</v>
      </c>
      <c r="H2796">
        <v>0.220008533753595</v>
      </c>
      <c r="I2796">
        <v>0.186945575943328</v>
      </c>
      <c r="J2796">
        <v>0.19033780845821699</v>
      </c>
      <c r="K2796">
        <v>0.169098496255745</v>
      </c>
      <c r="L2796">
        <v>1724.1821422226701</v>
      </c>
      <c r="M2796">
        <v>30.9990473091543</v>
      </c>
      <c r="N2796">
        <v>56.3943925647824</v>
      </c>
      <c r="O2796">
        <v>55.390531668431898</v>
      </c>
      <c r="P2796">
        <v>-0.115672701515452</v>
      </c>
      <c r="Q2796">
        <v>0.17324702181594401</v>
      </c>
      <c r="R2796">
        <v>0.98467663212583001</v>
      </c>
      <c r="S2796" t="s">
        <v>7092</v>
      </c>
      <c r="T2796" t="s">
        <v>8590</v>
      </c>
      <c r="U2796" t="s">
        <v>8590</v>
      </c>
      <c r="V2796" t="s">
        <v>8590</v>
      </c>
      <c r="W2796">
        <v>7</v>
      </c>
      <c r="X2796" t="s">
        <v>11386</v>
      </c>
      <c r="Y2796">
        <v>0.60890234538648202</v>
      </c>
      <c r="Z2796" t="str">
        <f>HYPERLINK("Melting_Curves/meltCurve_sp_Q99426_TBCB_HUMAN_.pdf", "Melting_Curves/meltCurve_sp_Q99426_TBCB_HUMAN_.pdf")</f>
        <v>Melting_Curves/meltCurve_sp_Q99426_TBCB_HUMAN_.pdf</v>
      </c>
      <c r="AA2796" t="s">
        <v>15636</v>
      </c>
      <c r="AB2796" t="s">
        <v>19880</v>
      </c>
    </row>
    <row r="2797" spans="1:28" x14ac:dyDescent="0.25">
      <c r="A2797" t="s">
        <v>2801</v>
      </c>
      <c r="B2797">
        <v>0.99876560204751996</v>
      </c>
      <c r="C2797">
        <v>1.08441299663081</v>
      </c>
      <c r="D2797">
        <v>1.0340747183499901</v>
      </c>
      <c r="E2797">
        <v>1.03204332143391</v>
      </c>
      <c r="F2797">
        <v>0.99192442178050699</v>
      </c>
      <c r="G2797">
        <v>0.91048979563263899</v>
      </c>
      <c r="H2797">
        <v>0.73418787010508901</v>
      </c>
      <c r="I2797">
        <v>0.75012189950518804</v>
      </c>
      <c r="J2797">
        <v>0.88878160011770002</v>
      </c>
      <c r="K2797">
        <v>0.82207445761692</v>
      </c>
      <c r="L2797">
        <v>14262.6225782897</v>
      </c>
      <c r="M2797">
        <v>250</v>
      </c>
      <c r="O2797">
        <v>57.046830500717803</v>
      </c>
      <c r="P2797">
        <v>-0.22044225601432699</v>
      </c>
      <c r="Q2797">
        <v>0.79879145633264603</v>
      </c>
      <c r="R2797">
        <v>0.82174360752723996</v>
      </c>
      <c r="S2797" t="s">
        <v>7093</v>
      </c>
      <c r="T2797" t="s">
        <v>8590</v>
      </c>
      <c r="U2797" t="s">
        <v>8590</v>
      </c>
      <c r="V2797" t="s">
        <v>8590</v>
      </c>
      <c r="W2797">
        <v>7</v>
      </c>
      <c r="X2797" t="s">
        <v>11387</v>
      </c>
      <c r="Y2797">
        <v>0.91316841270401483</v>
      </c>
      <c r="Z2797" t="str">
        <f>HYPERLINK("Melting_Curves/meltCurve_sp_Q99436_PSB7_HUMAN_.pdf", "Melting_Curves/meltCurve_sp_Q99436_PSB7_HUMAN_.pdf")</f>
        <v>Melting_Curves/meltCurve_sp_Q99436_PSB7_HUMAN_.pdf</v>
      </c>
      <c r="AA2797" t="s">
        <v>15637</v>
      </c>
      <c r="AB2797" t="s">
        <v>19881</v>
      </c>
    </row>
    <row r="2798" spans="1:28" x14ac:dyDescent="0.25">
      <c r="A2798" t="s">
        <v>2802</v>
      </c>
      <c r="B2798">
        <v>0.99876560204751996</v>
      </c>
      <c r="C2798">
        <v>0.95317169312482197</v>
      </c>
      <c r="D2798">
        <v>0.90650139314246603</v>
      </c>
      <c r="E2798">
        <v>0.66441580931852695</v>
      </c>
      <c r="F2798">
        <v>0.34346367941781097</v>
      </c>
      <c r="G2798">
        <v>0.188514782855744</v>
      </c>
      <c r="H2798">
        <v>0.123619147478644</v>
      </c>
      <c r="I2798">
        <v>9.7426479982370598E-2</v>
      </c>
      <c r="J2798">
        <v>0.10570683459163201</v>
      </c>
      <c r="K2798">
        <v>7.8938691470582203E-2</v>
      </c>
      <c r="L2798">
        <v>1086.9024258552499</v>
      </c>
      <c r="M2798">
        <v>21.316607192972398</v>
      </c>
      <c r="N2798">
        <v>51.4664442927278</v>
      </c>
      <c r="O2798">
        <v>50.546158581912202</v>
      </c>
      <c r="P2798">
        <v>-9.5966849009199606E-2</v>
      </c>
      <c r="Q2798">
        <v>8.9792690075715401E-2</v>
      </c>
      <c r="R2798">
        <v>0.99787615723993095</v>
      </c>
      <c r="S2798" t="s">
        <v>7094</v>
      </c>
      <c r="T2798" t="s">
        <v>8590</v>
      </c>
      <c r="U2798" t="s">
        <v>8590</v>
      </c>
      <c r="V2798" t="s">
        <v>8590</v>
      </c>
      <c r="W2798">
        <v>27</v>
      </c>
      <c r="X2798" t="s">
        <v>11388</v>
      </c>
      <c r="Y2798">
        <v>0.43438829788633743</v>
      </c>
      <c r="Z2798" t="str">
        <f>HYPERLINK("Melting_Curves/meltCurve_sp_Q99447_3_PCY2_HUMAN_.pdf", "Melting_Curves/meltCurve_sp_Q99447_3_PCY2_HUMAN_.pdf")</f>
        <v>Melting_Curves/meltCurve_sp_Q99447_3_PCY2_HUMAN_.pdf</v>
      </c>
      <c r="AA2798" t="s">
        <v>15638</v>
      </c>
      <c r="AB2798" t="s">
        <v>19882</v>
      </c>
    </row>
    <row r="2799" spans="1:28" x14ac:dyDescent="0.25">
      <c r="A2799" t="s">
        <v>2803</v>
      </c>
      <c r="B2799">
        <v>0.99876560204751996</v>
      </c>
      <c r="C2799">
        <v>0.987461463586226</v>
      </c>
      <c r="D2799">
        <v>0.97311566365566904</v>
      </c>
      <c r="E2799">
        <v>0.89419089027910303</v>
      </c>
      <c r="F2799">
        <v>0.83830170712752405</v>
      </c>
      <c r="G2799">
        <v>0.59337600596189499</v>
      </c>
      <c r="H2799">
        <v>0.50445802394346795</v>
      </c>
      <c r="I2799">
        <v>0.52058742983631801</v>
      </c>
      <c r="J2799">
        <v>0.64954766155551702</v>
      </c>
      <c r="K2799">
        <v>0.67045822339783401</v>
      </c>
      <c r="L2799">
        <v>1697.1700327465601</v>
      </c>
      <c r="M2799">
        <v>31.9548360676093</v>
      </c>
      <c r="O2799">
        <v>52.904815921904898</v>
      </c>
      <c r="P2799">
        <v>-6.3298114042127901E-2</v>
      </c>
      <c r="Q2799">
        <v>0.58081359133368304</v>
      </c>
      <c r="R2799">
        <v>0.91473472356008201</v>
      </c>
      <c r="S2799" t="s">
        <v>7095</v>
      </c>
      <c r="T2799" t="s">
        <v>8590</v>
      </c>
      <c r="U2799" t="s">
        <v>8590</v>
      </c>
      <c r="V2799" t="s">
        <v>8590</v>
      </c>
      <c r="W2799">
        <v>11</v>
      </c>
      <c r="X2799" t="s">
        <v>11389</v>
      </c>
      <c r="Y2799">
        <v>0.76642429812616319</v>
      </c>
      <c r="Z2799" t="str">
        <f>HYPERLINK("Melting_Curves/meltCurve_sp_Q99459_CDC5L_HUMAN_.pdf", "Melting_Curves/meltCurve_sp_Q99459_CDC5L_HUMAN_.pdf")</f>
        <v>Melting_Curves/meltCurve_sp_Q99459_CDC5L_HUMAN_.pdf</v>
      </c>
      <c r="AA2799" t="s">
        <v>15639</v>
      </c>
      <c r="AB2799" t="s">
        <v>19883</v>
      </c>
    </row>
    <row r="2800" spans="1:28" x14ac:dyDescent="0.25">
      <c r="A2800" t="s">
        <v>2804</v>
      </c>
      <c r="B2800">
        <v>0.99876560204751996</v>
      </c>
      <c r="C2800">
        <v>0.96045807888079904</v>
      </c>
      <c r="D2800">
        <v>0.78268079019148296</v>
      </c>
      <c r="E2800">
        <v>0.47633785137294699</v>
      </c>
      <c r="F2800">
        <v>0.26153710074455599</v>
      </c>
      <c r="G2800">
        <v>0.15664394962080799</v>
      </c>
      <c r="H2800">
        <v>9.9817434916861306E-2</v>
      </c>
      <c r="I2800">
        <v>5.8894719456979501E-2</v>
      </c>
      <c r="J2800">
        <v>5.0857358945162197E-2</v>
      </c>
      <c r="K2800">
        <v>3.5251089111530798E-2</v>
      </c>
      <c r="L2800">
        <v>853.45134687586005</v>
      </c>
      <c r="M2800">
        <v>17.266353367112501</v>
      </c>
      <c r="N2800">
        <v>49.7099711612411</v>
      </c>
      <c r="O2800">
        <v>48.779851083351403</v>
      </c>
      <c r="P2800">
        <v>-8.4376235416089199E-2</v>
      </c>
      <c r="Q2800">
        <v>4.6556997825092802E-2</v>
      </c>
      <c r="R2800">
        <v>0.99829866731479699</v>
      </c>
      <c r="S2800" t="s">
        <v>7096</v>
      </c>
      <c r="T2800" t="s">
        <v>8590</v>
      </c>
      <c r="U2800" t="s">
        <v>8590</v>
      </c>
      <c r="V2800" t="s">
        <v>8590</v>
      </c>
      <c r="W2800">
        <v>19</v>
      </c>
      <c r="X2800" t="s">
        <v>11390</v>
      </c>
      <c r="Y2800">
        <v>0.36398360567638588</v>
      </c>
      <c r="Z2800" t="str">
        <f>HYPERLINK("Melting_Curves/meltCurve_sp_Q99460_PSMD1_HUMAN_.pdf", "Melting_Curves/meltCurve_sp_Q99460_PSMD1_HUMAN_.pdf")</f>
        <v>Melting_Curves/meltCurve_sp_Q99460_PSMD1_HUMAN_.pdf</v>
      </c>
      <c r="AA2800" t="s">
        <v>15640</v>
      </c>
      <c r="AB2800" t="s">
        <v>19884</v>
      </c>
    </row>
    <row r="2801" spans="1:28" x14ac:dyDescent="0.25">
      <c r="A2801" t="s">
        <v>2805</v>
      </c>
      <c r="B2801">
        <v>0.99876560204751996</v>
      </c>
      <c r="C2801">
        <v>0.85584529462899805</v>
      </c>
      <c r="D2801">
        <v>0.93139024246133995</v>
      </c>
      <c r="E2801">
        <v>0.79891818792920599</v>
      </c>
      <c r="F2801">
        <v>0.64343071808713703</v>
      </c>
      <c r="G2801">
        <v>0.59497803898972401</v>
      </c>
      <c r="H2801">
        <v>0.32639409375427902</v>
      </c>
      <c r="I2801">
        <v>0.306034269213175</v>
      </c>
      <c r="J2801">
        <v>0.23788463410309099</v>
      </c>
      <c r="K2801">
        <v>0.27085285819565202</v>
      </c>
      <c r="L2801">
        <v>528.86652923227598</v>
      </c>
      <c r="M2801">
        <v>9.4394447396893195</v>
      </c>
      <c r="N2801">
        <v>57.498649118044398</v>
      </c>
      <c r="O2801">
        <v>53.685462682177103</v>
      </c>
      <c r="P2801">
        <v>-3.9264568488862901E-2</v>
      </c>
      <c r="Q2801">
        <v>0.107295189434591</v>
      </c>
      <c r="R2801">
        <v>0.96810747446084899</v>
      </c>
      <c r="S2801" t="s">
        <v>7097</v>
      </c>
      <c r="T2801" t="s">
        <v>8590</v>
      </c>
      <c r="U2801" t="s">
        <v>8590</v>
      </c>
      <c r="V2801" t="s">
        <v>8590</v>
      </c>
      <c r="W2801">
        <v>1</v>
      </c>
      <c r="X2801" t="s">
        <v>11391</v>
      </c>
      <c r="Y2801">
        <v>0.60282464223978127</v>
      </c>
      <c r="Z2801" t="str">
        <f>HYPERLINK("Melting_Curves/meltCurve_sp_Q99470_SDF2_HUMAN_.pdf", "Melting_Curves/meltCurve_sp_Q99470_SDF2_HUMAN_.pdf")</f>
        <v>Melting_Curves/meltCurve_sp_Q99470_SDF2_HUMAN_.pdf</v>
      </c>
      <c r="AA2801" t="s">
        <v>15641</v>
      </c>
      <c r="AB2801" t="s">
        <v>19885</v>
      </c>
    </row>
    <row r="2802" spans="1:28" x14ac:dyDescent="0.25">
      <c r="A2802" t="s">
        <v>2806</v>
      </c>
      <c r="B2802">
        <v>0.99876560204751996</v>
      </c>
      <c r="C2802">
        <v>1.06709343091078</v>
      </c>
      <c r="D2802">
        <v>0.98073400554823997</v>
      </c>
      <c r="E2802">
        <v>1.0472117179214699</v>
      </c>
      <c r="F2802">
        <v>0.939103928104559</v>
      </c>
      <c r="G2802">
        <v>0.74857299759998797</v>
      </c>
      <c r="H2802">
        <v>0.509653560700838</v>
      </c>
      <c r="I2802">
        <v>0.34126797780753498</v>
      </c>
      <c r="J2802">
        <v>0.38169172532659301</v>
      </c>
      <c r="K2802">
        <v>0.35971670659035598</v>
      </c>
      <c r="L2802">
        <v>1594.9389643734601</v>
      </c>
      <c r="M2802">
        <v>27.473734082822499</v>
      </c>
      <c r="N2802">
        <v>60.6396193104136</v>
      </c>
      <c r="O2802">
        <v>57.748274186068898</v>
      </c>
      <c r="P2802">
        <v>-7.7893298647936801E-2</v>
      </c>
      <c r="Q2802">
        <v>0.34509639572811901</v>
      </c>
      <c r="R2802">
        <v>0.98586774823870005</v>
      </c>
      <c r="S2802" t="s">
        <v>7098</v>
      </c>
      <c r="T2802" t="s">
        <v>8590</v>
      </c>
      <c r="U2802" t="s">
        <v>8590</v>
      </c>
      <c r="V2802" t="s">
        <v>8590</v>
      </c>
      <c r="W2802">
        <v>9</v>
      </c>
      <c r="X2802" t="s">
        <v>11392</v>
      </c>
      <c r="Y2802">
        <v>0.74415317317401619</v>
      </c>
      <c r="Z2802" t="str">
        <f>HYPERLINK("Melting_Curves/meltCurve_sp_Q99471_PFD5_HUMAN_.pdf", "Melting_Curves/meltCurve_sp_Q99471_PFD5_HUMAN_.pdf")</f>
        <v>Melting_Curves/meltCurve_sp_Q99471_PFD5_HUMAN_.pdf</v>
      </c>
      <c r="AA2802" t="s">
        <v>15642</v>
      </c>
      <c r="AB2802" t="s">
        <v>19886</v>
      </c>
    </row>
    <row r="2803" spans="1:28" x14ac:dyDescent="0.25">
      <c r="A2803" t="s">
        <v>2807</v>
      </c>
      <c r="B2803">
        <v>0.99876560204751996</v>
      </c>
      <c r="C2803">
        <v>0.98446565378113704</v>
      </c>
      <c r="D2803">
        <v>0.96504375364471195</v>
      </c>
      <c r="E2803">
        <v>0.81976591852889502</v>
      </c>
      <c r="F2803">
        <v>0.56279079980451097</v>
      </c>
      <c r="G2803">
        <v>0.27002111325819</v>
      </c>
      <c r="H2803">
        <v>0.13882541305068499</v>
      </c>
      <c r="I2803">
        <v>8.9616660906830403E-2</v>
      </c>
      <c r="J2803">
        <v>6.9756706526505105E-2</v>
      </c>
      <c r="K2803">
        <v>6.1443770608495998E-2</v>
      </c>
      <c r="L2803">
        <v>1066.31412586427</v>
      </c>
      <c r="M2803">
        <v>19.938326202934899</v>
      </c>
      <c r="N2803">
        <v>53.800953927285398</v>
      </c>
      <c r="O2803">
        <v>52.951358456911301</v>
      </c>
      <c r="P2803">
        <v>-8.8869446369249705E-2</v>
      </c>
      <c r="Q2803">
        <v>5.5968345502537202E-2</v>
      </c>
      <c r="R2803">
        <v>0.99980897874925601</v>
      </c>
      <c r="S2803" t="s">
        <v>7099</v>
      </c>
      <c r="T2803" t="s">
        <v>8590</v>
      </c>
      <c r="U2803" t="s">
        <v>8590</v>
      </c>
      <c r="V2803" t="s">
        <v>8590</v>
      </c>
      <c r="W2803">
        <v>8</v>
      </c>
      <c r="X2803" t="s">
        <v>11393</v>
      </c>
      <c r="Y2803">
        <v>0.49316084700489599</v>
      </c>
      <c r="Z2803" t="str">
        <f>HYPERLINK("Melting_Curves/meltCurve_sp_Q99487_PAFA2_HUMAN_.pdf", "Melting_Curves/meltCurve_sp_Q99487_PAFA2_HUMAN_.pdf")</f>
        <v>Melting_Curves/meltCurve_sp_Q99487_PAFA2_HUMAN_.pdf</v>
      </c>
      <c r="AA2803" t="s">
        <v>15643</v>
      </c>
      <c r="AB2803" t="s">
        <v>19887</v>
      </c>
    </row>
    <row r="2804" spans="1:28" x14ac:dyDescent="0.25">
      <c r="A2804" t="s">
        <v>2808</v>
      </c>
      <c r="B2804">
        <v>0.99876560204751996</v>
      </c>
      <c r="C2804">
        <v>0.87479502170094903</v>
      </c>
      <c r="D2804">
        <v>0.89114144946884</v>
      </c>
      <c r="E2804">
        <v>0.55593324101958896</v>
      </c>
      <c r="F2804">
        <v>0.29063979922299299</v>
      </c>
      <c r="G2804">
        <v>0.17559573610301599</v>
      </c>
      <c r="H2804">
        <v>0.10817007768490799</v>
      </c>
      <c r="I2804">
        <v>8.0833717828230997E-2</v>
      </c>
      <c r="J2804">
        <v>8.52891992030885E-2</v>
      </c>
      <c r="K2804">
        <v>8.17175401699098E-2</v>
      </c>
      <c r="L2804">
        <v>948.31020762539799</v>
      </c>
      <c r="M2804">
        <v>18.929610060439199</v>
      </c>
      <c r="N2804">
        <v>50.531140219373299</v>
      </c>
      <c r="O2804">
        <v>49.547633917747397</v>
      </c>
      <c r="P2804">
        <v>-8.8342487600818906E-2</v>
      </c>
      <c r="Q2804">
        <v>7.51033892876036E-2</v>
      </c>
      <c r="R2804">
        <v>0.992110270164268</v>
      </c>
      <c r="S2804" t="s">
        <v>7100</v>
      </c>
      <c r="T2804" t="s">
        <v>8590</v>
      </c>
      <c r="U2804" t="s">
        <v>8590</v>
      </c>
      <c r="V2804" t="s">
        <v>8590</v>
      </c>
      <c r="W2804">
        <v>6</v>
      </c>
      <c r="X2804" t="s">
        <v>11394</v>
      </c>
      <c r="Y2804">
        <v>0.40069531181130041</v>
      </c>
      <c r="Z2804" t="str">
        <f>HYPERLINK("Melting_Curves/meltCurve_sp_Q99489_OXDD_HUMAN_.pdf", "Melting_Curves/meltCurve_sp_Q99489_OXDD_HUMAN_.pdf")</f>
        <v>Melting_Curves/meltCurve_sp_Q99489_OXDD_HUMAN_.pdf</v>
      </c>
      <c r="AA2804" t="s">
        <v>15644</v>
      </c>
      <c r="AB2804" t="s">
        <v>19888</v>
      </c>
    </row>
    <row r="2805" spans="1:28" x14ac:dyDescent="0.25">
      <c r="A2805" t="s">
        <v>2809</v>
      </c>
      <c r="B2805">
        <v>0.99876560204751996</v>
      </c>
      <c r="C2805">
        <v>0.91845471373199405</v>
      </c>
      <c r="D2805">
        <v>1.0386862393844201</v>
      </c>
      <c r="E2805">
        <v>0.94196095432958205</v>
      </c>
      <c r="F2805">
        <v>0.98029516345947798</v>
      </c>
      <c r="G2805">
        <v>0.79290922847705303</v>
      </c>
      <c r="H2805">
        <v>0.57956556985612495</v>
      </c>
      <c r="I2805">
        <v>0.47858998315116003</v>
      </c>
      <c r="J2805">
        <v>0.52441482757078395</v>
      </c>
      <c r="K2805">
        <v>0.49417522788514701</v>
      </c>
      <c r="L2805">
        <v>1840.1508014781</v>
      </c>
      <c r="M2805">
        <v>31.900062511885402</v>
      </c>
      <c r="N2805">
        <v>66.509069191571101</v>
      </c>
      <c r="O2805">
        <v>57.459596549421398</v>
      </c>
      <c r="P2805">
        <v>-7.0404559733546396E-2</v>
      </c>
      <c r="Q2805">
        <v>0.49274121133211402</v>
      </c>
      <c r="R2805">
        <v>0.97241674230707398</v>
      </c>
      <c r="S2805" t="s">
        <v>7101</v>
      </c>
      <c r="T2805" t="s">
        <v>8590</v>
      </c>
      <c r="U2805" t="s">
        <v>8590</v>
      </c>
      <c r="V2805" t="s">
        <v>8590</v>
      </c>
      <c r="W2805">
        <v>19</v>
      </c>
      <c r="X2805" t="s">
        <v>11395</v>
      </c>
      <c r="Y2805">
        <v>0.79478713032919113</v>
      </c>
      <c r="Z2805" t="str">
        <f>HYPERLINK("Melting_Curves/meltCurve_sp_Q99497_PARK7_HUMAN_.pdf", "Melting_Curves/meltCurve_sp_Q99497_PARK7_HUMAN_.pdf")</f>
        <v>Melting_Curves/meltCurve_sp_Q99497_PARK7_HUMAN_.pdf</v>
      </c>
      <c r="AA2805" t="s">
        <v>15645</v>
      </c>
      <c r="AB2805" t="s">
        <v>19889</v>
      </c>
    </row>
    <row r="2806" spans="1:28" x14ac:dyDescent="0.25">
      <c r="A2806" t="s">
        <v>2810</v>
      </c>
      <c r="B2806">
        <v>0.99876560204751996</v>
      </c>
      <c r="C2806">
        <v>0.88775124983957998</v>
      </c>
      <c r="D2806">
        <v>0.85688970443465196</v>
      </c>
      <c r="E2806">
        <v>0.629899714908144</v>
      </c>
      <c r="F2806">
        <v>0.45223541459254402</v>
      </c>
      <c r="G2806">
        <v>0.26372702007236998</v>
      </c>
      <c r="H2806">
        <v>0.15674651985906601</v>
      </c>
      <c r="I2806">
        <v>0.18473415021690101</v>
      </c>
      <c r="J2806">
        <v>0.179768519737628</v>
      </c>
      <c r="K2806">
        <v>0.15705657688463301</v>
      </c>
      <c r="L2806">
        <v>747.30854651626305</v>
      </c>
      <c r="M2806">
        <v>14.7055049089245</v>
      </c>
      <c r="N2806">
        <v>51.909146275322598</v>
      </c>
      <c r="O2806">
        <v>49.906288748704</v>
      </c>
      <c r="P2806">
        <v>-6.3880820505965899E-2</v>
      </c>
      <c r="Q2806">
        <v>0.13292154536779699</v>
      </c>
      <c r="R2806">
        <v>0.99322163586407897</v>
      </c>
      <c r="S2806" t="s">
        <v>7102</v>
      </c>
      <c r="T2806" t="s">
        <v>8590</v>
      </c>
      <c r="U2806" t="s">
        <v>8590</v>
      </c>
      <c r="V2806" t="s">
        <v>8590</v>
      </c>
      <c r="W2806">
        <v>5</v>
      </c>
      <c r="X2806" t="s">
        <v>11396</v>
      </c>
      <c r="Y2806">
        <v>0.46642390796968491</v>
      </c>
      <c r="Z2806" t="str">
        <f>HYPERLINK("Melting_Curves/meltCurve_sp_Q99519_NEUR1_HUMAN_.pdf", "Melting_Curves/meltCurve_sp_Q99519_NEUR1_HUMAN_.pdf")</f>
        <v>Melting_Curves/meltCurve_sp_Q99519_NEUR1_HUMAN_.pdf</v>
      </c>
      <c r="AA2806" t="s">
        <v>15646</v>
      </c>
      <c r="AB2806" t="s">
        <v>19890</v>
      </c>
    </row>
    <row r="2807" spans="1:28" x14ac:dyDescent="0.25">
      <c r="A2807" t="s">
        <v>2811</v>
      </c>
      <c r="B2807">
        <v>0.99876560204751996</v>
      </c>
      <c r="C2807">
        <v>0.95069829964952901</v>
      </c>
      <c r="D2807">
        <v>0.79565169058343699</v>
      </c>
      <c r="E2807">
        <v>0.68232731448632</v>
      </c>
      <c r="F2807">
        <v>0.50514108459835405</v>
      </c>
      <c r="G2807">
        <v>0.31818562981237403</v>
      </c>
      <c r="H2807">
        <v>0.177372033655115</v>
      </c>
      <c r="I2807">
        <v>0.11461459821426501</v>
      </c>
      <c r="J2807">
        <v>0.117792839421047</v>
      </c>
      <c r="K2807">
        <v>9.0015678544889399E-2</v>
      </c>
      <c r="L2807">
        <v>605.05060800272895</v>
      </c>
      <c r="M2807">
        <v>11.4776846717222</v>
      </c>
      <c r="N2807">
        <v>52.944896313191798</v>
      </c>
      <c r="O2807">
        <v>51.191326330145898</v>
      </c>
      <c r="P2807">
        <v>-5.4708189185811502E-2</v>
      </c>
      <c r="Q2807">
        <v>2.4269148922311901E-2</v>
      </c>
      <c r="R2807">
        <v>0.99554596396721595</v>
      </c>
      <c r="S2807" t="s">
        <v>7103</v>
      </c>
      <c r="T2807" t="s">
        <v>8590</v>
      </c>
      <c r="U2807" t="s">
        <v>8590</v>
      </c>
      <c r="V2807" t="s">
        <v>8590</v>
      </c>
      <c r="W2807">
        <v>4</v>
      </c>
      <c r="X2807" t="s">
        <v>11397</v>
      </c>
      <c r="Y2807">
        <v>0.46769673698156761</v>
      </c>
      <c r="Z2807" t="str">
        <f>HYPERLINK("Melting_Curves/meltCurve_sp_Q99536_VAT1_HUMAN_.pdf", "Melting_Curves/meltCurve_sp_Q99536_VAT1_HUMAN_.pdf")</f>
        <v>Melting_Curves/meltCurve_sp_Q99536_VAT1_HUMAN_.pdf</v>
      </c>
      <c r="AA2807" t="s">
        <v>15647</v>
      </c>
      <c r="AB2807" t="s">
        <v>19891</v>
      </c>
    </row>
    <row r="2808" spans="1:28" x14ac:dyDescent="0.25">
      <c r="A2808" t="s">
        <v>2812</v>
      </c>
      <c r="B2808">
        <v>0.99876560204751996</v>
      </c>
      <c r="C2808">
        <v>0.91449796641582604</v>
      </c>
      <c r="D2808">
        <v>0.95180050045174602</v>
      </c>
      <c r="E2808">
        <v>0.75001484220689696</v>
      </c>
      <c r="F2808">
        <v>0.50194726939517897</v>
      </c>
      <c r="G2808">
        <v>0.28200615798586698</v>
      </c>
      <c r="H2808">
        <v>0.17260700218714001</v>
      </c>
      <c r="I2808">
        <v>0.148081512715976</v>
      </c>
      <c r="J2808">
        <v>0.17214352488224699</v>
      </c>
      <c r="K2808">
        <v>0.14324583937032001</v>
      </c>
      <c r="L2808">
        <v>1014.88103346457</v>
      </c>
      <c r="M2808">
        <v>19.4427097320877</v>
      </c>
      <c r="N2808">
        <v>53.0761635337077</v>
      </c>
      <c r="O2808">
        <v>51.655747655132402</v>
      </c>
      <c r="P2808">
        <v>-8.1165283812221697E-2</v>
      </c>
      <c r="Q2808">
        <v>0.13746573189956601</v>
      </c>
      <c r="R2808">
        <v>0.99466451940174905</v>
      </c>
      <c r="S2808" t="s">
        <v>7104</v>
      </c>
      <c r="T2808" t="s">
        <v>8590</v>
      </c>
      <c r="U2808" t="s">
        <v>8590</v>
      </c>
      <c r="V2808" t="s">
        <v>8590</v>
      </c>
      <c r="W2808">
        <v>5</v>
      </c>
      <c r="X2808" t="s">
        <v>11398</v>
      </c>
      <c r="Y2808">
        <v>0.50072310997951963</v>
      </c>
      <c r="Z2808" t="str">
        <f>HYPERLINK("Melting_Curves/meltCurve_sp_Q99538_LGMN_HUMAN_.pdf", "Melting_Curves/meltCurve_sp_Q99538_LGMN_HUMAN_.pdf")</f>
        <v>Melting_Curves/meltCurve_sp_Q99538_LGMN_HUMAN_.pdf</v>
      </c>
      <c r="AA2808" t="s">
        <v>15648</v>
      </c>
      <c r="AB2808" t="s">
        <v>19892</v>
      </c>
    </row>
    <row r="2809" spans="1:28" x14ac:dyDescent="0.25">
      <c r="A2809" t="s">
        <v>2813</v>
      </c>
      <c r="B2809">
        <v>0.99876560204751996</v>
      </c>
      <c r="C2809">
        <v>1.00341364738215</v>
      </c>
      <c r="D2809">
        <v>0.928328516314331</v>
      </c>
      <c r="E2809">
        <v>0.71448899143525901</v>
      </c>
      <c r="F2809">
        <v>0.59406685675981097</v>
      </c>
      <c r="G2809">
        <v>0.45422965048867903</v>
      </c>
      <c r="H2809">
        <v>0.409556008043237</v>
      </c>
      <c r="I2809">
        <v>0.38639520130392802</v>
      </c>
      <c r="J2809">
        <v>0.47597889286223899</v>
      </c>
      <c r="K2809">
        <v>0.47481987690827998</v>
      </c>
      <c r="L2809">
        <v>1108.8532411235899</v>
      </c>
      <c r="M2809">
        <v>22.099006611840601</v>
      </c>
      <c r="N2809">
        <v>55.167130226673002</v>
      </c>
      <c r="O2809">
        <v>49.771157775454597</v>
      </c>
      <c r="P2809">
        <v>-6.3020867906673703E-2</v>
      </c>
      <c r="Q2809">
        <v>0.43227261540895001</v>
      </c>
      <c r="R2809">
        <v>0.98451850039683397</v>
      </c>
      <c r="S2809" t="s">
        <v>7105</v>
      </c>
      <c r="T2809" t="s">
        <v>8590</v>
      </c>
      <c r="U2809" t="s">
        <v>8590</v>
      </c>
      <c r="V2809" t="s">
        <v>8590</v>
      </c>
      <c r="W2809">
        <v>8</v>
      </c>
      <c r="X2809" t="s">
        <v>11399</v>
      </c>
      <c r="Y2809">
        <v>0.63135483390020353</v>
      </c>
      <c r="Z2809" t="str">
        <f>HYPERLINK("Melting_Curves/meltCurve_sp_Q99543_DNJC2_HUMAN_.pdf", "Melting_Curves/meltCurve_sp_Q99543_DNJC2_HUMAN_.pdf")</f>
        <v>Melting_Curves/meltCurve_sp_Q99543_DNJC2_HUMAN_.pdf</v>
      </c>
      <c r="AA2809" t="s">
        <v>15649</v>
      </c>
      <c r="AB2809" t="s">
        <v>19893</v>
      </c>
    </row>
    <row r="2810" spans="1:28" x14ac:dyDescent="0.25">
      <c r="A2810" t="s">
        <v>2814</v>
      </c>
      <c r="B2810">
        <v>0.99876560204751996</v>
      </c>
      <c r="C2810">
        <v>0.76593979380612998</v>
      </c>
      <c r="D2810">
        <v>0.50786475920186402</v>
      </c>
      <c r="E2810">
        <v>0.91639125825169299</v>
      </c>
      <c r="F2810">
        <v>0.416491940541246</v>
      </c>
      <c r="G2810">
        <v>0.18553451747535499</v>
      </c>
      <c r="H2810">
        <v>0</v>
      </c>
      <c r="I2810">
        <v>0</v>
      </c>
      <c r="J2810">
        <v>0</v>
      </c>
      <c r="K2810">
        <v>0</v>
      </c>
      <c r="L2810">
        <v>610.80050410205899</v>
      </c>
      <c r="M2810">
        <v>11.9394913201275</v>
      </c>
      <c r="N2810">
        <v>51.1580006325445</v>
      </c>
      <c r="O2810">
        <v>49.7862199882683</v>
      </c>
      <c r="P2810">
        <v>-5.9968536167077001E-2</v>
      </c>
      <c r="Q2810">
        <v>0</v>
      </c>
      <c r="R2810">
        <v>0.82571784996722497</v>
      </c>
      <c r="S2810" t="s">
        <v>7106</v>
      </c>
      <c r="T2810" t="s">
        <v>8590</v>
      </c>
      <c r="U2810" t="s">
        <v>8590</v>
      </c>
      <c r="V2810" t="s">
        <v>8590</v>
      </c>
      <c r="W2810">
        <v>1</v>
      </c>
      <c r="X2810" t="s">
        <v>11400</v>
      </c>
      <c r="Y2810">
        <v>0.404464257158828</v>
      </c>
      <c r="Z2810" t="str">
        <f>HYPERLINK("Melting_Curves/meltCurve_sp_Q99549_MPP8_HUMAN_.pdf", "Melting_Curves/meltCurve_sp_Q99549_MPP8_HUMAN_.pdf")</f>
        <v>Melting_Curves/meltCurve_sp_Q99549_MPP8_HUMAN_.pdf</v>
      </c>
      <c r="AA2810" t="s">
        <v>15650</v>
      </c>
      <c r="AB2810" t="s">
        <v>19894</v>
      </c>
    </row>
    <row r="2811" spans="1:28" x14ac:dyDescent="0.25">
      <c r="A2811" t="s">
        <v>2815</v>
      </c>
      <c r="B2811">
        <v>0.99876560204751996</v>
      </c>
      <c r="C2811">
        <v>1.0128194339371199</v>
      </c>
      <c r="D2811">
        <v>0.88772814220709895</v>
      </c>
      <c r="E2811">
        <v>0.83531466950021005</v>
      </c>
      <c r="F2811">
        <v>0.59781096980984805</v>
      </c>
      <c r="G2811">
        <v>0.26476843176418102</v>
      </c>
      <c r="H2811">
        <v>0.16922303866576699</v>
      </c>
      <c r="I2811">
        <v>0.14240862596669601</v>
      </c>
      <c r="J2811">
        <v>0.149375480042125</v>
      </c>
      <c r="K2811">
        <v>0.142270050937055</v>
      </c>
      <c r="L2811">
        <v>1170.2931014261001</v>
      </c>
      <c r="M2811">
        <v>22.015865150094601</v>
      </c>
      <c r="N2811">
        <v>53.877838250398902</v>
      </c>
      <c r="O2811">
        <v>52.724067509833397</v>
      </c>
      <c r="P2811">
        <v>-9.1073896259960999E-2</v>
      </c>
      <c r="Q2811">
        <v>0.127596515896578</v>
      </c>
      <c r="R2811">
        <v>0.99328384447226004</v>
      </c>
      <c r="S2811" t="s">
        <v>7107</v>
      </c>
      <c r="T2811" t="s">
        <v>8590</v>
      </c>
      <c r="U2811" t="s">
        <v>8590</v>
      </c>
      <c r="V2811" t="s">
        <v>8590</v>
      </c>
      <c r="W2811">
        <v>5</v>
      </c>
      <c r="X2811" t="s">
        <v>11401</v>
      </c>
      <c r="Y2811">
        <v>0.52033960124812817</v>
      </c>
      <c r="Z2811" t="str">
        <f>HYPERLINK("Melting_Curves/meltCurve_sp_Q99567_NUP88_HUMAN_.pdf", "Melting_Curves/meltCurve_sp_Q99567_NUP88_HUMAN_.pdf")</f>
        <v>Melting_Curves/meltCurve_sp_Q99567_NUP88_HUMAN_.pdf</v>
      </c>
      <c r="AA2811" t="s">
        <v>15651</v>
      </c>
      <c r="AB2811" t="s">
        <v>19895</v>
      </c>
    </row>
    <row r="2812" spans="1:28" x14ac:dyDescent="0.25">
      <c r="A2812" t="s">
        <v>2816</v>
      </c>
      <c r="B2812">
        <v>0.99876560204751996</v>
      </c>
      <c r="C2812">
        <v>0.86074432485318397</v>
      </c>
      <c r="D2812">
        <v>0.93081705706018103</v>
      </c>
      <c r="E2812">
        <v>0.74091436670811595</v>
      </c>
      <c r="F2812">
        <v>0.82732480661226904</v>
      </c>
      <c r="G2812">
        <v>0.65909413449493803</v>
      </c>
      <c r="H2812">
        <v>0.57809199116341403</v>
      </c>
      <c r="I2812">
        <v>0.569540621341317</v>
      </c>
      <c r="J2812">
        <v>0.724727415503996</v>
      </c>
      <c r="K2812">
        <v>0.74786115673943299</v>
      </c>
      <c r="L2812">
        <v>609.97680206437894</v>
      </c>
      <c r="M2812">
        <v>12.658235384223801</v>
      </c>
      <c r="O2812">
        <v>47.032939810618998</v>
      </c>
      <c r="P2812">
        <v>-2.3631463409293101E-2</v>
      </c>
      <c r="Q2812">
        <v>0.64884853879898097</v>
      </c>
      <c r="R2812">
        <v>0.713771465462267</v>
      </c>
      <c r="S2812" t="s">
        <v>7108</v>
      </c>
      <c r="T2812" t="s">
        <v>8590</v>
      </c>
      <c r="U2812" t="s">
        <v>8590</v>
      </c>
      <c r="V2812" t="s">
        <v>8590</v>
      </c>
      <c r="W2812">
        <v>6</v>
      </c>
      <c r="X2812" t="s">
        <v>11402</v>
      </c>
      <c r="Y2812">
        <v>0.75703415814677233</v>
      </c>
      <c r="Z2812" t="str">
        <f>HYPERLINK("Melting_Curves/meltCurve_sp_Q99569_2_PKP4_HUMAN_.pdf", "Melting_Curves/meltCurve_sp_Q99569_2_PKP4_HUMAN_.pdf")</f>
        <v>Melting_Curves/meltCurve_sp_Q99569_2_PKP4_HUMAN_.pdf</v>
      </c>
      <c r="AA2812" t="s">
        <v>15652</v>
      </c>
      <c r="AB2812" t="s">
        <v>19896</v>
      </c>
    </row>
    <row r="2813" spans="1:28" x14ac:dyDescent="0.25">
      <c r="A2813" t="s">
        <v>2817</v>
      </c>
      <c r="B2813">
        <v>0.99876560204751996</v>
      </c>
      <c r="C2813">
        <v>0.84647350512001895</v>
      </c>
      <c r="D2813">
        <v>0.69841037528404304</v>
      </c>
      <c r="E2813">
        <v>0.56310524566313203</v>
      </c>
      <c r="F2813">
        <v>0.222693266606906</v>
      </c>
      <c r="G2813">
        <v>9.5962638431322203E-2</v>
      </c>
      <c r="H2813">
        <v>8.0813177092919894E-2</v>
      </c>
      <c r="I2813">
        <v>1.8855704480804501E-2</v>
      </c>
      <c r="J2813">
        <v>3.5658283671227503E-2</v>
      </c>
      <c r="K2813">
        <v>1.6780965789644001E-2</v>
      </c>
      <c r="L2813">
        <v>691.92932020883904</v>
      </c>
      <c r="M2813">
        <v>14.0066166300196</v>
      </c>
      <c r="N2813">
        <v>49.400175282874699</v>
      </c>
      <c r="O2813">
        <v>48.425901157462199</v>
      </c>
      <c r="P2813">
        <v>-7.2319080777104194E-2</v>
      </c>
      <c r="Q2813">
        <v>0</v>
      </c>
      <c r="R2813">
        <v>0.98368827358286903</v>
      </c>
      <c r="S2813" t="s">
        <v>7109</v>
      </c>
      <c r="T2813" t="s">
        <v>8590</v>
      </c>
      <c r="U2813" t="s">
        <v>8590</v>
      </c>
      <c r="V2813" t="s">
        <v>8590</v>
      </c>
      <c r="W2813">
        <v>6</v>
      </c>
      <c r="X2813" t="s">
        <v>11403</v>
      </c>
      <c r="Y2813">
        <v>0.3408797417355996</v>
      </c>
      <c r="Z2813" t="str">
        <f>HYPERLINK("Melting_Curves/meltCurve_sp_Q99570_PI3R4_HUMAN_.pdf", "Melting_Curves/meltCurve_sp_Q99570_PI3R4_HUMAN_.pdf")</f>
        <v>Melting_Curves/meltCurve_sp_Q99570_PI3R4_HUMAN_.pdf</v>
      </c>
      <c r="AA2813" t="s">
        <v>15653</v>
      </c>
      <c r="AB2813" t="s">
        <v>19897</v>
      </c>
    </row>
    <row r="2814" spans="1:28" x14ac:dyDescent="0.25">
      <c r="A2814" t="s">
        <v>2818</v>
      </c>
      <c r="B2814">
        <v>0.99876560204751996</v>
      </c>
      <c r="C2814">
        <v>1.16348757137717</v>
      </c>
      <c r="D2814">
        <v>1.1900920928366301</v>
      </c>
      <c r="E2814">
        <v>1.1519487196998901</v>
      </c>
      <c r="F2814">
        <v>0.98552746803815805</v>
      </c>
      <c r="G2814">
        <v>0.83312928014106002</v>
      </c>
      <c r="H2814">
        <v>0.38456257214225997</v>
      </c>
      <c r="I2814">
        <v>0.14511458852981601</v>
      </c>
      <c r="J2814">
        <v>4.4907975154977103E-2</v>
      </c>
      <c r="K2814">
        <v>7.9947244435978601E-2</v>
      </c>
      <c r="L2814">
        <v>1971.85571586674</v>
      </c>
      <c r="M2814">
        <v>32.9646311054289</v>
      </c>
      <c r="N2814">
        <v>59.996700697449597</v>
      </c>
      <c r="O2814">
        <v>59.598473734660402</v>
      </c>
      <c r="P2814">
        <v>-0.13178998012355</v>
      </c>
      <c r="Q2814">
        <v>4.6924449808943898E-2</v>
      </c>
      <c r="R2814">
        <v>0.95742059324795903</v>
      </c>
      <c r="S2814" t="s">
        <v>7110</v>
      </c>
      <c r="T2814" t="s">
        <v>8590</v>
      </c>
      <c r="U2814" t="s">
        <v>8590</v>
      </c>
      <c r="V2814" t="s">
        <v>8590</v>
      </c>
      <c r="W2814">
        <v>7</v>
      </c>
      <c r="X2814" t="s">
        <v>11404</v>
      </c>
      <c r="Y2814">
        <v>0.68163089795170417</v>
      </c>
      <c r="Z2814" t="str">
        <f>HYPERLINK("Melting_Curves/meltCurve_sp_Q99575_POP1_HUMAN_.pdf", "Melting_Curves/meltCurve_sp_Q99575_POP1_HUMAN_.pdf")</f>
        <v>Melting_Curves/meltCurve_sp_Q99575_POP1_HUMAN_.pdf</v>
      </c>
      <c r="AA2814" t="s">
        <v>15654</v>
      </c>
      <c r="AB2814" t="s">
        <v>19898</v>
      </c>
    </row>
    <row r="2815" spans="1:28" x14ac:dyDescent="0.25">
      <c r="A2815" t="s">
        <v>2819</v>
      </c>
      <c r="B2815">
        <v>0.99876560204751996</v>
      </c>
      <c r="C2815">
        <v>0.93945379028275</v>
      </c>
      <c r="D2815">
        <v>0.92217299465854996</v>
      </c>
      <c r="E2815">
        <v>0.85493075675925301</v>
      </c>
      <c r="F2815">
        <v>0.78650556997009702</v>
      </c>
      <c r="G2815">
        <v>0.61884082556005604</v>
      </c>
      <c r="H2815">
        <v>0.52539501978945002</v>
      </c>
      <c r="I2815">
        <v>0.49468863826283599</v>
      </c>
      <c r="J2815">
        <v>0.55758149085356001</v>
      </c>
      <c r="K2815">
        <v>0.55871714537074801</v>
      </c>
      <c r="L2815">
        <v>802.33781326184101</v>
      </c>
      <c r="M2815">
        <v>15.1999174619608</v>
      </c>
      <c r="O2815">
        <v>51.897304118828501</v>
      </c>
      <c r="P2815">
        <v>-3.6014703929349398E-2</v>
      </c>
      <c r="Q2815">
        <v>0.50818502159341195</v>
      </c>
      <c r="R2815">
        <v>0.96814448876173598</v>
      </c>
      <c r="S2815" t="s">
        <v>7111</v>
      </c>
      <c r="T2815" t="s">
        <v>8590</v>
      </c>
      <c r="U2815" t="s">
        <v>8590</v>
      </c>
      <c r="V2815" t="s">
        <v>8590</v>
      </c>
      <c r="W2815">
        <v>5</v>
      </c>
      <c r="X2815" t="s">
        <v>11405</v>
      </c>
      <c r="Y2815">
        <v>0.72826802302654425</v>
      </c>
      <c r="Z2815" t="str">
        <f>HYPERLINK("Melting_Curves/meltCurve_sp_Q99584_S10AD_HUMAN_.pdf", "Melting_Curves/meltCurve_sp_Q99584_S10AD_HUMAN_.pdf")</f>
        <v>Melting_Curves/meltCurve_sp_Q99584_S10AD_HUMAN_.pdf</v>
      </c>
      <c r="AA2815" t="s">
        <v>15655</v>
      </c>
      <c r="AB2815" t="s">
        <v>19899</v>
      </c>
    </row>
    <row r="2816" spans="1:28" x14ac:dyDescent="0.25">
      <c r="A2816" t="s">
        <v>2820</v>
      </c>
      <c r="B2816">
        <v>0.99876560204751996</v>
      </c>
      <c r="C2816">
        <v>1.00162491475539</v>
      </c>
      <c r="D2816">
        <v>1.0971391521845899</v>
      </c>
      <c r="E2816">
        <v>1.0780969294256399</v>
      </c>
      <c r="F2816">
        <v>1.2742127105827901</v>
      </c>
      <c r="G2816">
        <v>0.89085112634957797</v>
      </c>
      <c r="H2816">
        <v>0.88984590528383201</v>
      </c>
      <c r="I2816">
        <v>0.90451626182509304</v>
      </c>
      <c r="J2816">
        <v>1.02957820008332</v>
      </c>
      <c r="K2816">
        <v>1.0261950606685799</v>
      </c>
      <c r="L2816">
        <v>10837.111450287201</v>
      </c>
      <c r="M2816">
        <v>250</v>
      </c>
      <c r="O2816">
        <v>43.345672941399798</v>
      </c>
      <c r="P2816">
        <v>3.43235103499571E-2</v>
      </c>
      <c r="Q2816">
        <v>1.0238044098003001</v>
      </c>
      <c r="R2816">
        <v>7.3421355051904698E-3</v>
      </c>
      <c r="S2816" t="s">
        <v>7112</v>
      </c>
      <c r="T2816" t="s">
        <v>8590</v>
      </c>
      <c r="U2816" t="s">
        <v>8590</v>
      </c>
      <c r="V2816" t="s">
        <v>8590</v>
      </c>
      <c r="W2816">
        <v>5</v>
      </c>
      <c r="X2816" t="s">
        <v>11406</v>
      </c>
      <c r="Y2816">
        <v>1.0211456729913959</v>
      </c>
      <c r="Z2816" t="str">
        <f>HYPERLINK("Melting_Curves/meltCurve_sp_Q99590_2_SCAFB_HUMAN_.pdf", "Melting_Curves/meltCurve_sp_Q99590_2_SCAFB_HUMAN_.pdf")</f>
        <v>Melting_Curves/meltCurve_sp_Q99590_2_SCAFB_HUMAN_.pdf</v>
      </c>
      <c r="AA2816" t="s">
        <v>15656</v>
      </c>
      <c r="AB2816" t="s">
        <v>19900</v>
      </c>
    </row>
    <row r="2817" spans="1:28" x14ac:dyDescent="0.25">
      <c r="A2817" t="s">
        <v>2821</v>
      </c>
      <c r="B2817">
        <v>0.99876560204751996</v>
      </c>
      <c r="C2817">
        <v>1.03572308037353</v>
      </c>
      <c r="D2817">
        <v>0.91829756213624603</v>
      </c>
      <c r="E2817">
        <v>0.90072574526216198</v>
      </c>
      <c r="F2817">
        <v>0.76986950439980195</v>
      </c>
      <c r="G2817">
        <v>0.58814571550341099</v>
      </c>
      <c r="H2817">
        <v>0.49219029995681401</v>
      </c>
      <c r="I2817">
        <v>0.44915997134456098</v>
      </c>
      <c r="J2817">
        <v>0.41662686187541298</v>
      </c>
      <c r="K2817">
        <v>0.253848027446267</v>
      </c>
      <c r="L2817">
        <v>599.78432086681596</v>
      </c>
      <c r="M2817">
        <v>10.381696590021299</v>
      </c>
      <c r="N2817">
        <v>60.848561614077298</v>
      </c>
      <c r="O2817">
        <v>55.752962790224103</v>
      </c>
      <c r="P2817">
        <v>-3.7065018877099398E-2</v>
      </c>
      <c r="Q2817">
        <v>0.204132324156722</v>
      </c>
      <c r="R2817">
        <v>0.97770115501925803</v>
      </c>
      <c r="S2817" t="s">
        <v>7113</v>
      </c>
      <c r="T2817" t="s">
        <v>8590</v>
      </c>
      <c r="U2817" t="s">
        <v>8590</v>
      </c>
      <c r="V2817" t="s">
        <v>8590</v>
      </c>
      <c r="W2817">
        <v>13</v>
      </c>
      <c r="X2817" t="s">
        <v>11407</v>
      </c>
      <c r="Y2817">
        <v>0.68516213377650947</v>
      </c>
      <c r="Z2817" t="str">
        <f>HYPERLINK("Melting_Curves/meltCurve_sp_Q99598_TSNAX_HUMAN_.pdf", "Melting_Curves/meltCurve_sp_Q99598_TSNAX_HUMAN_.pdf")</f>
        <v>Melting_Curves/meltCurve_sp_Q99598_TSNAX_HUMAN_.pdf</v>
      </c>
      <c r="AA2817" t="s">
        <v>15657</v>
      </c>
      <c r="AB2817" t="s">
        <v>19901</v>
      </c>
    </row>
    <row r="2818" spans="1:28" x14ac:dyDescent="0.25">
      <c r="A2818" t="s">
        <v>2822</v>
      </c>
      <c r="B2818">
        <v>0.99876560204751996</v>
      </c>
      <c r="C2818">
        <v>0.99058835723966399</v>
      </c>
      <c r="D2818">
        <v>0.99093856013027204</v>
      </c>
      <c r="E2818">
        <v>0.88430051092394302</v>
      </c>
      <c r="F2818">
        <v>0.73379421773907005</v>
      </c>
      <c r="G2818">
        <v>0.65039329933281098</v>
      </c>
      <c r="H2818">
        <v>0.48592901260599197</v>
      </c>
      <c r="I2818">
        <v>0.37424322367419099</v>
      </c>
      <c r="J2818">
        <v>0.226300363298062</v>
      </c>
      <c r="K2818">
        <v>0.112800477723194</v>
      </c>
      <c r="L2818">
        <v>638.98387551020505</v>
      </c>
      <c r="M2818">
        <v>10.673746640488501</v>
      </c>
      <c r="N2818">
        <v>59.865011972818102</v>
      </c>
      <c r="O2818">
        <v>57.878421811192403</v>
      </c>
      <c r="P2818">
        <v>-4.6121636533670497E-2</v>
      </c>
      <c r="Q2818">
        <v>0</v>
      </c>
      <c r="R2818">
        <v>0.98708354015320998</v>
      </c>
      <c r="S2818" t="s">
        <v>7114</v>
      </c>
      <c r="T2818" t="s">
        <v>8590</v>
      </c>
      <c r="U2818" t="s">
        <v>8590</v>
      </c>
      <c r="V2818" t="s">
        <v>8590</v>
      </c>
      <c r="W2818">
        <v>12</v>
      </c>
      <c r="X2818" t="s">
        <v>11408</v>
      </c>
      <c r="Y2818">
        <v>0.66168716611415124</v>
      </c>
      <c r="Z2818" t="str">
        <f>HYPERLINK("Melting_Curves/meltCurve_sp_Q99611_SPS2_HUMAN_.pdf", "Melting_Curves/meltCurve_sp_Q99611_SPS2_HUMAN_.pdf")</f>
        <v>Melting_Curves/meltCurve_sp_Q99611_SPS2_HUMAN_.pdf</v>
      </c>
      <c r="AA2818" t="s">
        <v>15658</v>
      </c>
      <c r="AB2818" t="s">
        <v>19902</v>
      </c>
    </row>
    <row r="2819" spans="1:28" x14ac:dyDescent="0.25">
      <c r="A2819" t="s">
        <v>2823</v>
      </c>
      <c r="B2819">
        <v>0.99876560204751996</v>
      </c>
      <c r="C2819">
        <v>0.82370592452662705</v>
      </c>
      <c r="D2819">
        <v>0.83440987030822</v>
      </c>
      <c r="E2819">
        <v>0.695961693369339</v>
      </c>
      <c r="F2819">
        <v>0.65277540582447102</v>
      </c>
      <c r="G2819">
        <v>0.53542484510390198</v>
      </c>
      <c r="H2819">
        <v>0.47556672460226501</v>
      </c>
      <c r="I2819">
        <v>0.54686598994690006</v>
      </c>
      <c r="J2819">
        <v>0.765647424524041</v>
      </c>
      <c r="K2819">
        <v>0.630181747317199</v>
      </c>
      <c r="L2819">
        <v>713.40615084584601</v>
      </c>
      <c r="M2819">
        <v>15.5626729713392</v>
      </c>
      <c r="O2819">
        <v>45.1039795821317</v>
      </c>
      <c r="P2819">
        <v>-3.5234886713424098E-2</v>
      </c>
      <c r="Q2819">
        <v>0.59156266924915701</v>
      </c>
      <c r="R2819">
        <v>0.73110848313876298</v>
      </c>
      <c r="S2819" t="s">
        <v>7115</v>
      </c>
      <c r="T2819" t="s">
        <v>8590</v>
      </c>
      <c r="U2819" t="s">
        <v>8590</v>
      </c>
      <c r="V2819" t="s">
        <v>8590</v>
      </c>
      <c r="W2819">
        <v>7</v>
      </c>
      <c r="X2819" t="s">
        <v>11409</v>
      </c>
      <c r="Y2819">
        <v>0.68226450569047115</v>
      </c>
      <c r="Z2819" t="str">
        <f>HYPERLINK("Melting_Curves/meltCurve_sp_Q99614_TTC1_HUMAN_.pdf", "Melting_Curves/meltCurve_sp_Q99614_TTC1_HUMAN_.pdf")</f>
        <v>Melting_Curves/meltCurve_sp_Q99614_TTC1_HUMAN_.pdf</v>
      </c>
      <c r="AA2819" t="s">
        <v>15659</v>
      </c>
      <c r="AB2819" t="s">
        <v>19903</v>
      </c>
    </row>
    <row r="2820" spans="1:28" x14ac:dyDescent="0.25">
      <c r="A2820" t="s">
        <v>2824</v>
      </c>
      <c r="B2820">
        <v>0.99876560204751996</v>
      </c>
      <c r="C2820">
        <v>0.96972219690621198</v>
      </c>
      <c r="D2820">
        <v>0.97028620980682601</v>
      </c>
      <c r="E2820">
        <v>0.59435932194002306</v>
      </c>
      <c r="F2820">
        <v>0.19160130029509401</v>
      </c>
      <c r="G2820">
        <v>0.104944065112685</v>
      </c>
      <c r="H2820">
        <v>7.0587208463357698E-2</v>
      </c>
      <c r="I2820">
        <v>5.9559254604194797E-2</v>
      </c>
      <c r="J2820">
        <v>5.6111443571248601E-2</v>
      </c>
      <c r="K2820">
        <v>4.8846956889381898E-2</v>
      </c>
      <c r="L2820">
        <v>1790.2021027877499</v>
      </c>
      <c r="M2820">
        <v>35.545484518430499</v>
      </c>
      <c r="N2820">
        <v>50.556161238738902</v>
      </c>
      <c r="O2820">
        <v>50.20509167374</v>
      </c>
      <c r="P2820">
        <v>-0.16580142037347501</v>
      </c>
      <c r="Q2820">
        <v>6.3279288020658894E-2</v>
      </c>
      <c r="R2820">
        <v>0.99883221871931405</v>
      </c>
      <c r="S2820" t="s">
        <v>7116</v>
      </c>
      <c r="T2820" t="s">
        <v>8590</v>
      </c>
      <c r="U2820" t="s">
        <v>8590</v>
      </c>
      <c r="V2820" t="s">
        <v>8590</v>
      </c>
      <c r="W2820">
        <v>14</v>
      </c>
      <c r="X2820" t="s">
        <v>11410</v>
      </c>
      <c r="Y2820">
        <v>0.3910145974886835</v>
      </c>
      <c r="Z2820" t="str">
        <f>HYPERLINK("Melting_Curves/meltCurve_sp_Q99615_DNJC7_HUMAN_.pdf", "Melting_Curves/meltCurve_sp_Q99615_DNJC7_HUMAN_.pdf")</f>
        <v>Melting_Curves/meltCurve_sp_Q99615_DNJC7_HUMAN_.pdf</v>
      </c>
      <c r="AA2820" t="s">
        <v>15660</v>
      </c>
      <c r="AB2820" t="s">
        <v>19904</v>
      </c>
    </row>
    <row r="2821" spans="1:28" x14ac:dyDescent="0.25">
      <c r="A2821" t="s">
        <v>2825</v>
      </c>
      <c r="B2821">
        <v>0.99876560204751996</v>
      </c>
      <c r="C2821">
        <v>0.88075588543360095</v>
      </c>
      <c r="D2821">
        <v>0.90084806011642404</v>
      </c>
      <c r="E2821">
        <v>0.752708002771868</v>
      </c>
      <c r="F2821">
        <v>0.75682737201947203</v>
      </c>
      <c r="G2821">
        <v>0.49457764288807798</v>
      </c>
      <c r="H2821">
        <v>0.422050556515425</v>
      </c>
      <c r="I2821">
        <v>0.34719514476010399</v>
      </c>
      <c r="J2821">
        <v>0.40429261597784599</v>
      </c>
      <c r="K2821">
        <v>0.43805639292630599</v>
      </c>
      <c r="L2821">
        <v>623.09855621004294</v>
      </c>
      <c r="M2821">
        <v>11.8083742312095</v>
      </c>
      <c r="N2821">
        <v>58.400244806021398</v>
      </c>
      <c r="O2821">
        <v>51.322399046982099</v>
      </c>
      <c r="P2821">
        <v>-3.7978022303151497E-2</v>
      </c>
      <c r="Q2821">
        <v>0.33991819256397598</v>
      </c>
      <c r="R2821">
        <v>0.94920181526556102</v>
      </c>
      <c r="S2821" t="s">
        <v>7117</v>
      </c>
      <c r="T2821" t="s">
        <v>8590</v>
      </c>
      <c r="U2821" t="s">
        <v>8590</v>
      </c>
      <c r="V2821" t="s">
        <v>8590</v>
      </c>
      <c r="W2821">
        <v>2</v>
      </c>
      <c r="X2821" t="s">
        <v>11411</v>
      </c>
      <c r="Y2821">
        <v>0.64032624241447489</v>
      </c>
      <c r="Z2821" t="str">
        <f>HYPERLINK("Melting_Curves/meltCurve_sp_Q99622_C10_HUMAN_.pdf", "Melting_Curves/meltCurve_sp_Q99622_C10_HUMAN_.pdf")</f>
        <v>Melting_Curves/meltCurve_sp_Q99622_C10_HUMAN_.pdf</v>
      </c>
      <c r="AA2821" t="s">
        <v>15661</v>
      </c>
      <c r="AB2821" t="s">
        <v>19905</v>
      </c>
    </row>
    <row r="2822" spans="1:28" x14ac:dyDescent="0.25">
      <c r="A2822" t="s">
        <v>2826</v>
      </c>
      <c r="B2822">
        <v>0.99876560204751996</v>
      </c>
      <c r="C2822">
        <v>0.956310598169413</v>
      </c>
      <c r="D2822">
        <v>1.00752661944015</v>
      </c>
      <c r="E2822">
        <v>0.85785836423245398</v>
      </c>
      <c r="F2822">
        <v>0.85793077405703599</v>
      </c>
      <c r="G2822">
        <v>0.64120786132979701</v>
      </c>
      <c r="H2822">
        <v>0.59026195448428798</v>
      </c>
      <c r="I2822">
        <v>0.56023692213564102</v>
      </c>
      <c r="J2822">
        <v>0.73775138236107296</v>
      </c>
      <c r="K2822">
        <v>0.66194124274167498</v>
      </c>
      <c r="L2822">
        <v>1260.10798477086</v>
      </c>
      <c r="M2822">
        <v>24.012171926779899</v>
      </c>
      <c r="O2822">
        <v>52.117977861872603</v>
      </c>
      <c r="P2822">
        <v>-4.2534172612122299E-2</v>
      </c>
      <c r="Q2822">
        <v>0.63072726465821705</v>
      </c>
      <c r="R2822">
        <v>0.88061697535847006</v>
      </c>
      <c r="S2822" t="s">
        <v>7118</v>
      </c>
      <c r="T2822" t="s">
        <v>8590</v>
      </c>
      <c r="U2822" t="s">
        <v>8590</v>
      </c>
      <c r="V2822" t="s">
        <v>8590</v>
      </c>
      <c r="W2822">
        <v>1</v>
      </c>
      <c r="X2822" t="s">
        <v>11412</v>
      </c>
      <c r="Y2822">
        <v>0.78797310892764072</v>
      </c>
      <c r="Z2822" t="str">
        <f>HYPERLINK("Melting_Curves/meltCurve_sp_Q99624_S38A3_HUMAN_.pdf", "Melting_Curves/meltCurve_sp_Q99624_S38A3_HUMAN_.pdf")</f>
        <v>Melting_Curves/meltCurve_sp_Q99624_S38A3_HUMAN_.pdf</v>
      </c>
      <c r="AA2822" t="s">
        <v>15662</v>
      </c>
      <c r="AB2822" t="s">
        <v>19906</v>
      </c>
    </row>
    <row r="2823" spans="1:28" x14ac:dyDescent="0.25">
      <c r="A2823" t="s">
        <v>2827</v>
      </c>
      <c r="B2823">
        <v>0.99876560204751996</v>
      </c>
      <c r="C2823">
        <v>1.1453186477774799</v>
      </c>
      <c r="D2823">
        <v>1.0329200894231201</v>
      </c>
      <c r="E2823">
        <v>1.11384256853916</v>
      </c>
      <c r="F2823">
        <v>0.91408565849375401</v>
      </c>
      <c r="G2823">
        <v>0.40092544517203699</v>
      </c>
      <c r="H2823">
        <v>0.40481278988700897</v>
      </c>
      <c r="I2823">
        <v>0.17159004527990701</v>
      </c>
      <c r="J2823">
        <v>6.2084148549701297E-2</v>
      </c>
      <c r="K2823">
        <v>3.7587300881124899E-2</v>
      </c>
      <c r="L2823">
        <v>1267.21452247106</v>
      </c>
      <c r="M2823">
        <v>22.1762782092948</v>
      </c>
      <c r="N2823">
        <v>57.529248672098099</v>
      </c>
      <c r="O2823">
        <v>56.684231530297801</v>
      </c>
      <c r="P2823">
        <v>-9.1039755643649106E-2</v>
      </c>
      <c r="Q2823">
        <v>6.9202489229336403E-2</v>
      </c>
      <c r="R2823">
        <v>0.94771592497249002</v>
      </c>
      <c r="S2823" t="s">
        <v>7119</v>
      </c>
      <c r="T2823" t="s">
        <v>8590</v>
      </c>
      <c r="U2823" t="s">
        <v>8590</v>
      </c>
      <c r="V2823" t="s">
        <v>8590</v>
      </c>
      <c r="W2823">
        <v>4</v>
      </c>
      <c r="X2823" t="s">
        <v>11413</v>
      </c>
      <c r="Y2823">
        <v>0.61100650455360872</v>
      </c>
      <c r="Z2823" t="str">
        <f>HYPERLINK("Melting_Curves/meltCurve_sp_Q99627_2_CSN8_HUMAN_.pdf", "Melting_Curves/meltCurve_sp_Q99627_2_CSN8_HUMAN_.pdf")</f>
        <v>Melting_Curves/meltCurve_sp_Q99627_2_CSN8_HUMAN_.pdf</v>
      </c>
      <c r="AA2823" t="s">
        <v>15663</v>
      </c>
      <c r="AB2823" t="s">
        <v>19907</v>
      </c>
    </row>
    <row r="2824" spans="1:28" x14ac:dyDescent="0.25">
      <c r="A2824" t="s">
        <v>2828</v>
      </c>
      <c r="B2824">
        <v>0.99876560204751996</v>
      </c>
      <c r="C2824">
        <v>0.92249920477782699</v>
      </c>
      <c r="D2824">
        <v>0.82773096715503203</v>
      </c>
      <c r="E2824">
        <v>0.75330275054794305</v>
      </c>
      <c r="F2824">
        <v>0.60973857269061005</v>
      </c>
      <c r="G2824">
        <v>0.309196635431496</v>
      </c>
      <c r="H2824">
        <v>9.9818272447227005E-2</v>
      </c>
      <c r="I2824">
        <v>8.6973049508715497E-2</v>
      </c>
      <c r="J2824">
        <v>8.3502654469970197E-2</v>
      </c>
      <c r="K2824">
        <v>8.9548671524788903E-2</v>
      </c>
      <c r="L2824">
        <v>723.57923629328502</v>
      </c>
      <c r="M2824">
        <v>13.461101963059701</v>
      </c>
      <c r="N2824">
        <v>53.772762348133803</v>
      </c>
      <c r="O2824">
        <v>52.608629890404004</v>
      </c>
      <c r="P2824">
        <v>-6.3822873994740695E-2</v>
      </c>
      <c r="Q2824">
        <v>2.42455880660878E-3</v>
      </c>
      <c r="R2824">
        <v>0.984697939001692</v>
      </c>
      <c r="S2824" t="s">
        <v>7120</v>
      </c>
      <c r="T2824" t="s">
        <v>8590</v>
      </c>
      <c r="U2824" t="s">
        <v>8590</v>
      </c>
      <c r="V2824" t="s">
        <v>8590</v>
      </c>
      <c r="W2824">
        <v>3</v>
      </c>
      <c r="X2824" t="s">
        <v>11414</v>
      </c>
      <c r="Y2824">
        <v>0.48338030751655248</v>
      </c>
      <c r="Z2824" t="str">
        <f>HYPERLINK("Melting_Curves/meltCurve_sp_Q99685_MGLL_HUMAN_.pdf", "Melting_Curves/meltCurve_sp_Q99685_MGLL_HUMAN_.pdf")</f>
        <v>Melting_Curves/meltCurve_sp_Q99685_MGLL_HUMAN_.pdf</v>
      </c>
      <c r="AA2824" t="s">
        <v>15664</v>
      </c>
      <c r="AB2824" t="s">
        <v>19908</v>
      </c>
    </row>
    <row r="2825" spans="1:28" x14ac:dyDescent="0.25">
      <c r="A2825" t="s">
        <v>2829</v>
      </c>
      <c r="B2825">
        <v>0.99876560204751996</v>
      </c>
      <c r="C2825">
        <v>0.99480028961882405</v>
      </c>
      <c r="D2825">
        <v>1.0082220846887799</v>
      </c>
      <c r="E2825">
        <v>0.89155205458740605</v>
      </c>
      <c r="F2825">
        <v>0.74238461060716798</v>
      </c>
      <c r="G2825">
        <v>0.44278197780341799</v>
      </c>
      <c r="H2825">
        <v>0.32688185141033499</v>
      </c>
      <c r="I2825">
        <v>0.26304525482646002</v>
      </c>
      <c r="J2825">
        <v>0.34050600246697199</v>
      </c>
      <c r="K2825">
        <v>0.31301275652542798</v>
      </c>
      <c r="L2825">
        <v>1364.10992094633</v>
      </c>
      <c r="M2825">
        <v>25.2768490988481</v>
      </c>
      <c r="N2825">
        <v>55.969611293832003</v>
      </c>
      <c r="O2825">
        <v>53.632390790183798</v>
      </c>
      <c r="P2825">
        <v>-8.27573923726313E-2</v>
      </c>
      <c r="Q2825">
        <v>0.297630854403656</v>
      </c>
      <c r="R2825">
        <v>0.99461528094637996</v>
      </c>
      <c r="S2825" t="s">
        <v>7121</v>
      </c>
      <c r="T2825" t="s">
        <v>8590</v>
      </c>
      <c r="U2825" t="s">
        <v>8590</v>
      </c>
      <c r="V2825" t="s">
        <v>8590</v>
      </c>
      <c r="W2825">
        <v>12</v>
      </c>
      <c r="X2825" t="s">
        <v>11415</v>
      </c>
      <c r="Y2825">
        <v>0.63099459670755886</v>
      </c>
      <c r="Z2825" t="str">
        <f>HYPERLINK("Melting_Curves/meltCurve_sp_Q99700_4_ATX2_HUMAN_.pdf", "Melting_Curves/meltCurve_sp_Q99700_4_ATX2_HUMAN_.pdf")</f>
        <v>Melting_Curves/meltCurve_sp_Q99700_4_ATX2_HUMAN_.pdf</v>
      </c>
      <c r="AA2825" t="s">
        <v>15665</v>
      </c>
      <c r="AB2825" t="s">
        <v>19909</v>
      </c>
    </row>
    <row r="2826" spans="1:28" x14ac:dyDescent="0.25">
      <c r="A2826" t="s">
        <v>2830</v>
      </c>
      <c r="B2826">
        <v>0.99876560204751996</v>
      </c>
      <c r="C2826">
        <v>0.99434266854802</v>
      </c>
      <c r="D2826">
        <v>0.91961141943971503</v>
      </c>
      <c r="E2826">
        <v>0.82593844958428198</v>
      </c>
      <c r="F2826">
        <v>0.70302070245109105</v>
      </c>
      <c r="G2826">
        <v>0.57002628545181699</v>
      </c>
      <c r="H2826">
        <v>0.36853584422671398</v>
      </c>
      <c r="I2826">
        <v>0.131483740476914</v>
      </c>
      <c r="J2826">
        <v>6.0063877385168302E-2</v>
      </c>
      <c r="K2826">
        <v>5.0002998639267403E-2</v>
      </c>
      <c r="L2826">
        <v>757.72152412524997</v>
      </c>
      <c r="M2826">
        <v>13.2744581387068</v>
      </c>
      <c r="N2826">
        <v>57.081143960825202</v>
      </c>
      <c r="O2826">
        <v>55.832387351114498</v>
      </c>
      <c r="P2826">
        <v>-5.9448545317260897E-2</v>
      </c>
      <c r="Q2826">
        <v>0</v>
      </c>
      <c r="R2826">
        <v>0.98336191167041498</v>
      </c>
      <c r="S2826" t="s">
        <v>7122</v>
      </c>
      <c r="T2826" t="s">
        <v>8590</v>
      </c>
      <c r="U2826" t="s">
        <v>8590</v>
      </c>
      <c r="V2826" t="s">
        <v>8590</v>
      </c>
      <c r="W2826">
        <v>5</v>
      </c>
      <c r="X2826" t="s">
        <v>11416</v>
      </c>
      <c r="Y2826">
        <v>0.5857704708113225</v>
      </c>
      <c r="Z2826" t="str">
        <f>HYPERLINK("Melting_Curves/meltCurve_sp_Q99707_METH_HUMAN_.pdf", "Melting_Curves/meltCurve_sp_Q99707_METH_HUMAN_.pdf")</f>
        <v>Melting_Curves/meltCurve_sp_Q99707_METH_HUMAN_.pdf</v>
      </c>
      <c r="AA2826" t="s">
        <v>15666</v>
      </c>
      <c r="AB2826" t="s">
        <v>19910</v>
      </c>
    </row>
    <row r="2827" spans="1:28" x14ac:dyDescent="0.25">
      <c r="A2827" t="s">
        <v>2831</v>
      </c>
      <c r="B2827">
        <v>0.99876560204751996</v>
      </c>
      <c r="C2827">
        <v>0.97161033753795001</v>
      </c>
      <c r="D2827">
        <v>0.831635728589182</v>
      </c>
      <c r="E2827">
        <v>0.57693595965476496</v>
      </c>
      <c r="F2827">
        <v>0.26110831847181498</v>
      </c>
      <c r="G2827">
        <v>0.13249466536496499</v>
      </c>
      <c r="H2827">
        <v>7.3046322190398499E-2</v>
      </c>
      <c r="I2827">
        <v>4.8001054929061898E-2</v>
      </c>
      <c r="J2827">
        <v>3.9972053060471802E-2</v>
      </c>
      <c r="K2827">
        <v>3.2996849630280302E-2</v>
      </c>
      <c r="L2827">
        <v>960.54716181684796</v>
      </c>
      <c r="M2827">
        <v>19.1085974901148</v>
      </c>
      <c r="N2827">
        <v>50.443988534810103</v>
      </c>
      <c r="O2827">
        <v>49.726979546789401</v>
      </c>
      <c r="P2827">
        <v>-9.2970134184981498E-2</v>
      </c>
      <c r="Q2827">
        <v>3.22798948406341E-2</v>
      </c>
      <c r="R2827">
        <v>0.99765805650679495</v>
      </c>
      <c r="S2827" t="s">
        <v>7123</v>
      </c>
      <c r="T2827" t="s">
        <v>8590</v>
      </c>
      <c r="U2827" t="s">
        <v>8590</v>
      </c>
      <c r="V2827" t="s">
        <v>8590</v>
      </c>
      <c r="W2827">
        <v>14</v>
      </c>
      <c r="X2827" t="s">
        <v>11417</v>
      </c>
      <c r="Y2827">
        <v>0.37818160405368612</v>
      </c>
      <c r="Z2827" t="str">
        <f>HYPERLINK("Melting_Curves/meltCurve_sp_Q99714_HCD2_HUMAN_.pdf", "Melting_Curves/meltCurve_sp_Q99714_HCD2_HUMAN_.pdf")</f>
        <v>Melting_Curves/meltCurve_sp_Q99714_HCD2_HUMAN_.pdf</v>
      </c>
      <c r="AA2827" t="s">
        <v>15667</v>
      </c>
      <c r="AB2827" t="s">
        <v>19911</v>
      </c>
    </row>
    <row r="2828" spans="1:28" x14ac:dyDescent="0.25">
      <c r="A2828" t="s">
        <v>2832</v>
      </c>
      <c r="B2828">
        <v>0.99876560204751996</v>
      </c>
      <c r="C2828">
        <v>1.07821541705616</v>
      </c>
      <c r="D2828">
        <v>0.97713489973533596</v>
      </c>
      <c r="E2828">
        <v>0.91977913417235402</v>
      </c>
      <c r="F2828">
        <v>0.68411878072021004</v>
      </c>
      <c r="G2828">
        <v>0.39852584920832501</v>
      </c>
      <c r="H2828">
        <v>0.25337236813986003</v>
      </c>
      <c r="I2828">
        <v>0.217145556953979</v>
      </c>
      <c r="J2828">
        <v>0.269787779969417</v>
      </c>
      <c r="K2828">
        <v>0.24275553392201499</v>
      </c>
      <c r="L2828">
        <v>1409.8116520625099</v>
      </c>
      <c r="M2828">
        <v>26.187104346011399</v>
      </c>
      <c r="N2828">
        <v>55.180622049031001</v>
      </c>
      <c r="O2828">
        <v>53.525105728329798</v>
      </c>
      <c r="P2828">
        <v>-9.3466664470588406E-2</v>
      </c>
      <c r="Q2828">
        <v>0.23584422976746999</v>
      </c>
      <c r="R2828">
        <v>0.99229467986211894</v>
      </c>
      <c r="S2828" t="s">
        <v>7124</v>
      </c>
      <c r="T2828" t="s">
        <v>8590</v>
      </c>
      <c r="U2828" t="s">
        <v>8590</v>
      </c>
      <c r="V2828" t="s">
        <v>8590</v>
      </c>
      <c r="W2828">
        <v>9</v>
      </c>
      <c r="X2828" t="s">
        <v>11418</v>
      </c>
      <c r="Y2828">
        <v>0.59476266888328888</v>
      </c>
      <c r="Z2828" t="str">
        <f>HYPERLINK("Melting_Curves/meltCurve_sp_Q99733_NP1L4_HUMAN_.pdf", "Melting_Curves/meltCurve_sp_Q99733_NP1L4_HUMAN_.pdf")</f>
        <v>Melting_Curves/meltCurve_sp_Q99733_NP1L4_HUMAN_.pdf</v>
      </c>
      <c r="AA2828" t="s">
        <v>15668</v>
      </c>
      <c r="AB2828" t="s">
        <v>19912</v>
      </c>
    </row>
    <row r="2829" spans="1:28" x14ac:dyDescent="0.25">
      <c r="A2829" t="s">
        <v>2833</v>
      </c>
      <c r="B2829">
        <v>0.99876560204751996</v>
      </c>
      <c r="C2829">
        <v>1.1707019960202301</v>
      </c>
      <c r="D2829">
        <v>0.73352239904944805</v>
      </c>
      <c r="E2829">
        <v>0.71486351029942197</v>
      </c>
      <c r="F2829">
        <v>0.407057531241313</v>
      </c>
      <c r="G2829">
        <v>0.20813950963164099</v>
      </c>
      <c r="H2829">
        <v>0.13487295949771499</v>
      </c>
      <c r="I2829">
        <v>0.10241480612151301</v>
      </c>
      <c r="J2829">
        <v>4.2361499607863798E-2</v>
      </c>
      <c r="K2829">
        <v>7.8610973880725799E-2</v>
      </c>
      <c r="L2829">
        <v>851.81998274788396</v>
      </c>
      <c r="M2829">
        <v>16.495153666498201</v>
      </c>
      <c r="N2829">
        <v>51.986928065566303</v>
      </c>
      <c r="O2829">
        <v>50.899537831034898</v>
      </c>
      <c r="P2829">
        <v>-7.6808181232367503E-2</v>
      </c>
      <c r="Q2829">
        <v>5.2029607469261399E-2</v>
      </c>
      <c r="R2829">
        <v>0.95412682102965796</v>
      </c>
      <c r="S2829" t="s">
        <v>7125</v>
      </c>
      <c r="T2829" t="s">
        <v>8590</v>
      </c>
      <c r="U2829" t="s">
        <v>8590</v>
      </c>
      <c r="V2829" t="s">
        <v>8590</v>
      </c>
      <c r="W2829">
        <v>2</v>
      </c>
      <c r="X2829" t="s">
        <v>11419</v>
      </c>
      <c r="Y2829">
        <v>0.43825433540500991</v>
      </c>
      <c r="Z2829" t="str">
        <f>HYPERLINK("Melting_Curves/meltCurve_sp_Q99735_2_MGST2_HUMAN_.pdf", "Melting_Curves/meltCurve_sp_Q99735_2_MGST2_HUMAN_.pdf")</f>
        <v>Melting_Curves/meltCurve_sp_Q99735_2_MGST2_HUMAN_.pdf</v>
      </c>
      <c r="AA2829" t="s">
        <v>15669</v>
      </c>
      <c r="AB2829" t="s">
        <v>19913</v>
      </c>
    </row>
    <row r="2830" spans="1:28" x14ac:dyDescent="0.25">
      <c r="A2830" t="s">
        <v>2834</v>
      </c>
      <c r="B2830">
        <v>0.99876560204751996</v>
      </c>
      <c r="C2830">
        <v>0.97805114158235895</v>
      </c>
      <c r="D2830">
        <v>0.87704278835817795</v>
      </c>
      <c r="E2830">
        <v>0.80238943957678599</v>
      </c>
      <c r="F2830">
        <v>0.60761564434553295</v>
      </c>
      <c r="G2830">
        <v>0.40712283011668599</v>
      </c>
      <c r="H2830">
        <v>0.315619429653343</v>
      </c>
      <c r="I2830">
        <v>0.227879543565912</v>
      </c>
      <c r="J2830">
        <v>0.30054310229509201</v>
      </c>
      <c r="K2830">
        <v>0.27915821811994401</v>
      </c>
      <c r="L2830">
        <v>843.51069557351195</v>
      </c>
      <c r="M2830">
        <v>16.020710895883202</v>
      </c>
      <c r="N2830">
        <v>54.928314491786701</v>
      </c>
      <c r="O2830">
        <v>51.8514104891511</v>
      </c>
      <c r="P2830">
        <v>-5.85055003241223E-2</v>
      </c>
      <c r="Q2830">
        <v>0.242641354783493</v>
      </c>
      <c r="R2830">
        <v>0.98973484892028596</v>
      </c>
      <c r="S2830" t="s">
        <v>7126</v>
      </c>
      <c r="T2830" t="s">
        <v>8590</v>
      </c>
      <c r="U2830" t="s">
        <v>8590</v>
      </c>
      <c r="V2830" t="s">
        <v>8590</v>
      </c>
      <c r="W2830">
        <v>3</v>
      </c>
      <c r="X2830" t="s">
        <v>11420</v>
      </c>
      <c r="Y2830">
        <v>0.57702325654149667</v>
      </c>
      <c r="Z2830" t="str">
        <f>HYPERLINK("Melting_Curves/meltCurve_sp_Q99747_SNAG_HUMAN_.pdf", "Melting_Curves/meltCurve_sp_Q99747_SNAG_HUMAN_.pdf")</f>
        <v>Melting_Curves/meltCurve_sp_Q99747_SNAG_HUMAN_.pdf</v>
      </c>
      <c r="AA2830" t="s">
        <v>15670</v>
      </c>
      <c r="AB2830" t="s">
        <v>19914</v>
      </c>
    </row>
    <row r="2831" spans="1:28" x14ac:dyDescent="0.25">
      <c r="A2831" t="s">
        <v>2835</v>
      </c>
      <c r="B2831">
        <v>0.99876560204751996</v>
      </c>
      <c r="C2831">
        <v>0.99305931613213605</v>
      </c>
      <c r="D2831">
        <v>0.96138490894532003</v>
      </c>
      <c r="E2831">
        <v>1.0174432693164901</v>
      </c>
      <c r="F2831">
        <v>0.97237273009763903</v>
      </c>
      <c r="G2831">
        <v>0.67437108688833203</v>
      </c>
      <c r="H2831">
        <v>0.65459306337594803</v>
      </c>
      <c r="I2831">
        <v>0.79008644013867502</v>
      </c>
      <c r="J2831">
        <v>1.0218880026292601</v>
      </c>
      <c r="K2831">
        <v>0.66986661619972698</v>
      </c>
      <c r="L2831">
        <v>13357.553262653601</v>
      </c>
      <c r="M2831">
        <v>250</v>
      </c>
      <c r="O2831">
        <v>53.426794063829597</v>
      </c>
      <c r="P2831">
        <v>-0.278229965572312</v>
      </c>
      <c r="Q2831">
        <v>0.76216103996719498</v>
      </c>
      <c r="R2831">
        <v>0.56726151234404298</v>
      </c>
      <c r="S2831" t="s">
        <v>7127</v>
      </c>
      <c r="T2831" t="s">
        <v>8590</v>
      </c>
      <c r="U2831" t="s">
        <v>8590</v>
      </c>
      <c r="V2831" t="s">
        <v>8590</v>
      </c>
      <c r="W2831">
        <v>5</v>
      </c>
      <c r="X2831" t="s">
        <v>11421</v>
      </c>
      <c r="Y2831">
        <v>0.86865760543362458</v>
      </c>
      <c r="Z2831" t="str">
        <f>HYPERLINK("Melting_Curves/meltCurve_sp_Q99757_THIOM_HUMAN_.pdf", "Melting_Curves/meltCurve_sp_Q99757_THIOM_HUMAN_.pdf")</f>
        <v>Melting_Curves/meltCurve_sp_Q99757_THIOM_HUMAN_.pdf</v>
      </c>
      <c r="AA2831" t="s">
        <v>15671</v>
      </c>
      <c r="AB2831" t="s">
        <v>19915</v>
      </c>
    </row>
    <row r="2832" spans="1:28" x14ac:dyDescent="0.25">
      <c r="A2832" t="s">
        <v>2836</v>
      </c>
      <c r="B2832">
        <v>0.99876560204751996</v>
      </c>
      <c r="C2832">
        <v>1.00808464672831</v>
      </c>
      <c r="D2832">
        <v>1.0994409395773601</v>
      </c>
      <c r="E2832">
        <v>0.89610652876438202</v>
      </c>
      <c r="F2832">
        <v>0.61679733660608405</v>
      </c>
      <c r="G2832">
        <v>0.197770912681001</v>
      </c>
      <c r="H2832">
        <v>0.115884059939847</v>
      </c>
      <c r="I2832">
        <v>6.0713730319038803E-2</v>
      </c>
      <c r="J2832">
        <v>6.6248136015882003E-2</v>
      </c>
      <c r="K2832">
        <v>4.1421642828937302E-2</v>
      </c>
      <c r="L2832">
        <v>1601.0224672249601</v>
      </c>
      <c r="M2832">
        <v>29.832339888309299</v>
      </c>
      <c r="N2832">
        <v>53.9026733883628</v>
      </c>
      <c r="O2832">
        <v>53.427925614225899</v>
      </c>
      <c r="P2832">
        <v>-0.13106908310149201</v>
      </c>
      <c r="Q2832">
        <v>6.10588842117901E-2</v>
      </c>
      <c r="R2832">
        <v>0.99316911289000598</v>
      </c>
      <c r="S2832" t="s">
        <v>7128</v>
      </c>
      <c r="T2832" t="s">
        <v>8590</v>
      </c>
      <c r="U2832" t="s">
        <v>8590</v>
      </c>
      <c r="V2832" t="s">
        <v>8590</v>
      </c>
      <c r="W2832">
        <v>8</v>
      </c>
      <c r="X2832" t="s">
        <v>11422</v>
      </c>
      <c r="Y2832">
        <v>0.49503018181977249</v>
      </c>
      <c r="Z2832" t="str">
        <f>HYPERLINK("Melting_Curves/meltCurve_sp_Q99766_ATP5S_HUMAN_.pdf", "Melting_Curves/meltCurve_sp_Q99766_ATP5S_HUMAN_.pdf")</f>
        <v>Melting_Curves/meltCurve_sp_Q99766_ATP5S_HUMAN_.pdf</v>
      </c>
      <c r="AA2832" t="s">
        <v>15672</v>
      </c>
      <c r="AB2832" t="s">
        <v>19916</v>
      </c>
    </row>
    <row r="2833" spans="1:28" x14ac:dyDescent="0.25">
      <c r="A2833" t="s">
        <v>2837</v>
      </c>
      <c r="B2833">
        <v>0.99876560204751996</v>
      </c>
      <c r="C2833">
        <v>0.96809562735408194</v>
      </c>
      <c r="D2833">
        <v>0.89664550368212403</v>
      </c>
      <c r="E2833">
        <v>0.64778536611891702</v>
      </c>
      <c r="F2833">
        <v>0.29327314503024299</v>
      </c>
      <c r="G2833">
        <v>0.122374124468785</v>
      </c>
      <c r="H2833">
        <v>7.1999024960874305E-2</v>
      </c>
      <c r="I2833">
        <v>5.2717354656522199E-2</v>
      </c>
      <c r="J2833">
        <v>4.5187695206906298E-2</v>
      </c>
      <c r="K2833">
        <v>3.2123528870873198E-2</v>
      </c>
      <c r="L2833">
        <v>1160.29107271978</v>
      </c>
      <c r="M2833">
        <v>22.786452754559601</v>
      </c>
      <c r="N2833">
        <v>51.107572483539997</v>
      </c>
      <c r="O2833">
        <v>50.532895175805798</v>
      </c>
      <c r="P2833">
        <v>-0.10821577086923399</v>
      </c>
      <c r="Q2833">
        <v>4.00699328376483E-2</v>
      </c>
      <c r="R2833">
        <v>0.99825643240041295</v>
      </c>
      <c r="S2833" t="s">
        <v>7129</v>
      </c>
      <c r="T2833" t="s">
        <v>8590</v>
      </c>
      <c r="U2833" t="s">
        <v>8590</v>
      </c>
      <c r="V2833" t="s">
        <v>8590</v>
      </c>
      <c r="W2833">
        <v>17</v>
      </c>
      <c r="X2833" t="s">
        <v>11423</v>
      </c>
      <c r="Y2833">
        <v>0.39987883441128841</v>
      </c>
      <c r="Z2833" t="str">
        <f>HYPERLINK("Melting_Curves/meltCurve_sp_Q99797_MIPEP_HUMAN_.pdf", "Melting_Curves/meltCurve_sp_Q99797_MIPEP_HUMAN_.pdf")</f>
        <v>Melting_Curves/meltCurve_sp_Q99797_MIPEP_HUMAN_.pdf</v>
      </c>
      <c r="AA2833" t="s">
        <v>15673</v>
      </c>
      <c r="AB2833" t="s">
        <v>19917</v>
      </c>
    </row>
    <row r="2834" spans="1:28" x14ac:dyDescent="0.25">
      <c r="A2834" t="s">
        <v>2838</v>
      </c>
      <c r="B2834">
        <v>0.99876560204751996</v>
      </c>
      <c r="C2834">
        <v>0.97490069881191699</v>
      </c>
      <c r="D2834">
        <v>0.96590505393049098</v>
      </c>
      <c r="E2834">
        <v>0.92557502679978998</v>
      </c>
      <c r="F2834">
        <v>0.45246369582746598</v>
      </c>
      <c r="G2834">
        <v>0.111305120670003</v>
      </c>
      <c r="H2834">
        <v>6.6816815664380094E-2</v>
      </c>
      <c r="I2834">
        <v>5.1282770972293001E-2</v>
      </c>
      <c r="J2834">
        <v>4.8534036230651403E-2</v>
      </c>
      <c r="K2834">
        <v>4.01336832850646E-2</v>
      </c>
      <c r="L2834">
        <v>2271.3428585301899</v>
      </c>
      <c r="M2834">
        <v>43.144890867977999</v>
      </c>
      <c r="N2834">
        <v>52.788404030288604</v>
      </c>
      <c r="O2834">
        <v>52.531817812432898</v>
      </c>
      <c r="P2834">
        <v>-0.19393824288898401</v>
      </c>
      <c r="Q2834">
        <v>5.5469824210142099E-2</v>
      </c>
      <c r="R2834">
        <v>0.99847650364526697</v>
      </c>
      <c r="S2834" t="s">
        <v>7130</v>
      </c>
      <c r="T2834" t="s">
        <v>8590</v>
      </c>
      <c r="U2834" t="s">
        <v>8590</v>
      </c>
      <c r="V2834" t="s">
        <v>8590</v>
      </c>
      <c r="W2834">
        <v>50</v>
      </c>
      <c r="X2834" t="s">
        <v>11424</v>
      </c>
      <c r="Y2834">
        <v>0.45652458712114108</v>
      </c>
      <c r="Z2834" t="str">
        <f>HYPERLINK("Melting_Curves/meltCurve_sp_Q99798_ACON_HUMAN_.pdf", "Melting_Curves/meltCurve_sp_Q99798_ACON_HUMAN_.pdf")</f>
        <v>Melting_Curves/meltCurve_sp_Q99798_ACON_HUMAN_.pdf</v>
      </c>
      <c r="AA2834" t="s">
        <v>15674</v>
      </c>
      <c r="AB2834" t="s">
        <v>19918</v>
      </c>
    </row>
    <row r="2835" spans="1:28" x14ac:dyDescent="0.25">
      <c r="A2835" t="s">
        <v>2839</v>
      </c>
      <c r="B2835">
        <v>0.99876560204751996</v>
      </c>
      <c r="C2835">
        <v>0.81407393841891695</v>
      </c>
      <c r="D2835">
        <v>0.56876852516473397</v>
      </c>
      <c r="E2835">
        <v>0.37169161849555898</v>
      </c>
      <c r="F2835">
        <v>0.199651959718919</v>
      </c>
      <c r="G2835">
        <v>0.115311365290363</v>
      </c>
      <c r="H2835">
        <v>7.0356547955706103E-2</v>
      </c>
      <c r="I2835">
        <v>6.8649915350079402E-2</v>
      </c>
      <c r="J2835">
        <v>7.2415771002135407E-2</v>
      </c>
      <c r="K2835">
        <v>5.50604777436721E-2</v>
      </c>
      <c r="L2835">
        <v>703.61942904954105</v>
      </c>
      <c r="M2835">
        <v>14.940238402826299</v>
      </c>
      <c r="N2835">
        <v>47.445270345009298</v>
      </c>
      <c r="O2835">
        <v>46.276005016730302</v>
      </c>
      <c r="P2835">
        <v>-7.6512777320885794E-2</v>
      </c>
      <c r="Q2835">
        <v>5.2132411513855802E-2</v>
      </c>
      <c r="R2835">
        <v>0.99325853818382803</v>
      </c>
      <c r="S2835" t="s">
        <v>7131</v>
      </c>
      <c r="T2835" t="s">
        <v>8590</v>
      </c>
      <c r="U2835" t="s">
        <v>8590</v>
      </c>
      <c r="V2835" t="s">
        <v>8590</v>
      </c>
      <c r="W2835">
        <v>2</v>
      </c>
      <c r="X2835" t="s">
        <v>11425</v>
      </c>
      <c r="Y2835">
        <v>0.30213437218865208</v>
      </c>
      <c r="Z2835" t="str">
        <f>HYPERLINK("Melting_Curves/meltCurve_sp_Q99807_2_COQ7_HUMAN_.pdf", "Melting_Curves/meltCurve_sp_Q99807_2_COQ7_HUMAN_.pdf")</f>
        <v>Melting_Curves/meltCurve_sp_Q99807_2_COQ7_HUMAN_.pdf</v>
      </c>
      <c r="AA2835" t="s">
        <v>15675</v>
      </c>
      <c r="AB2835" t="s">
        <v>19919</v>
      </c>
    </row>
    <row r="2836" spans="1:28" x14ac:dyDescent="0.25">
      <c r="A2836" t="s">
        <v>2840</v>
      </c>
      <c r="B2836">
        <v>0.99876560204751996</v>
      </c>
      <c r="C2836">
        <v>1.0668039409767101</v>
      </c>
      <c r="D2836">
        <v>1.0073475686450599</v>
      </c>
      <c r="E2836">
        <v>0.99014462827372496</v>
      </c>
      <c r="F2836">
        <v>0.74545826044376196</v>
      </c>
      <c r="G2836">
        <v>0.25568029135006498</v>
      </c>
      <c r="H2836">
        <v>9.6980698774391E-2</v>
      </c>
      <c r="I2836">
        <v>7.9439263541846203E-2</v>
      </c>
      <c r="J2836">
        <v>5.9946041860184297E-2</v>
      </c>
      <c r="K2836">
        <v>4.9181805996002699E-2</v>
      </c>
      <c r="L2836">
        <v>1827.4727667608799</v>
      </c>
      <c r="M2836">
        <v>33.433396715714203</v>
      </c>
      <c r="N2836">
        <v>54.878286304522298</v>
      </c>
      <c r="O2836">
        <v>54.465656960334499</v>
      </c>
      <c r="P2836">
        <v>-0.14391086787068799</v>
      </c>
      <c r="Q2836">
        <v>6.2235059798743997E-2</v>
      </c>
      <c r="R2836">
        <v>0.99689142474543702</v>
      </c>
      <c r="S2836" t="s">
        <v>7132</v>
      </c>
      <c r="T2836" t="s">
        <v>8590</v>
      </c>
      <c r="U2836" t="s">
        <v>8590</v>
      </c>
      <c r="V2836" t="s">
        <v>8590</v>
      </c>
      <c r="W2836">
        <v>25</v>
      </c>
      <c r="X2836" t="s">
        <v>11426</v>
      </c>
      <c r="Y2836">
        <v>0.52552557696563851</v>
      </c>
      <c r="Z2836" t="str">
        <f>HYPERLINK("Melting_Curves/meltCurve_sp_Q99832_TCPH_HUMAN_.pdf", "Melting_Curves/meltCurve_sp_Q99832_TCPH_HUMAN_.pdf")</f>
        <v>Melting_Curves/meltCurve_sp_Q99832_TCPH_HUMAN_.pdf</v>
      </c>
      <c r="AA2836" t="s">
        <v>15676</v>
      </c>
      <c r="AB2836" t="s">
        <v>19920</v>
      </c>
    </row>
    <row r="2837" spans="1:28" x14ac:dyDescent="0.25">
      <c r="A2837" t="s">
        <v>2841</v>
      </c>
      <c r="B2837">
        <v>0.99876560204751996</v>
      </c>
      <c r="C2837">
        <v>0.94164763823356201</v>
      </c>
      <c r="D2837">
        <v>0.91780406001859804</v>
      </c>
      <c r="E2837">
        <v>0.54919037997169695</v>
      </c>
      <c r="F2837">
        <v>0.243869659456878</v>
      </c>
      <c r="G2837">
        <v>0.115112611280864</v>
      </c>
      <c r="H2837">
        <v>5.9168033464624702E-2</v>
      </c>
      <c r="I2837">
        <v>3.6348293527775799E-2</v>
      </c>
      <c r="J2837">
        <v>4.8260252627408698E-2</v>
      </c>
      <c r="K2837">
        <v>1.9655374206053299E-2</v>
      </c>
      <c r="L2837">
        <v>1178.60302810658</v>
      </c>
      <c r="M2837">
        <v>23.451779035049402</v>
      </c>
      <c r="N2837">
        <v>50.422939666877298</v>
      </c>
      <c r="O2837">
        <v>49.895302767024297</v>
      </c>
      <c r="P2837">
        <v>-0.113128974610957</v>
      </c>
      <c r="Q2837">
        <v>3.7257401175136103E-2</v>
      </c>
      <c r="R2837">
        <v>0.99798224123696999</v>
      </c>
      <c r="S2837" t="s">
        <v>7133</v>
      </c>
      <c r="T2837" t="s">
        <v>8590</v>
      </c>
      <c r="U2837" t="s">
        <v>8590</v>
      </c>
      <c r="V2837" t="s">
        <v>8590</v>
      </c>
      <c r="W2837">
        <v>4</v>
      </c>
      <c r="X2837" t="s">
        <v>11427</v>
      </c>
      <c r="Y2837">
        <v>0.3762012057126366</v>
      </c>
      <c r="Z2837" t="str">
        <f>HYPERLINK("Melting_Curves/meltCurve_sp_Q99836_MYD88_HUMAN_.pdf", "Melting_Curves/meltCurve_sp_Q99836_MYD88_HUMAN_.pdf")</f>
        <v>Melting_Curves/meltCurve_sp_Q99836_MYD88_HUMAN_.pdf</v>
      </c>
      <c r="AA2837" t="s">
        <v>15677</v>
      </c>
      <c r="AB2837" t="s">
        <v>19921</v>
      </c>
    </row>
    <row r="2838" spans="1:28" x14ac:dyDescent="0.25">
      <c r="A2838" t="s">
        <v>2842</v>
      </c>
      <c r="B2838">
        <v>0.99876560204751996</v>
      </c>
      <c r="C2838">
        <v>0.91500295846378998</v>
      </c>
      <c r="D2838">
        <v>0.92232306890888105</v>
      </c>
      <c r="E2838">
        <v>0.81405149140572397</v>
      </c>
      <c r="F2838">
        <v>0.54331262116481605</v>
      </c>
      <c r="G2838">
        <v>0.38722475407635398</v>
      </c>
      <c r="H2838">
        <v>0.26344418534788799</v>
      </c>
      <c r="I2838">
        <v>0.24549907547604899</v>
      </c>
      <c r="J2838">
        <v>0.16570535547835999</v>
      </c>
      <c r="K2838">
        <v>0.100107922246765</v>
      </c>
      <c r="L2838">
        <v>693.42409396660696</v>
      </c>
      <c r="M2838">
        <v>12.864234399025399</v>
      </c>
      <c r="N2838">
        <v>54.781416150706001</v>
      </c>
      <c r="O2838">
        <v>52.650531588793797</v>
      </c>
      <c r="P2838">
        <v>-5.54019595589288E-2</v>
      </c>
      <c r="Q2838">
        <v>9.3173889141680302E-2</v>
      </c>
      <c r="R2838">
        <v>0.98829150806115895</v>
      </c>
      <c r="S2838" t="s">
        <v>7134</v>
      </c>
      <c r="T2838" t="s">
        <v>8590</v>
      </c>
      <c r="U2838" t="s">
        <v>8590</v>
      </c>
      <c r="V2838" t="s">
        <v>8590</v>
      </c>
      <c r="W2838">
        <v>4</v>
      </c>
      <c r="X2838" t="s">
        <v>11428</v>
      </c>
      <c r="Y2838">
        <v>0.53574350531707204</v>
      </c>
      <c r="Z2838" t="str">
        <f>HYPERLINK("Melting_Curves/meltCurve_sp_Q99878_H2A1J_HUMAN_.pdf", "Melting_Curves/meltCurve_sp_Q99878_H2A1J_HUMAN_.pdf")</f>
        <v>Melting_Curves/meltCurve_sp_Q99878_H2A1J_HUMAN_.pdf</v>
      </c>
      <c r="AA2838" t="s">
        <v>15678</v>
      </c>
      <c r="AB2838" t="s">
        <v>19922</v>
      </c>
    </row>
    <row r="2839" spans="1:28" x14ac:dyDescent="0.25">
      <c r="A2839" t="s">
        <v>2843</v>
      </c>
      <c r="B2839">
        <v>0.99876560204751996</v>
      </c>
      <c r="C2839">
        <v>1.57552631907825</v>
      </c>
      <c r="D2839">
        <v>1.49243871586207</v>
      </c>
      <c r="E2839">
        <v>1.0738033452950899</v>
      </c>
      <c r="F2839">
        <v>1.37544180170571</v>
      </c>
      <c r="G2839">
        <v>0.72415087047979299</v>
      </c>
      <c r="H2839">
        <v>1.0365015289327799</v>
      </c>
      <c r="I2839">
        <v>1.4664116855172</v>
      </c>
      <c r="J2839">
        <v>1.5320505285450801</v>
      </c>
      <c r="K2839">
        <v>1.0340498395167099</v>
      </c>
      <c r="L2839">
        <v>10244.0323703876</v>
      </c>
      <c r="M2839">
        <v>250</v>
      </c>
      <c r="O2839">
        <v>40.973516102949802</v>
      </c>
      <c r="P2839">
        <v>0.39157581178871698</v>
      </c>
      <c r="Q2839">
        <v>1.25670774989128</v>
      </c>
      <c r="R2839">
        <v>7.8154141611602196E-2</v>
      </c>
      <c r="S2839" t="s">
        <v>7135</v>
      </c>
      <c r="T2839" t="s">
        <v>8590</v>
      </c>
      <c r="U2839" t="s">
        <v>8590</v>
      </c>
      <c r="V2839" t="s">
        <v>8590</v>
      </c>
      <c r="W2839">
        <v>1</v>
      </c>
      <c r="X2839" t="s">
        <v>11429</v>
      </c>
      <c r="Y2839">
        <v>1.2483336539487071</v>
      </c>
      <c r="Z2839" t="str">
        <f>HYPERLINK("Melting_Curves/meltCurve_sp_Q99952_PTN18_HUMAN_.pdf", "Melting_Curves/meltCurve_sp_Q99952_PTN18_HUMAN_.pdf")</f>
        <v>Melting_Curves/meltCurve_sp_Q99952_PTN18_HUMAN_.pdf</v>
      </c>
      <c r="AA2839" t="s">
        <v>15679</v>
      </c>
      <c r="AB2839" t="s">
        <v>19923</v>
      </c>
    </row>
    <row r="2840" spans="1:28" x14ac:dyDescent="0.25">
      <c r="A2840" t="s">
        <v>2844</v>
      </c>
      <c r="B2840">
        <v>0.99876560204751996</v>
      </c>
      <c r="C2840">
        <v>0.91832351075252305</v>
      </c>
      <c r="D2840">
        <v>0.76299056505839102</v>
      </c>
      <c r="E2840">
        <v>0.38964655541030602</v>
      </c>
      <c r="F2840">
        <v>0.156614275879676</v>
      </c>
      <c r="G2840">
        <v>6.2637150684020898E-2</v>
      </c>
      <c r="H2840">
        <v>3.7628521388155499E-2</v>
      </c>
      <c r="I2840">
        <v>3.56320763588149E-2</v>
      </c>
      <c r="J2840">
        <v>3.1428737448362297E-2</v>
      </c>
      <c r="K2840">
        <v>2.4533847121280102E-2</v>
      </c>
      <c r="L2840">
        <v>984.99399787041796</v>
      </c>
      <c r="M2840">
        <v>20.274456131696301</v>
      </c>
      <c r="N2840">
        <v>48.691645361405499</v>
      </c>
      <c r="O2840">
        <v>48.117765588374802</v>
      </c>
      <c r="P2840">
        <v>-0.10301140311156499</v>
      </c>
      <c r="Q2840">
        <v>2.2114192284114199E-2</v>
      </c>
      <c r="R2840">
        <v>0.99919485797410601</v>
      </c>
      <c r="S2840" t="s">
        <v>7136</v>
      </c>
      <c r="T2840" t="s">
        <v>8590</v>
      </c>
      <c r="U2840" t="s">
        <v>8590</v>
      </c>
      <c r="V2840" t="s">
        <v>8590</v>
      </c>
      <c r="W2840">
        <v>5</v>
      </c>
      <c r="X2840" t="s">
        <v>11430</v>
      </c>
      <c r="Y2840">
        <v>0.3152666267152352</v>
      </c>
      <c r="Z2840" t="str">
        <f>HYPERLINK("Melting_Curves/meltCurve_sp_Q99959_2_PKP2_HUMAN_.pdf", "Melting_Curves/meltCurve_sp_Q99959_2_PKP2_HUMAN_.pdf")</f>
        <v>Melting_Curves/meltCurve_sp_Q99959_2_PKP2_HUMAN_.pdf</v>
      </c>
      <c r="AA2840" t="s">
        <v>15680</v>
      </c>
      <c r="AB2840" t="s">
        <v>19924</v>
      </c>
    </row>
    <row r="2841" spans="1:28" x14ac:dyDescent="0.25">
      <c r="A2841" t="s">
        <v>2845</v>
      </c>
      <c r="B2841">
        <v>0.99876560204751996</v>
      </c>
      <c r="C2841">
        <v>0.99307986073204801</v>
      </c>
      <c r="D2841">
        <v>1.00545239597317</v>
      </c>
      <c r="E2841">
        <v>0.87219557800945902</v>
      </c>
      <c r="F2841">
        <v>0.77288396342074195</v>
      </c>
      <c r="G2841">
        <v>0.63076595056652396</v>
      </c>
      <c r="H2841">
        <v>0.49681548872857001</v>
      </c>
      <c r="I2841">
        <v>0.53996949356448298</v>
      </c>
      <c r="J2841">
        <v>0.70052533984304899</v>
      </c>
      <c r="K2841">
        <v>0.69573509184719595</v>
      </c>
      <c r="L2841">
        <v>1479.0041626357499</v>
      </c>
      <c r="M2841">
        <v>28.542485625512999</v>
      </c>
      <c r="O2841">
        <v>51.565281974698799</v>
      </c>
      <c r="P2841">
        <v>-5.4149847511657197E-2</v>
      </c>
      <c r="Q2841">
        <v>0.60869143576746099</v>
      </c>
      <c r="R2841">
        <v>0.88831976744475605</v>
      </c>
      <c r="S2841" t="s">
        <v>7137</v>
      </c>
      <c r="T2841" t="s">
        <v>8590</v>
      </c>
      <c r="U2841" t="s">
        <v>8590</v>
      </c>
      <c r="V2841" t="s">
        <v>8590</v>
      </c>
      <c r="W2841">
        <v>14</v>
      </c>
      <c r="X2841" t="s">
        <v>11431</v>
      </c>
      <c r="Y2841">
        <v>0.76558778685303652</v>
      </c>
      <c r="Z2841" t="str">
        <f>HYPERLINK("Melting_Curves/meltCurve_sp_Q99961_SH3G1_HUMAN_.pdf", "Melting_Curves/meltCurve_sp_Q99961_SH3G1_HUMAN_.pdf")</f>
        <v>Melting_Curves/meltCurve_sp_Q99961_SH3G1_HUMAN_.pdf</v>
      </c>
      <c r="AA2841" t="s">
        <v>15681</v>
      </c>
      <c r="AB2841" t="s">
        <v>19925</v>
      </c>
    </row>
    <row r="2842" spans="1:28" x14ac:dyDescent="0.25">
      <c r="A2842" t="s">
        <v>2846</v>
      </c>
      <c r="B2842">
        <v>0.99876560204751996</v>
      </c>
      <c r="C2842">
        <v>1.0360775188178499</v>
      </c>
      <c r="D2842">
        <v>0.92935702237099005</v>
      </c>
      <c r="E2842">
        <v>0.85776465187430995</v>
      </c>
      <c r="F2842">
        <v>0.72741647189959902</v>
      </c>
      <c r="G2842">
        <v>0.43266677867786701</v>
      </c>
      <c r="H2842">
        <v>0.29857344678462699</v>
      </c>
      <c r="I2842">
        <v>0.25569571875268199</v>
      </c>
      <c r="J2842">
        <v>0.30912099981024899</v>
      </c>
      <c r="K2842">
        <v>0.26830430926876497</v>
      </c>
      <c r="L2842">
        <v>1119.2009437802301</v>
      </c>
      <c r="M2842">
        <v>20.745002577888201</v>
      </c>
      <c r="N2842">
        <v>55.890676218306901</v>
      </c>
      <c r="O2842">
        <v>53.456570385535898</v>
      </c>
      <c r="P2842">
        <v>-7.2118691945782201E-2</v>
      </c>
      <c r="Q2842">
        <v>0.25666736893966002</v>
      </c>
      <c r="R2842">
        <v>0.99133785441063604</v>
      </c>
      <c r="S2842" t="s">
        <v>7138</v>
      </c>
      <c r="T2842" t="s">
        <v>8590</v>
      </c>
      <c r="U2842" t="s">
        <v>8590</v>
      </c>
      <c r="V2842" t="s">
        <v>8590</v>
      </c>
      <c r="W2842">
        <v>25</v>
      </c>
      <c r="X2842" t="s">
        <v>11432</v>
      </c>
      <c r="Y2842">
        <v>0.61185030121258133</v>
      </c>
      <c r="Z2842" t="str">
        <f>HYPERLINK("Melting_Curves/meltCurve_sp_Q99996_5_AKAP9_HUMAN_.pdf", "Melting_Curves/meltCurve_sp_Q99996_5_AKAP9_HUMAN_.pdf")</f>
        <v>Melting_Curves/meltCurve_sp_Q99996_5_AKAP9_HUMAN_.pdf</v>
      </c>
      <c r="AA2842" t="s">
        <v>15682</v>
      </c>
      <c r="AB2842" t="s">
        <v>19926</v>
      </c>
    </row>
    <row r="2843" spans="1:28" x14ac:dyDescent="0.25">
      <c r="A2843" t="s">
        <v>2847</v>
      </c>
      <c r="B2843">
        <v>0.99876560204751996</v>
      </c>
      <c r="C2843">
        <v>1.0334220500299001</v>
      </c>
      <c r="D2843">
        <v>0.88321280124230095</v>
      </c>
      <c r="E2843">
        <v>0.53943552168393305</v>
      </c>
      <c r="F2843">
        <v>0.19629431709306799</v>
      </c>
      <c r="G2843">
        <v>9.4919611418134806E-2</v>
      </c>
      <c r="H2843">
        <v>5.5110805828595399E-2</v>
      </c>
      <c r="I2843">
        <v>4.3642992666342299E-2</v>
      </c>
      <c r="J2843">
        <v>4.5418215217485201E-2</v>
      </c>
      <c r="K2843">
        <v>3.6970726077181798E-2</v>
      </c>
      <c r="L2843">
        <v>1317.66824606516</v>
      </c>
      <c r="M2843">
        <v>26.355107014846901</v>
      </c>
      <c r="N2843">
        <v>50.168161825707301</v>
      </c>
      <c r="O2843">
        <v>49.711508261132003</v>
      </c>
      <c r="P2843">
        <v>-0.12683316259669999</v>
      </c>
      <c r="Q2843">
        <v>4.3069859412370501E-2</v>
      </c>
      <c r="R2843">
        <v>0.99754969267719396</v>
      </c>
      <c r="S2843" t="s">
        <v>7139</v>
      </c>
      <c r="T2843" t="s">
        <v>8590</v>
      </c>
      <c r="U2843" t="s">
        <v>8590</v>
      </c>
      <c r="V2843" t="s">
        <v>8590</v>
      </c>
      <c r="W2843">
        <v>16</v>
      </c>
      <c r="X2843" t="s">
        <v>11433</v>
      </c>
      <c r="Y2843">
        <v>0.36963098775993802</v>
      </c>
      <c r="Z2843" t="str">
        <f>HYPERLINK("Melting_Curves/meltCurve_sp_Q9BPW8_NIPS1_HUMAN_.pdf", "Melting_Curves/meltCurve_sp_Q9BPW8_NIPS1_HUMAN_.pdf")</f>
        <v>Melting_Curves/meltCurve_sp_Q9BPW8_NIPS1_HUMAN_.pdf</v>
      </c>
      <c r="AA2843" t="s">
        <v>15683</v>
      </c>
      <c r="AB2843" t="s">
        <v>19927</v>
      </c>
    </row>
    <row r="2844" spans="1:28" x14ac:dyDescent="0.25">
      <c r="A2844" t="s">
        <v>2848</v>
      </c>
      <c r="B2844">
        <v>0.99876560204751996</v>
      </c>
      <c r="C2844">
        <v>1.0520431003265101</v>
      </c>
      <c r="D2844">
        <v>1.0004928871259999</v>
      </c>
      <c r="E2844">
        <v>1.09217771784558</v>
      </c>
      <c r="F2844">
        <v>1.1388297498775899</v>
      </c>
      <c r="G2844">
        <v>0.67278071285691299</v>
      </c>
      <c r="H2844">
        <v>0.25532952772526601</v>
      </c>
      <c r="I2844">
        <v>0.20125263363996301</v>
      </c>
      <c r="J2844">
        <v>0.199236424343706</v>
      </c>
      <c r="K2844">
        <v>0.14420510305750001</v>
      </c>
      <c r="L2844">
        <v>3493.8908173026498</v>
      </c>
      <c r="M2844">
        <v>60.871452509343399</v>
      </c>
      <c r="N2844">
        <v>57.862551952352298</v>
      </c>
      <c r="O2844">
        <v>57.3360053368473</v>
      </c>
      <c r="P2844">
        <v>-0.21410071985703999</v>
      </c>
      <c r="Q2844">
        <v>0.19333779777045301</v>
      </c>
      <c r="R2844">
        <v>0.97810532778700798</v>
      </c>
      <c r="S2844" t="s">
        <v>7140</v>
      </c>
      <c r="T2844" t="s">
        <v>8590</v>
      </c>
      <c r="U2844" t="s">
        <v>8590</v>
      </c>
      <c r="V2844" t="s">
        <v>8590</v>
      </c>
      <c r="W2844">
        <v>5</v>
      </c>
      <c r="X2844" t="s">
        <v>11434</v>
      </c>
      <c r="Y2844">
        <v>0.66251897867927567</v>
      </c>
      <c r="Z2844" t="str">
        <f>HYPERLINK("Melting_Curves/meltCurve_sp_Q9BPX5_ARP5L_HUMAN_.pdf", "Melting_Curves/meltCurve_sp_Q9BPX5_ARP5L_HUMAN_.pdf")</f>
        <v>Melting_Curves/meltCurve_sp_Q9BPX5_ARP5L_HUMAN_.pdf</v>
      </c>
      <c r="AA2844" t="s">
        <v>15684</v>
      </c>
      <c r="AB2844" t="s">
        <v>19928</v>
      </c>
    </row>
    <row r="2845" spans="1:28" x14ac:dyDescent="0.25">
      <c r="A2845" t="s">
        <v>2849</v>
      </c>
      <c r="B2845">
        <v>0.99876560204751996</v>
      </c>
      <c r="C2845">
        <v>1.03487778701594</v>
      </c>
      <c r="D2845">
        <v>1.0501803507630101</v>
      </c>
      <c r="E2845">
        <v>0.99671685071669103</v>
      </c>
      <c r="F2845">
        <v>0.86024859068128801</v>
      </c>
      <c r="G2845">
        <v>0.69849575792101704</v>
      </c>
      <c r="H2845">
        <v>0.61767266769268503</v>
      </c>
      <c r="I2845">
        <v>0.63927586980706896</v>
      </c>
      <c r="J2845">
        <v>0.80074308797780402</v>
      </c>
      <c r="K2845">
        <v>0.86749094503638802</v>
      </c>
      <c r="L2845">
        <v>11408.580970864101</v>
      </c>
      <c r="M2845">
        <v>215.28704395127599</v>
      </c>
      <c r="O2845">
        <v>52.987845034777102</v>
      </c>
      <c r="P2845">
        <v>-0.279596418015994</v>
      </c>
      <c r="Q2845">
        <v>0.72473565785166605</v>
      </c>
      <c r="R2845">
        <v>0.795760807288863</v>
      </c>
      <c r="S2845" t="s">
        <v>7141</v>
      </c>
      <c r="T2845" t="s">
        <v>8590</v>
      </c>
      <c r="U2845" t="s">
        <v>8590</v>
      </c>
      <c r="V2845" t="s">
        <v>8590</v>
      </c>
      <c r="W2845">
        <v>1</v>
      </c>
      <c r="X2845" t="s">
        <v>11435</v>
      </c>
      <c r="Y2845">
        <v>0.84398182557253965</v>
      </c>
      <c r="Z2845" t="str">
        <f>HYPERLINK("Melting_Curves/meltCurve_sp_Q9BPZ3_PAIP2_HUMAN_.pdf", "Melting_Curves/meltCurve_sp_Q9BPZ3_PAIP2_HUMAN_.pdf")</f>
        <v>Melting_Curves/meltCurve_sp_Q9BPZ3_PAIP2_HUMAN_.pdf</v>
      </c>
      <c r="AA2845" t="s">
        <v>15685</v>
      </c>
      <c r="AB2845" t="s">
        <v>19929</v>
      </c>
    </row>
    <row r="2846" spans="1:28" x14ac:dyDescent="0.25">
      <c r="A2846" t="s">
        <v>2850</v>
      </c>
      <c r="B2846">
        <v>0.99876560204751996</v>
      </c>
      <c r="C2846">
        <v>0.99274827064371096</v>
      </c>
      <c r="D2846">
        <v>1.20189422913623</v>
      </c>
      <c r="E2846">
        <v>0.71683733605581601</v>
      </c>
      <c r="F2846">
        <v>0.67647043662235695</v>
      </c>
      <c r="G2846">
        <v>0.37301971767164299</v>
      </c>
      <c r="H2846">
        <v>0.19523927470274</v>
      </c>
      <c r="I2846">
        <v>0.15896248744583499</v>
      </c>
      <c r="J2846">
        <v>0.105375677557441</v>
      </c>
      <c r="K2846">
        <v>6.9724945217506606E-2</v>
      </c>
      <c r="L2846">
        <v>960.62302661471404</v>
      </c>
      <c r="M2846">
        <v>17.6342854522827</v>
      </c>
      <c r="N2846">
        <v>54.9749004695026</v>
      </c>
      <c r="O2846">
        <v>53.7886839599078</v>
      </c>
      <c r="P2846">
        <v>-7.5890571263685896E-2</v>
      </c>
      <c r="Q2846">
        <v>7.4113755882352E-2</v>
      </c>
      <c r="R2846">
        <v>0.95428008293149302</v>
      </c>
      <c r="S2846" t="s">
        <v>7142</v>
      </c>
      <c r="T2846" t="s">
        <v>8590</v>
      </c>
      <c r="U2846" t="s">
        <v>8590</v>
      </c>
      <c r="V2846" t="s">
        <v>8590</v>
      </c>
      <c r="W2846">
        <v>1</v>
      </c>
      <c r="X2846" t="s">
        <v>11436</v>
      </c>
      <c r="Y2846">
        <v>0.53587615287396373</v>
      </c>
      <c r="Z2846" t="str">
        <f>HYPERLINK("Melting_Curves/meltCurve_sp_Q9BQ24_ZFY21_HUMAN_.pdf", "Melting_Curves/meltCurve_sp_Q9BQ24_ZFY21_HUMAN_.pdf")</f>
        <v>Melting_Curves/meltCurve_sp_Q9BQ24_ZFY21_HUMAN_.pdf</v>
      </c>
      <c r="AA2846" t="s">
        <v>15686</v>
      </c>
      <c r="AB2846" t="s">
        <v>19930</v>
      </c>
    </row>
    <row r="2847" spans="1:28" x14ac:dyDescent="0.25">
      <c r="A2847" t="s">
        <v>2851</v>
      </c>
      <c r="B2847">
        <v>0.99876560204751996</v>
      </c>
      <c r="C2847">
        <v>1.01329555362489</v>
      </c>
      <c r="D2847">
        <v>0.90723828659845995</v>
      </c>
      <c r="E2847">
        <v>0.95246463795910696</v>
      </c>
      <c r="F2847">
        <v>0.81355000801770605</v>
      </c>
      <c r="G2847">
        <v>0.67874240425031995</v>
      </c>
      <c r="H2847">
        <v>0.47038068702333002</v>
      </c>
      <c r="I2847">
        <v>0.35457198066374501</v>
      </c>
      <c r="J2847">
        <v>0.223772012239664</v>
      </c>
      <c r="K2847">
        <v>8.0489213469468204E-2</v>
      </c>
      <c r="L2847">
        <v>760.12047590861698</v>
      </c>
      <c r="M2847">
        <v>12.622407060400599</v>
      </c>
      <c r="N2847">
        <v>60.2199305850245</v>
      </c>
      <c r="O2847">
        <v>58.768417087336502</v>
      </c>
      <c r="P2847">
        <v>-5.37061763617383E-2</v>
      </c>
      <c r="Q2847">
        <v>0</v>
      </c>
      <c r="R2847">
        <v>0.987757127793498</v>
      </c>
      <c r="S2847" t="s">
        <v>7143</v>
      </c>
      <c r="T2847" t="s">
        <v>8590</v>
      </c>
      <c r="U2847" t="s">
        <v>8590</v>
      </c>
      <c r="V2847" t="s">
        <v>8590</v>
      </c>
      <c r="W2847">
        <v>19</v>
      </c>
      <c r="X2847" t="s">
        <v>11437</v>
      </c>
      <c r="Y2847">
        <v>0.67646722248671198</v>
      </c>
      <c r="Z2847" t="str">
        <f>HYPERLINK("Melting_Curves/meltCurve_sp_Q9BQ52_RNZ2_HUMAN_.pdf", "Melting_Curves/meltCurve_sp_Q9BQ52_RNZ2_HUMAN_.pdf")</f>
        <v>Melting_Curves/meltCurve_sp_Q9BQ52_RNZ2_HUMAN_.pdf</v>
      </c>
      <c r="AA2847" t="s">
        <v>15687</v>
      </c>
      <c r="AB2847" t="s">
        <v>19931</v>
      </c>
    </row>
    <row r="2848" spans="1:28" x14ac:dyDescent="0.25">
      <c r="A2848" t="s">
        <v>2852</v>
      </c>
      <c r="B2848">
        <v>0.99876560204751996</v>
      </c>
      <c r="C2848">
        <v>0.96736634614516703</v>
      </c>
      <c r="D2848">
        <v>1.1172476880278801</v>
      </c>
      <c r="E2848">
        <v>1.01973512482933</v>
      </c>
      <c r="F2848">
        <v>1.2483882110681599</v>
      </c>
      <c r="G2848">
        <v>0.37332925790238303</v>
      </c>
      <c r="H2848">
        <v>0.83892903865855195</v>
      </c>
      <c r="I2848">
        <v>0.89249486129019096</v>
      </c>
      <c r="J2848">
        <v>1.0619066234726899</v>
      </c>
      <c r="K2848">
        <v>1.0085045900395599</v>
      </c>
      <c r="L2848">
        <v>2747.6474950236002</v>
      </c>
      <c r="M2848">
        <v>50.410182901949398</v>
      </c>
      <c r="O2848">
        <v>54.420248321028602</v>
      </c>
      <c r="P2848">
        <v>-3.4148949739691799E-2</v>
      </c>
      <c r="Q2848">
        <v>0.85253834725412003</v>
      </c>
      <c r="R2848">
        <v>0.16965154097083601</v>
      </c>
      <c r="S2848" t="s">
        <v>7144</v>
      </c>
      <c r="T2848" t="s">
        <v>8590</v>
      </c>
      <c r="U2848" t="s">
        <v>8590</v>
      </c>
      <c r="V2848" t="s">
        <v>8590</v>
      </c>
      <c r="W2848">
        <v>5</v>
      </c>
      <c r="X2848" t="s">
        <v>11438</v>
      </c>
      <c r="Y2848">
        <v>0.92418863153609021</v>
      </c>
      <c r="Z2848" t="str">
        <f>HYPERLINK("Melting_Curves/meltCurve_sp_Q9BQ61_CS043_HUMAN_.pdf", "Melting_Curves/meltCurve_sp_Q9BQ61_CS043_HUMAN_.pdf")</f>
        <v>Melting_Curves/meltCurve_sp_Q9BQ61_CS043_HUMAN_.pdf</v>
      </c>
      <c r="AA2848" t="s">
        <v>15688</v>
      </c>
      <c r="AB2848" t="s">
        <v>19932</v>
      </c>
    </row>
    <row r="2849" spans="1:28" x14ac:dyDescent="0.25">
      <c r="A2849" t="s">
        <v>2853</v>
      </c>
      <c r="B2849">
        <v>0.99876560204751996</v>
      </c>
      <c r="C2849">
        <v>1.14072608947079</v>
      </c>
      <c r="D2849">
        <v>1.42680038689906</v>
      </c>
      <c r="E2849">
        <v>1.08225484736161</v>
      </c>
      <c r="F2849">
        <v>1.35314484134088</v>
      </c>
      <c r="G2849">
        <v>0.61450562895574801</v>
      </c>
      <c r="H2849">
        <v>0.50509047138649599</v>
      </c>
      <c r="I2849">
        <v>0.53009054313406201</v>
      </c>
      <c r="J2849">
        <v>0.57801114250602803</v>
      </c>
      <c r="K2849">
        <v>0.40623305407861698</v>
      </c>
      <c r="L2849">
        <v>14178.337404771401</v>
      </c>
      <c r="M2849">
        <v>250</v>
      </c>
      <c r="O2849">
        <v>56.709727984325703</v>
      </c>
      <c r="P2849">
        <v>-0.54569977915826695</v>
      </c>
      <c r="Q2849">
        <v>0.50485629058188197</v>
      </c>
      <c r="R2849">
        <v>0.729813609581073</v>
      </c>
      <c r="S2849" t="s">
        <v>7145</v>
      </c>
      <c r="T2849" t="s">
        <v>8590</v>
      </c>
      <c r="U2849" t="s">
        <v>8590</v>
      </c>
      <c r="V2849" t="s">
        <v>8590</v>
      </c>
      <c r="W2849">
        <v>2</v>
      </c>
      <c r="X2849" t="s">
        <v>11439</v>
      </c>
      <c r="Y2849">
        <v>0.78075590365969583</v>
      </c>
      <c r="Z2849" t="str">
        <f>HYPERLINK("Melting_Curves/meltCurve_sp_Q9BQ67_GRWD1_HUMAN_.pdf", "Melting_Curves/meltCurve_sp_Q9BQ67_GRWD1_HUMAN_.pdf")</f>
        <v>Melting_Curves/meltCurve_sp_Q9BQ67_GRWD1_HUMAN_.pdf</v>
      </c>
      <c r="AA2849" t="s">
        <v>15689</v>
      </c>
      <c r="AB2849" t="s">
        <v>19933</v>
      </c>
    </row>
    <row r="2850" spans="1:28" x14ac:dyDescent="0.25">
      <c r="A2850" t="s">
        <v>2854</v>
      </c>
      <c r="B2850">
        <v>0.99876560204751996</v>
      </c>
      <c r="C2850">
        <v>0.82436326154666095</v>
      </c>
      <c r="D2850">
        <v>0.80206763288841298</v>
      </c>
      <c r="E2850">
        <v>0.37604698764530697</v>
      </c>
      <c r="F2850">
        <v>0.204441097268345</v>
      </c>
      <c r="G2850">
        <v>0.11476493848383799</v>
      </c>
      <c r="H2850">
        <v>8.1988779232212095E-2</v>
      </c>
      <c r="I2850">
        <v>6.2825397826841101E-2</v>
      </c>
      <c r="J2850">
        <v>5.6650021269388402E-2</v>
      </c>
      <c r="K2850">
        <v>4.8809700518244702E-2</v>
      </c>
      <c r="L2850">
        <v>876.15431314007401</v>
      </c>
      <c r="M2850">
        <v>18.079605604090698</v>
      </c>
      <c r="N2850">
        <v>48.743029324265997</v>
      </c>
      <c r="O2850">
        <v>47.879713935395202</v>
      </c>
      <c r="P2850">
        <v>-8.9716126347062095E-2</v>
      </c>
      <c r="Q2850">
        <v>4.9675298917437903E-2</v>
      </c>
      <c r="R2850">
        <v>0.98914013964157199</v>
      </c>
      <c r="S2850" t="s">
        <v>7146</v>
      </c>
      <c r="T2850" t="s">
        <v>8590</v>
      </c>
      <c r="U2850" t="s">
        <v>8590</v>
      </c>
      <c r="V2850" t="s">
        <v>8590</v>
      </c>
      <c r="W2850">
        <v>14</v>
      </c>
      <c r="X2850" t="s">
        <v>11440</v>
      </c>
      <c r="Y2850">
        <v>0.33419769047303588</v>
      </c>
      <c r="Z2850" t="str">
        <f>HYPERLINK("Melting_Curves/meltCurve_sp_Q9BQ69_MACD1_HUMAN_.pdf", "Melting_Curves/meltCurve_sp_Q9BQ69_MACD1_HUMAN_.pdf")</f>
        <v>Melting_Curves/meltCurve_sp_Q9BQ69_MACD1_HUMAN_.pdf</v>
      </c>
      <c r="AA2850" t="s">
        <v>15690</v>
      </c>
      <c r="AB2850" t="s">
        <v>19934</v>
      </c>
    </row>
    <row r="2851" spans="1:28" x14ac:dyDescent="0.25">
      <c r="A2851" t="s">
        <v>2855</v>
      </c>
      <c r="B2851">
        <v>0.99876560204751996</v>
      </c>
      <c r="C2851">
        <v>1.16058038150967</v>
      </c>
      <c r="D2851">
        <v>1.0589004808390501</v>
      </c>
      <c r="E2851">
        <v>1.0271648560730899</v>
      </c>
      <c r="F2851">
        <v>0.44640621943419601</v>
      </c>
      <c r="G2851">
        <v>0.21345762080151001</v>
      </c>
      <c r="H2851">
        <v>0.116045283131779</v>
      </c>
      <c r="I2851">
        <v>9.4835471263605198E-2</v>
      </c>
      <c r="J2851">
        <v>8.6425045663045694E-2</v>
      </c>
      <c r="K2851">
        <v>8.2401595902981101E-2</v>
      </c>
      <c r="L2851">
        <v>13222.222231443</v>
      </c>
      <c r="M2851">
        <v>250</v>
      </c>
      <c r="N2851">
        <v>52.946250240406997</v>
      </c>
      <c r="O2851">
        <v>52.885503726088501</v>
      </c>
      <c r="P2851">
        <v>-1.0415980439838299</v>
      </c>
      <c r="Q2851">
        <v>0.118632994225885</v>
      </c>
      <c r="R2851">
        <v>0.97914193759236601</v>
      </c>
      <c r="S2851" t="s">
        <v>7147</v>
      </c>
      <c r="T2851" t="s">
        <v>8590</v>
      </c>
      <c r="U2851" t="s">
        <v>8590</v>
      </c>
      <c r="V2851" t="s">
        <v>8590</v>
      </c>
      <c r="W2851">
        <v>5</v>
      </c>
      <c r="X2851" t="s">
        <v>11441</v>
      </c>
      <c r="Y2851">
        <v>0.49737618332803007</v>
      </c>
      <c r="Z2851" t="str">
        <f>HYPERLINK("Melting_Curves/meltCurve_sp_Q9BQA1_MEP50_HUMAN_.pdf", "Melting_Curves/meltCurve_sp_Q9BQA1_MEP50_HUMAN_.pdf")</f>
        <v>Melting_Curves/meltCurve_sp_Q9BQA1_MEP50_HUMAN_.pdf</v>
      </c>
      <c r="AA2851" t="s">
        <v>15691</v>
      </c>
      <c r="AB2851" t="s">
        <v>19935</v>
      </c>
    </row>
    <row r="2852" spans="1:28" x14ac:dyDescent="0.25">
      <c r="A2852" t="s">
        <v>2856</v>
      </c>
      <c r="B2852">
        <v>0.99876560204751996</v>
      </c>
      <c r="C2852">
        <v>0.97711058447153398</v>
      </c>
      <c r="D2852">
        <v>0.683454503995923</v>
      </c>
      <c r="E2852">
        <v>0.51164759086760803</v>
      </c>
      <c r="F2852">
        <v>0.31046643934609602</v>
      </c>
      <c r="G2852">
        <v>9.2562979802322601E-2</v>
      </c>
      <c r="H2852">
        <v>3.6376350900459098E-2</v>
      </c>
      <c r="I2852">
        <v>4.3131420885972903E-2</v>
      </c>
      <c r="J2852">
        <v>3.8074125912471397E-2</v>
      </c>
      <c r="K2852">
        <v>0</v>
      </c>
      <c r="L2852">
        <v>740.20518332135896</v>
      </c>
      <c r="M2852">
        <v>14.896399188433101</v>
      </c>
      <c r="N2852">
        <v>49.690207332450697</v>
      </c>
      <c r="O2852">
        <v>48.820509389919998</v>
      </c>
      <c r="P2852">
        <v>-7.6289380800708406E-2</v>
      </c>
      <c r="Q2852">
        <v>0</v>
      </c>
      <c r="R2852">
        <v>0.98871111527376998</v>
      </c>
      <c r="S2852" t="s">
        <v>7148</v>
      </c>
      <c r="T2852" t="s">
        <v>8590</v>
      </c>
      <c r="U2852" t="s">
        <v>8590</v>
      </c>
      <c r="V2852" t="s">
        <v>8590</v>
      </c>
      <c r="W2852">
        <v>1</v>
      </c>
      <c r="X2852" t="s">
        <v>11442</v>
      </c>
      <c r="Y2852">
        <v>0.34739945909020248</v>
      </c>
      <c r="Z2852" t="str">
        <f>HYPERLINK("Melting_Curves/meltCurve_sp_Q9BQB6_3_VKOR1_HUMAN_.pdf", "Melting_Curves/meltCurve_sp_Q9BQB6_3_VKOR1_HUMAN_.pdf")</f>
        <v>Melting_Curves/meltCurve_sp_Q9BQB6_3_VKOR1_HUMAN_.pdf</v>
      </c>
      <c r="AA2852" t="s">
        <v>15692</v>
      </c>
      <c r="AB2852" t="s">
        <v>19936</v>
      </c>
    </row>
    <row r="2853" spans="1:28" x14ac:dyDescent="0.25">
      <c r="A2853" t="s">
        <v>2857</v>
      </c>
      <c r="B2853">
        <v>0.99876560204751996</v>
      </c>
      <c r="C2853">
        <v>0.99128516711078696</v>
      </c>
      <c r="D2853">
        <v>0.74085282982482004</v>
      </c>
      <c r="E2853">
        <v>0.59050555853167097</v>
      </c>
      <c r="F2853">
        <v>0.25801672947626397</v>
      </c>
      <c r="G2853">
        <v>9.2015364171698102E-2</v>
      </c>
      <c r="H2853">
        <v>7.9280222844062803E-2</v>
      </c>
      <c r="I2853">
        <v>1.8655836651042101E-2</v>
      </c>
      <c r="J2853">
        <v>2.1918660228864399E-2</v>
      </c>
      <c r="K2853">
        <v>2.1012156711281999E-2</v>
      </c>
      <c r="L2853">
        <v>841.43327409658605</v>
      </c>
      <c r="M2853">
        <v>16.770499763720601</v>
      </c>
      <c r="N2853">
        <v>50.196860457240703</v>
      </c>
      <c r="O2853">
        <v>49.476300310942797</v>
      </c>
      <c r="P2853">
        <v>-8.4414886359757496E-2</v>
      </c>
      <c r="Q2853">
        <v>3.9022381327171599E-3</v>
      </c>
      <c r="R2853">
        <v>0.98850907005881605</v>
      </c>
      <c r="S2853" t="s">
        <v>7149</v>
      </c>
      <c r="T2853" t="s">
        <v>8590</v>
      </c>
      <c r="U2853" t="s">
        <v>8590</v>
      </c>
      <c r="V2853" t="s">
        <v>8590</v>
      </c>
      <c r="W2853">
        <v>15</v>
      </c>
      <c r="X2853" t="s">
        <v>11443</v>
      </c>
      <c r="Y2853">
        <v>0.36102633285317393</v>
      </c>
      <c r="Z2853" t="str">
        <f>HYPERLINK("Melting_Curves/meltCurve_sp_Q9BQE3_TBA1C_HUMAN_.pdf", "Melting_Curves/meltCurve_sp_Q9BQE3_TBA1C_HUMAN_.pdf")</f>
        <v>Melting_Curves/meltCurve_sp_Q9BQE3_TBA1C_HUMAN_.pdf</v>
      </c>
      <c r="AA2853" t="s">
        <v>15693</v>
      </c>
      <c r="AB2853" t="s">
        <v>19937</v>
      </c>
    </row>
    <row r="2854" spans="1:28" x14ac:dyDescent="0.25">
      <c r="A2854" t="s">
        <v>2858</v>
      </c>
      <c r="B2854">
        <v>0.99876560204751996</v>
      </c>
      <c r="C2854">
        <v>1.0983133592523</v>
      </c>
      <c r="D2854">
        <v>0.86667102537725604</v>
      </c>
      <c r="E2854">
        <v>0.80212745379049499</v>
      </c>
      <c r="F2854">
        <v>0.71545985308605897</v>
      </c>
      <c r="G2854">
        <v>0.40649025848672998</v>
      </c>
      <c r="H2854">
        <v>0.428514221982498</v>
      </c>
      <c r="I2854">
        <v>0.35939229280264001</v>
      </c>
      <c r="J2854">
        <v>0.31780567928353198</v>
      </c>
      <c r="K2854">
        <v>0.358896596289698</v>
      </c>
      <c r="L2854">
        <v>894.22563403480001</v>
      </c>
      <c r="M2854">
        <v>16.925764844163801</v>
      </c>
      <c r="N2854">
        <v>56.351536557487798</v>
      </c>
      <c r="O2854">
        <v>52.1112627388652</v>
      </c>
      <c r="P2854">
        <v>-5.4710981591724502E-2</v>
      </c>
      <c r="Q2854">
        <v>0.32626285928319299</v>
      </c>
      <c r="R2854">
        <v>0.96041752733243502</v>
      </c>
      <c r="S2854" t="s">
        <v>7150</v>
      </c>
      <c r="T2854" t="s">
        <v>8590</v>
      </c>
      <c r="U2854" t="s">
        <v>8590</v>
      </c>
      <c r="V2854" t="s">
        <v>8590</v>
      </c>
      <c r="W2854">
        <v>3</v>
      </c>
      <c r="X2854" t="s">
        <v>11444</v>
      </c>
      <c r="Y2854">
        <v>0.62664860764617125</v>
      </c>
      <c r="Z2854" t="str">
        <f>HYPERLINK("Melting_Curves/meltCurve_sp_Q9BQE5_APOL2_HUMAN_.pdf", "Melting_Curves/meltCurve_sp_Q9BQE5_APOL2_HUMAN_.pdf")</f>
        <v>Melting_Curves/meltCurve_sp_Q9BQE5_APOL2_HUMAN_.pdf</v>
      </c>
      <c r="AA2854" t="s">
        <v>15694</v>
      </c>
      <c r="AB2854" t="s">
        <v>19938</v>
      </c>
    </row>
    <row r="2855" spans="1:28" x14ac:dyDescent="0.25">
      <c r="A2855" t="s">
        <v>2859</v>
      </c>
      <c r="B2855">
        <v>0.99876560204751996</v>
      </c>
      <c r="C2855">
        <v>0.88853437117955603</v>
      </c>
      <c r="D2855">
        <v>0.72286306616726104</v>
      </c>
      <c r="E2855">
        <v>1.2967042852394399</v>
      </c>
      <c r="F2855">
        <v>1.28135345427306</v>
      </c>
      <c r="G2855">
        <v>0.39688800241829503</v>
      </c>
      <c r="H2855">
        <v>0.76765020084251201</v>
      </c>
      <c r="I2855">
        <v>0.35539155970631903</v>
      </c>
      <c r="J2855">
        <v>0.32549960853745702</v>
      </c>
      <c r="K2855">
        <v>0.14155426612371</v>
      </c>
      <c r="L2855">
        <v>997.63551797602395</v>
      </c>
      <c r="M2855">
        <v>16.187318314705902</v>
      </c>
      <c r="N2855">
        <v>62.241568486074101</v>
      </c>
      <c r="O2855">
        <v>60.713134738200303</v>
      </c>
      <c r="P2855">
        <v>-6.1763903828109701E-2</v>
      </c>
      <c r="Q2855">
        <v>7.34479174909453E-2</v>
      </c>
      <c r="R2855">
        <v>0.65236888686310002</v>
      </c>
      <c r="S2855" t="s">
        <v>7151</v>
      </c>
      <c r="T2855" t="s">
        <v>8590</v>
      </c>
      <c r="U2855" t="s">
        <v>8590</v>
      </c>
      <c r="V2855" t="s">
        <v>8590</v>
      </c>
      <c r="W2855">
        <v>2</v>
      </c>
      <c r="X2855" t="s">
        <v>11445</v>
      </c>
      <c r="Y2855">
        <v>0.74251684831110876</v>
      </c>
      <c r="Z2855" t="str">
        <f>HYPERLINK("Melting_Curves/meltCurve_sp_Q9BQG0_MBB1A_HUMAN_.pdf", "Melting_Curves/meltCurve_sp_Q9BQG0_MBB1A_HUMAN_.pdf")</f>
        <v>Melting_Curves/meltCurve_sp_Q9BQG0_MBB1A_HUMAN_.pdf</v>
      </c>
      <c r="AA2855" t="s">
        <v>15695</v>
      </c>
      <c r="AB2855" t="s">
        <v>19939</v>
      </c>
    </row>
    <row r="2856" spans="1:28" x14ac:dyDescent="0.25">
      <c r="A2856" t="s">
        <v>2860</v>
      </c>
      <c r="B2856">
        <v>0.99876560204751996</v>
      </c>
      <c r="C2856">
        <v>0.98918121549973503</v>
      </c>
      <c r="D2856">
        <v>0.94931539682366495</v>
      </c>
      <c r="E2856">
        <v>0.74806378773714499</v>
      </c>
      <c r="F2856">
        <v>0.29918204561203998</v>
      </c>
      <c r="G2856">
        <v>0.124032736918003</v>
      </c>
      <c r="H2856">
        <v>6.8340316309819502E-2</v>
      </c>
      <c r="I2856">
        <v>4.1758914674481E-2</v>
      </c>
      <c r="J2856">
        <v>4.2937005589614698E-2</v>
      </c>
      <c r="K2856">
        <v>3.4094535576217597E-2</v>
      </c>
      <c r="L2856">
        <v>1639.06186519723</v>
      </c>
      <c r="M2856">
        <v>31.8503042792731</v>
      </c>
      <c r="N2856">
        <v>51.631361784351299</v>
      </c>
      <c r="O2856">
        <v>51.259827613602702</v>
      </c>
      <c r="P2856">
        <v>-0.14760915070830899</v>
      </c>
      <c r="Q2856">
        <v>4.9757174866335803E-2</v>
      </c>
      <c r="R2856">
        <v>0.99806467570843505</v>
      </c>
      <c r="S2856" t="s">
        <v>7152</v>
      </c>
      <c r="T2856" t="s">
        <v>8590</v>
      </c>
      <c r="U2856" t="s">
        <v>8590</v>
      </c>
      <c r="V2856" t="s">
        <v>8590</v>
      </c>
      <c r="W2856">
        <v>8</v>
      </c>
      <c r="X2856" t="s">
        <v>11446</v>
      </c>
      <c r="Y2856">
        <v>0.41813610467928941</v>
      </c>
      <c r="Z2856" t="str">
        <f>HYPERLINK("Melting_Curves/meltCurve_sp_Q9BQG2_NUD12_HUMAN_.pdf", "Melting_Curves/meltCurve_sp_Q9BQG2_NUD12_HUMAN_.pdf")</f>
        <v>Melting_Curves/meltCurve_sp_Q9BQG2_NUD12_HUMAN_.pdf</v>
      </c>
      <c r="AA2856" t="s">
        <v>15696</v>
      </c>
      <c r="AB2856" t="s">
        <v>19940</v>
      </c>
    </row>
    <row r="2857" spans="1:28" x14ac:dyDescent="0.25">
      <c r="A2857" t="s">
        <v>2861</v>
      </c>
      <c r="B2857">
        <v>0.99876560204751996</v>
      </c>
      <c r="C2857">
        <v>0.90225886535119504</v>
      </c>
      <c r="D2857">
        <v>0.78669403597573795</v>
      </c>
      <c r="E2857">
        <v>0.70509160279472805</v>
      </c>
      <c r="F2857">
        <v>0.43990198202008102</v>
      </c>
      <c r="G2857">
        <v>0.22713870606522499</v>
      </c>
      <c r="H2857">
        <v>0.141418289355524</v>
      </c>
      <c r="I2857">
        <v>0.14135640859769799</v>
      </c>
      <c r="J2857">
        <v>9.2307491673184305E-2</v>
      </c>
      <c r="K2857">
        <v>7.8807381245051003E-2</v>
      </c>
      <c r="L2857">
        <v>662.29869898181096</v>
      </c>
      <c r="M2857">
        <v>12.788638648737299</v>
      </c>
      <c r="N2857">
        <v>52.118093481478802</v>
      </c>
      <c r="O2857">
        <v>50.570770041575003</v>
      </c>
      <c r="P2857">
        <v>-6.0773868687463199E-2</v>
      </c>
      <c r="Q2857">
        <v>3.8896064530487599E-2</v>
      </c>
      <c r="R2857">
        <v>0.98893800046651503</v>
      </c>
      <c r="S2857" t="s">
        <v>7153</v>
      </c>
      <c r="T2857" t="s">
        <v>8590</v>
      </c>
      <c r="U2857" t="s">
        <v>8590</v>
      </c>
      <c r="V2857" t="s">
        <v>8590</v>
      </c>
      <c r="W2857">
        <v>2</v>
      </c>
      <c r="X2857" t="s">
        <v>11447</v>
      </c>
      <c r="Y2857">
        <v>0.44391824254410089</v>
      </c>
      <c r="Z2857" t="str">
        <f>HYPERLINK("Melting_Curves/meltCurve_sp_Q9BQK8_2_LPIN3_HUMAN_.pdf", "Melting_Curves/meltCurve_sp_Q9BQK8_2_LPIN3_HUMAN_.pdf")</f>
        <v>Melting_Curves/meltCurve_sp_Q9BQK8_2_LPIN3_HUMAN_.pdf</v>
      </c>
      <c r="AA2857" t="s">
        <v>15697</v>
      </c>
      <c r="AB2857" t="s">
        <v>19941</v>
      </c>
    </row>
    <row r="2858" spans="1:28" x14ac:dyDescent="0.25">
      <c r="A2858" t="s">
        <v>2862</v>
      </c>
      <c r="B2858">
        <v>0.99876560204751996</v>
      </c>
      <c r="C2858">
        <v>1.012489166011</v>
      </c>
      <c r="D2858">
        <v>1.16934976396926</v>
      </c>
      <c r="E2858">
        <v>0.91860121906231396</v>
      </c>
      <c r="F2858">
        <v>0.56306659230031197</v>
      </c>
      <c r="G2858">
        <v>0.21535715965044799</v>
      </c>
      <c r="H2858">
        <v>0.13245236364810001</v>
      </c>
      <c r="I2858">
        <v>0.105109913561588</v>
      </c>
      <c r="J2858">
        <v>0.13240194108634801</v>
      </c>
      <c r="K2858">
        <v>8.2024977733832299E-2</v>
      </c>
      <c r="L2858">
        <v>1867.68569825346</v>
      </c>
      <c r="M2858">
        <v>35.151155332330099</v>
      </c>
      <c r="N2858">
        <v>53.529240625537497</v>
      </c>
      <c r="O2858">
        <v>52.961899644404902</v>
      </c>
      <c r="P2858">
        <v>-0.14691926089195201</v>
      </c>
      <c r="Q2858">
        <v>0.114555887634451</v>
      </c>
      <c r="R2858">
        <v>0.98196883513509103</v>
      </c>
      <c r="S2858" t="s">
        <v>7154</v>
      </c>
      <c r="T2858" t="s">
        <v>8590</v>
      </c>
      <c r="U2858" t="s">
        <v>8590</v>
      </c>
      <c r="V2858" t="s">
        <v>8590</v>
      </c>
      <c r="W2858">
        <v>3</v>
      </c>
      <c r="X2858" t="s">
        <v>11448</v>
      </c>
      <c r="Y2858">
        <v>0.50637927355991197</v>
      </c>
      <c r="Z2858" t="str">
        <f>HYPERLINK("Melting_Curves/meltCurve_sp_Q9BQP7_MGME1_HUMAN_.pdf", "Melting_Curves/meltCurve_sp_Q9BQP7_MGME1_HUMAN_.pdf")</f>
        <v>Melting_Curves/meltCurve_sp_Q9BQP7_MGME1_HUMAN_.pdf</v>
      </c>
      <c r="AA2858" t="s">
        <v>15698</v>
      </c>
      <c r="AB2858" t="s">
        <v>19942</v>
      </c>
    </row>
    <row r="2859" spans="1:28" x14ac:dyDescent="0.25">
      <c r="A2859" t="s">
        <v>2863</v>
      </c>
      <c r="B2859">
        <v>0.99876560204751996</v>
      </c>
      <c r="C2859">
        <v>1.01407235646782</v>
      </c>
      <c r="D2859">
        <v>0.89436587539216805</v>
      </c>
      <c r="E2859">
        <v>0.809878658329791</v>
      </c>
      <c r="F2859">
        <v>0.67228809010358803</v>
      </c>
      <c r="G2859">
        <v>0.43441971501712001</v>
      </c>
      <c r="H2859">
        <v>0.22558382344768499</v>
      </c>
      <c r="I2859">
        <v>0.18672495897219701</v>
      </c>
      <c r="J2859">
        <v>0.20209562014212201</v>
      </c>
      <c r="K2859">
        <v>0.18717773560440301</v>
      </c>
      <c r="L2859">
        <v>841.11269818123503</v>
      </c>
      <c r="M2859">
        <v>15.5015161268876</v>
      </c>
      <c r="N2859">
        <v>55.4157411029569</v>
      </c>
      <c r="O2859">
        <v>53.381095375137903</v>
      </c>
      <c r="P2859">
        <v>-6.2576782212807297E-2</v>
      </c>
      <c r="Q2859">
        <v>0.138117704753554</v>
      </c>
      <c r="R2859">
        <v>0.99238905377925102</v>
      </c>
      <c r="S2859" t="s">
        <v>7155</v>
      </c>
      <c r="T2859" t="s">
        <v>8590</v>
      </c>
      <c r="U2859" t="s">
        <v>8590</v>
      </c>
      <c r="V2859" t="s">
        <v>8590</v>
      </c>
      <c r="W2859">
        <v>14</v>
      </c>
      <c r="X2859" t="s">
        <v>11449</v>
      </c>
      <c r="Y2859">
        <v>0.56454303690308127</v>
      </c>
      <c r="Z2859" t="str">
        <f>HYPERLINK("Melting_Curves/meltCurve_sp_Q9BQS8_FYCO1_HUMAN_.pdf", "Melting_Curves/meltCurve_sp_Q9BQS8_FYCO1_HUMAN_.pdf")</f>
        <v>Melting_Curves/meltCurve_sp_Q9BQS8_FYCO1_HUMAN_.pdf</v>
      </c>
      <c r="AA2859" t="s">
        <v>15699</v>
      </c>
      <c r="AB2859" t="s">
        <v>19943</v>
      </c>
    </row>
    <row r="2860" spans="1:28" x14ac:dyDescent="0.25">
      <c r="A2860" t="s">
        <v>2864</v>
      </c>
      <c r="B2860">
        <v>0.99876560204751996</v>
      </c>
      <c r="C2860">
        <v>1.0143287047857701</v>
      </c>
      <c r="D2860">
        <v>0.99547908131067497</v>
      </c>
      <c r="E2860">
        <v>0.83006612499098997</v>
      </c>
      <c r="F2860">
        <v>0.68841969359731403</v>
      </c>
      <c r="G2860">
        <v>0.36740682410153203</v>
      </c>
      <c r="H2860">
        <v>0.40266395772055702</v>
      </c>
      <c r="I2860">
        <v>0.24514217395611601</v>
      </c>
      <c r="J2860">
        <v>0.348558721875461</v>
      </c>
      <c r="K2860">
        <v>0.34004467550004203</v>
      </c>
      <c r="L2860">
        <v>1299.2693655164701</v>
      </c>
      <c r="M2860">
        <v>24.574532820468399</v>
      </c>
      <c r="N2860">
        <v>55.125651261319902</v>
      </c>
      <c r="O2860">
        <v>52.5241904539822</v>
      </c>
      <c r="P2860">
        <v>-7.9886294982299599E-2</v>
      </c>
      <c r="Q2860">
        <v>0.31703238453842097</v>
      </c>
      <c r="R2860">
        <v>0.98074924803297303</v>
      </c>
      <c r="S2860" t="s">
        <v>7156</v>
      </c>
      <c r="T2860" t="s">
        <v>8590</v>
      </c>
      <c r="U2860" t="s">
        <v>8590</v>
      </c>
      <c r="V2860" t="s">
        <v>8590</v>
      </c>
      <c r="W2860">
        <v>3</v>
      </c>
      <c r="X2860" t="s">
        <v>11450</v>
      </c>
      <c r="Y2860">
        <v>0.61652652447855205</v>
      </c>
      <c r="Z2860" t="str">
        <f>HYPERLINK("Melting_Curves/meltCurve_sp_Q9BR61_ACBD6_HUMAN_.pdf", "Melting_Curves/meltCurve_sp_Q9BR61_ACBD6_HUMAN_.pdf")</f>
        <v>Melting_Curves/meltCurve_sp_Q9BR61_ACBD6_HUMAN_.pdf</v>
      </c>
      <c r="AA2860" t="s">
        <v>15700</v>
      </c>
      <c r="AB2860" t="s">
        <v>19944</v>
      </c>
    </row>
    <row r="2861" spans="1:28" x14ac:dyDescent="0.25">
      <c r="A2861" t="s">
        <v>2865</v>
      </c>
      <c r="B2861">
        <v>0.99876560204751996</v>
      </c>
      <c r="C2861">
        <v>0.98149718289520405</v>
      </c>
      <c r="D2861">
        <v>0.99434754807873205</v>
      </c>
      <c r="E2861">
        <v>0.91681268250909298</v>
      </c>
      <c r="F2861">
        <v>0.489154979415026</v>
      </c>
      <c r="G2861">
        <v>0.14230675192308301</v>
      </c>
      <c r="H2861">
        <v>0.100089884784171</v>
      </c>
      <c r="I2861">
        <v>7.8087116661385902E-2</v>
      </c>
      <c r="J2861">
        <v>8.1717322997851102E-2</v>
      </c>
      <c r="K2861">
        <v>7.37069456612022E-2</v>
      </c>
      <c r="L2861">
        <v>2111.7632489473499</v>
      </c>
      <c r="M2861">
        <v>40.051325634870601</v>
      </c>
      <c r="N2861">
        <v>52.972524318905997</v>
      </c>
      <c r="O2861">
        <v>52.595492862035101</v>
      </c>
      <c r="P2861">
        <v>-0.17421341924714101</v>
      </c>
      <c r="Q2861">
        <v>8.4892064783298998E-2</v>
      </c>
      <c r="R2861">
        <v>0.99942016298689096</v>
      </c>
      <c r="S2861" t="s">
        <v>7157</v>
      </c>
      <c r="T2861" t="s">
        <v>8590</v>
      </c>
      <c r="U2861" t="s">
        <v>8590</v>
      </c>
      <c r="V2861" t="s">
        <v>8590</v>
      </c>
      <c r="W2861">
        <v>17</v>
      </c>
      <c r="X2861" t="s">
        <v>11451</v>
      </c>
      <c r="Y2861">
        <v>0.4764175706965747</v>
      </c>
      <c r="Z2861" t="str">
        <f>HYPERLINK("Melting_Curves/meltCurve_sp_Q9BR76_COR1B_HUMAN_.pdf", "Melting_Curves/meltCurve_sp_Q9BR76_COR1B_HUMAN_.pdf")</f>
        <v>Melting_Curves/meltCurve_sp_Q9BR76_COR1B_HUMAN_.pdf</v>
      </c>
      <c r="AA2861" t="s">
        <v>15701</v>
      </c>
      <c r="AB2861" t="s">
        <v>19945</v>
      </c>
    </row>
    <row r="2862" spans="1:28" x14ac:dyDescent="0.25">
      <c r="A2862" t="s">
        <v>2866</v>
      </c>
      <c r="B2862">
        <v>0.99876560204751996</v>
      </c>
      <c r="C2862">
        <v>0.86172781292871703</v>
      </c>
      <c r="D2862">
        <v>0.95586608772175896</v>
      </c>
      <c r="E2862">
        <v>0.76875115480497402</v>
      </c>
      <c r="F2862">
        <v>0.74373840049542095</v>
      </c>
      <c r="G2862">
        <v>0.70604596137943298</v>
      </c>
      <c r="H2862">
        <v>0.58041642565019302</v>
      </c>
      <c r="I2862">
        <v>0.68656910201446997</v>
      </c>
      <c r="J2862">
        <v>0.70757082958380102</v>
      </c>
      <c r="K2862">
        <v>0.54090592628802903</v>
      </c>
      <c r="L2862">
        <v>499.83188679352997</v>
      </c>
      <c r="M2862">
        <v>9.96052443251107</v>
      </c>
      <c r="O2862">
        <v>48.2843188473244</v>
      </c>
      <c r="P2862">
        <v>-2.0990475592456499E-2</v>
      </c>
      <c r="Q2862">
        <v>0.59318986148144104</v>
      </c>
      <c r="R2862">
        <v>0.82997477817111698</v>
      </c>
      <c r="S2862" t="s">
        <v>7158</v>
      </c>
      <c r="T2862" t="s">
        <v>8590</v>
      </c>
      <c r="U2862" t="s">
        <v>8590</v>
      </c>
      <c r="V2862" t="s">
        <v>8590</v>
      </c>
      <c r="W2862">
        <v>5</v>
      </c>
      <c r="X2862" t="s">
        <v>11452</v>
      </c>
      <c r="Y2862">
        <v>0.74946938933580654</v>
      </c>
      <c r="Z2862" t="str">
        <f>HYPERLINK("Melting_Curves/meltCurve_sp_Q9BRA2_TXD17_HUMAN_.pdf", "Melting_Curves/meltCurve_sp_Q9BRA2_TXD17_HUMAN_.pdf")</f>
        <v>Melting_Curves/meltCurve_sp_Q9BRA2_TXD17_HUMAN_.pdf</v>
      </c>
      <c r="AA2862" t="s">
        <v>15702</v>
      </c>
      <c r="AB2862" t="s">
        <v>19946</v>
      </c>
    </row>
    <row r="2863" spans="1:28" x14ac:dyDescent="0.25">
      <c r="A2863" t="s">
        <v>2867</v>
      </c>
      <c r="B2863">
        <v>0.99876560204751996</v>
      </c>
      <c r="C2863">
        <v>0.90962467991462603</v>
      </c>
      <c r="D2863">
        <v>1.07700563862975</v>
      </c>
      <c r="E2863">
        <v>0.72971332587400695</v>
      </c>
      <c r="F2863">
        <v>0.673029060448877</v>
      </c>
      <c r="G2863">
        <v>0.68948426078211</v>
      </c>
      <c r="H2863">
        <v>0.42887084655753999</v>
      </c>
      <c r="I2863">
        <v>0.55498832917437002</v>
      </c>
      <c r="J2863">
        <v>0.46259362518972802</v>
      </c>
      <c r="K2863">
        <v>0.37460086573889201</v>
      </c>
      <c r="L2863">
        <v>621.67466787956198</v>
      </c>
      <c r="M2863">
        <v>11.582815479065999</v>
      </c>
      <c r="N2863">
        <v>61.794244468146999</v>
      </c>
      <c r="O2863">
        <v>52.147158401988399</v>
      </c>
      <c r="P2863">
        <v>-3.3831896213788903E-2</v>
      </c>
      <c r="Q2863">
        <v>0.39090813489759602</v>
      </c>
      <c r="R2863">
        <v>0.88216350386336995</v>
      </c>
      <c r="S2863" t="s">
        <v>7159</v>
      </c>
      <c r="T2863" t="s">
        <v>8590</v>
      </c>
      <c r="U2863" t="s">
        <v>8590</v>
      </c>
      <c r="V2863" t="s">
        <v>8590</v>
      </c>
      <c r="W2863">
        <v>10</v>
      </c>
      <c r="X2863" t="s">
        <v>11453</v>
      </c>
      <c r="Y2863">
        <v>0.68546162313674286</v>
      </c>
      <c r="Z2863" t="str">
        <f>HYPERLINK("Melting_Curves/meltCurve_sp_Q9BRF8_CPPED_HUMAN_.pdf", "Melting_Curves/meltCurve_sp_Q9BRF8_CPPED_HUMAN_.pdf")</f>
        <v>Melting_Curves/meltCurve_sp_Q9BRF8_CPPED_HUMAN_.pdf</v>
      </c>
      <c r="AA2863" t="s">
        <v>15703</v>
      </c>
      <c r="AB2863" t="s">
        <v>19947</v>
      </c>
    </row>
    <row r="2864" spans="1:28" x14ac:dyDescent="0.25">
      <c r="A2864" t="s">
        <v>2868</v>
      </c>
      <c r="B2864">
        <v>0.99876560204751996</v>
      </c>
      <c r="C2864">
        <v>0.967466268314082</v>
      </c>
      <c r="D2864">
        <v>0.98897249470807003</v>
      </c>
      <c r="E2864">
        <v>0.87747704186266895</v>
      </c>
      <c r="F2864">
        <v>0.55614974047499399</v>
      </c>
      <c r="G2864">
        <v>0.19778440891263199</v>
      </c>
      <c r="H2864">
        <v>7.7364053168047203E-2</v>
      </c>
      <c r="I2864">
        <v>5.8437418170945901E-2</v>
      </c>
      <c r="J2864">
        <v>5.6171276443999003E-2</v>
      </c>
      <c r="K2864">
        <v>4.9114659942712302E-2</v>
      </c>
      <c r="L2864">
        <v>1459.9552960851599</v>
      </c>
      <c r="M2864">
        <v>27.379269062960098</v>
      </c>
      <c r="N2864">
        <v>53.531459820280098</v>
      </c>
      <c r="O2864">
        <v>53.041355636314599</v>
      </c>
      <c r="P2864">
        <v>-0.122533969085002</v>
      </c>
      <c r="Q2864">
        <v>5.0477657861201702E-2</v>
      </c>
      <c r="R2864">
        <v>0.99927002777057305</v>
      </c>
      <c r="S2864" t="s">
        <v>7160</v>
      </c>
      <c r="T2864" t="s">
        <v>8590</v>
      </c>
      <c r="U2864" t="s">
        <v>8590</v>
      </c>
      <c r="V2864" t="s">
        <v>8590</v>
      </c>
      <c r="W2864">
        <v>8</v>
      </c>
      <c r="X2864" t="s">
        <v>11454</v>
      </c>
      <c r="Y2864">
        <v>0.47955224338771563</v>
      </c>
      <c r="Z2864" t="str">
        <f>HYPERLINK("Melting_Curves/meltCurve_sp_Q9BRG1_VPS25_HUMAN_.pdf", "Melting_Curves/meltCurve_sp_Q9BRG1_VPS25_HUMAN_.pdf")</f>
        <v>Melting_Curves/meltCurve_sp_Q9BRG1_VPS25_HUMAN_.pdf</v>
      </c>
      <c r="AA2864" t="s">
        <v>15704</v>
      </c>
      <c r="AB2864" t="s">
        <v>19948</v>
      </c>
    </row>
    <row r="2865" spans="1:28" x14ac:dyDescent="0.25">
      <c r="A2865" t="s">
        <v>2869</v>
      </c>
      <c r="B2865">
        <v>0.99876560204751996</v>
      </c>
      <c r="C2865">
        <v>0.95956341548858004</v>
      </c>
      <c r="D2865">
        <v>0.91242630340425301</v>
      </c>
      <c r="E2865">
        <v>0.86717474114679705</v>
      </c>
      <c r="F2865">
        <v>0.80706802065588701</v>
      </c>
      <c r="G2865">
        <v>0.61913029477951698</v>
      </c>
      <c r="H2865">
        <v>0.51274233414250403</v>
      </c>
      <c r="I2865">
        <v>0.46929204254033902</v>
      </c>
      <c r="J2865">
        <v>0.58361171536498502</v>
      </c>
      <c r="K2865">
        <v>0.58072094730621904</v>
      </c>
      <c r="L2865">
        <v>940.58583551878201</v>
      </c>
      <c r="M2865">
        <v>17.761385573191401</v>
      </c>
      <c r="O2865">
        <v>52.299150256916903</v>
      </c>
      <c r="P2865">
        <v>-4.06870444918545E-2</v>
      </c>
      <c r="Q2865">
        <v>0.52080590862089404</v>
      </c>
      <c r="R2865">
        <v>0.94304172579985401</v>
      </c>
      <c r="S2865" t="s">
        <v>7161</v>
      </c>
      <c r="T2865" t="s">
        <v>8590</v>
      </c>
      <c r="U2865" t="s">
        <v>8590</v>
      </c>
      <c r="V2865" t="s">
        <v>8590</v>
      </c>
      <c r="W2865">
        <v>5</v>
      </c>
      <c r="X2865" t="s">
        <v>11455</v>
      </c>
      <c r="Y2865">
        <v>0.73578841125758265</v>
      </c>
      <c r="Z2865" t="str">
        <f>HYPERLINK("Melting_Curves/meltCurve_sp_Q9BRK5_CAB45_HUMAN_.pdf", "Melting_Curves/meltCurve_sp_Q9BRK5_CAB45_HUMAN_.pdf")</f>
        <v>Melting_Curves/meltCurve_sp_Q9BRK5_CAB45_HUMAN_.pdf</v>
      </c>
      <c r="AA2865" t="s">
        <v>15705</v>
      </c>
      <c r="AB2865" t="s">
        <v>19949</v>
      </c>
    </row>
    <row r="2866" spans="1:28" x14ac:dyDescent="0.25">
      <c r="A2866" t="s">
        <v>2870</v>
      </c>
      <c r="B2866">
        <v>0.99876560204751996</v>
      </c>
      <c r="C2866">
        <v>1.00648762560048</v>
      </c>
      <c r="D2866">
        <v>0.96089711937821698</v>
      </c>
      <c r="E2866">
        <v>0.87487886382272595</v>
      </c>
      <c r="F2866">
        <v>0.72020411244501303</v>
      </c>
      <c r="G2866">
        <v>0.48014874119165002</v>
      </c>
      <c r="H2866">
        <v>0.185259585420742</v>
      </c>
      <c r="I2866">
        <v>9.4260986392115304E-2</v>
      </c>
      <c r="J2866">
        <v>6.7945477194527995E-2</v>
      </c>
      <c r="K2866">
        <v>6.4080683191083398E-2</v>
      </c>
      <c r="L2866">
        <v>937.48400166209296</v>
      </c>
      <c r="M2866">
        <v>16.693799954651698</v>
      </c>
      <c r="N2866">
        <v>56.1835770904149</v>
      </c>
      <c r="O2866">
        <v>55.370320212166099</v>
      </c>
      <c r="P2866">
        <v>-7.5088778241506393E-2</v>
      </c>
      <c r="Q2866">
        <v>3.8421170615683402E-3</v>
      </c>
      <c r="R2866">
        <v>0.99729837620216999</v>
      </c>
      <c r="S2866" t="s">
        <v>7162</v>
      </c>
      <c r="T2866" t="s">
        <v>8590</v>
      </c>
      <c r="U2866" t="s">
        <v>8590</v>
      </c>
      <c r="V2866" t="s">
        <v>8590</v>
      </c>
      <c r="W2866">
        <v>4</v>
      </c>
      <c r="X2866" t="s">
        <v>11456</v>
      </c>
      <c r="Y2866">
        <v>0.55613706751001613</v>
      </c>
      <c r="Z2866" t="str">
        <f>HYPERLINK("Melting_Curves/meltCurve_sp_Q9BRP4_PAAF1_HUMAN_.pdf", "Melting_Curves/meltCurve_sp_Q9BRP4_PAAF1_HUMAN_.pdf")</f>
        <v>Melting_Curves/meltCurve_sp_Q9BRP4_PAAF1_HUMAN_.pdf</v>
      </c>
      <c r="AA2866" t="s">
        <v>15706</v>
      </c>
      <c r="AB2866" t="s">
        <v>19950</v>
      </c>
    </row>
    <row r="2867" spans="1:28" x14ac:dyDescent="0.25">
      <c r="A2867" t="s">
        <v>2871</v>
      </c>
      <c r="B2867">
        <v>0.99876560204751996</v>
      </c>
      <c r="C2867">
        <v>0.92210833468003395</v>
      </c>
      <c r="D2867">
        <v>1.02003584533036</v>
      </c>
      <c r="E2867">
        <v>0.86263283564897597</v>
      </c>
      <c r="F2867">
        <v>0.99516931480793203</v>
      </c>
      <c r="G2867">
        <v>0.77633914833453099</v>
      </c>
      <c r="H2867">
        <v>0.73771156491265599</v>
      </c>
      <c r="I2867">
        <v>0.75068616163638902</v>
      </c>
      <c r="J2867">
        <v>0.96981402886072998</v>
      </c>
      <c r="K2867">
        <v>0.91672646852512696</v>
      </c>
      <c r="L2867">
        <v>1040.2402171066101</v>
      </c>
      <c r="M2867">
        <v>20.6455673832487</v>
      </c>
      <c r="O2867">
        <v>49.9200701538578</v>
      </c>
      <c r="P2867">
        <v>-1.6618100307966101E-2</v>
      </c>
      <c r="Q2867">
        <v>0.83927728293845205</v>
      </c>
      <c r="R2867">
        <v>0.30920497049314899</v>
      </c>
      <c r="S2867" t="s">
        <v>7163</v>
      </c>
      <c r="T2867" t="s">
        <v>8590</v>
      </c>
      <c r="U2867" t="s">
        <v>8590</v>
      </c>
      <c r="V2867" t="s">
        <v>8590</v>
      </c>
      <c r="W2867">
        <v>9</v>
      </c>
      <c r="X2867" t="s">
        <v>11457</v>
      </c>
      <c r="Y2867">
        <v>0.89701947029943041</v>
      </c>
      <c r="Z2867" t="str">
        <f>HYPERLINK("Melting_Curves/meltCurve_sp_Q9BRP8_2_WIBG_HUMAN_.pdf", "Melting_Curves/meltCurve_sp_Q9BRP8_2_WIBG_HUMAN_.pdf")</f>
        <v>Melting_Curves/meltCurve_sp_Q9BRP8_2_WIBG_HUMAN_.pdf</v>
      </c>
      <c r="AA2867" t="s">
        <v>15707</v>
      </c>
      <c r="AB2867" t="s">
        <v>19951</v>
      </c>
    </row>
    <row r="2868" spans="1:28" x14ac:dyDescent="0.25">
      <c r="A2868" t="s">
        <v>2872</v>
      </c>
      <c r="B2868">
        <v>0.99876560204751996</v>
      </c>
      <c r="C2868">
        <v>0.99160712325445999</v>
      </c>
      <c r="D2868">
        <v>0.97846594204798898</v>
      </c>
      <c r="E2868">
        <v>0.88600041296729903</v>
      </c>
      <c r="F2868">
        <v>0.900533796120353</v>
      </c>
      <c r="G2868">
        <v>0.630611826658937</v>
      </c>
      <c r="H2868">
        <v>0.58855522098014001</v>
      </c>
      <c r="I2868">
        <v>0.57567281171801199</v>
      </c>
      <c r="J2868">
        <v>0.67960293231984004</v>
      </c>
      <c r="K2868">
        <v>0.66764114239690198</v>
      </c>
      <c r="L2868">
        <v>1988.5054222102999</v>
      </c>
      <c r="M2868">
        <v>36.957813269999399</v>
      </c>
      <c r="O2868">
        <v>53.647933298185698</v>
      </c>
      <c r="P2868">
        <v>-6.5226116282587496E-2</v>
      </c>
      <c r="Q2868">
        <v>0.62127235105659495</v>
      </c>
      <c r="R2868">
        <v>0.92610517615953902</v>
      </c>
      <c r="S2868" t="s">
        <v>7164</v>
      </c>
      <c r="T2868" t="s">
        <v>8590</v>
      </c>
      <c r="U2868" t="s">
        <v>8590</v>
      </c>
      <c r="V2868" t="s">
        <v>8590</v>
      </c>
      <c r="W2868">
        <v>3</v>
      </c>
      <c r="X2868" t="s">
        <v>11458</v>
      </c>
      <c r="Y2868">
        <v>0.79719338493014891</v>
      </c>
      <c r="Z2868" t="str">
        <f>HYPERLINK("Melting_Curves/meltCurve_sp_Q9BRT3_MIEN1_HUMAN_.pdf", "Melting_Curves/meltCurve_sp_Q9BRT3_MIEN1_HUMAN_.pdf")</f>
        <v>Melting_Curves/meltCurve_sp_Q9BRT3_MIEN1_HUMAN_.pdf</v>
      </c>
      <c r="AA2868" t="s">
        <v>15708</v>
      </c>
      <c r="AB2868" t="s">
        <v>19952</v>
      </c>
    </row>
    <row r="2869" spans="1:28" x14ac:dyDescent="0.25">
      <c r="A2869" t="s">
        <v>2873</v>
      </c>
      <c r="B2869">
        <v>0.99876560204751996</v>
      </c>
      <c r="C2869">
        <v>0.85181526396127505</v>
      </c>
      <c r="D2869">
        <v>0.859286300405952</v>
      </c>
      <c r="E2869">
        <v>0.74505354338950902</v>
      </c>
      <c r="F2869">
        <v>0.58589915668770298</v>
      </c>
      <c r="G2869">
        <v>0.43419356531769798</v>
      </c>
      <c r="H2869">
        <v>0.43487266013953002</v>
      </c>
      <c r="I2869">
        <v>0.427855540593507</v>
      </c>
      <c r="J2869">
        <v>0.53115337340250202</v>
      </c>
      <c r="K2869">
        <v>0.49802981664500501</v>
      </c>
      <c r="L2869">
        <v>720.89131901826397</v>
      </c>
      <c r="M2869">
        <v>14.7008872332439</v>
      </c>
      <c r="N2869">
        <v>57.929651218194998</v>
      </c>
      <c r="O2869">
        <v>48.1566955804823</v>
      </c>
      <c r="P2869">
        <v>-4.2158943809070697E-2</v>
      </c>
      <c r="Q2869">
        <v>0.44764871399051498</v>
      </c>
      <c r="R2869">
        <v>0.92946274613880198</v>
      </c>
      <c r="S2869" t="s">
        <v>7165</v>
      </c>
      <c r="T2869" t="s">
        <v>8590</v>
      </c>
      <c r="U2869" t="s">
        <v>8590</v>
      </c>
      <c r="V2869" t="s">
        <v>8590</v>
      </c>
      <c r="W2869">
        <v>2</v>
      </c>
      <c r="X2869" t="s">
        <v>11459</v>
      </c>
      <c r="Y2869">
        <v>0.62817596427322497</v>
      </c>
      <c r="Z2869" t="str">
        <f>HYPERLINK("Melting_Curves/meltCurve_sp_Q9BRX2_PELO_HUMAN_.pdf", "Melting_Curves/meltCurve_sp_Q9BRX2_PELO_HUMAN_.pdf")</f>
        <v>Melting_Curves/meltCurve_sp_Q9BRX2_PELO_HUMAN_.pdf</v>
      </c>
      <c r="AA2869" t="s">
        <v>15709</v>
      </c>
      <c r="AB2869" t="s">
        <v>19953</v>
      </c>
    </row>
    <row r="2870" spans="1:28" x14ac:dyDescent="0.25">
      <c r="A2870" t="s">
        <v>2874</v>
      </c>
      <c r="B2870">
        <v>0.99876560204751996</v>
      </c>
      <c r="C2870">
        <v>0.980547434243635</v>
      </c>
      <c r="D2870">
        <v>0.97633142456788202</v>
      </c>
      <c r="E2870">
        <v>0.84378007819515299</v>
      </c>
      <c r="F2870">
        <v>0.637862318886534</v>
      </c>
      <c r="G2870">
        <v>0.34780598061467899</v>
      </c>
      <c r="H2870">
        <v>0.239760016446143</v>
      </c>
      <c r="I2870">
        <v>0.21670151060012499</v>
      </c>
      <c r="J2870">
        <v>0.27118578716512998</v>
      </c>
      <c r="K2870">
        <v>0.25981924325331202</v>
      </c>
      <c r="L2870">
        <v>1310.6136157071801</v>
      </c>
      <c r="M2870">
        <v>24.7151130973023</v>
      </c>
      <c r="N2870">
        <v>54.436041866189299</v>
      </c>
      <c r="O2870">
        <v>52.685322793315599</v>
      </c>
      <c r="P2870">
        <v>-8.9593382230725299E-2</v>
      </c>
      <c r="Q2870">
        <v>0.236064215887792</v>
      </c>
      <c r="R2870">
        <v>0.99632944736740703</v>
      </c>
      <c r="S2870" t="s">
        <v>7166</v>
      </c>
      <c r="T2870" t="s">
        <v>8590</v>
      </c>
      <c r="U2870" t="s">
        <v>8590</v>
      </c>
      <c r="V2870" t="s">
        <v>8590</v>
      </c>
      <c r="W2870">
        <v>12</v>
      </c>
      <c r="X2870" t="s">
        <v>11460</v>
      </c>
      <c r="Y2870">
        <v>0.57502502349862528</v>
      </c>
      <c r="Z2870" t="str">
        <f>HYPERLINK("Melting_Curves/meltCurve_sp_Q9BRZ2_TRI56_HUMAN_.pdf", "Melting_Curves/meltCurve_sp_Q9BRZ2_TRI56_HUMAN_.pdf")</f>
        <v>Melting_Curves/meltCurve_sp_Q9BRZ2_TRI56_HUMAN_.pdf</v>
      </c>
      <c r="AA2870" t="s">
        <v>15710</v>
      </c>
      <c r="AB2870" t="s">
        <v>19954</v>
      </c>
    </row>
    <row r="2871" spans="1:28" x14ac:dyDescent="0.25">
      <c r="A2871" t="s">
        <v>2875</v>
      </c>
      <c r="B2871">
        <v>0.99876560204751996</v>
      </c>
      <c r="C2871">
        <v>0.92771294557898498</v>
      </c>
      <c r="D2871">
        <v>0.92633210548587097</v>
      </c>
      <c r="E2871">
        <v>0.85487585143803102</v>
      </c>
      <c r="F2871">
        <v>0.68780565271511196</v>
      </c>
      <c r="G2871">
        <v>0.22275368257681699</v>
      </c>
      <c r="H2871">
        <v>9.9211120258169694E-2</v>
      </c>
      <c r="I2871">
        <v>6.7831634024694804E-2</v>
      </c>
      <c r="J2871">
        <v>4.5623154605067599E-2</v>
      </c>
      <c r="K2871">
        <v>3.3533452126880199E-2</v>
      </c>
      <c r="L2871">
        <v>1311.7900489788001</v>
      </c>
      <c r="M2871">
        <v>24.206902169204501</v>
      </c>
      <c r="N2871">
        <v>54.344284017065497</v>
      </c>
      <c r="O2871">
        <v>53.824979612318501</v>
      </c>
      <c r="P2871">
        <v>-0.108718825542475</v>
      </c>
      <c r="Q2871">
        <v>3.30527879420408E-2</v>
      </c>
      <c r="R2871">
        <v>0.99195090279585996</v>
      </c>
      <c r="S2871" t="s">
        <v>7167</v>
      </c>
      <c r="T2871" t="s">
        <v>8590</v>
      </c>
      <c r="U2871" t="s">
        <v>8590</v>
      </c>
      <c r="V2871" t="s">
        <v>8590</v>
      </c>
      <c r="W2871">
        <v>14</v>
      </c>
      <c r="X2871" t="s">
        <v>11461</v>
      </c>
      <c r="Y2871">
        <v>0.4999280917874705</v>
      </c>
      <c r="Z2871" t="str">
        <f>HYPERLINK("Melting_Curves/meltCurve_sp_Q9BS26_ERP44_HUMAN_.pdf", "Melting_Curves/meltCurve_sp_Q9BS26_ERP44_HUMAN_.pdf")</f>
        <v>Melting_Curves/meltCurve_sp_Q9BS26_ERP44_HUMAN_.pdf</v>
      </c>
      <c r="AA2871" t="s">
        <v>15711</v>
      </c>
      <c r="AB2871" t="s">
        <v>19955</v>
      </c>
    </row>
    <row r="2872" spans="1:28" x14ac:dyDescent="0.25">
      <c r="A2872" t="s">
        <v>2876</v>
      </c>
      <c r="B2872">
        <v>0.99876560204751996</v>
      </c>
      <c r="C2872">
        <v>0.91517324640100906</v>
      </c>
      <c r="D2872">
        <v>0.78480959364533998</v>
      </c>
      <c r="E2872">
        <v>0.53571627849245496</v>
      </c>
      <c r="F2872">
        <v>0.31897440175332398</v>
      </c>
      <c r="G2872">
        <v>0.23977652730732099</v>
      </c>
      <c r="H2872">
        <v>0.15030433507930599</v>
      </c>
      <c r="I2872">
        <v>0.152961768456542</v>
      </c>
      <c r="J2872">
        <v>0.12634878406667299</v>
      </c>
      <c r="K2872">
        <v>5.4752092769877102E-2</v>
      </c>
      <c r="L2872">
        <v>725.03078089245105</v>
      </c>
      <c r="M2872">
        <v>14.589042176894001</v>
      </c>
      <c r="N2872">
        <v>50.392721738989302</v>
      </c>
      <c r="O2872">
        <v>48.791203990356003</v>
      </c>
      <c r="P2872">
        <v>-6.7941096432130199E-2</v>
      </c>
      <c r="Q2872">
        <v>9.1220809505820399E-2</v>
      </c>
      <c r="R2872">
        <v>0.99469446468887701</v>
      </c>
      <c r="S2872" t="s">
        <v>7168</v>
      </c>
      <c r="T2872" t="s">
        <v>8590</v>
      </c>
      <c r="U2872" t="s">
        <v>8590</v>
      </c>
      <c r="V2872" t="s">
        <v>8590</v>
      </c>
      <c r="W2872">
        <v>5</v>
      </c>
      <c r="X2872" t="s">
        <v>11462</v>
      </c>
      <c r="Y2872">
        <v>0.4079723931547965</v>
      </c>
      <c r="Z2872" t="str">
        <f>HYPERLINK("Melting_Curves/meltCurve_sp_Q9BSE5_SPEB_HUMAN_.pdf", "Melting_Curves/meltCurve_sp_Q9BSE5_SPEB_HUMAN_.pdf")</f>
        <v>Melting_Curves/meltCurve_sp_Q9BSE5_SPEB_HUMAN_.pdf</v>
      </c>
      <c r="AA2872" t="s">
        <v>15712</v>
      </c>
      <c r="AB2872" t="s">
        <v>19956</v>
      </c>
    </row>
    <row r="2873" spans="1:28" x14ac:dyDescent="0.25">
      <c r="A2873" t="s">
        <v>2877</v>
      </c>
      <c r="B2873">
        <v>0.99876560204751996</v>
      </c>
      <c r="C2873">
        <v>1.0731164995759099</v>
      </c>
      <c r="D2873">
        <v>1.2771821957874601</v>
      </c>
      <c r="E2873">
        <v>1.0045819956580799</v>
      </c>
      <c r="F2873">
        <v>0.55239168688923801</v>
      </c>
      <c r="G2873">
        <v>0.21169517100521201</v>
      </c>
      <c r="H2873">
        <v>0.123408728023214</v>
      </c>
      <c r="I2873">
        <v>0.10158121419365</v>
      </c>
      <c r="J2873">
        <v>9.4480828420337698E-2</v>
      </c>
      <c r="K2873">
        <v>0.10060961776744801</v>
      </c>
      <c r="L2873">
        <v>2664.89736080486</v>
      </c>
      <c r="M2873">
        <v>50.242705797590403</v>
      </c>
      <c r="N2873">
        <v>53.329945682286102</v>
      </c>
      <c r="O2873">
        <v>52.956656937414003</v>
      </c>
      <c r="P2873">
        <v>-0.20888142428996201</v>
      </c>
      <c r="Q2873">
        <v>0.119342595656708</v>
      </c>
      <c r="R2873">
        <v>0.95735274011652005</v>
      </c>
      <c r="S2873" t="s">
        <v>7169</v>
      </c>
      <c r="T2873" t="s">
        <v>8590</v>
      </c>
      <c r="U2873" t="s">
        <v>8590</v>
      </c>
      <c r="V2873" t="s">
        <v>8590</v>
      </c>
      <c r="W2873">
        <v>12</v>
      </c>
      <c r="X2873" t="s">
        <v>11463</v>
      </c>
      <c r="Y2873">
        <v>0.50418933776513319</v>
      </c>
      <c r="Z2873" t="str">
        <f>HYPERLINK("Melting_Curves/meltCurve_sp_Q9BSH4_TACO1_HUMAN_.pdf", "Melting_Curves/meltCurve_sp_Q9BSH4_TACO1_HUMAN_.pdf")</f>
        <v>Melting_Curves/meltCurve_sp_Q9BSH4_TACO1_HUMAN_.pdf</v>
      </c>
      <c r="AA2873" t="s">
        <v>15713</v>
      </c>
      <c r="AB2873" t="s">
        <v>19957</v>
      </c>
    </row>
    <row r="2874" spans="1:28" x14ac:dyDescent="0.25">
      <c r="A2874" t="s">
        <v>2878</v>
      </c>
      <c r="B2874">
        <v>0.99876560204751996</v>
      </c>
      <c r="C2874">
        <v>0.92646446161573703</v>
      </c>
      <c r="D2874">
        <v>0.95846095846611501</v>
      </c>
      <c r="E2874">
        <v>0.90266665662754597</v>
      </c>
      <c r="F2874">
        <v>0.75239374993357699</v>
      </c>
      <c r="G2874">
        <v>0.61057648038836998</v>
      </c>
      <c r="H2874">
        <v>0.348760568648393</v>
      </c>
      <c r="I2874">
        <v>0.186275908025058</v>
      </c>
      <c r="J2874">
        <v>0.12671720357635899</v>
      </c>
      <c r="K2874">
        <v>0.102687654402088</v>
      </c>
      <c r="L2874">
        <v>787.79259367844804</v>
      </c>
      <c r="M2874">
        <v>13.565846988284999</v>
      </c>
      <c r="N2874">
        <v>58.071758819048803</v>
      </c>
      <c r="O2874">
        <v>56.853447532482299</v>
      </c>
      <c r="P2874">
        <v>-5.9661628443155201E-2</v>
      </c>
      <c r="Q2874">
        <v>0</v>
      </c>
      <c r="R2874">
        <v>0.992225957600396</v>
      </c>
      <c r="S2874" t="s">
        <v>7170</v>
      </c>
      <c r="T2874" t="s">
        <v>8590</v>
      </c>
      <c r="U2874" t="s">
        <v>8590</v>
      </c>
      <c r="V2874" t="s">
        <v>8590</v>
      </c>
      <c r="W2874">
        <v>15</v>
      </c>
      <c r="X2874" t="s">
        <v>11464</v>
      </c>
      <c r="Y2874">
        <v>0.6155779603162308</v>
      </c>
      <c r="Z2874" t="str">
        <f>HYPERLINK("Melting_Curves/meltCurve_sp_Q9BSH5_HDHD3_HUMAN_.pdf", "Melting_Curves/meltCurve_sp_Q9BSH5_HDHD3_HUMAN_.pdf")</f>
        <v>Melting_Curves/meltCurve_sp_Q9BSH5_HDHD3_HUMAN_.pdf</v>
      </c>
      <c r="AA2874" t="s">
        <v>15714</v>
      </c>
      <c r="AB2874" t="s">
        <v>19958</v>
      </c>
    </row>
    <row r="2875" spans="1:28" x14ac:dyDescent="0.25">
      <c r="A2875" t="s">
        <v>2879</v>
      </c>
      <c r="B2875">
        <v>0.99876560204751996</v>
      </c>
      <c r="C2875">
        <v>0.85800987442746801</v>
      </c>
      <c r="D2875">
        <v>1.0616412801802</v>
      </c>
      <c r="E2875">
        <v>0.61982902302519505</v>
      </c>
      <c r="F2875">
        <v>0.127536418807981</v>
      </c>
      <c r="G2875">
        <v>6.17923388183335E-2</v>
      </c>
      <c r="H2875">
        <v>2.9598008310588099E-2</v>
      </c>
      <c r="I2875">
        <v>2.2848741791303102E-2</v>
      </c>
      <c r="J2875">
        <v>2.29360868154047E-2</v>
      </c>
      <c r="K2875">
        <v>1.47980861070343E-2</v>
      </c>
      <c r="L2875">
        <v>2432.8852696611202</v>
      </c>
      <c r="M2875">
        <v>48.194547759297897</v>
      </c>
      <c r="N2875">
        <v>50.546829158500103</v>
      </c>
      <c r="O2875">
        <v>50.393823395524102</v>
      </c>
      <c r="P2875">
        <v>-0.23176447797097999</v>
      </c>
      <c r="Q2875">
        <v>3.0638342857772199E-2</v>
      </c>
      <c r="R2875">
        <v>0.98547879491619295</v>
      </c>
      <c r="S2875" t="s">
        <v>7171</v>
      </c>
      <c r="T2875" t="s">
        <v>8590</v>
      </c>
      <c r="U2875" t="s">
        <v>8590</v>
      </c>
      <c r="V2875" t="s">
        <v>8590</v>
      </c>
      <c r="W2875">
        <v>2</v>
      </c>
      <c r="X2875" t="s">
        <v>11465</v>
      </c>
      <c r="Y2875">
        <v>0.37160932057236062</v>
      </c>
      <c r="Z2875" t="str">
        <f>HYPERLINK("Melting_Curves/meltCurve_sp_Q9BSJ5_3_CQ080_HUMAN_.pdf", "Melting_Curves/meltCurve_sp_Q9BSJ5_3_CQ080_HUMAN_.pdf")</f>
        <v>Melting_Curves/meltCurve_sp_Q9BSJ5_3_CQ080_HUMAN_.pdf</v>
      </c>
      <c r="AA2875" t="s">
        <v>15715</v>
      </c>
      <c r="AB2875" t="s">
        <v>19959</v>
      </c>
    </row>
    <row r="2876" spans="1:28" x14ac:dyDescent="0.25">
      <c r="A2876" t="s">
        <v>2880</v>
      </c>
      <c r="B2876">
        <v>0.99876560204751996</v>
      </c>
      <c r="C2876">
        <v>0.95086207498060304</v>
      </c>
      <c r="D2876">
        <v>0.93945602171293696</v>
      </c>
      <c r="E2876">
        <v>0.68997368497561895</v>
      </c>
      <c r="F2876">
        <v>0.517254797554213</v>
      </c>
      <c r="G2876">
        <v>0.23064052347018099</v>
      </c>
      <c r="H2876">
        <v>0.108788768834362</v>
      </c>
      <c r="I2876">
        <v>7.26700718729342E-2</v>
      </c>
      <c r="J2876">
        <v>6.2766717380727005E-2</v>
      </c>
      <c r="K2876">
        <v>5.3232630910516297E-2</v>
      </c>
      <c r="L2876">
        <v>876.37130283312399</v>
      </c>
      <c r="M2876">
        <v>16.645119071099099</v>
      </c>
      <c r="N2876">
        <v>52.842858141061598</v>
      </c>
      <c r="O2876">
        <v>51.908018168094202</v>
      </c>
      <c r="P2876">
        <v>-7.78133068048769E-2</v>
      </c>
      <c r="Q2876">
        <v>2.9418011539044699E-2</v>
      </c>
      <c r="R2876">
        <v>0.99790371094920904</v>
      </c>
      <c r="S2876" t="s">
        <v>7172</v>
      </c>
      <c r="T2876" t="s">
        <v>8590</v>
      </c>
      <c r="U2876" t="s">
        <v>8590</v>
      </c>
      <c r="V2876" t="s">
        <v>8590</v>
      </c>
      <c r="W2876">
        <v>10</v>
      </c>
      <c r="X2876" t="s">
        <v>11466</v>
      </c>
      <c r="Y2876">
        <v>0.45681458645661871</v>
      </c>
      <c r="Z2876" t="str">
        <f>HYPERLINK("Melting_Curves/meltCurve_sp_Q9BSJ8_ESYT1_HUMAN_.pdf", "Melting_Curves/meltCurve_sp_Q9BSJ8_ESYT1_HUMAN_.pdf")</f>
        <v>Melting_Curves/meltCurve_sp_Q9BSJ8_ESYT1_HUMAN_.pdf</v>
      </c>
      <c r="AA2876" t="s">
        <v>15716</v>
      </c>
      <c r="AB2876" t="s">
        <v>19960</v>
      </c>
    </row>
    <row r="2877" spans="1:28" x14ac:dyDescent="0.25">
      <c r="A2877" t="s">
        <v>2881</v>
      </c>
      <c r="B2877">
        <v>0.99876560204751996</v>
      </c>
      <c r="C2877">
        <v>0.98036083515079098</v>
      </c>
      <c r="D2877">
        <v>0.86764763588596805</v>
      </c>
      <c r="E2877">
        <v>0.91616904672405897</v>
      </c>
      <c r="F2877">
        <v>0.56376221112247105</v>
      </c>
      <c r="G2877">
        <v>0.41723019808448403</v>
      </c>
      <c r="H2877">
        <v>0.28085210004093403</v>
      </c>
      <c r="I2877">
        <v>0.18604910661791299</v>
      </c>
      <c r="J2877">
        <v>0.16272883948636699</v>
      </c>
      <c r="K2877">
        <v>0.124408532528424</v>
      </c>
      <c r="L2877">
        <v>794.96679404959502</v>
      </c>
      <c r="M2877">
        <v>14.6017881710981</v>
      </c>
      <c r="N2877">
        <v>55.312567346390402</v>
      </c>
      <c r="O2877">
        <v>53.452552840834102</v>
      </c>
      <c r="P2877">
        <v>-6.12971505076206E-2</v>
      </c>
      <c r="Q2877">
        <v>0.10254240519676799</v>
      </c>
      <c r="R2877">
        <v>0.97958735901337701</v>
      </c>
      <c r="S2877" t="s">
        <v>7173</v>
      </c>
      <c r="T2877" t="s">
        <v>8590</v>
      </c>
      <c r="U2877" t="s">
        <v>8590</v>
      </c>
      <c r="V2877" t="s">
        <v>8590</v>
      </c>
      <c r="W2877">
        <v>2</v>
      </c>
      <c r="X2877" t="s">
        <v>11467</v>
      </c>
      <c r="Y2877">
        <v>0.55312547280922786</v>
      </c>
      <c r="Z2877" t="str">
        <f>HYPERLINK("Melting_Curves/meltCurve_sp_Q9BSL1_UBAC1_HUMAN_.pdf", "Melting_Curves/meltCurve_sp_Q9BSL1_UBAC1_HUMAN_.pdf")</f>
        <v>Melting_Curves/meltCurve_sp_Q9BSL1_UBAC1_HUMAN_.pdf</v>
      </c>
      <c r="AA2877" t="s">
        <v>15717</v>
      </c>
      <c r="AB2877" t="s">
        <v>19961</v>
      </c>
    </row>
    <row r="2878" spans="1:28" x14ac:dyDescent="0.25">
      <c r="A2878" t="s">
        <v>2882</v>
      </c>
      <c r="B2878">
        <v>0.99876560204751996</v>
      </c>
      <c r="C2878">
        <v>0.89667744103394498</v>
      </c>
      <c r="D2878">
        <v>1.0388943878280199</v>
      </c>
      <c r="E2878">
        <v>0.71243645917285703</v>
      </c>
      <c r="F2878">
        <v>0.28406276202266201</v>
      </c>
      <c r="G2878">
        <v>0.115774914725407</v>
      </c>
      <c r="H2878">
        <v>7.2111747305434598E-2</v>
      </c>
      <c r="I2878">
        <v>3.8851177439257999E-2</v>
      </c>
      <c r="J2878">
        <v>5.2706267218024599E-2</v>
      </c>
      <c r="K2878">
        <v>1.6292599740824702E-2</v>
      </c>
      <c r="L2878">
        <v>1718.5539750810001</v>
      </c>
      <c r="M2878">
        <v>33.511214099039698</v>
      </c>
      <c r="N2878">
        <v>51.445744484033199</v>
      </c>
      <c r="O2878">
        <v>51.101367685144197</v>
      </c>
      <c r="P2878">
        <v>-0.15569800058427399</v>
      </c>
      <c r="Q2878">
        <v>5.0306330139281798E-2</v>
      </c>
      <c r="R2878">
        <v>0.99023054081216999</v>
      </c>
      <c r="S2878" t="s">
        <v>7174</v>
      </c>
      <c r="T2878" t="s">
        <v>8590</v>
      </c>
      <c r="U2878" t="s">
        <v>8590</v>
      </c>
      <c r="V2878" t="s">
        <v>8590</v>
      </c>
      <c r="W2878">
        <v>4</v>
      </c>
      <c r="X2878" t="s">
        <v>11468</v>
      </c>
      <c r="Y2878">
        <v>0.41229027399128021</v>
      </c>
      <c r="Z2878" t="str">
        <f>HYPERLINK("Melting_Curves/meltCurve_sp_Q9BST9_RTKN_HUMAN_.pdf", "Melting_Curves/meltCurve_sp_Q9BST9_RTKN_HUMAN_.pdf")</f>
        <v>Melting_Curves/meltCurve_sp_Q9BST9_RTKN_HUMAN_.pdf</v>
      </c>
      <c r="AA2878" t="s">
        <v>15718</v>
      </c>
      <c r="AB2878" t="s">
        <v>19962</v>
      </c>
    </row>
    <row r="2879" spans="1:28" x14ac:dyDescent="0.25">
      <c r="A2879" t="s">
        <v>2883</v>
      </c>
      <c r="B2879">
        <v>0.99876560204751996</v>
      </c>
      <c r="C2879">
        <v>0.83253810973614695</v>
      </c>
      <c r="D2879">
        <v>0.96254116107572896</v>
      </c>
      <c r="E2879">
        <v>1.1016505069803699</v>
      </c>
      <c r="F2879">
        <v>1.2355345632969901</v>
      </c>
      <c r="G2879">
        <v>0.51536179804878302</v>
      </c>
      <c r="H2879">
        <v>0.160234571593558</v>
      </c>
      <c r="I2879">
        <v>0.105258147192911</v>
      </c>
      <c r="J2879">
        <v>0.14404252547932</v>
      </c>
      <c r="K2879">
        <v>0</v>
      </c>
      <c r="L2879">
        <v>10742.137143809799</v>
      </c>
      <c r="M2879">
        <v>188.61854501371499</v>
      </c>
      <c r="N2879">
        <v>57.020919490173803</v>
      </c>
      <c r="O2879">
        <v>56.945246936676</v>
      </c>
      <c r="P2879">
        <v>-0.74328968289570996</v>
      </c>
      <c r="Q2879">
        <v>0.102382763194886</v>
      </c>
      <c r="R2879">
        <v>0.94494249988865098</v>
      </c>
      <c r="S2879" t="s">
        <v>7175</v>
      </c>
      <c r="T2879" t="s">
        <v>8590</v>
      </c>
      <c r="U2879" t="s">
        <v>8590</v>
      </c>
      <c r="V2879" t="s">
        <v>8590</v>
      </c>
      <c r="W2879">
        <v>3</v>
      </c>
      <c r="X2879" t="s">
        <v>11469</v>
      </c>
      <c r="Y2879">
        <v>0.6097434725355575</v>
      </c>
      <c r="Z2879" t="str">
        <f>HYPERLINK("Melting_Curves/meltCurve_sp_Q9BSU1_CP070_HUMAN_.pdf", "Melting_Curves/meltCurve_sp_Q9BSU1_CP070_HUMAN_.pdf")</f>
        <v>Melting_Curves/meltCurve_sp_Q9BSU1_CP070_HUMAN_.pdf</v>
      </c>
      <c r="AA2879" t="s">
        <v>15719</v>
      </c>
      <c r="AB2879" t="s">
        <v>19963</v>
      </c>
    </row>
    <row r="2880" spans="1:28" x14ac:dyDescent="0.25">
      <c r="A2880" t="s">
        <v>2884</v>
      </c>
      <c r="B2880">
        <v>0.99876560204751996</v>
      </c>
      <c r="C2880">
        <v>0.98991383697462199</v>
      </c>
      <c r="D2880">
        <v>1.0581276244778299</v>
      </c>
      <c r="E2880">
        <v>0.939501327344065</v>
      </c>
      <c r="F2880">
        <v>0.866000675420176</v>
      </c>
      <c r="G2880">
        <v>0.64798316285527502</v>
      </c>
      <c r="H2880">
        <v>0.566068218016064</v>
      </c>
      <c r="I2880">
        <v>0.491657132835079</v>
      </c>
      <c r="J2880">
        <v>0.60671811632134598</v>
      </c>
      <c r="K2880">
        <v>0.59780991123905902</v>
      </c>
      <c r="L2880">
        <v>1660.2506277591201</v>
      </c>
      <c r="M2880">
        <v>30.597435785602599</v>
      </c>
      <c r="O2880">
        <v>54.030923233129101</v>
      </c>
      <c r="P2880">
        <v>-6.2035464741366002E-2</v>
      </c>
      <c r="Q2880">
        <v>0.56181789778584501</v>
      </c>
      <c r="R2880">
        <v>0.96720553945325305</v>
      </c>
      <c r="S2880" t="s">
        <v>7176</v>
      </c>
      <c r="T2880" t="s">
        <v>8590</v>
      </c>
      <c r="U2880" t="s">
        <v>8590</v>
      </c>
      <c r="V2880" t="s">
        <v>8590</v>
      </c>
      <c r="W2880">
        <v>5</v>
      </c>
      <c r="X2880" t="s">
        <v>11470</v>
      </c>
      <c r="Y2880">
        <v>0.77289578968215289</v>
      </c>
      <c r="Z2880" t="str">
        <f>HYPERLINK("Melting_Curves/meltCurve_sp_Q9BSY4_CHCH5_HUMAN_.pdf", "Melting_Curves/meltCurve_sp_Q9BSY4_CHCH5_HUMAN_.pdf")</f>
        <v>Melting_Curves/meltCurve_sp_Q9BSY4_CHCH5_HUMAN_.pdf</v>
      </c>
      <c r="AA2880" t="s">
        <v>15720</v>
      </c>
      <c r="AB2880" t="s">
        <v>19964</v>
      </c>
    </row>
    <row r="2881" spans="1:28" x14ac:dyDescent="0.25">
      <c r="A2881" t="s">
        <v>2885</v>
      </c>
      <c r="B2881">
        <v>0.99876560204751996</v>
      </c>
      <c r="C2881">
        <v>0.97046815046116197</v>
      </c>
      <c r="D2881">
        <v>1.0331849896806999</v>
      </c>
      <c r="E2881">
        <v>0.84817492175879095</v>
      </c>
      <c r="F2881">
        <v>0.81605743786378404</v>
      </c>
      <c r="G2881">
        <v>0.66360561285841202</v>
      </c>
      <c r="H2881">
        <v>0.56401671572532097</v>
      </c>
      <c r="I2881">
        <v>0.52694250534084197</v>
      </c>
      <c r="J2881">
        <v>0.65367623797944796</v>
      </c>
      <c r="K2881">
        <v>0.57489532157008505</v>
      </c>
      <c r="L2881">
        <v>1062.77153669681</v>
      </c>
      <c r="M2881">
        <v>20.081763908193299</v>
      </c>
      <c r="O2881">
        <v>52.405803974719802</v>
      </c>
      <c r="P2881">
        <v>-4.10233587926047E-2</v>
      </c>
      <c r="Q2881">
        <v>0.571791863014253</v>
      </c>
      <c r="R2881">
        <v>0.94738940898379298</v>
      </c>
      <c r="S2881" t="s">
        <v>7177</v>
      </c>
      <c r="T2881" t="s">
        <v>8590</v>
      </c>
      <c r="U2881" t="s">
        <v>8590</v>
      </c>
      <c r="V2881" t="s">
        <v>8590</v>
      </c>
      <c r="W2881">
        <v>9</v>
      </c>
      <c r="X2881" t="s">
        <v>11471</v>
      </c>
      <c r="Y2881">
        <v>0.76209075183017227</v>
      </c>
      <c r="Z2881" t="str">
        <f>HYPERLINK("Melting_Curves/meltCurve_sp_Q9BT09_CNPY3_HUMAN_.pdf", "Melting_Curves/meltCurve_sp_Q9BT09_CNPY3_HUMAN_.pdf")</f>
        <v>Melting_Curves/meltCurve_sp_Q9BT09_CNPY3_HUMAN_.pdf</v>
      </c>
      <c r="AA2881" t="s">
        <v>15721</v>
      </c>
      <c r="AB2881" t="s">
        <v>19965</v>
      </c>
    </row>
    <row r="2882" spans="1:28" x14ac:dyDescent="0.25">
      <c r="A2882" t="s">
        <v>2886</v>
      </c>
      <c r="B2882">
        <v>0.99876560204751996</v>
      </c>
      <c r="C2882">
        <v>0.81915061447487503</v>
      </c>
      <c r="D2882">
        <v>0.69121421020828899</v>
      </c>
      <c r="E2882">
        <v>0.403137382608104</v>
      </c>
      <c r="F2882">
        <v>0.24936313695932699</v>
      </c>
      <c r="G2882">
        <v>0.144707160222176</v>
      </c>
      <c r="H2882">
        <v>9.3793418022051794E-2</v>
      </c>
      <c r="I2882">
        <v>8.4688479244520498E-2</v>
      </c>
      <c r="J2882">
        <v>5.00328103573979E-2</v>
      </c>
      <c r="K2882">
        <v>0.10061314533872601</v>
      </c>
      <c r="L2882">
        <v>704.16584508539995</v>
      </c>
      <c r="M2882">
        <v>14.656970454488199</v>
      </c>
      <c r="N2882">
        <v>48.470576076085997</v>
      </c>
      <c r="O2882">
        <v>47.175327510772703</v>
      </c>
      <c r="P2882">
        <v>-7.2971206149461496E-2</v>
      </c>
      <c r="Q2882">
        <v>6.0635378257058802E-2</v>
      </c>
      <c r="R2882">
        <v>0.99480327139057201</v>
      </c>
      <c r="S2882" t="s">
        <v>7178</v>
      </c>
      <c r="T2882" t="s">
        <v>8590</v>
      </c>
      <c r="U2882" t="s">
        <v>8590</v>
      </c>
      <c r="V2882" t="s">
        <v>8590</v>
      </c>
      <c r="W2882">
        <v>5</v>
      </c>
      <c r="X2882" t="s">
        <v>11472</v>
      </c>
      <c r="Y2882">
        <v>0.33772810579834928</v>
      </c>
      <c r="Z2882" t="str">
        <f>HYPERLINK("Melting_Curves/meltCurve_sp_Q9BT30_ALKB7_HUMAN_.pdf", "Melting_Curves/meltCurve_sp_Q9BT30_ALKB7_HUMAN_.pdf")</f>
        <v>Melting_Curves/meltCurve_sp_Q9BT30_ALKB7_HUMAN_.pdf</v>
      </c>
      <c r="AA2882" t="s">
        <v>15722</v>
      </c>
      <c r="AB2882" t="s">
        <v>19966</v>
      </c>
    </row>
    <row r="2883" spans="1:28" x14ac:dyDescent="0.25">
      <c r="A2883" t="s">
        <v>2887</v>
      </c>
      <c r="B2883">
        <v>0.99876560204751996</v>
      </c>
      <c r="C2883">
        <v>0.98872672900844805</v>
      </c>
      <c r="D2883">
        <v>1.0779167454179499</v>
      </c>
      <c r="E2883">
        <v>1.08200848092153</v>
      </c>
      <c r="F2883">
        <v>1.02569731215047</v>
      </c>
      <c r="G2883">
        <v>0.81670122038884696</v>
      </c>
      <c r="H2883">
        <v>0.71983040102766604</v>
      </c>
      <c r="I2883">
        <v>0.55423612540955702</v>
      </c>
      <c r="J2883">
        <v>0.53212953457720502</v>
      </c>
      <c r="K2883">
        <v>0.42362227483793102</v>
      </c>
      <c r="L2883">
        <v>1205.67917699996</v>
      </c>
      <c r="M2883">
        <v>19.8371371918698</v>
      </c>
      <c r="N2883">
        <v>66.6184077353074</v>
      </c>
      <c r="O2883">
        <v>60.171346644761698</v>
      </c>
      <c r="P2883">
        <v>-4.8452786194203401E-2</v>
      </c>
      <c r="Q2883">
        <v>0.412138687252602</v>
      </c>
      <c r="R2883">
        <v>0.95647229436639303</v>
      </c>
      <c r="S2883" t="s">
        <v>7179</v>
      </c>
      <c r="T2883" t="s">
        <v>8590</v>
      </c>
      <c r="U2883" t="s">
        <v>8590</v>
      </c>
      <c r="V2883" t="s">
        <v>8590</v>
      </c>
      <c r="W2883">
        <v>3</v>
      </c>
      <c r="X2883" t="s">
        <v>11473</v>
      </c>
      <c r="Y2883">
        <v>0.82319260979816966</v>
      </c>
      <c r="Z2883" t="str">
        <f>HYPERLINK("Melting_Curves/meltCurve_sp_Q9BT73_PSMG3_HUMAN_.pdf", "Melting_Curves/meltCurve_sp_Q9BT73_PSMG3_HUMAN_.pdf")</f>
        <v>Melting_Curves/meltCurve_sp_Q9BT73_PSMG3_HUMAN_.pdf</v>
      </c>
      <c r="AA2883" t="s">
        <v>15723</v>
      </c>
      <c r="AB2883" t="s">
        <v>19967</v>
      </c>
    </row>
    <row r="2884" spans="1:28" x14ac:dyDescent="0.25">
      <c r="A2884" t="s">
        <v>2888</v>
      </c>
      <c r="B2884">
        <v>0.99876560204751996</v>
      </c>
      <c r="C2884">
        <v>1.0645163239603199</v>
      </c>
      <c r="D2884">
        <v>0.86932034683261905</v>
      </c>
      <c r="E2884">
        <v>1.00675767784583</v>
      </c>
      <c r="F2884">
        <v>0.74794867238475704</v>
      </c>
      <c r="G2884">
        <v>0.40137163913427598</v>
      </c>
      <c r="H2884">
        <v>0.11445377680629</v>
      </c>
      <c r="I2884">
        <v>0.27871179070515301</v>
      </c>
      <c r="J2884">
        <v>0.23260326934189199</v>
      </c>
      <c r="K2884">
        <v>0.160505142378637</v>
      </c>
      <c r="L2884">
        <v>1713.6111903716501</v>
      </c>
      <c r="M2884">
        <v>31.3813801836313</v>
      </c>
      <c r="N2884">
        <v>55.470304485650999</v>
      </c>
      <c r="O2884">
        <v>54.385678773606898</v>
      </c>
      <c r="P2884">
        <v>-0.116359998208433</v>
      </c>
      <c r="Q2884">
        <v>0.193370985846677</v>
      </c>
      <c r="R2884">
        <v>0.966131308608706</v>
      </c>
      <c r="S2884" t="s">
        <v>7180</v>
      </c>
      <c r="T2884" t="s">
        <v>8590</v>
      </c>
      <c r="U2884" t="s">
        <v>8590</v>
      </c>
      <c r="V2884" t="s">
        <v>8590</v>
      </c>
      <c r="W2884">
        <v>17</v>
      </c>
      <c r="X2884" t="s">
        <v>11474</v>
      </c>
      <c r="Y2884">
        <v>0.59098302857665486</v>
      </c>
      <c r="Z2884" t="str">
        <f>HYPERLINK("Melting_Curves/meltCurve_sp_Q9BT78_CSN4_HUMAN_.pdf", "Melting_Curves/meltCurve_sp_Q9BT78_CSN4_HUMAN_.pdf")</f>
        <v>Melting_Curves/meltCurve_sp_Q9BT78_CSN4_HUMAN_.pdf</v>
      </c>
      <c r="AA2884" t="s">
        <v>15724</v>
      </c>
      <c r="AB2884" t="s">
        <v>19968</v>
      </c>
    </row>
    <row r="2885" spans="1:28" x14ac:dyDescent="0.25">
      <c r="A2885" t="s">
        <v>2889</v>
      </c>
      <c r="B2885">
        <v>0.99876560204751996</v>
      </c>
      <c r="C2885">
        <v>0.94028942554845796</v>
      </c>
      <c r="D2885">
        <v>0.86655539416933303</v>
      </c>
      <c r="E2885">
        <v>0.70166733312667795</v>
      </c>
      <c r="F2885">
        <v>0.62514430960601897</v>
      </c>
      <c r="G2885">
        <v>0.37948759980838498</v>
      </c>
      <c r="H2885">
        <v>0.35868366302817201</v>
      </c>
      <c r="I2885">
        <v>0.27395441913392299</v>
      </c>
      <c r="J2885">
        <v>0.37738316113565801</v>
      </c>
      <c r="K2885">
        <v>0.36823556957799197</v>
      </c>
      <c r="L2885">
        <v>760.35952179277695</v>
      </c>
      <c r="M2885">
        <v>14.908256385193599</v>
      </c>
      <c r="N2885">
        <v>54.608755824270602</v>
      </c>
      <c r="O2885">
        <v>50.111269196572898</v>
      </c>
      <c r="P2885">
        <v>-5.1087619516138598E-2</v>
      </c>
      <c r="Q2885">
        <v>0.31318554305787</v>
      </c>
      <c r="R2885">
        <v>0.97523839697665704</v>
      </c>
      <c r="S2885" t="s">
        <v>7181</v>
      </c>
      <c r="T2885" t="s">
        <v>8590</v>
      </c>
      <c r="U2885" t="s">
        <v>8590</v>
      </c>
      <c r="V2885" t="s">
        <v>8590</v>
      </c>
      <c r="W2885">
        <v>2</v>
      </c>
      <c r="X2885" t="s">
        <v>11475</v>
      </c>
      <c r="Y2885">
        <v>0.58110547592482009</v>
      </c>
      <c r="Z2885" t="str">
        <f>HYPERLINK("Melting_Curves/meltCurve_sp_Q9BTA9_2_WAC_HUMAN_.pdf", "Melting_Curves/meltCurve_sp_Q9BTA9_2_WAC_HUMAN_.pdf")</f>
        <v>Melting_Curves/meltCurve_sp_Q9BTA9_2_WAC_HUMAN_.pdf</v>
      </c>
      <c r="AA2885" t="s">
        <v>15725</v>
      </c>
      <c r="AB2885" t="s">
        <v>19969</v>
      </c>
    </row>
    <row r="2886" spans="1:28" x14ac:dyDescent="0.25">
      <c r="A2886" t="s">
        <v>2890</v>
      </c>
      <c r="B2886">
        <v>0.99876560204751996</v>
      </c>
      <c r="C2886">
        <v>0.99478975479346399</v>
      </c>
      <c r="D2886">
        <v>1.0251009686410399</v>
      </c>
      <c r="E2886">
        <v>0.93860932866542302</v>
      </c>
      <c r="F2886">
        <v>0.976720516921044</v>
      </c>
      <c r="G2886">
        <v>0.72374763694834698</v>
      </c>
      <c r="H2886">
        <v>0.57430949773190598</v>
      </c>
      <c r="I2886">
        <v>0.54041384441613705</v>
      </c>
      <c r="J2886">
        <v>0.63864917782722996</v>
      </c>
      <c r="K2886">
        <v>0.60265440312854301</v>
      </c>
      <c r="L2886">
        <v>2867.61784719566</v>
      </c>
      <c r="M2886">
        <v>51.053856000173802</v>
      </c>
      <c r="O2886">
        <v>56.082520870403101</v>
      </c>
      <c r="P2886">
        <v>-9.3855891768604302E-2</v>
      </c>
      <c r="Q2886">
        <v>0.58759864949256202</v>
      </c>
      <c r="R2886">
        <v>0.97305079833588803</v>
      </c>
      <c r="S2886" t="s">
        <v>7182</v>
      </c>
      <c r="T2886" t="s">
        <v>8590</v>
      </c>
      <c r="U2886" t="s">
        <v>8590</v>
      </c>
      <c r="V2886" t="s">
        <v>8590</v>
      </c>
      <c r="W2886">
        <v>11</v>
      </c>
      <c r="X2886" t="s">
        <v>11476</v>
      </c>
      <c r="Y2886">
        <v>0.81084094985401134</v>
      </c>
      <c r="Z2886" t="str">
        <f>HYPERLINK("Melting_Curves/meltCurve_sp_Q9BTC0_DIDO1_HUMAN_.pdf", "Melting_Curves/meltCurve_sp_Q9BTC0_DIDO1_HUMAN_.pdf")</f>
        <v>Melting_Curves/meltCurve_sp_Q9BTC0_DIDO1_HUMAN_.pdf</v>
      </c>
      <c r="AA2886" t="s">
        <v>15726</v>
      </c>
      <c r="AB2886" t="s">
        <v>19970</v>
      </c>
    </row>
    <row r="2887" spans="1:28" x14ac:dyDescent="0.25">
      <c r="A2887" t="s">
        <v>2891</v>
      </c>
      <c r="B2887">
        <v>0.99876560204751996</v>
      </c>
      <c r="C2887">
        <v>1.0659297333395801</v>
      </c>
      <c r="D2887">
        <v>1.03085564049778</v>
      </c>
      <c r="E2887">
        <v>0.96823361785109896</v>
      </c>
      <c r="F2887">
        <v>0.87039558927378402</v>
      </c>
      <c r="G2887">
        <v>0.62560780444841502</v>
      </c>
      <c r="H2887">
        <v>0.429066310339075</v>
      </c>
      <c r="I2887">
        <v>0.27901570252985602</v>
      </c>
      <c r="J2887">
        <v>9.5509759076431694E-2</v>
      </c>
      <c r="K2887">
        <v>4.5184547182135402E-2</v>
      </c>
      <c r="L2887">
        <v>963.24549497414603</v>
      </c>
      <c r="M2887">
        <v>16.216437361904799</v>
      </c>
      <c r="N2887">
        <v>59.399329141981298</v>
      </c>
      <c r="O2887">
        <v>58.518079623013598</v>
      </c>
      <c r="P2887">
        <v>-6.9284757386284701E-2</v>
      </c>
      <c r="Q2887">
        <v>0</v>
      </c>
      <c r="R2887">
        <v>0.99059206346211304</v>
      </c>
      <c r="S2887" t="s">
        <v>7183</v>
      </c>
      <c r="T2887" t="s">
        <v>8590</v>
      </c>
      <c r="U2887" t="s">
        <v>8590</v>
      </c>
      <c r="V2887" t="s">
        <v>8590</v>
      </c>
      <c r="W2887">
        <v>3</v>
      </c>
      <c r="X2887" t="s">
        <v>11477</v>
      </c>
      <c r="Y2887">
        <v>0.65622830817395039</v>
      </c>
      <c r="Z2887" t="str">
        <f>HYPERLINK("Melting_Curves/meltCurve_sp_Q9BTE1_2_DCTN5_HUMAN_.pdf", "Melting_Curves/meltCurve_sp_Q9BTE1_2_DCTN5_HUMAN_.pdf")</f>
        <v>Melting_Curves/meltCurve_sp_Q9BTE1_2_DCTN5_HUMAN_.pdf</v>
      </c>
      <c r="AA2887" t="s">
        <v>15727</v>
      </c>
      <c r="AB2887" t="s">
        <v>19971</v>
      </c>
    </row>
    <row r="2888" spans="1:28" x14ac:dyDescent="0.25">
      <c r="A2888" t="s">
        <v>2892</v>
      </c>
      <c r="B2888">
        <v>0.99876560204751996</v>
      </c>
      <c r="C2888">
        <v>1.0900477529311701</v>
      </c>
      <c r="D2888">
        <v>0.88216216969300698</v>
      </c>
      <c r="E2888">
        <v>0.62351495431483805</v>
      </c>
      <c r="F2888">
        <v>0.28559366159751998</v>
      </c>
      <c r="G2888">
        <v>0.151138710830094</v>
      </c>
      <c r="H2888">
        <v>0.10764454631072</v>
      </c>
      <c r="I2888">
        <v>5.8632845155342103E-2</v>
      </c>
      <c r="J2888">
        <v>5.0128158052364501E-2</v>
      </c>
      <c r="K2888">
        <v>3.5282641993980603E-2</v>
      </c>
      <c r="L2888">
        <v>1171.4695282166999</v>
      </c>
      <c r="M2888">
        <v>23.099848170786402</v>
      </c>
      <c r="N2888">
        <v>50.982803274592399</v>
      </c>
      <c r="O2888">
        <v>50.337814069143903</v>
      </c>
      <c r="P2888">
        <v>-0.108132415948528</v>
      </c>
      <c r="Q2888">
        <v>5.7474248580347102E-2</v>
      </c>
      <c r="R2888">
        <v>0.99055545332335104</v>
      </c>
      <c r="S2888" t="s">
        <v>7184</v>
      </c>
      <c r="T2888" t="s">
        <v>8590</v>
      </c>
      <c r="U2888" t="s">
        <v>8590</v>
      </c>
      <c r="V2888" t="s">
        <v>8590</v>
      </c>
      <c r="W2888">
        <v>7</v>
      </c>
      <c r="X2888" t="s">
        <v>11478</v>
      </c>
      <c r="Y2888">
        <v>0.4039770709536723</v>
      </c>
      <c r="Z2888" t="str">
        <f>HYPERLINK("Melting_Curves/meltCurve_sp_Q9BTE3_2_MCMBP_HUMAN_.pdf", "Melting_Curves/meltCurve_sp_Q9BTE3_2_MCMBP_HUMAN_.pdf")</f>
        <v>Melting_Curves/meltCurve_sp_Q9BTE3_2_MCMBP_HUMAN_.pdf</v>
      </c>
      <c r="AA2888" t="s">
        <v>15728</v>
      </c>
      <c r="AB2888" t="s">
        <v>19972</v>
      </c>
    </row>
    <row r="2889" spans="1:28" x14ac:dyDescent="0.25">
      <c r="A2889" t="s">
        <v>2893</v>
      </c>
      <c r="B2889">
        <v>0.99876560204751996</v>
      </c>
      <c r="C2889">
        <v>1.0030550428467</v>
      </c>
      <c r="D2889">
        <v>0.85665060676784599</v>
      </c>
      <c r="E2889">
        <v>0.598403603848634</v>
      </c>
      <c r="F2889">
        <v>0.32862727378810502</v>
      </c>
      <c r="G2889">
        <v>0.14973895262852599</v>
      </c>
      <c r="H2889">
        <v>9.9806994579801994E-2</v>
      </c>
      <c r="I2889">
        <v>9.1280089645374998E-2</v>
      </c>
      <c r="J2889">
        <v>8.8164815927801093E-2</v>
      </c>
      <c r="K2889">
        <v>6.5634325744253805E-2</v>
      </c>
      <c r="L2889">
        <v>1003.93918819467</v>
      </c>
      <c r="M2889">
        <v>19.873433024207198</v>
      </c>
      <c r="N2889">
        <v>50.908176032645997</v>
      </c>
      <c r="O2889">
        <v>50.0134972984374</v>
      </c>
      <c r="P2889">
        <v>-9.2303337907224794E-2</v>
      </c>
      <c r="Q2889">
        <v>7.0868415657565201E-2</v>
      </c>
      <c r="R2889">
        <v>0.99843591011630595</v>
      </c>
      <c r="S2889" t="s">
        <v>7185</v>
      </c>
      <c r="T2889" t="s">
        <v>8590</v>
      </c>
      <c r="U2889" t="s">
        <v>8590</v>
      </c>
      <c r="V2889" t="s">
        <v>8590</v>
      </c>
      <c r="W2889">
        <v>9</v>
      </c>
      <c r="X2889" t="s">
        <v>11479</v>
      </c>
      <c r="Y2889">
        <v>0.40965088485234502</v>
      </c>
      <c r="Z2889" t="str">
        <f>HYPERLINK("Melting_Curves/meltCurve_sp_Q9BTE6_AASD1_HUMAN_.pdf", "Melting_Curves/meltCurve_sp_Q9BTE6_AASD1_HUMAN_.pdf")</f>
        <v>Melting_Curves/meltCurve_sp_Q9BTE6_AASD1_HUMAN_.pdf</v>
      </c>
      <c r="AA2889" t="s">
        <v>15729</v>
      </c>
      <c r="AB2889" t="s">
        <v>19973</v>
      </c>
    </row>
    <row r="2890" spans="1:28" x14ac:dyDescent="0.25">
      <c r="A2890" t="s">
        <v>2894</v>
      </c>
      <c r="B2890">
        <v>0.99876560204751996</v>
      </c>
      <c r="C2890">
        <v>1.0061674962668199</v>
      </c>
      <c r="D2890">
        <v>1.05018929012124</v>
      </c>
      <c r="E2890">
        <v>1.0008992816611799</v>
      </c>
      <c r="F2890">
        <v>0.98777660056117</v>
      </c>
      <c r="G2890">
        <v>0.63206467262516097</v>
      </c>
      <c r="H2890">
        <v>0.58254851480050296</v>
      </c>
      <c r="I2890">
        <v>0.54114895827439702</v>
      </c>
      <c r="J2890">
        <v>0.69057130312806103</v>
      </c>
      <c r="K2890">
        <v>0.67730047909426805</v>
      </c>
      <c r="L2890">
        <v>5375.0389967056999</v>
      </c>
      <c r="M2890">
        <v>98.014304544269294</v>
      </c>
      <c r="O2890">
        <v>54.8165050888122</v>
      </c>
      <c r="P2890">
        <v>-0.16855451246754699</v>
      </c>
      <c r="Q2890">
        <v>0.62292971958466803</v>
      </c>
      <c r="R2890">
        <v>0.95241892131469097</v>
      </c>
      <c r="S2890" t="s">
        <v>7186</v>
      </c>
      <c r="T2890" t="s">
        <v>8590</v>
      </c>
      <c r="U2890" t="s">
        <v>8590</v>
      </c>
      <c r="V2890" t="s">
        <v>8590</v>
      </c>
      <c r="W2890">
        <v>2</v>
      </c>
      <c r="X2890" t="s">
        <v>11480</v>
      </c>
      <c r="Y2890">
        <v>0.80968180785803312</v>
      </c>
      <c r="Z2890" t="str">
        <f>HYPERLINK("Melting_Curves/meltCurve_sp_Q9BTL3_RAM_HUMAN_.pdf", "Melting_Curves/meltCurve_sp_Q9BTL3_RAM_HUMAN_.pdf")</f>
        <v>Melting_Curves/meltCurve_sp_Q9BTL3_RAM_HUMAN_.pdf</v>
      </c>
      <c r="AA2890" t="s">
        <v>15730</v>
      </c>
      <c r="AB2890" t="s">
        <v>19974</v>
      </c>
    </row>
    <row r="2891" spans="1:28" x14ac:dyDescent="0.25">
      <c r="A2891" t="s">
        <v>2895</v>
      </c>
      <c r="B2891">
        <v>0.99876560204751996</v>
      </c>
      <c r="C2891">
        <v>0.96947272620194502</v>
      </c>
      <c r="D2891">
        <v>0.95417151796445898</v>
      </c>
      <c r="E2891">
        <v>0.89812830154716305</v>
      </c>
      <c r="F2891">
        <v>0.80055593361003197</v>
      </c>
      <c r="G2891">
        <v>0.67265831148670496</v>
      </c>
      <c r="H2891">
        <v>0.57068880300622504</v>
      </c>
      <c r="I2891">
        <v>0.57925645794646696</v>
      </c>
      <c r="J2891">
        <v>0.64120312796888301</v>
      </c>
      <c r="K2891">
        <v>0.66332985158331803</v>
      </c>
      <c r="L2891">
        <v>1163.96995892478</v>
      </c>
      <c r="M2891">
        <v>22.178804562345601</v>
      </c>
      <c r="O2891">
        <v>52.060117099897298</v>
      </c>
      <c r="P2891">
        <v>-4.1543174415925803E-2</v>
      </c>
      <c r="Q2891">
        <v>0.609952689356556</v>
      </c>
      <c r="R2891">
        <v>0.96096722730694595</v>
      </c>
      <c r="S2891" t="s">
        <v>7187</v>
      </c>
      <c r="T2891" t="s">
        <v>8590</v>
      </c>
      <c r="U2891" t="s">
        <v>8590</v>
      </c>
      <c r="V2891" t="s">
        <v>8590</v>
      </c>
      <c r="W2891">
        <v>5</v>
      </c>
      <c r="X2891" t="s">
        <v>11481</v>
      </c>
      <c r="Y2891">
        <v>0.77670131731433856</v>
      </c>
      <c r="Z2891" t="str">
        <f>HYPERLINK("Melting_Curves/meltCurve_sp_Q9BTT0_AN32E_HUMAN_.pdf", "Melting_Curves/meltCurve_sp_Q9BTT0_AN32E_HUMAN_.pdf")</f>
        <v>Melting_Curves/meltCurve_sp_Q9BTT0_AN32E_HUMAN_.pdf</v>
      </c>
      <c r="AA2891" t="s">
        <v>15731</v>
      </c>
      <c r="AB2891" t="s">
        <v>19975</v>
      </c>
    </row>
    <row r="2892" spans="1:28" x14ac:dyDescent="0.25">
      <c r="A2892" t="s">
        <v>2896</v>
      </c>
      <c r="B2892">
        <v>0.99876560204751996</v>
      </c>
      <c r="C2892">
        <v>1.00452197027712</v>
      </c>
      <c r="D2892">
        <v>0.89191415491869797</v>
      </c>
      <c r="E2892">
        <v>0.74175111860327103</v>
      </c>
      <c r="F2892">
        <v>0.425517833536877</v>
      </c>
      <c r="G2892">
        <v>0.168050543188103</v>
      </c>
      <c r="H2892">
        <v>9.5049896045555998E-2</v>
      </c>
      <c r="I2892">
        <v>7.6050925885177395E-2</v>
      </c>
      <c r="J2892">
        <v>7.3395218627511694E-2</v>
      </c>
      <c r="K2892">
        <v>5.9581554394602498E-2</v>
      </c>
      <c r="L2892">
        <v>1113.0609538748499</v>
      </c>
      <c r="M2892">
        <v>21.420318874918799</v>
      </c>
      <c r="N2892">
        <v>52.259137809035103</v>
      </c>
      <c r="O2892">
        <v>51.516329969961802</v>
      </c>
      <c r="P2892">
        <v>-9.8007946884825198E-2</v>
      </c>
      <c r="Q2892">
        <v>5.7178523152247397E-2</v>
      </c>
      <c r="R2892">
        <v>0.99741939830246495</v>
      </c>
      <c r="S2892" t="s">
        <v>7188</v>
      </c>
      <c r="T2892" t="s">
        <v>8590</v>
      </c>
      <c r="U2892" t="s">
        <v>8590</v>
      </c>
      <c r="V2892" t="s">
        <v>8590</v>
      </c>
      <c r="W2892">
        <v>10</v>
      </c>
      <c r="X2892" t="s">
        <v>11482</v>
      </c>
      <c r="Y2892">
        <v>0.44465775329087009</v>
      </c>
      <c r="Z2892" t="str">
        <f>HYPERLINK("Melting_Curves/meltCurve_sp_Q9BTW9_TBCD_HUMAN_.pdf", "Melting_Curves/meltCurve_sp_Q9BTW9_TBCD_HUMAN_.pdf")</f>
        <v>Melting_Curves/meltCurve_sp_Q9BTW9_TBCD_HUMAN_.pdf</v>
      </c>
      <c r="AA2892" t="s">
        <v>15732</v>
      </c>
      <c r="AB2892" t="s">
        <v>19976</v>
      </c>
    </row>
    <row r="2893" spans="1:28" x14ac:dyDescent="0.25">
      <c r="A2893" t="s">
        <v>2897</v>
      </c>
      <c r="B2893">
        <v>0.99876560204751996</v>
      </c>
      <c r="C2893">
        <v>0.94840091238799795</v>
      </c>
      <c r="D2893">
        <v>0.99709169961029198</v>
      </c>
      <c r="E2893">
        <v>0.83349929481263996</v>
      </c>
      <c r="F2893">
        <v>0.80914910313012001</v>
      </c>
      <c r="G2893">
        <v>0.62747993134402302</v>
      </c>
      <c r="H2893">
        <v>0.40208457595812802</v>
      </c>
      <c r="I2893">
        <v>0.20248909301762899</v>
      </c>
      <c r="J2893">
        <v>0.16205695166090101</v>
      </c>
      <c r="K2893">
        <v>0.131598441317437</v>
      </c>
      <c r="L2893">
        <v>748.015804123767</v>
      </c>
      <c r="M2893">
        <v>12.7481336980947</v>
      </c>
      <c r="N2893">
        <v>58.676495123732103</v>
      </c>
      <c r="O2893">
        <v>57.288862484807403</v>
      </c>
      <c r="P2893">
        <v>-5.5641548318998799E-2</v>
      </c>
      <c r="Q2893">
        <v>0</v>
      </c>
      <c r="R2893">
        <v>0.98923274452898702</v>
      </c>
      <c r="S2893" t="s">
        <v>7189</v>
      </c>
      <c r="T2893" t="s">
        <v>8590</v>
      </c>
      <c r="U2893" t="s">
        <v>8590</v>
      </c>
      <c r="V2893" t="s">
        <v>8590</v>
      </c>
      <c r="W2893">
        <v>7</v>
      </c>
      <c r="X2893" t="s">
        <v>11483</v>
      </c>
      <c r="Y2893">
        <v>0.63292126978964336</v>
      </c>
      <c r="Z2893" t="str">
        <f>HYPERLINK("Melting_Curves/meltCurve_sp_Q9BTX7_TTPAL_HUMAN_.pdf", "Melting_Curves/meltCurve_sp_Q9BTX7_TTPAL_HUMAN_.pdf")</f>
        <v>Melting_Curves/meltCurve_sp_Q9BTX7_TTPAL_HUMAN_.pdf</v>
      </c>
      <c r="AA2893" t="s">
        <v>15733</v>
      </c>
      <c r="AB2893" t="s">
        <v>19977</v>
      </c>
    </row>
    <row r="2894" spans="1:28" x14ac:dyDescent="0.25">
      <c r="A2894" t="s">
        <v>2898</v>
      </c>
      <c r="B2894">
        <v>0.99876560204751996</v>
      </c>
      <c r="C2894">
        <v>1.09128224129097</v>
      </c>
      <c r="D2894">
        <v>1.0637615088457599</v>
      </c>
      <c r="E2894">
        <v>1.02710493695511</v>
      </c>
      <c r="F2894">
        <v>0.78893431771686195</v>
      </c>
      <c r="G2894">
        <v>0.60228526697510898</v>
      </c>
      <c r="H2894">
        <v>0.32252592521784601</v>
      </c>
      <c r="I2894">
        <v>0.102714953279334</v>
      </c>
      <c r="J2894">
        <v>7.9103384934404206E-2</v>
      </c>
      <c r="K2894">
        <v>7.7293657947468702E-2</v>
      </c>
      <c r="L2894">
        <v>1123.6977864732901</v>
      </c>
      <c r="M2894">
        <v>19.397879168999001</v>
      </c>
      <c r="N2894">
        <v>58.045335129749397</v>
      </c>
      <c r="O2894">
        <v>57.323781752461898</v>
      </c>
      <c r="P2894">
        <v>-8.2986676693557304E-2</v>
      </c>
      <c r="Q2894">
        <v>1.90813382225993E-2</v>
      </c>
      <c r="R2894">
        <v>0.98331664137965602</v>
      </c>
      <c r="S2894" t="s">
        <v>7190</v>
      </c>
      <c r="T2894" t="s">
        <v>8590</v>
      </c>
      <c r="U2894" t="s">
        <v>8590</v>
      </c>
      <c r="V2894" t="s">
        <v>8590</v>
      </c>
      <c r="W2894">
        <v>10</v>
      </c>
      <c r="X2894" t="s">
        <v>11484</v>
      </c>
      <c r="Y2894">
        <v>0.61682194084886954</v>
      </c>
      <c r="Z2894" t="str">
        <f>HYPERLINK("Melting_Curves/meltCurve_sp_Q9BTY2_FUCO2_HUMAN_.pdf", "Melting_Curves/meltCurve_sp_Q9BTY2_FUCO2_HUMAN_.pdf")</f>
        <v>Melting_Curves/meltCurve_sp_Q9BTY2_FUCO2_HUMAN_.pdf</v>
      </c>
      <c r="AA2894" t="s">
        <v>15734</v>
      </c>
      <c r="AB2894" t="s">
        <v>19978</v>
      </c>
    </row>
    <row r="2895" spans="1:28" x14ac:dyDescent="0.25">
      <c r="A2895" t="s">
        <v>2899</v>
      </c>
      <c r="B2895">
        <v>0.99876560204751996</v>
      </c>
      <c r="C2895">
        <v>0.92122226304902499</v>
      </c>
      <c r="D2895">
        <v>0.84452793715508301</v>
      </c>
      <c r="E2895">
        <v>0.47391885203766398</v>
      </c>
      <c r="F2895">
        <v>0.244668283173226</v>
      </c>
      <c r="G2895">
        <v>0.11271061691638</v>
      </c>
      <c r="H2895">
        <v>8.8317146363994098E-2</v>
      </c>
      <c r="I2895">
        <v>7.1084897969343405E-2</v>
      </c>
      <c r="J2895">
        <v>8.3588098129187993E-2</v>
      </c>
      <c r="K2895">
        <v>7.0422893366323902E-2</v>
      </c>
      <c r="L2895">
        <v>1023.6238748488601</v>
      </c>
      <c r="M2895">
        <v>20.742775416190099</v>
      </c>
      <c r="N2895">
        <v>49.6991317067408</v>
      </c>
      <c r="O2895">
        <v>48.896661726977797</v>
      </c>
      <c r="P2895">
        <v>-9.8837054054012205E-2</v>
      </c>
      <c r="Q2895">
        <v>6.8077300240553806E-2</v>
      </c>
      <c r="R2895">
        <v>0.99849959335568605</v>
      </c>
      <c r="S2895" t="s">
        <v>7191</v>
      </c>
      <c r="T2895" t="s">
        <v>8590</v>
      </c>
      <c r="U2895" t="s">
        <v>8590</v>
      </c>
      <c r="V2895" t="s">
        <v>8590</v>
      </c>
      <c r="W2895">
        <v>4</v>
      </c>
      <c r="X2895" t="s">
        <v>11485</v>
      </c>
      <c r="Y2895">
        <v>0.37057636855099191</v>
      </c>
      <c r="Z2895" t="str">
        <f>HYPERLINK("Melting_Curves/meltCurve_sp_Q9BTY7_F203A_HUMAN_.pdf", "Melting_Curves/meltCurve_sp_Q9BTY7_F203A_HUMAN_.pdf")</f>
        <v>Melting_Curves/meltCurve_sp_Q9BTY7_F203A_HUMAN_.pdf</v>
      </c>
      <c r="AA2895" t="s">
        <v>15735</v>
      </c>
      <c r="AB2895" t="s">
        <v>19979</v>
      </c>
    </row>
    <row r="2896" spans="1:28" x14ac:dyDescent="0.25">
      <c r="A2896" t="s">
        <v>2900</v>
      </c>
      <c r="B2896">
        <v>0.99876560204751996</v>
      </c>
      <c r="C2896">
        <v>0.91622820487507906</v>
      </c>
      <c r="D2896">
        <v>0.81092126806101394</v>
      </c>
      <c r="E2896">
        <v>0.47680292557419901</v>
      </c>
      <c r="F2896">
        <v>0.28648694520501899</v>
      </c>
      <c r="G2896">
        <v>0.21495331559939801</v>
      </c>
      <c r="H2896">
        <v>0.13595113649373999</v>
      </c>
      <c r="I2896">
        <v>0.13079403011378399</v>
      </c>
      <c r="J2896">
        <v>0.106298231357443</v>
      </c>
      <c r="K2896">
        <v>7.2554673662061295E-2</v>
      </c>
      <c r="L2896">
        <v>842.68199303154302</v>
      </c>
      <c r="M2896">
        <v>17.127276335893299</v>
      </c>
      <c r="N2896">
        <v>49.848750849773502</v>
      </c>
      <c r="O2896">
        <v>48.545128125458398</v>
      </c>
      <c r="P2896">
        <v>-7.9410070874084498E-2</v>
      </c>
      <c r="Q2896">
        <v>9.9742327553343293E-2</v>
      </c>
      <c r="R2896">
        <v>0.99660199888839895</v>
      </c>
      <c r="S2896" t="s">
        <v>7192</v>
      </c>
      <c r="T2896" t="s">
        <v>8590</v>
      </c>
      <c r="U2896" t="s">
        <v>8590</v>
      </c>
      <c r="V2896" t="s">
        <v>8590</v>
      </c>
      <c r="W2896">
        <v>15</v>
      </c>
      <c r="X2896" t="s">
        <v>11486</v>
      </c>
      <c r="Y2896">
        <v>0.39298451071662771</v>
      </c>
      <c r="Z2896" t="str">
        <f>HYPERLINK("Melting_Curves/meltCurve_sp_Q9BTZ2_DHRS4_HUMAN_.pdf", "Melting_Curves/meltCurve_sp_Q9BTZ2_DHRS4_HUMAN_.pdf")</f>
        <v>Melting_Curves/meltCurve_sp_Q9BTZ2_DHRS4_HUMAN_.pdf</v>
      </c>
      <c r="AA2896" t="s">
        <v>15736</v>
      </c>
      <c r="AB2896" t="s">
        <v>19980</v>
      </c>
    </row>
    <row r="2897" spans="1:28" x14ac:dyDescent="0.25">
      <c r="A2897" t="s">
        <v>2901</v>
      </c>
      <c r="B2897">
        <v>0.99876560204751996</v>
      </c>
      <c r="C2897">
        <v>0.91963466485891598</v>
      </c>
      <c r="D2897">
        <v>0.94589211391123296</v>
      </c>
      <c r="E2897">
        <v>0.812990656922852</v>
      </c>
      <c r="F2897">
        <v>0.57971800108864302</v>
      </c>
      <c r="G2897">
        <v>0.38429214539121798</v>
      </c>
      <c r="H2897">
        <v>0.22151504769410199</v>
      </c>
      <c r="I2897">
        <v>0.20166788103337999</v>
      </c>
      <c r="J2897">
        <v>0.21538451185760699</v>
      </c>
      <c r="K2897">
        <v>0.18297746792309699</v>
      </c>
      <c r="L2897">
        <v>926.86516381630304</v>
      </c>
      <c r="M2897">
        <v>17.439279663819999</v>
      </c>
      <c r="N2897">
        <v>54.445920504786997</v>
      </c>
      <c r="O2897">
        <v>52.4640581203561</v>
      </c>
      <c r="P2897">
        <v>-6.8972841163886703E-2</v>
      </c>
      <c r="Q2897">
        <v>0.17005910050052001</v>
      </c>
      <c r="R2897">
        <v>0.99341795439006197</v>
      </c>
      <c r="S2897" t="s">
        <v>7193</v>
      </c>
      <c r="T2897" t="s">
        <v>8590</v>
      </c>
      <c r="U2897" t="s">
        <v>8590</v>
      </c>
      <c r="V2897" t="s">
        <v>8590</v>
      </c>
      <c r="W2897">
        <v>4</v>
      </c>
      <c r="X2897" t="s">
        <v>11487</v>
      </c>
      <c r="Y2897">
        <v>0.54803715366613148</v>
      </c>
      <c r="Z2897" t="str">
        <f>HYPERLINK("Melting_Curves/meltCurve_sp_Q9BU02_THTPA_HUMAN_.pdf", "Melting_Curves/meltCurve_sp_Q9BU02_THTPA_HUMAN_.pdf")</f>
        <v>Melting_Curves/meltCurve_sp_Q9BU02_THTPA_HUMAN_.pdf</v>
      </c>
      <c r="AA2897" t="s">
        <v>15737</v>
      </c>
      <c r="AB2897" t="s">
        <v>19981</v>
      </c>
    </row>
    <row r="2898" spans="1:28" x14ac:dyDescent="0.25">
      <c r="A2898" t="s">
        <v>2902</v>
      </c>
      <c r="B2898">
        <v>0.99876560204751996</v>
      </c>
      <c r="C2898">
        <v>0.99658760239824595</v>
      </c>
      <c r="D2898">
        <v>1.01526986253393</v>
      </c>
      <c r="E2898">
        <v>0.91054320557922397</v>
      </c>
      <c r="F2898">
        <v>0.691582671982092</v>
      </c>
      <c r="G2898">
        <v>0.41248475054526801</v>
      </c>
      <c r="H2898">
        <v>0.34175069598464902</v>
      </c>
      <c r="I2898">
        <v>0.29183224473305802</v>
      </c>
      <c r="J2898">
        <v>0.29734177864921402</v>
      </c>
      <c r="K2898">
        <v>0.36560084983878299</v>
      </c>
      <c r="L2898">
        <v>1555.6578419974101</v>
      </c>
      <c r="M2898">
        <v>29.163275432814999</v>
      </c>
      <c r="N2898">
        <v>55.263858107046403</v>
      </c>
      <c r="O2898">
        <v>53.094099169584098</v>
      </c>
      <c r="P2898">
        <v>-9.3576444901113096E-2</v>
      </c>
      <c r="Q2898">
        <v>0.31855089005656401</v>
      </c>
      <c r="R2898">
        <v>0.99541244408233798</v>
      </c>
      <c r="S2898" t="s">
        <v>7194</v>
      </c>
      <c r="T2898" t="s">
        <v>8590</v>
      </c>
      <c r="U2898" t="s">
        <v>8590</v>
      </c>
      <c r="V2898" t="s">
        <v>8590</v>
      </c>
      <c r="W2898">
        <v>3</v>
      </c>
      <c r="X2898" t="s">
        <v>11488</v>
      </c>
      <c r="Y2898">
        <v>0.62632864320617232</v>
      </c>
      <c r="Z2898" t="str">
        <f>HYPERLINK("Melting_Curves/meltCurve_sp_Q9BU89_DOHH_HUMAN_.pdf", "Melting_Curves/meltCurve_sp_Q9BU89_DOHH_HUMAN_.pdf")</f>
        <v>Melting_Curves/meltCurve_sp_Q9BU89_DOHH_HUMAN_.pdf</v>
      </c>
      <c r="AA2898" t="s">
        <v>15738</v>
      </c>
      <c r="AB2898" t="s">
        <v>19982</v>
      </c>
    </row>
    <row r="2899" spans="1:28" x14ac:dyDescent="0.25">
      <c r="A2899" t="s">
        <v>2903</v>
      </c>
      <c r="B2899">
        <v>0.99876560204751996</v>
      </c>
      <c r="C2899">
        <v>0.94519696268951603</v>
      </c>
      <c r="D2899">
        <v>1.0014366475166001</v>
      </c>
      <c r="E2899">
        <v>0.86498790916170298</v>
      </c>
      <c r="F2899">
        <v>0.71582010857626499</v>
      </c>
      <c r="G2899">
        <v>0.60527482985927705</v>
      </c>
      <c r="H2899">
        <v>0.354888201187124</v>
      </c>
      <c r="I2899">
        <v>0.24109969424614899</v>
      </c>
      <c r="J2899">
        <v>0.19431372395431501</v>
      </c>
      <c r="K2899">
        <v>0.12713983199339299</v>
      </c>
      <c r="L2899">
        <v>671.03482000483802</v>
      </c>
      <c r="M2899">
        <v>11.537571784575199</v>
      </c>
      <c r="N2899">
        <v>58.180554075541302</v>
      </c>
      <c r="O2899">
        <v>56.495926733272199</v>
      </c>
      <c r="P2899">
        <v>-5.0969457086686903E-2</v>
      </c>
      <c r="Q2899">
        <v>1.9533404374485102E-3</v>
      </c>
      <c r="R2899">
        <v>0.99261782623620498</v>
      </c>
      <c r="S2899" t="s">
        <v>7195</v>
      </c>
      <c r="T2899" t="s">
        <v>8590</v>
      </c>
      <c r="U2899" t="s">
        <v>8590</v>
      </c>
      <c r="V2899" t="s">
        <v>8590</v>
      </c>
      <c r="W2899">
        <v>2</v>
      </c>
      <c r="X2899" t="s">
        <v>11489</v>
      </c>
      <c r="Y2899">
        <v>0.61760917393286663</v>
      </c>
      <c r="Z2899" t="str">
        <f>HYPERLINK("Melting_Curves/meltCurve_sp_Q9BUE6_ISCA1_HUMAN_.pdf", "Melting_Curves/meltCurve_sp_Q9BUE6_ISCA1_HUMAN_.pdf")</f>
        <v>Melting_Curves/meltCurve_sp_Q9BUE6_ISCA1_HUMAN_.pdf</v>
      </c>
      <c r="AA2899" t="s">
        <v>15739</v>
      </c>
      <c r="AB2899" t="s">
        <v>19983</v>
      </c>
    </row>
    <row r="2900" spans="1:28" x14ac:dyDescent="0.25">
      <c r="A2900" t="s">
        <v>2904</v>
      </c>
      <c r="B2900">
        <v>0.99876560204751996</v>
      </c>
      <c r="C2900">
        <v>0.97433164133627004</v>
      </c>
      <c r="D2900">
        <v>0.94382918993395903</v>
      </c>
      <c r="E2900">
        <v>0.82902047967847503</v>
      </c>
      <c r="F2900">
        <v>0.79833380227724704</v>
      </c>
      <c r="G2900">
        <v>0.62439759059733602</v>
      </c>
      <c r="H2900">
        <v>0.488139332190759</v>
      </c>
      <c r="I2900">
        <v>0.44468927124941499</v>
      </c>
      <c r="J2900">
        <v>0.43621343710833999</v>
      </c>
      <c r="K2900">
        <v>0.296587531768847</v>
      </c>
      <c r="L2900">
        <v>536.55583301864795</v>
      </c>
      <c r="M2900">
        <v>9.2206198087760303</v>
      </c>
      <c r="N2900">
        <v>61.494433387709698</v>
      </c>
      <c r="O2900">
        <v>55.650096250622497</v>
      </c>
      <c r="P2900">
        <v>-3.3353793928213499E-2</v>
      </c>
      <c r="Q2900">
        <v>0.19531966684965699</v>
      </c>
      <c r="R2900">
        <v>0.98776620058104903</v>
      </c>
      <c r="S2900" t="s">
        <v>7196</v>
      </c>
      <c r="T2900" t="s">
        <v>8590</v>
      </c>
      <c r="U2900" t="s">
        <v>8590</v>
      </c>
      <c r="V2900" t="s">
        <v>8590</v>
      </c>
      <c r="W2900">
        <v>7</v>
      </c>
      <c r="X2900" t="s">
        <v>11490</v>
      </c>
      <c r="Y2900">
        <v>0.68856852098053278</v>
      </c>
      <c r="Z2900" t="str">
        <f>HYPERLINK("Melting_Curves/meltCurve_sp_Q9BUH6_CI142_HUMAN_.pdf", "Melting_Curves/meltCurve_sp_Q9BUH6_CI142_HUMAN_.pdf")</f>
        <v>Melting_Curves/meltCurve_sp_Q9BUH6_CI142_HUMAN_.pdf</v>
      </c>
      <c r="AA2900" t="s">
        <v>15740</v>
      </c>
      <c r="AB2900" t="s">
        <v>19984</v>
      </c>
    </row>
    <row r="2901" spans="1:28" x14ac:dyDescent="0.25">
      <c r="A2901" t="s">
        <v>2905</v>
      </c>
      <c r="B2901">
        <v>0.99876560204751996</v>
      </c>
      <c r="C2901">
        <v>0.94719839806306605</v>
      </c>
      <c r="D2901">
        <v>0.98183586293917802</v>
      </c>
      <c r="E2901">
        <v>0.79482106340695902</v>
      </c>
      <c r="F2901">
        <v>0.69804419002097395</v>
      </c>
      <c r="G2901">
        <v>0.46401219398094701</v>
      </c>
      <c r="H2901">
        <v>0.353231194717118</v>
      </c>
      <c r="I2901">
        <v>0.293428158535668</v>
      </c>
      <c r="J2901">
        <v>0.35126396568831397</v>
      </c>
      <c r="K2901">
        <v>0.335946998780494</v>
      </c>
      <c r="L2901">
        <v>943.75889982994704</v>
      </c>
      <c r="M2901">
        <v>17.7450759137114</v>
      </c>
      <c r="N2901">
        <v>56.156710926192197</v>
      </c>
      <c r="O2901">
        <v>52.522636311111597</v>
      </c>
      <c r="P2901">
        <v>-5.8744104058227498E-2</v>
      </c>
      <c r="Q2901">
        <v>0.30454302981353598</v>
      </c>
      <c r="R2901">
        <v>0.98912997381780698</v>
      </c>
      <c r="S2901" t="s">
        <v>7197</v>
      </c>
      <c r="T2901" t="s">
        <v>8590</v>
      </c>
      <c r="U2901" t="s">
        <v>8590</v>
      </c>
      <c r="V2901" t="s">
        <v>8590</v>
      </c>
      <c r="W2901">
        <v>21</v>
      </c>
      <c r="X2901" t="s">
        <v>11491</v>
      </c>
      <c r="Y2901">
        <v>0.62178284191849287</v>
      </c>
      <c r="Z2901" t="str">
        <f>HYPERLINK("Melting_Curves/meltCurve_sp_Q9BUJ2_2_HNRL1_HUMAN_.pdf", "Melting_Curves/meltCurve_sp_Q9BUJ2_2_HNRL1_HUMAN_.pdf")</f>
        <v>Melting_Curves/meltCurve_sp_Q9BUJ2_2_HNRL1_HUMAN_.pdf</v>
      </c>
      <c r="AA2901" t="s">
        <v>15741</v>
      </c>
      <c r="AB2901" t="s">
        <v>19985</v>
      </c>
    </row>
    <row r="2902" spans="1:28" x14ac:dyDescent="0.25">
      <c r="A2902" t="s">
        <v>2906</v>
      </c>
      <c r="B2902">
        <v>0.99876560204751996</v>
      </c>
      <c r="C2902">
        <v>0.85189874640542596</v>
      </c>
      <c r="D2902">
        <v>0.53219394757803395</v>
      </c>
      <c r="E2902">
        <v>0.86586217115452202</v>
      </c>
      <c r="F2902">
        <v>0.33658339149393701</v>
      </c>
      <c r="G2902">
        <v>0.26803130593177799</v>
      </c>
      <c r="H2902">
        <v>0</v>
      </c>
      <c r="I2902">
        <v>0.20258640776544801</v>
      </c>
      <c r="J2902">
        <v>0.32679595249518001</v>
      </c>
      <c r="K2902">
        <v>0</v>
      </c>
      <c r="L2902">
        <v>489.72271037215</v>
      </c>
      <c r="M2902">
        <v>9.6046495051371199</v>
      </c>
      <c r="N2902">
        <v>51.313683123445202</v>
      </c>
      <c r="O2902">
        <v>48.924763241904202</v>
      </c>
      <c r="P2902">
        <v>-4.7654840235581399E-2</v>
      </c>
      <c r="Q2902">
        <v>2.95617572543709E-2</v>
      </c>
      <c r="R2902">
        <v>0.78963850723364504</v>
      </c>
      <c r="S2902" t="s">
        <v>7198</v>
      </c>
      <c r="T2902" t="s">
        <v>8590</v>
      </c>
      <c r="U2902" t="s">
        <v>8590</v>
      </c>
      <c r="V2902" t="s">
        <v>8590</v>
      </c>
      <c r="W2902">
        <v>1</v>
      </c>
      <c r="X2902" t="s">
        <v>11492</v>
      </c>
      <c r="Y2902">
        <v>0.42743836199595819</v>
      </c>
      <c r="Z2902" t="str">
        <f>HYPERLINK("Melting_Curves/meltCurve_sp_Q9BUK6_4_MSTO1_HUMAN_.pdf", "Melting_Curves/meltCurve_sp_Q9BUK6_4_MSTO1_HUMAN_.pdf")</f>
        <v>Melting_Curves/meltCurve_sp_Q9BUK6_4_MSTO1_HUMAN_.pdf</v>
      </c>
      <c r="AA2902" t="s">
        <v>15742</v>
      </c>
      <c r="AB2902" t="s">
        <v>19986</v>
      </c>
    </row>
    <row r="2903" spans="1:28" x14ac:dyDescent="0.25">
      <c r="A2903" t="s">
        <v>2907</v>
      </c>
      <c r="B2903">
        <v>0.99876560204751996</v>
      </c>
      <c r="C2903">
        <v>1.0014959665371299</v>
      </c>
      <c r="D2903">
        <v>1.0378747437101901</v>
      </c>
      <c r="E2903">
        <v>0.83662275753681603</v>
      </c>
      <c r="F2903">
        <v>0.89344837818151102</v>
      </c>
      <c r="G2903">
        <v>0.62424177225629696</v>
      </c>
      <c r="H2903">
        <v>0.51371040064151097</v>
      </c>
      <c r="I2903">
        <v>0.45977851363807298</v>
      </c>
      <c r="J2903">
        <v>0.52739803800959995</v>
      </c>
      <c r="K2903">
        <v>0.39405022753812002</v>
      </c>
      <c r="L2903">
        <v>966.34503848110705</v>
      </c>
      <c r="M2903">
        <v>17.412329931493598</v>
      </c>
      <c r="N2903">
        <v>62.271722669170302</v>
      </c>
      <c r="O2903">
        <v>54.781261133759699</v>
      </c>
      <c r="P2903">
        <v>-4.5711657828454898E-2</v>
      </c>
      <c r="Q2903">
        <v>0.42477509888372</v>
      </c>
      <c r="R2903">
        <v>0.95683626708026903</v>
      </c>
      <c r="S2903" t="s">
        <v>7199</v>
      </c>
      <c r="T2903" t="s">
        <v>8590</v>
      </c>
      <c r="U2903" t="s">
        <v>8590</v>
      </c>
      <c r="V2903" t="s">
        <v>8590</v>
      </c>
      <c r="W2903">
        <v>10</v>
      </c>
      <c r="X2903" t="s">
        <v>11493</v>
      </c>
      <c r="Y2903">
        <v>0.73100291444756149</v>
      </c>
      <c r="Z2903" t="str">
        <f>HYPERLINK("Melting_Curves/meltCurve_sp_Q9BUP0_EFHD1_HUMAN_.pdf", "Melting_Curves/meltCurve_sp_Q9BUP0_EFHD1_HUMAN_.pdf")</f>
        <v>Melting_Curves/meltCurve_sp_Q9BUP0_EFHD1_HUMAN_.pdf</v>
      </c>
      <c r="AA2903" t="s">
        <v>15743</v>
      </c>
      <c r="AB2903" t="s">
        <v>19987</v>
      </c>
    </row>
    <row r="2904" spans="1:28" x14ac:dyDescent="0.25">
      <c r="A2904" t="s">
        <v>2908</v>
      </c>
      <c r="B2904">
        <v>0.99876560204751996</v>
      </c>
      <c r="C2904">
        <v>1.03313093767529</v>
      </c>
      <c r="D2904">
        <v>0.725957904023534</v>
      </c>
      <c r="E2904">
        <v>0.35731267515072801</v>
      </c>
      <c r="F2904">
        <v>0.212064936324554</v>
      </c>
      <c r="G2904">
        <v>0.113719622377926</v>
      </c>
      <c r="H2904">
        <v>0.103658135878452</v>
      </c>
      <c r="I2904">
        <v>5.0037772377706E-2</v>
      </c>
      <c r="J2904">
        <v>6.4787982514488904E-2</v>
      </c>
      <c r="K2904">
        <v>5.6906641521482997E-2</v>
      </c>
      <c r="L2904">
        <v>1067.4504669156399</v>
      </c>
      <c r="M2904">
        <v>22.1296103655995</v>
      </c>
      <c r="N2904">
        <v>48.577098380848902</v>
      </c>
      <c r="O2904">
        <v>47.847587960936501</v>
      </c>
      <c r="P2904">
        <v>-0.107314256418895</v>
      </c>
      <c r="Q2904">
        <v>7.1901194172604599E-2</v>
      </c>
      <c r="R2904">
        <v>0.99159726642675705</v>
      </c>
      <c r="S2904" t="s">
        <v>7200</v>
      </c>
      <c r="T2904" t="s">
        <v>8590</v>
      </c>
      <c r="U2904" t="s">
        <v>8590</v>
      </c>
      <c r="V2904" t="s">
        <v>8590</v>
      </c>
      <c r="W2904">
        <v>2</v>
      </c>
      <c r="X2904" t="s">
        <v>11494</v>
      </c>
      <c r="Y2904">
        <v>0.33731387984813999</v>
      </c>
      <c r="Z2904" t="str">
        <f>HYPERLINK("Melting_Curves/meltCurve_sp_Q9BUP3_HTAI2_HUMAN_.pdf", "Melting_Curves/meltCurve_sp_Q9BUP3_HTAI2_HUMAN_.pdf")</f>
        <v>Melting_Curves/meltCurve_sp_Q9BUP3_HTAI2_HUMAN_.pdf</v>
      </c>
      <c r="AA2904" t="s">
        <v>15744</v>
      </c>
      <c r="AB2904" t="s">
        <v>19988</v>
      </c>
    </row>
    <row r="2905" spans="1:28" x14ac:dyDescent="0.25">
      <c r="A2905" t="s">
        <v>2909</v>
      </c>
      <c r="B2905">
        <v>0.99876560204751996</v>
      </c>
      <c r="C2905">
        <v>1.09085391757451</v>
      </c>
      <c r="D2905">
        <v>1.1838752614380901</v>
      </c>
      <c r="E2905">
        <v>0.86145734088757797</v>
      </c>
      <c r="F2905">
        <v>0.66863758764787395</v>
      </c>
      <c r="G2905">
        <v>0.38194942371283203</v>
      </c>
      <c r="H2905">
        <v>0.37347385113748699</v>
      </c>
      <c r="I2905">
        <v>0.29519899630492902</v>
      </c>
      <c r="J2905">
        <v>0.26370846681695798</v>
      </c>
      <c r="K2905">
        <v>0.23960243828472699</v>
      </c>
      <c r="L2905">
        <v>1423.83635701241</v>
      </c>
      <c r="M2905">
        <v>26.712681192982298</v>
      </c>
      <c r="N2905">
        <v>55.005469745623699</v>
      </c>
      <c r="O2905">
        <v>53.005860058132697</v>
      </c>
      <c r="P2905">
        <v>-9.0538031369925803E-2</v>
      </c>
      <c r="Q2905">
        <v>0.28139050932576498</v>
      </c>
      <c r="R2905">
        <v>0.956095848945405</v>
      </c>
      <c r="S2905" t="s">
        <v>7201</v>
      </c>
      <c r="T2905" t="s">
        <v>8590</v>
      </c>
      <c r="U2905" t="s">
        <v>8590</v>
      </c>
      <c r="V2905" t="s">
        <v>8590</v>
      </c>
      <c r="W2905">
        <v>2</v>
      </c>
      <c r="X2905" t="s">
        <v>11495</v>
      </c>
      <c r="Y2905">
        <v>0.60587162220111013</v>
      </c>
      <c r="Z2905" t="str">
        <f>HYPERLINK("Melting_Curves/meltCurve_sp_Q9BUQ8_DDX23_HUMAN_.pdf", "Melting_Curves/meltCurve_sp_Q9BUQ8_DDX23_HUMAN_.pdf")</f>
        <v>Melting_Curves/meltCurve_sp_Q9BUQ8_DDX23_HUMAN_.pdf</v>
      </c>
      <c r="AA2905" t="s">
        <v>15745</v>
      </c>
      <c r="AB2905" t="s">
        <v>19989</v>
      </c>
    </row>
    <row r="2906" spans="1:28" x14ac:dyDescent="0.25">
      <c r="A2906" t="s">
        <v>2910</v>
      </c>
      <c r="B2906">
        <v>0.99876560204751996</v>
      </c>
      <c r="C2906">
        <v>0.999611294614691</v>
      </c>
      <c r="D2906">
        <v>0.95222722121992298</v>
      </c>
      <c r="E2906">
        <v>0.72055753074327</v>
      </c>
      <c r="F2906">
        <v>0.16217513167546399</v>
      </c>
      <c r="G2906">
        <v>8.9379868414652106E-2</v>
      </c>
      <c r="H2906">
        <v>4.3500736301643098E-2</v>
      </c>
      <c r="I2906">
        <v>2.7489011170932099E-2</v>
      </c>
      <c r="J2906">
        <v>2.1908886265696498E-2</v>
      </c>
      <c r="K2906">
        <v>1.7165102187848301E-2</v>
      </c>
      <c r="L2906">
        <v>2374.0822925784901</v>
      </c>
      <c r="M2906">
        <v>46.612954524576601</v>
      </c>
      <c r="N2906">
        <v>51.016045769146501</v>
      </c>
      <c r="O2906">
        <v>50.838335994750601</v>
      </c>
      <c r="P2906">
        <v>-0.22073192269697101</v>
      </c>
      <c r="Q2906">
        <v>3.7037567670659799E-2</v>
      </c>
      <c r="R2906">
        <v>0.99746055520460997</v>
      </c>
      <c r="S2906" t="s">
        <v>7202</v>
      </c>
      <c r="T2906" t="s">
        <v>8590</v>
      </c>
      <c r="U2906" t="s">
        <v>8590</v>
      </c>
      <c r="V2906" t="s">
        <v>8590</v>
      </c>
      <c r="W2906">
        <v>12</v>
      </c>
      <c r="X2906" t="s">
        <v>11496</v>
      </c>
      <c r="Y2906">
        <v>0.39042628515846078</v>
      </c>
      <c r="Z2906" t="str">
        <f>HYPERLINK("Melting_Curves/meltCurve_sp_Q9BUT1_BDH2_HUMAN_.pdf", "Melting_Curves/meltCurve_sp_Q9BUT1_BDH2_HUMAN_.pdf")</f>
        <v>Melting_Curves/meltCurve_sp_Q9BUT1_BDH2_HUMAN_.pdf</v>
      </c>
      <c r="AA2906" t="s">
        <v>15746</v>
      </c>
      <c r="AB2906" t="s">
        <v>19990</v>
      </c>
    </row>
    <row r="2907" spans="1:28" x14ac:dyDescent="0.25">
      <c r="A2907" t="s">
        <v>2911</v>
      </c>
      <c r="B2907">
        <v>0.99876560204751996</v>
      </c>
      <c r="C2907">
        <v>1.0565599639630101</v>
      </c>
      <c r="D2907">
        <v>0.857479840935643</v>
      </c>
      <c r="E2907">
        <v>0.99962034150608203</v>
      </c>
      <c r="F2907">
        <v>0.85289722246092003</v>
      </c>
      <c r="G2907">
        <v>0.71384970012439297</v>
      </c>
      <c r="H2907">
        <v>0.43283401670355298</v>
      </c>
      <c r="I2907">
        <v>0.470060262405401</v>
      </c>
      <c r="J2907">
        <v>0.24592717050890001</v>
      </c>
      <c r="K2907">
        <v>0.33408313068892498</v>
      </c>
      <c r="L2907">
        <v>970.46292697482295</v>
      </c>
      <c r="M2907">
        <v>16.712301204247801</v>
      </c>
      <c r="N2907">
        <v>60.686814073945101</v>
      </c>
      <c r="O2907">
        <v>57.256469068699197</v>
      </c>
      <c r="P2907">
        <v>-5.4231436266854199E-2</v>
      </c>
      <c r="Q2907">
        <v>0.25685988874014698</v>
      </c>
      <c r="R2907">
        <v>0.94785505149110905</v>
      </c>
      <c r="S2907" t="s">
        <v>7203</v>
      </c>
      <c r="T2907" t="s">
        <v>8590</v>
      </c>
      <c r="U2907" t="s">
        <v>8590</v>
      </c>
      <c r="V2907" t="s">
        <v>8590</v>
      </c>
      <c r="W2907">
        <v>3</v>
      </c>
      <c r="X2907" t="s">
        <v>11497</v>
      </c>
      <c r="Y2907">
        <v>0.71396253084797501</v>
      </c>
      <c r="Z2907" t="str">
        <f>HYPERLINK("Melting_Curves/meltCurve_sp_Q9BUT9_F195A_HUMAN_.pdf", "Melting_Curves/meltCurve_sp_Q9BUT9_F195A_HUMAN_.pdf")</f>
        <v>Melting_Curves/meltCurve_sp_Q9BUT9_F195A_HUMAN_.pdf</v>
      </c>
      <c r="AA2907" t="s">
        <v>15747</v>
      </c>
      <c r="AB2907" t="s">
        <v>19991</v>
      </c>
    </row>
    <row r="2908" spans="1:28" x14ac:dyDescent="0.25">
      <c r="A2908" t="s">
        <v>2912</v>
      </c>
      <c r="B2908">
        <v>0.99876560204751996</v>
      </c>
      <c r="C2908">
        <v>1.05639383202604</v>
      </c>
      <c r="D2908">
        <v>0.93382025781544598</v>
      </c>
      <c r="E2908">
        <v>0.88909077940910897</v>
      </c>
      <c r="F2908">
        <v>0.33498198157572401</v>
      </c>
      <c r="G2908">
        <v>0.235892958081036</v>
      </c>
      <c r="H2908">
        <v>0.35309208644677698</v>
      </c>
      <c r="I2908">
        <v>0.44018113331498898</v>
      </c>
      <c r="J2908">
        <v>0.45017919383509403</v>
      </c>
      <c r="K2908">
        <v>0.45808878137162901</v>
      </c>
      <c r="L2908">
        <v>12576.3192623784</v>
      </c>
      <c r="M2908">
        <v>250</v>
      </c>
      <c r="N2908">
        <v>50.591976141444498</v>
      </c>
      <c r="O2908">
        <v>50.302058745094101</v>
      </c>
      <c r="P2908">
        <v>-0.77191703242782495</v>
      </c>
      <c r="Q2908">
        <v>0.37873575725200598</v>
      </c>
      <c r="R2908">
        <v>0.94874802564307903</v>
      </c>
      <c r="S2908" t="s">
        <v>7204</v>
      </c>
      <c r="T2908" t="s">
        <v>8590</v>
      </c>
      <c r="U2908" t="s">
        <v>8590</v>
      </c>
      <c r="V2908" t="s">
        <v>8590</v>
      </c>
      <c r="W2908">
        <v>6</v>
      </c>
      <c r="X2908" t="s">
        <v>11498</v>
      </c>
      <c r="Y2908">
        <v>0.59220061030133975</v>
      </c>
      <c r="Z2908" t="str">
        <f>HYPERLINK("Melting_Curves/meltCurve_sp_Q9BV19_CA050_HUMAN_.pdf", "Melting_Curves/meltCurve_sp_Q9BV19_CA050_HUMAN_.pdf")</f>
        <v>Melting_Curves/meltCurve_sp_Q9BV19_CA050_HUMAN_.pdf</v>
      </c>
      <c r="AA2908" t="s">
        <v>15748</v>
      </c>
      <c r="AB2908" t="s">
        <v>19992</v>
      </c>
    </row>
    <row r="2909" spans="1:28" x14ac:dyDescent="0.25">
      <c r="A2909" t="s">
        <v>2913</v>
      </c>
      <c r="B2909">
        <v>0.99876560204751996</v>
      </c>
      <c r="C2909">
        <v>1.2888362751059199</v>
      </c>
      <c r="D2909">
        <v>1.1553046990932201</v>
      </c>
      <c r="E2909">
        <v>1.1877161863246299</v>
      </c>
      <c r="F2909">
        <v>1.04293465118796</v>
      </c>
      <c r="G2909">
        <v>0.70022115001932905</v>
      </c>
      <c r="H2909">
        <v>0.18406494056075601</v>
      </c>
      <c r="I2909">
        <v>0.13163595440869499</v>
      </c>
      <c r="J2909">
        <v>6.2162581915023503E-2</v>
      </c>
      <c r="K2909">
        <v>6.5386509387248104E-2</v>
      </c>
      <c r="L2909">
        <v>2539.8550461222098</v>
      </c>
      <c r="M2909">
        <v>43.784101161289897</v>
      </c>
      <c r="N2909">
        <v>58.245174103008303</v>
      </c>
      <c r="O2909">
        <v>57.888019406914196</v>
      </c>
      <c r="P2909">
        <v>-0.17368744263248301</v>
      </c>
      <c r="Q2909">
        <v>8.1456212639996098E-2</v>
      </c>
      <c r="R2909">
        <v>0.93796554320602998</v>
      </c>
      <c r="S2909" t="s">
        <v>7205</v>
      </c>
      <c r="T2909" t="s">
        <v>8590</v>
      </c>
      <c r="U2909" t="s">
        <v>8590</v>
      </c>
      <c r="V2909" t="s">
        <v>8590</v>
      </c>
      <c r="W2909">
        <v>10</v>
      </c>
      <c r="X2909" t="s">
        <v>11499</v>
      </c>
      <c r="Y2909">
        <v>0.63588198128775419</v>
      </c>
      <c r="Z2909" t="str">
        <f>HYPERLINK("Melting_Curves/meltCurve_sp_Q9BV20_MTNA_HUMAN_.pdf", "Melting_Curves/meltCurve_sp_Q9BV20_MTNA_HUMAN_.pdf")</f>
        <v>Melting_Curves/meltCurve_sp_Q9BV20_MTNA_HUMAN_.pdf</v>
      </c>
      <c r="AA2909" t="s">
        <v>15749</v>
      </c>
      <c r="AB2909" t="s">
        <v>19993</v>
      </c>
    </row>
    <row r="2910" spans="1:28" x14ac:dyDescent="0.25">
      <c r="A2910" t="s">
        <v>2914</v>
      </c>
      <c r="B2910">
        <v>0.99876560204751996</v>
      </c>
      <c r="C2910">
        <v>1.0115865333249201</v>
      </c>
      <c r="D2910">
        <v>0.85479098588032898</v>
      </c>
      <c r="E2910">
        <v>0.91327255382375105</v>
      </c>
      <c r="F2910">
        <v>0.667071838313816</v>
      </c>
      <c r="G2910">
        <v>0.44192807028888498</v>
      </c>
      <c r="H2910">
        <v>0.18861157490309</v>
      </c>
      <c r="I2910">
        <v>5.2622884816337798E-2</v>
      </c>
      <c r="J2910">
        <v>2.6934166678719201E-2</v>
      </c>
      <c r="K2910">
        <v>0</v>
      </c>
      <c r="L2910">
        <v>957.47203239221199</v>
      </c>
      <c r="M2910">
        <v>17.2094742632441</v>
      </c>
      <c r="N2910">
        <v>55.636336460481601</v>
      </c>
      <c r="O2910">
        <v>54.901399461174798</v>
      </c>
      <c r="P2910">
        <v>-7.8369986900314201E-2</v>
      </c>
      <c r="Q2910">
        <v>0</v>
      </c>
      <c r="R2910">
        <v>0.98611172052198504</v>
      </c>
      <c r="S2910" t="s">
        <v>7206</v>
      </c>
      <c r="T2910" t="s">
        <v>8590</v>
      </c>
      <c r="U2910" t="s">
        <v>8590</v>
      </c>
      <c r="V2910" t="s">
        <v>8590</v>
      </c>
      <c r="W2910">
        <v>3</v>
      </c>
      <c r="X2910" t="s">
        <v>11500</v>
      </c>
      <c r="Y2910">
        <v>0.53707923645948585</v>
      </c>
      <c r="Z2910" t="str">
        <f>HYPERLINK("Melting_Curves/meltCurve_sp_Q9BV44_THUM3_HUMAN_.pdf", "Melting_Curves/meltCurve_sp_Q9BV44_THUM3_HUMAN_.pdf")</f>
        <v>Melting_Curves/meltCurve_sp_Q9BV44_THUM3_HUMAN_.pdf</v>
      </c>
      <c r="AA2910" t="s">
        <v>15750</v>
      </c>
      <c r="AB2910" t="s">
        <v>19994</v>
      </c>
    </row>
    <row r="2911" spans="1:28" x14ac:dyDescent="0.25">
      <c r="A2911" t="s">
        <v>2915</v>
      </c>
      <c r="B2911">
        <v>0.99876560204751996</v>
      </c>
      <c r="C2911">
        <v>0.92531785006488998</v>
      </c>
      <c r="D2911">
        <v>1.0228254927987801</v>
      </c>
      <c r="E2911">
        <v>0.84712474627530499</v>
      </c>
      <c r="F2911">
        <v>0.58712112154679796</v>
      </c>
      <c r="G2911">
        <v>0.25640837854806497</v>
      </c>
      <c r="H2911">
        <v>0.13237940867186701</v>
      </c>
      <c r="I2911">
        <v>9.5926337985451401E-2</v>
      </c>
      <c r="J2911">
        <v>8.9431743721153603E-2</v>
      </c>
      <c r="K2911">
        <v>7.7086037769662705E-2</v>
      </c>
      <c r="L2911">
        <v>1260.8513726639101</v>
      </c>
      <c r="M2911">
        <v>23.570770542845398</v>
      </c>
      <c r="N2911">
        <v>53.886772591278401</v>
      </c>
      <c r="O2911">
        <v>53.111591877567903</v>
      </c>
      <c r="P2911">
        <v>-0.10215639606041101</v>
      </c>
      <c r="Q2911">
        <v>7.9267012902677403E-2</v>
      </c>
      <c r="R2911">
        <v>0.995404848680842</v>
      </c>
      <c r="S2911" t="s">
        <v>7207</v>
      </c>
      <c r="T2911" t="s">
        <v>8590</v>
      </c>
      <c r="U2911" t="s">
        <v>8590</v>
      </c>
      <c r="V2911" t="s">
        <v>8590</v>
      </c>
      <c r="W2911">
        <v>11</v>
      </c>
      <c r="X2911" t="s">
        <v>11501</v>
      </c>
      <c r="Y2911">
        <v>0.50282662879170181</v>
      </c>
      <c r="Z2911" t="str">
        <f>HYPERLINK("Melting_Curves/meltCurve_sp_Q9BV57_MTND_HUMAN_.pdf", "Melting_Curves/meltCurve_sp_Q9BV57_MTND_HUMAN_.pdf")</f>
        <v>Melting_Curves/meltCurve_sp_Q9BV57_MTND_HUMAN_.pdf</v>
      </c>
      <c r="AA2911" t="s">
        <v>15751</v>
      </c>
      <c r="AB2911" t="s">
        <v>19995</v>
      </c>
    </row>
    <row r="2912" spans="1:28" x14ac:dyDescent="0.25">
      <c r="A2912" t="s">
        <v>2916</v>
      </c>
      <c r="B2912">
        <v>0.99876560204751996</v>
      </c>
      <c r="C2912">
        <v>0.86841249102511897</v>
      </c>
      <c r="D2912">
        <v>0.910212544154123</v>
      </c>
      <c r="E2912">
        <v>0.54220535366744604</v>
      </c>
      <c r="F2912">
        <v>0.23156017845627999</v>
      </c>
      <c r="G2912">
        <v>0.12590581333734399</v>
      </c>
      <c r="H2912">
        <v>7.8414742421569206E-2</v>
      </c>
      <c r="I2912">
        <v>6.6296946226694201E-2</v>
      </c>
      <c r="J2912">
        <v>5.85220006506042E-2</v>
      </c>
      <c r="K2912">
        <v>4.8722267371973403E-2</v>
      </c>
      <c r="L2912">
        <v>1130.6525296315001</v>
      </c>
      <c r="M2912">
        <v>22.6155508111957</v>
      </c>
      <c r="N2912">
        <v>50.2584192767292</v>
      </c>
      <c r="O2912">
        <v>49.608482228685197</v>
      </c>
      <c r="P2912">
        <v>-0.10759053821684</v>
      </c>
      <c r="Q2912">
        <v>5.5994943440611303E-2</v>
      </c>
      <c r="R2912">
        <v>0.989997063540481</v>
      </c>
      <c r="S2912" t="s">
        <v>7208</v>
      </c>
      <c r="T2912" t="s">
        <v>8590</v>
      </c>
      <c r="U2912" t="s">
        <v>8590</v>
      </c>
      <c r="V2912" t="s">
        <v>8590</v>
      </c>
      <c r="W2912">
        <v>7</v>
      </c>
      <c r="X2912" t="s">
        <v>11502</v>
      </c>
      <c r="Y2912">
        <v>0.38080139093369841</v>
      </c>
      <c r="Z2912" t="str">
        <f>HYPERLINK("Melting_Curves/meltCurve_sp_Q9BV79_MECR_HUMAN_.pdf", "Melting_Curves/meltCurve_sp_Q9BV79_MECR_HUMAN_.pdf")</f>
        <v>Melting_Curves/meltCurve_sp_Q9BV79_MECR_HUMAN_.pdf</v>
      </c>
      <c r="AA2912" t="s">
        <v>15752</v>
      </c>
      <c r="AB2912" t="s">
        <v>19996</v>
      </c>
    </row>
    <row r="2913" spans="1:28" x14ac:dyDescent="0.25">
      <c r="A2913" t="s">
        <v>2917</v>
      </c>
      <c r="B2913">
        <v>0.99876560204751996</v>
      </c>
      <c r="C2913">
        <v>0.72398886799845896</v>
      </c>
      <c r="D2913">
        <v>0.58533434834104503</v>
      </c>
      <c r="E2913">
        <v>0.24662874078524999</v>
      </c>
      <c r="F2913">
        <v>0.14568964557206701</v>
      </c>
      <c r="G2913">
        <v>7.5734982223163397E-2</v>
      </c>
      <c r="H2913">
        <v>5.50373024899454E-2</v>
      </c>
      <c r="I2913">
        <v>5.0708813638322602E-2</v>
      </c>
      <c r="J2913">
        <v>5.1654967416551803E-2</v>
      </c>
      <c r="K2913">
        <v>3.5456398642000203E-2</v>
      </c>
      <c r="L2913">
        <v>757.165172098266</v>
      </c>
      <c r="M2913">
        <v>16.346825707762399</v>
      </c>
      <c r="N2913">
        <v>46.538012930673098</v>
      </c>
      <c r="O2913">
        <v>45.642258181970099</v>
      </c>
      <c r="P2913">
        <v>-8.6225998938302698E-2</v>
      </c>
      <c r="Q2913">
        <v>3.70569417774246E-2</v>
      </c>
      <c r="R2913">
        <v>0.98962786276168402</v>
      </c>
      <c r="S2913" t="s">
        <v>7209</v>
      </c>
      <c r="T2913" t="s">
        <v>8590</v>
      </c>
      <c r="U2913" t="s">
        <v>8590</v>
      </c>
      <c r="V2913" t="s">
        <v>8590</v>
      </c>
      <c r="W2913">
        <v>4</v>
      </c>
      <c r="X2913" t="s">
        <v>11503</v>
      </c>
      <c r="Y2913">
        <v>0.26270965444193051</v>
      </c>
      <c r="Z2913" t="str">
        <f>HYPERLINK("Melting_Curves/meltCurve_sp_Q9BV86_NTM1A_HUMAN_.pdf", "Melting_Curves/meltCurve_sp_Q9BV86_NTM1A_HUMAN_.pdf")</f>
        <v>Melting_Curves/meltCurve_sp_Q9BV86_NTM1A_HUMAN_.pdf</v>
      </c>
      <c r="AA2913" t="s">
        <v>15753</v>
      </c>
      <c r="AB2913" t="s">
        <v>19997</v>
      </c>
    </row>
    <row r="2914" spans="1:28" x14ac:dyDescent="0.25">
      <c r="A2914" t="s">
        <v>2918</v>
      </c>
      <c r="B2914">
        <v>0.99876560204751996</v>
      </c>
      <c r="C2914">
        <v>0.93340369517724098</v>
      </c>
      <c r="D2914">
        <v>0.989179104287637</v>
      </c>
      <c r="E2914">
        <v>0.917815903457045</v>
      </c>
      <c r="F2914">
        <v>0.87071496228456302</v>
      </c>
      <c r="G2914">
        <v>0.63786122169183201</v>
      </c>
      <c r="H2914">
        <v>0.369671501943798</v>
      </c>
      <c r="I2914">
        <v>0.26181063744197097</v>
      </c>
      <c r="J2914">
        <v>0.23882332984230201</v>
      </c>
      <c r="K2914">
        <v>0.21636064649497999</v>
      </c>
      <c r="L2914">
        <v>1105.24935931344</v>
      </c>
      <c r="M2914">
        <v>19.245814984722401</v>
      </c>
      <c r="N2914">
        <v>58.800974743686297</v>
      </c>
      <c r="O2914">
        <v>56.8188013489195</v>
      </c>
      <c r="P2914">
        <v>-6.9357393131818101E-2</v>
      </c>
      <c r="Q2914">
        <v>0.180984621556778</v>
      </c>
      <c r="R2914">
        <v>0.99338816453301304</v>
      </c>
      <c r="S2914" t="s">
        <v>7210</v>
      </c>
      <c r="T2914" t="s">
        <v>8590</v>
      </c>
      <c r="U2914" t="s">
        <v>8590</v>
      </c>
      <c r="V2914" t="s">
        <v>8590</v>
      </c>
      <c r="W2914">
        <v>11</v>
      </c>
      <c r="X2914" t="s">
        <v>11504</v>
      </c>
      <c r="Y2914">
        <v>0.6669193532665878</v>
      </c>
      <c r="Z2914" t="str">
        <f>HYPERLINK("Melting_Curves/meltCurve_sp_Q9BVG4_PBDC1_HUMAN_.pdf", "Melting_Curves/meltCurve_sp_Q9BVG4_PBDC1_HUMAN_.pdf")</f>
        <v>Melting_Curves/meltCurve_sp_Q9BVG4_PBDC1_HUMAN_.pdf</v>
      </c>
      <c r="AA2914" t="s">
        <v>15754</v>
      </c>
      <c r="AB2914" t="s">
        <v>19998</v>
      </c>
    </row>
    <row r="2915" spans="1:28" x14ac:dyDescent="0.25">
      <c r="A2915" t="s">
        <v>2919</v>
      </c>
      <c r="B2915">
        <v>0.99876560204751996</v>
      </c>
      <c r="C2915">
        <v>0.90965027639322305</v>
      </c>
      <c r="D2915">
        <v>0.99730500869313099</v>
      </c>
      <c r="E2915">
        <v>0.82580262392255399</v>
      </c>
      <c r="F2915">
        <v>0.78767675037248797</v>
      </c>
      <c r="G2915">
        <v>0.47960274027376898</v>
      </c>
      <c r="H2915">
        <v>0.17099120938253601</v>
      </c>
      <c r="I2915">
        <v>7.9310922185377206E-2</v>
      </c>
      <c r="J2915">
        <v>6.4301147027312502E-2</v>
      </c>
      <c r="K2915">
        <v>5.9423507005706699E-2</v>
      </c>
      <c r="L2915">
        <v>990.73013551470603</v>
      </c>
      <c r="M2915">
        <v>17.585704942162</v>
      </c>
      <c r="N2915">
        <v>56.337243146491801</v>
      </c>
      <c r="O2915">
        <v>55.623901454038503</v>
      </c>
      <c r="P2915">
        <v>-7.9042724151452498E-2</v>
      </c>
      <c r="Q2915">
        <v>0</v>
      </c>
      <c r="R2915">
        <v>0.987502544977926</v>
      </c>
      <c r="S2915" t="s">
        <v>7211</v>
      </c>
      <c r="T2915" t="s">
        <v>8590</v>
      </c>
      <c r="U2915" t="s">
        <v>8590</v>
      </c>
      <c r="V2915" t="s">
        <v>8590</v>
      </c>
      <c r="W2915">
        <v>9</v>
      </c>
      <c r="X2915" t="s">
        <v>11505</v>
      </c>
      <c r="Y2915">
        <v>0.55937350539785402</v>
      </c>
      <c r="Z2915" t="str">
        <f>HYPERLINK("Melting_Curves/meltCurve_sp_Q9BVJ7_DUS23_HUMAN_.pdf", "Melting_Curves/meltCurve_sp_Q9BVJ7_DUS23_HUMAN_.pdf")</f>
        <v>Melting_Curves/meltCurve_sp_Q9BVJ7_DUS23_HUMAN_.pdf</v>
      </c>
      <c r="AA2915" t="s">
        <v>15755</v>
      </c>
      <c r="AB2915" t="s">
        <v>19999</v>
      </c>
    </row>
    <row r="2916" spans="1:28" x14ac:dyDescent="0.25">
      <c r="A2916" t="s">
        <v>2920</v>
      </c>
      <c r="B2916">
        <v>0.99876560204751996</v>
      </c>
      <c r="C2916">
        <v>0.75617711601118398</v>
      </c>
      <c r="D2916">
        <v>0.44539235717355202</v>
      </c>
      <c r="E2916">
        <v>0.20879657160339801</v>
      </c>
      <c r="F2916">
        <v>8.6934339140955705E-2</v>
      </c>
      <c r="G2916">
        <v>4.4754929063099698E-2</v>
      </c>
      <c r="H2916">
        <v>3.40292679100535E-2</v>
      </c>
      <c r="I2916">
        <v>2.80124322919462E-2</v>
      </c>
      <c r="J2916">
        <v>3.2728146387751698E-2</v>
      </c>
      <c r="K2916">
        <v>2.4560234054027699E-2</v>
      </c>
      <c r="L2916">
        <v>887.88189633857905</v>
      </c>
      <c r="M2916">
        <v>19.5094887407197</v>
      </c>
      <c r="N2916">
        <v>45.655667662363797</v>
      </c>
      <c r="O2916">
        <v>45.040196824398897</v>
      </c>
      <c r="P2916">
        <v>-0.105031149109634</v>
      </c>
      <c r="Q2916">
        <v>3.0122462619961501E-2</v>
      </c>
      <c r="R2916">
        <v>0.99490849881902499</v>
      </c>
      <c r="S2916" t="s">
        <v>7212</v>
      </c>
      <c r="T2916" t="s">
        <v>8590</v>
      </c>
      <c r="U2916" t="s">
        <v>8590</v>
      </c>
      <c r="V2916" t="s">
        <v>8590</v>
      </c>
      <c r="W2916">
        <v>15</v>
      </c>
      <c r="X2916" t="s">
        <v>11506</v>
      </c>
      <c r="Y2916">
        <v>0.22477873803861559</v>
      </c>
      <c r="Z2916" t="str">
        <f>HYPERLINK("Melting_Curves/meltCurve_sp_Q9BVL4_SELO_HUMAN_.pdf", "Melting_Curves/meltCurve_sp_Q9BVL4_SELO_HUMAN_.pdf")</f>
        <v>Melting_Curves/meltCurve_sp_Q9BVL4_SELO_HUMAN_.pdf</v>
      </c>
      <c r="AA2916" t="s">
        <v>15756</v>
      </c>
      <c r="AB2916" t="s">
        <v>20000</v>
      </c>
    </row>
    <row r="2917" spans="1:28" x14ac:dyDescent="0.25">
      <c r="A2917" t="s">
        <v>2921</v>
      </c>
      <c r="B2917">
        <v>0.99876560204751996</v>
      </c>
      <c r="C2917">
        <v>0.85693072361192002</v>
      </c>
      <c r="D2917">
        <v>0.92687384454650501</v>
      </c>
      <c r="E2917">
        <v>0.75803337787237302</v>
      </c>
      <c r="F2917">
        <v>0.46192083387437399</v>
      </c>
      <c r="G2917">
        <v>0.16902376381415299</v>
      </c>
      <c r="H2917">
        <v>9.1340867602648507E-2</v>
      </c>
      <c r="I2917">
        <v>5.48613941908822E-2</v>
      </c>
      <c r="J2917">
        <v>5.2717641734328899E-2</v>
      </c>
      <c r="K2917">
        <v>5.84329167742801E-2</v>
      </c>
      <c r="L2917">
        <v>1065.64176280271</v>
      </c>
      <c r="M2917">
        <v>20.3542023515332</v>
      </c>
      <c r="N2917">
        <v>52.559915133759297</v>
      </c>
      <c r="O2917">
        <v>51.857377538831798</v>
      </c>
      <c r="P2917">
        <v>-9.4383911049157804E-2</v>
      </c>
      <c r="Q2917">
        <v>3.8163541395572098E-2</v>
      </c>
      <c r="R2917">
        <v>0.98683090787831895</v>
      </c>
      <c r="S2917" t="s">
        <v>7213</v>
      </c>
      <c r="T2917" t="s">
        <v>8590</v>
      </c>
      <c r="U2917" t="s">
        <v>8590</v>
      </c>
      <c r="V2917" t="s">
        <v>8590</v>
      </c>
      <c r="W2917">
        <v>4</v>
      </c>
      <c r="X2917" t="s">
        <v>11507</v>
      </c>
      <c r="Y2917">
        <v>0.44715746743155771</v>
      </c>
      <c r="Z2917" t="str">
        <f>HYPERLINK("Melting_Curves/meltCurve_sp_Q9BVM4_GGACT_HUMAN_.pdf", "Melting_Curves/meltCurve_sp_Q9BVM4_GGACT_HUMAN_.pdf")</f>
        <v>Melting_Curves/meltCurve_sp_Q9BVM4_GGACT_HUMAN_.pdf</v>
      </c>
      <c r="AA2917" t="s">
        <v>15757</v>
      </c>
      <c r="AB2917" t="s">
        <v>20001</v>
      </c>
    </row>
    <row r="2918" spans="1:28" x14ac:dyDescent="0.25">
      <c r="A2918" t="s">
        <v>2922</v>
      </c>
      <c r="B2918">
        <v>0.99876560204751996</v>
      </c>
      <c r="C2918">
        <v>1.1034561381456101</v>
      </c>
      <c r="D2918">
        <v>0.94489414531596005</v>
      </c>
      <c r="E2918">
        <v>0.94053841024437801</v>
      </c>
      <c r="F2918">
        <v>0.78577224444892801</v>
      </c>
      <c r="G2918">
        <v>0.44051077136757899</v>
      </c>
      <c r="H2918">
        <v>9.3331792346122294E-2</v>
      </c>
      <c r="I2918">
        <v>6.6457548185066301E-2</v>
      </c>
      <c r="J2918">
        <v>8.0312039664521107E-2</v>
      </c>
      <c r="K2918">
        <v>7.3810994850722997E-2</v>
      </c>
      <c r="L2918">
        <v>1402.9100415636401</v>
      </c>
      <c r="M2918">
        <v>25.122790937009999</v>
      </c>
      <c r="N2918">
        <v>56.051674005712698</v>
      </c>
      <c r="O2918">
        <v>55.491917145597697</v>
      </c>
      <c r="P2918">
        <v>-0.10810998524846301</v>
      </c>
      <c r="Q2918">
        <v>4.4827318029126297E-2</v>
      </c>
      <c r="R2918">
        <v>0.98912733438594702</v>
      </c>
      <c r="S2918" t="s">
        <v>7214</v>
      </c>
      <c r="T2918" t="s">
        <v>8590</v>
      </c>
      <c r="U2918" t="s">
        <v>8590</v>
      </c>
      <c r="V2918" t="s">
        <v>8590</v>
      </c>
      <c r="W2918">
        <v>6</v>
      </c>
      <c r="X2918" t="s">
        <v>11508</v>
      </c>
      <c r="Y2918">
        <v>0.55793867855554069</v>
      </c>
      <c r="Z2918" t="str">
        <f>HYPERLINK("Melting_Curves/meltCurve_sp_Q9BVS5_TR61B_HUMAN_.pdf", "Melting_Curves/meltCurve_sp_Q9BVS5_TR61B_HUMAN_.pdf")</f>
        <v>Melting_Curves/meltCurve_sp_Q9BVS5_TR61B_HUMAN_.pdf</v>
      </c>
      <c r="AA2918" t="s">
        <v>15758</v>
      </c>
      <c r="AB2918" t="s">
        <v>20002</v>
      </c>
    </row>
    <row r="2919" spans="1:28" x14ac:dyDescent="0.25">
      <c r="A2919" t="s">
        <v>2923</v>
      </c>
      <c r="B2919">
        <v>0.99876560204751996</v>
      </c>
      <c r="C2919">
        <v>1.1168069832866501</v>
      </c>
      <c r="D2919">
        <v>0.778183362751241</v>
      </c>
      <c r="E2919">
        <v>1.0739479635769</v>
      </c>
      <c r="F2919">
        <v>0.55992268948697099</v>
      </c>
      <c r="G2919">
        <v>0.23253894259265601</v>
      </c>
      <c r="H2919">
        <v>0.14739374889085</v>
      </c>
      <c r="I2919">
        <v>9.4841141058801995E-2</v>
      </c>
      <c r="J2919">
        <v>0.125950914758928</v>
      </c>
      <c r="K2919">
        <v>2.9023987359259599E-2</v>
      </c>
      <c r="L2919">
        <v>13249.259710956399</v>
      </c>
      <c r="M2919">
        <v>250</v>
      </c>
      <c r="N2919">
        <v>53.0586344852846</v>
      </c>
      <c r="O2919">
        <v>52.993647397421</v>
      </c>
      <c r="P2919">
        <v>-1.0308432085600101</v>
      </c>
      <c r="Q2919">
        <v>0.125949736968375</v>
      </c>
      <c r="R2919">
        <v>0.94854708042800695</v>
      </c>
      <c r="S2919" t="s">
        <v>7215</v>
      </c>
      <c r="T2919" t="s">
        <v>8590</v>
      </c>
      <c r="U2919" t="s">
        <v>8590</v>
      </c>
      <c r="V2919" t="s">
        <v>8590</v>
      </c>
      <c r="W2919">
        <v>4</v>
      </c>
      <c r="X2919" t="s">
        <v>11509</v>
      </c>
      <c r="Y2919">
        <v>0.50469987215963741</v>
      </c>
      <c r="Z2919" t="str">
        <f>HYPERLINK("Melting_Curves/meltCurve_sp_Q9BW27_NUP85_HUMAN_.pdf", "Melting_Curves/meltCurve_sp_Q9BW27_NUP85_HUMAN_.pdf")</f>
        <v>Melting_Curves/meltCurve_sp_Q9BW27_NUP85_HUMAN_.pdf</v>
      </c>
      <c r="AA2919" t="s">
        <v>15759</v>
      </c>
      <c r="AB2919" t="s">
        <v>20003</v>
      </c>
    </row>
    <row r="2920" spans="1:28" x14ac:dyDescent="0.25">
      <c r="A2920" t="s">
        <v>2924</v>
      </c>
      <c r="B2920">
        <v>0.99876560204751996</v>
      </c>
      <c r="C2920">
        <v>1.0196504259218599</v>
      </c>
      <c r="D2920">
        <v>0.96247773870839404</v>
      </c>
      <c r="E2920">
        <v>0.956942855047067</v>
      </c>
      <c r="F2920">
        <v>0.82857738243839296</v>
      </c>
      <c r="G2920">
        <v>0.56849222055990101</v>
      </c>
      <c r="H2920">
        <v>0.38434934209615701</v>
      </c>
      <c r="I2920">
        <v>0.24952928801263399</v>
      </c>
      <c r="J2920">
        <v>0.22277369676634801</v>
      </c>
      <c r="K2920">
        <v>0.17580296498869299</v>
      </c>
      <c r="L2920">
        <v>1002.2918679378899</v>
      </c>
      <c r="M2920">
        <v>17.540093221242898</v>
      </c>
      <c r="N2920">
        <v>58.3447707265329</v>
      </c>
      <c r="O2920">
        <v>56.415661852127599</v>
      </c>
      <c r="P2920">
        <v>-6.5945656316178797E-2</v>
      </c>
      <c r="Q2920">
        <v>0.15162030996148401</v>
      </c>
      <c r="R2920">
        <v>0.99753922660769301</v>
      </c>
      <c r="S2920" t="s">
        <v>7216</v>
      </c>
      <c r="T2920" t="s">
        <v>8590</v>
      </c>
      <c r="U2920" t="s">
        <v>8590</v>
      </c>
      <c r="V2920" t="s">
        <v>8590</v>
      </c>
      <c r="W2920">
        <v>4</v>
      </c>
      <c r="X2920" t="s">
        <v>11510</v>
      </c>
      <c r="Y2920">
        <v>0.6481832749059383</v>
      </c>
      <c r="Z2920" t="str">
        <f>HYPERLINK("Melting_Curves/meltCurve_sp_Q9BW61_DDA1_HUMAN_.pdf", "Melting_Curves/meltCurve_sp_Q9BW61_DDA1_HUMAN_.pdf")</f>
        <v>Melting_Curves/meltCurve_sp_Q9BW61_DDA1_HUMAN_.pdf</v>
      </c>
      <c r="AA2920" t="s">
        <v>15760</v>
      </c>
      <c r="AB2920" t="s">
        <v>20004</v>
      </c>
    </row>
    <row r="2921" spans="1:28" x14ac:dyDescent="0.25">
      <c r="A2921" t="s">
        <v>2925</v>
      </c>
      <c r="B2921">
        <v>0.99876560204751996</v>
      </c>
      <c r="C2921">
        <v>0.94923589184940904</v>
      </c>
      <c r="D2921">
        <v>1.0699822652301401</v>
      </c>
      <c r="E2921">
        <v>0.52737586377627199</v>
      </c>
      <c r="F2921">
        <v>1.0357645099351001</v>
      </c>
      <c r="G2921">
        <v>0.82466873017903597</v>
      </c>
      <c r="H2921">
        <v>0.802817801339204</v>
      </c>
      <c r="I2921">
        <v>0.73729474968606901</v>
      </c>
      <c r="J2921">
        <v>1.0487103362299199</v>
      </c>
      <c r="K2921">
        <v>0.94425660942844902</v>
      </c>
      <c r="L2921">
        <v>11944.8301787651</v>
      </c>
      <c r="M2921">
        <v>250</v>
      </c>
      <c r="O2921">
        <v>47.776263373571403</v>
      </c>
      <c r="P2921">
        <v>-0.20166628906987599</v>
      </c>
      <c r="Q2921">
        <v>0.84584221304168705</v>
      </c>
      <c r="R2921">
        <v>0.20388159876612399</v>
      </c>
      <c r="S2921" t="s">
        <v>7217</v>
      </c>
      <c r="T2921" t="s">
        <v>8590</v>
      </c>
      <c r="U2921" t="s">
        <v>8590</v>
      </c>
      <c r="V2921" t="s">
        <v>8590</v>
      </c>
      <c r="W2921">
        <v>4</v>
      </c>
      <c r="X2921" t="s">
        <v>11511</v>
      </c>
      <c r="Y2921">
        <v>0.88582990165734954</v>
      </c>
      <c r="Z2921" t="str">
        <f>HYPERLINK("Melting_Curves/meltCurve_sp_Q9BW71_HIRP3_HUMAN_.pdf", "Melting_Curves/meltCurve_sp_Q9BW71_HIRP3_HUMAN_.pdf")</f>
        <v>Melting_Curves/meltCurve_sp_Q9BW71_HIRP3_HUMAN_.pdf</v>
      </c>
      <c r="AA2921" t="s">
        <v>15761</v>
      </c>
      <c r="AB2921" t="s">
        <v>20005</v>
      </c>
    </row>
    <row r="2922" spans="1:28" x14ac:dyDescent="0.25">
      <c r="A2922" t="s">
        <v>2926</v>
      </c>
      <c r="B2922">
        <v>0.99876560204751996</v>
      </c>
      <c r="C2922">
        <v>0.87443494703444202</v>
      </c>
      <c r="D2922">
        <v>0.82513174604196604</v>
      </c>
      <c r="E2922">
        <v>0.47021291168899998</v>
      </c>
      <c r="F2922">
        <v>0.21494525246715801</v>
      </c>
      <c r="G2922">
        <v>9.0561507526245796E-2</v>
      </c>
      <c r="H2922">
        <v>5.9777169302407999E-2</v>
      </c>
      <c r="I2922">
        <v>4.2710823363541602E-2</v>
      </c>
      <c r="J2922">
        <v>3.69036357333885E-2</v>
      </c>
      <c r="K2922">
        <v>3.75591798581884E-2</v>
      </c>
      <c r="L2922">
        <v>922.80566866903303</v>
      </c>
      <c r="M2922">
        <v>18.7022469927727</v>
      </c>
      <c r="N2922">
        <v>49.491172199142902</v>
      </c>
      <c r="O2922">
        <v>48.788227465541603</v>
      </c>
      <c r="P2922">
        <v>-9.3210838340382504E-2</v>
      </c>
      <c r="Q2922">
        <v>2.7411430751601601E-2</v>
      </c>
      <c r="R2922">
        <v>0.99529135527221302</v>
      </c>
      <c r="S2922" t="s">
        <v>7218</v>
      </c>
      <c r="T2922" t="s">
        <v>8590</v>
      </c>
      <c r="U2922" t="s">
        <v>8590</v>
      </c>
      <c r="V2922" t="s">
        <v>8590</v>
      </c>
      <c r="W2922">
        <v>3</v>
      </c>
      <c r="X2922" t="s">
        <v>11512</v>
      </c>
      <c r="Y2922">
        <v>0.34580345862387929</v>
      </c>
      <c r="Z2922" t="str">
        <f>HYPERLINK("Melting_Curves/meltCurve_sp_Q9BW83_2_IFT27_HUMAN_.pdf", "Melting_Curves/meltCurve_sp_Q9BW83_2_IFT27_HUMAN_.pdf")</f>
        <v>Melting_Curves/meltCurve_sp_Q9BW83_2_IFT27_HUMAN_.pdf</v>
      </c>
      <c r="AA2922" t="s">
        <v>15762</v>
      </c>
      <c r="AB2922" t="s">
        <v>20006</v>
      </c>
    </row>
    <row r="2923" spans="1:28" x14ac:dyDescent="0.25">
      <c r="A2923" t="s">
        <v>2927</v>
      </c>
      <c r="B2923">
        <v>0.99876560204751996</v>
      </c>
      <c r="C2923">
        <v>0.93631822375617402</v>
      </c>
      <c r="D2923">
        <v>0.90220279068276699</v>
      </c>
      <c r="E2923">
        <v>0.87256481591006496</v>
      </c>
      <c r="F2923">
        <v>0.73999954912652599</v>
      </c>
      <c r="G2923">
        <v>0.56155982400523097</v>
      </c>
      <c r="H2923">
        <v>0.46300640014789102</v>
      </c>
      <c r="I2923">
        <v>0.444868316689846</v>
      </c>
      <c r="J2923">
        <v>0.54587281635624396</v>
      </c>
      <c r="K2923">
        <v>0.50648768825169799</v>
      </c>
      <c r="L2923">
        <v>970.47223370532595</v>
      </c>
      <c r="M2923">
        <v>18.473700839370299</v>
      </c>
      <c r="N2923">
        <v>62.571463582837403</v>
      </c>
      <c r="O2923">
        <v>51.928683758978899</v>
      </c>
      <c r="P2923">
        <v>-4.6766414786330798E-2</v>
      </c>
      <c r="Q2923">
        <v>0.47419085488577301</v>
      </c>
      <c r="R2923">
        <v>0.95847616463890495</v>
      </c>
      <c r="S2923" t="s">
        <v>7219</v>
      </c>
      <c r="T2923" t="s">
        <v>8590</v>
      </c>
      <c r="U2923" t="s">
        <v>8590</v>
      </c>
      <c r="V2923" t="s">
        <v>8590</v>
      </c>
      <c r="W2923">
        <v>3</v>
      </c>
      <c r="X2923" t="s">
        <v>11513</v>
      </c>
      <c r="Y2923">
        <v>0.70216351542054356</v>
      </c>
      <c r="Z2923" t="str">
        <f>HYPERLINK("Melting_Curves/meltCurve_sp_Q9BW85_CCD94_HUMAN_.pdf", "Melting_Curves/meltCurve_sp_Q9BW85_CCD94_HUMAN_.pdf")</f>
        <v>Melting_Curves/meltCurve_sp_Q9BW85_CCD94_HUMAN_.pdf</v>
      </c>
      <c r="AA2923" t="s">
        <v>15763</v>
      </c>
      <c r="AB2923" t="s">
        <v>20007</v>
      </c>
    </row>
    <row r="2924" spans="1:28" x14ac:dyDescent="0.25">
      <c r="A2924" t="s">
        <v>2928</v>
      </c>
      <c r="B2924">
        <v>0.99876560204751996</v>
      </c>
      <c r="C2924">
        <v>0.94657149086411496</v>
      </c>
      <c r="D2924">
        <v>0.98775769513566403</v>
      </c>
      <c r="E2924">
        <v>0.88057594187216004</v>
      </c>
      <c r="F2924">
        <v>0.81780818055568205</v>
      </c>
      <c r="G2924">
        <v>0.61112447914519996</v>
      </c>
      <c r="H2924">
        <v>0.41013495099307301</v>
      </c>
      <c r="I2924">
        <v>0.34519820212600899</v>
      </c>
      <c r="J2924">
        <v>0.410886758087814</v>
      </c>
      <c r="K2924">
        <v>0.39036513402512601</v>
      </c>
      <c r="L2924">
        <v>1054.31532356771</v>
      </c>
      <c r="M2924">
        <v>19.095439530752401</v>
      </c>
      <c r="N2924">
        <v>59.009546441572297</v>
      </c>
      <c r="O2924">
        <v>54.618105714382601</v>
      </c>
      <c r="P2924">
        <v>-5.64963999989666E-2</v>
      </c>
      <c r="Q2924">
        <v>0.35364550755053997</v>
      </c>
      <c r="R2924">
        <v>0.983227874772442</v>
      </c>
      <c r="S2924" t="s">
        <v>7220</v>
      </c>
      <c r="T2924" t="s">
        <v>8590</v>
      </c>
      <c r="U2924" t="s">
        <v>8590</v>
      </c>
      <c r="V2924" t="s">
        <v>8590</v>
      </c>
      <c r="W2924">
        <v>12</v>
      </c>
      <c r="X2924" t="s">
        <v>11514</v>
      </c>
      <c r="Y2924">
        <v>0.6905549752040725</v>
      </c>
      <c r="Z2924" t="str">
        <f>HYPERLINK("Melting_Curves/meltCurve_sp_Q9BW91_2_NUDT9_HUMAN_.pdf", "Melting_Curves/meltCurve_sp_Q9BW91_2_NUDT9_HUMAN_.pdf")</f>
        <v>Melting_Curves/meltCurve_sp_Q9BW91_2_NUDT9_HUMAN_.pdf</v>
      </c>
      <c r="AA2924" t="s">
        <v>15764</v>
      </c>
      <c r="AB2924" t="s">
        <v>20008</v>
      </c>
    </row>
    <row r="2925" spans="1:28" x14ac:dyDescent="0.25">
      <c r="A2925" t="s">
        <v>2929</v>
      </c>
      <c r="B2925">
        <v>0.99876560204751996</v>
      </c>
      <c r="C2925">
        <v>1.00274493865202</v>
      </c>
      <c r="D2925">
        <v>0.87995145590952994</v>
      </c>
      <c r="E2925">
        <v>0.59321841257946994</v>
      </c>
      <c r="F2925">
        <v>0.222575143839044</v>
      </c>
      <c r="G2925">
        <v>0.1233371248503</v>
      </c>
      <c r="H2925">
        <v>7.2530094509191595E-2</v>
      </c>
      <c r="I2925">
        <v>5.56615390005257E-2</v>
      </c>
      <c r="J2925">
        <v>5.1266613882233303E-2</v>
      </c>
      <c r="K2925">
        <v>3.90810666119649E-2</v>
      </c>
      <c r="L2925">
        <v>1245.7214241989</v>
      </c>
      <c r="M2925">
        <v>24.7630180857788</v>
      </c>
      <c r="N2925">
        <v>50.524138916749202</v>
      </c>
      <c r="O2925">
        <v>49.981095959656699</v>
      </c>
      <c r="P2925">
        <v>-0.117576238823413</v>
      </c>
      <c r="Q2925">
        <v>5.0760783266928899E-2</v>
      </c>
      <c r="R2925">
        <v>0.99698503692338303</v>
      </c>
      <c r="S2925" t="s">
        <v>7221</v>
      </c>
      <c r="T2925" t="s">
        <v>8590</v>
      </c>
      <c r="U2925" t="s">
        <v>8590</v>
      </c>
      <c r="V2925" t="s">
        <v>8590</v>
      </c>
      <c r="W2925">
        <v>25</v>
      </c>
      <c r="X2925" t="s">
        <v>11515</v>
      </c>
      <c r="Y2925">
        <v>0.38552162628680248</v>
      </c>
      <c r="Z2925" t="str">
        <f>HYPERLINK("Melting_Curves/meltCurve_sp_Q9BW92_SYTM_HUMAN_.pdf", "Melting_Curves/meltCurve_sp_Q9BW92_SYTM_HUMAN_.pdf")</f>
        <v>Melting_Curves/meltCurve_sp_Q9BW92_SYTM_HUMAN_.pdf</v>
      </c>
      <c r="AA2925" t="s">
        <v>15765</v>
      </c>
      <c r="AB2925" t="s">
        <v>20009</v>
      </c>
    </row>
    <row r="2926" spans="1:28" x14ac:dyDescent="0.25">
      <c r="A2926" t="s">
        <v>2930</v>
      </c>
      <c r="B2926">
        <v>0.99876560204751996</v>
      </c>
      <c r="C2926">
        <v>1.0147219263479801</v>
      </c>
      <c r="D2926">
        <v>0.95459721254785201</v>
      </c>
      <c r="E2926">
        <v>1.0274338089103401</v>
      </c>
      <c r="F2926">
        <v>0.94230416622452695</v>
      </c>
      <c r="G2926">
        <v>0.73447018442595202</v>
      </c>
      <c r="H2926">
        <v>0.58763516282605099</v>
      </c>
      <c r="I2926">
        <v>0.52687182420904999</v>
      </c>
      <c r="J2926">
        <v>0.17221929387856699</v>
      </c>
      <c r="K2926">
        <v>6.9572107143142298E-2</v>
      </c>
      <c r="L2926">
        <v>1012.10208923765</v>
      </c>
      <c r="M2926">
        <v>16.2548356920476</v>
      </c>
      <c r="N2926">
        <v>62.264676957465099</v>
      </c>
      <c r="O2926">
        <v>61.345162985227297</v>
      </c>
      <c r="P2926">
        <v>-6.6248222274343502E-2</v>
      </c>
      <c r="Q2926">
        <v>0</v>
      </c>
      <c r="R2926">
        <v>0.96543909671662897</v>
      </c>
      <c r="S2926" t="s">
        <v>7222</v>
      </c>
      <c r="T2926" t="s">
        <v>8590</v>
      </c>
      <c r="U2926" t="s">
        <v>8590</v>
      </c>
      <c r="V2926" t="s">
        <v>8590</v>
      </c>
      <c r="W2926">
        <v>24</v>
      </c>
      <c r="X2926" t="s">
        <v>11516</v>
      </c>
      <c r="Y2926">
        <v>0.74013117681885998</v>
      </c>
      <c r="Z2926" t="str">
        <f>HYPERLINK("Melting_Curves/meltCurve_sp_Q9BWD1_THIC_HUMAN_.pdf", "Melting_Curves/meltCurve_sp_Q9BWD1_THIC_HUMAN_.pdf")</f>
        <v>Melting_Curves/meltCurve_sp_Q9BWD1_THIC_HUMAN_.pdf</v>
      </c>
      <c r="AA2926" t="s">
        <v>15766</v>
      </c>
      <c r="AB2926" t="s">
        <v>20010</v>
      </c>
    </row>
    <row r="2927" spans="1:28" x14ac:dyDescent="0.25">
      <c r="A2927" t="s">
        <v>2931</v>
      </c>
      <c r="B2927">
        <v>0.99876560204751996</v>
      </c>
      <c r="C2927">
        <v>1.0451138841805101</v>
      </c>
      <c r="D2927">
        <v>1.05019689907151</v>
      </c>
      <c r="E2927">
        <v>0.92314582274849599</v>
      </c>
      <c r="F2927">
        <v>0.82383814716506298</v>
      </c>
      <c r="G2927">
        <v>0.48881699251265498</v>
      </c>
      <c r="H2927">
        <v>0.36989642723977101</v>
      </c>
      <c r="I2927">
        <v>0.34110050101452999</v>
      </c>
      <c r="J2927">
        <v>0.36851921195049703</v>
      </c>
      <c r="K2927">
        <v>0.34453463109378302</v>
      </c>
      <c r="L2927">
        <v>1603.7358786519501</v>
      </c>
      <c r="M2927">
        <v>29.367410079648199</v>
      </c>
      <c r="N2927">
        <v>56.882790014169601</v>
      </c>
      <c r="O2927">
        <v>54.3580377352516</v>
      </c>
      <c r="P2927">
        <v>-8.8414898099460695E-2</v>
      </c>
      <c r="Q2927">
        <v>0.34539324448763897</v>
      </c>
      <c r="R2927">
        <v>0.99233668248105</v>
      </c>
      <c r="S2927" t="s">
        <v>7223</v>
      </c>
      <c r="T2927" t="s">
        <v>8590</v>
      </c>
      <c r="U2927" t="s">
        <v>8590</v>
      </c>
      <c r="V2927" t="s">
        <v>8590</v>
      </c>
      <c r="W2927">
        <v>6</v>
      </c>
      <c r="X2927" t="s">
        <v>11517</v>
      </c>
      <c r="Y2927">
        <v>0.66867943457632706</v>
      </c>
      <c r="Z2927" t="str">
        <f>HYPERLINK("Melting_Curves/meltCurve_sp_Q9BWE0_REPI1_HUMAN_.pdf", "Melting_Curves/meltCurve_sp_Q9BWE0_REPI1_HUMAN_.pdf")</f>
        <v>Melting_Curves/meltCurve_sp_Q9BWE0_REPI1_HUMAN_.pdf</v>
      </c>
      <c r="AA2927" t="s">
        <v>15767</v>
      </c>
      <c r="AB2927" t="s">
        <v>20011</v>
      </c>
    </row>
    <row r="2928" spans="1:28" x14ac:dyDescent="0.25">
      <c r="A2928" t="s">
        <v>2932</v>
      </c>
      <c r="B2928">
        <v>0.99876560204751996</v>
      </c>
      <c r="C2928">
        <v>1.09698819886815</v>
      </c>
      <c r="D2928">
        <v>0.96945021095580697</v>
      </c>
      <c r="E2928">
        <v>0.88973274002324099</v>
      </c>
      <c r="F2928">
        <v>0.44307527982218797</v>
      </c>
      <c r="G2928">
        <v>0.22230908329150001</v>
      </c>
      <c r="H2928">
        <v>0.13389894224583701</v>
      </c>
      <c r="I2928">
        <v>0.110570262436841</v>
      </c>
      <c r="J2928">
        <v>0.112502634638697</v>
      </c>
      <c r="K2928">
        <v>0.103173195841985</v>
      </c>
      <c r="L2928">
        <v>1884.90918543814</v>
      </c>
      <c r="M2928">
        <v>36.001205800827698</v>
      </c>
      <c r="N2928">
        <v>52.772569541596098</v>
      </c>
      <c r="O2928">
        <v>52.196089518002097</v>
      </c>
      <c r="P2928">
        <v>-0.15114261965366299</v>
      </c>
      <c r="Q2928">
        <v>0.123470813462185</v>
      </c>
      <c r="R2928">
        <v>0.99087597054054299</v>
      </c>
      <c r="S2928" t="s">
        <v>7224</v>
      </c>
      <c r="T2928" t="s">
        <v>8590</v>
      </c>
      <c r="U2928" t="s">
        <v>8590</v>
      </c>
      <c r="V2928" t="s">
        <v>8590</v>
      </c>
      <c r="W2928">
        <v>1</v>
      </c>
      <c r="X2928" t="s">
        <v>11518</v>
      </c>
      <c r="Y2928">
        <v>0.48842467435547221</v>
      </c>
      <c r="Z2928" t="str">
        <f>HYPERLINK("Melting_Curves/meltCurve_sp_Q9BWJ5_SF3B5_HUMAN_.pdf", "Melting_Curves/meltCurve_sp_Q9BWJ5_SF3B5_HUMAN_.pdf")</f>
        <v>Melting_Curves/meltCurve_sp_Q9BWJ5_SF3B5_HUMAN_.pdf</v>
      </c>
      <c r="AA2928" t="s">
        <v>15768</v>
      </c>
      <c r="AB2928" t="s">
        <v>20012</v>
      </c>
    </row>
    <row r="2929" spans="1:28" x14ac:dyDescent="0.25">
      <c r="A2929" t="s">
        <v>2933</v>
      </c>
      <c r="B2929">
        <v>0.99876560204751996</v>
      </c>
      <c r="C2929">
        <v>0.87537462465192095</v>
      </c>
      <c r="D2929">
        <v>1.1198128866397901</v>
      </c>
      <c r="E2929">
        <v>0.78969338741952799</v>
      </c>
      <c r="F2929">
        <v>0.21575305887357399</v>
      </c>
      <c r="G2929">
        <v>9.9599692087664393E-2</v>
      </c>
      <c r="H2929">
        <v>8.1260119546788606E-2</v>
      </c>
      <c r="I2929">
        <v>7.9139435555212204E-2</v>
      </c>
      <c r="J2929">
        <v>6.5344252499645095E-2</v>
      </c>
      <c r="K2929">
        <v>3.8281941008916701E-2</v>
      </c>
      <c r="L2929">
        <v>2620.5268556606002</v>
      </c>
      <c r="M2929">
        <v>51.155990386107703</v>
      </c>
      <c r="N2929">
        <v>51.381966980245998</v>
      </c>
      <c r="O2929">
        <v>51.148096714791201</v>
      </c>
      <c r="P2929">
        <v>-0.232079891759568</v>
      </c>
      <c r="Q2929">
        <v>7.1824399631356797E-2</v>
      </c>
      <c r="R2929">
        <v>0.98213588236620597</v>
      </c>
      <c r="S2929" t="s">
        <v>7225</v>
      </c>
      <c r="T2929" t="s">
        <v>8590</v>
      </c>
      <c r="U2929" t="s">
        <v>8590</v>
      </c>
      <c r="V2929" t="s">
        <v>8590</v>
      </c>
      <c r="W2929">
        <v>3</v>
      </c>
      <c r="X2929" t="s">
        <v>11519</v>
      </c>
      <c r="Y2929">
        <v>0.42115685054277008</v>
      </c>
      <c r="Z2929" t="str">
        <f>HYPERLINK("Melting_Curves/meltCurve_sp_Q9BWS9_3_CHID1_HUMAN_.pdf", "Melting_Curves/meltCurve_sp_Q9BWS9_3_CHID1_HUMAN_.pdf")</f>
        <v>Melting_Curves/meltCurve_sp_Q9BWS9_3_CHID1_HUMAN_.pdf</v>
      </c>
      <c r="AA2929" t="s">
        <v>15769</v>
      </c>
      <c r="AB2929" t="s">
        <v>20013</v>
      </c>
    </row>
    <row r="2930" spans="1:28" x14ac:dyDescent="0.25">
      <c r="A2930" t="s">
        <v>2934</v>
      </c>
      <c r="B2930">
        <v>0.99876560204751996</v>
      </c>
      <c r="C2930">
        <v>1.0094587523009999</v>
      </c>
      <c r="D2930">
        <v>1.0174093485289899</v>
      </c>
      <c r="E2930">
        <v>0.89164414773454603</v>
      </c>
      <c r="F2930">
        <v>0.86588717022289496</v>
      </c>
      <c r="G2930">
        <v>0.559467367602698</v>
      </c>
      <c r="H2930">
        <v>0.46632934818396599</v>
      </c>
      <c r="I2930">
        <v>0.43498583264151802</v>
      </c>
      <c r="J2930">
        <v>0.52215970348171903</v>
      </c>
      <c r="K2930">
        <v>0.54008527305252296</v>
      </c>
      <c r="L2930">
        <v>1782.04358921515</v>
      </c>
      <c r="M2930">
        <v>32.880892877293697</v>
      </c>
      <c r="N2930">
        <v>60.782342318077603</v>
      </c>
      <c r="O2930">
        <v>53.997649228599698</v>
      </c>
      <c r="P2930">
        <v>-7.8276223170308301E-2</v>
      </c>
      <c r="Q2930">
        <v>0.48581533463376803</v>
      </c>
      <c r="R2930">
        <v>0.97092848736186399</v>
      </c>
      <c r="S2930" t="s">
        <v>7226</v>
      </c>
      <c r="T2930" t="s">
        <v>8590</v>
      </c>
      <c r="U2930" t="s">
        <v>8590</v>
      </c>
      <c r="V2930" t="s">
        <v>8590</v>
      </c>
      <c r="W2930">
        <v>9</v>
      </c>
      <c r="X2930" t="s">
        <v>11520</v>
      </c>
      <c r="Y2930">
        <v>0.73197681814050708</v>
      </c>
      <c r="Z2930" t="str">
        <f>HYPERLINK("Melting_Curves/meltCurve_sp_Q9BWU0_NADAP_HUMAN_.pdf", "Melting_Curves/meltCurve_sp_Q9BWU0_NADAP_HUMAN_.pdf")</f>
        <v>Melting_Curves/meltCurve_sp_Q9BWU0_NADAP_HUMAN_.pdf</v>
      </c>
      <c r="AA2930" t="s">
        <v>15770</v>
      </c>
      <c r="AB2930" t="s">
        <v>20014</v>
      </c>
    </row>
    <row r="2931" spans="1:28" x14ac:dyDescent="0.25">
      <c r="A2931" t="s">
        <v>2935</v>
      </c>
      <c r="B2931">
        <v>0.99876560204751996</v>
      </c>
      <c r="C2931">
        <v>1.1727043318722401</v>
      </c>
      <c r="D2931">
        <v>1.3191586607005601</v>
      </c>
      <c r="E2931">
        <v>1.2350292388941799</v>
      </c>
      <c r="F2931">
        <v>1.9091188790001301</v>
      </c>
      <c r="G2931">
        <v>1.35552297076365</v>
      </c>
      <c r="H2931">
        <v>1.29911683141067</v>
      </c>
      <c r="I2931">
        <v>1.47974611831358</v>
      </c>
      <c r="J2931">
        <v>2.0466827559625602</v>
      </c>
      <c r="K2931">
        <v>1.81452655942248</v>
      </c>
      <c r="L2931">
        <v>957.00127435236197</v>
      </c>
      <c r="M2931">
        <v>21.330334414583099</v>
      </c>
      <c r="O2931">
        <v>44.476995518985802</v>
      </c>
      <c r="P2931">
        <v>5.9949184308999003E-2</v>
      </c>
      <c r="Q2931">
        <v>1.5</v>
      </c>
      <c r="R2931">
        <v>0.35858672043475598</v>
      </c>
      <c r="S2931" t="s">
        <v>7227</v>
      </c>
      <c r="T2931" t="s">
        <v>8590</v>
      </c>
      <c r="U2931" t="s">
        <v>8590</v>
      </c>
      <c r="V2931" t="s">
        <v>8590</v>
      </c>
      <c r="W2931">
        <v>21</v>
      </c>
      <c r="X2931" t="s">
        <v>11521</v>
      </c>
      <c r="Y2931">
        <v>1.41151381149486</v>
      </c>
      <c r="Z2931" t="str">
        <f>HYPERLINK("Melting_Curves/meltCurve_sp_Q9BX66_5_SRBS1_HUMAN_.pdf", "Melting_Curves/meltCurve_sp_Q9BX66_5_SRBS1_HUMAN_.pdf")</f>
        <v>Melting_Curves/meltCurve_sp_Q9BX66_5_SRBS1_HUMAN_.pdf</v>
      </c>
      <c r="AA2931" t="s">
        <v>15771</v>
      </c>
      <c r="AB2931" t="s">
        <v>20015</v>
      </c>
    </row>
    <row r="2932" spans="1:28" x14ac:dyDescent="0.25">
      <c r="A2932" t="s">
        <v>2936</v>
      </c>
      <c r="B2932">
        <v>0.99876560204751996</v>
      </c>
      <c r="C2932">
        <v>0.97642860605288595</v>
      </c>
      <c r="D2932">
        <v>1.0143582919343399</v>
      </c>
      <c r="E2932">
        <v>0.96923688989885803</v>
      </c>
      <c r="F2932">
        <v>0.94429731848526299</v>
      </c>
      <c r="G2932">
        <v>0.71515327066943102</v>
      </c>
      <c r="H2932">
        <v>0.63597953231668203</v>
      </c>
      <c r="I2932">
        <v>0.61813244233613296</v>
      </c>
      <c r="J2932">
        <v>0.76572576090827804</v>
      </c>
      <c r="K2932">
        <v>0.68326700576113397</v>
      </c>
      <c r="L2932">
        <v>2718.38227512098</v>
      </c>
      <c r="M2932">
        <v>49.755433140695402</v>
      </c>
      <c r="O2932">
        <v>54.546847319584501</v>
      </c>
      <c r="P2932">
        <v>-7.38981491330893E-2</v>
      </c>
      <c r="Q2932">
        <v>0.67594234613433102</v>
      </c>
      <c r="R2932">
        <v>0.93792573919524502</v>
      </c>
      <c r="S2932" t="s">
        <v>7228</v>
      </c>
      <c r="T2932" t="s">
        <v>8590</v>
      </c>
      <c r="U2932" t="s">
        <v>8590</v>
      </c>
      <c r="V2932" t="s">
        <v>8590</v>
      </c>
      <c r="W2932">
        <v>21</v>
      </c>
      <c r="X2932" t="s">
        <v>11522</v>
      </c>
      <c r="Y2932">
        <v>0.83481554704956673</v>
      </c>
      <c r="Z2932" t="str">
        <f>HYPERLINK("Melting_Curves/meltCurve_sp_Q9BX66_9_SRBS1_HUMAN_.pdf", "Melting_Curves/meltCurve_sp_Q9BX66_9_SRBS1_HUMAN_.pdf")</f>
        <v>Melting_Curves/meltCurve_sp_Q9BX66_9_SRBS1_HUMAN_.pdf</v>
      </c>
      <c r="AA2932" t="s">
        <v>15771</v>
      </c>
      <c r="AB2932" t="s">
        <v>20016</v>
      </c>
    </row>
    <row r="2933" spans="1:28" x14ac:dyDescent="0.25">
      <c r="A2933" t="s">
        <v>2937</v>
      </c>
      <c r="B2933">
        <v>0.99876560204751996</v>
      </c>
      <c r="C2933">
        <v>0.95558003756884202</v>
      </c>
      <c r="D2933">
        <v>1.10238246016203</v>
      </c>
      <c r="E2933">
        <v>0.98466101226629998</v>
      </c>
      <c r="F2933">
        <v>1.21622013501882</v>
      </c>
      <c r="G2933">
        <v>0.90945020639190399</v>
      </c>
      <c r="H2933">
        <v>0.76332371347144001</v>
      </c>
      <c r="I2933">
        <v>0.73458952155850599</v>
      </c>
      <c r="J2933">
        <v>0.76686836846723605</v>
      </c>
      <c r="K2933">
        <v>0.72513503926624201</v>
      </c>
      <c r="L2933">
        <v>9170.9410894111807</v>
      </c>
      <c r="M2933">
        <v>160.31206035950899</v>
      </c>
      <c r="O2933">
        <v>57.197907483200503</v>
      </c>
      <c r="P2933">
        <v>-0.17694136354284001</v>
      </c>
      <c r="Q2933">
        <v>0.74747563519653704</v>
      </c>
      <c r="R2933">
        <v>0.75987482434397602</v>
      </c>
      <c r="S2933" t="s">
        <v>7229</v>
      </c>
      <c r="T2933" t="s">
        <v>8590</v>
      </c>
      <c r="U2933" t="s">
        <v>8590</v>
      </c>
      <c r="V2933" t="s">
        <v>8590</v>
      </c>
      <c r="W2933">
        <v>8</v>
      </c>
      <c r="X2933" t="s">
        <v>11523</v>
      </c>
      <c r="Y2933">
        <v>0.89237524346643027</v>
      </c>
      <c r="Z2933" t="str">
        <f>HYPERLINK("Melting_Curves/meltCurve_sp_Q9BX68_HINT2_HUMAN_.pdf", "Melting_Curves/meltCurve_sp_Q9BX68_HINT2_HUMAN_.pdf")</f>
        <v>Melting_Curves/meltCurve_sp_Q9BX68_HINT2_HUMAN_.pdf</v>
      </c>
      <c r="AA2933" t="s">
        <v>15772</v>
      </c>
      <c r="AB2933" t="s">
        <v>20017</v>
      </c>
    </row>
    <row r="2934" spans="1:28" x14ac:dyDescent="0.25">
      <c r="A2934" t="s">
        <v>2938</v>
      </c>
      <c r="B2934">
        <v>0.99876560204751996</v>
      </c>
      <c r="C2934">
        <v>1.0597373412041999</v>
      </c>
      <c r="D2934">
        <v>1.2384156466139</v>
      </c>
      <c r="E2934">
        <v>0.79254201221141296</v>
      </c>
      <c r="F2934">
        <v>1.0390476016769601</v>
      </c>
      <c r="G2934">
        <v>0.86249971029603401</v>
      </c>
      <c r="H2934">
        <v>0.57911851047804996</v>
      </c>
      <c r="I2934">
        <v>0.54474309192623205</v>
      </c>
      <c r="J2934">
        <v>0.95604952994330605</v>
      </c>
      <c r="K2934">
        <v>1.03546898887387</v>
      </c>
      <c r="L2934">
        <v>14221.6750238719</v>
      </c>
      <c r="M2934">
        <v>250</v>
      </c>
      <c r="O2934">
        <v>56.883060253891301</v>
      </c>
      <c r="P2934">
        <v>-0.24299299915150399</v>
      </c>
      <c r="Q2934">
        <v>0.77884503572694397</v>
      </c>
      <c r="R2934">
        <v>0.31205911474275</v>
      </c>
      <c r="S2934" t="s">
        <v>7230</v>
      </c>
      <c r="T2934" t="s">
        <v>8590</v>
      </c>
      <c r="U2934" t="s">
        <v>8590</v>
      </c>
      <c r="V2934" t="s">
        <v>8590</v>
      </c>
      <c r="W2934">
        <v>1</v>
      </c>
      <c r="X2934" t="s">
        <v>11524</v>
      </c>
      <c r="Y2934">
        <v>0.90335303333682615</v>
      </c>
      <c r="Z2934" t="str">
        <f>HYPERLINK("Melting_Curves/meltCurve_sp_Q9BX95_SGPP1_HUMAN_.pdf", "Melting_Curves/meltCurve_sp_Q9BX95_SGPP1_HUMAN_.pdf")</f>
        <v>Melting_Curves/meltCurve_sp_Q9BX95_SGPP1_HUMAN_.pdf</v>
      </c>
      <c r="AA2934" t="s">
        <v>15773</v>
      </c>
      <c r="AB2934" t="s">
        <v>20018</v>
      </c>
    </row>
    <row r="2935" spans="1:28" x14ac:dyDescent="0.25">
      <c r="A2935" t="s">
        <v>2939</v>
      </c>
      <c r="B2935">
        <v>0.99876560204751996</v>
      </c>
      <c r="C2935">
        <v>1.0521545234320999</v>
      </c>
      <c r="D2935">
        <v>0.79885001127118804</v>
      </c>
      <c r="E2935">
        <v>0.76251337765793603</v>
      </c>
      <c r="F2935">
        <v>0.426391867312574</v>
      </c>
      <c r="G2935">
        <v>0.32238501721052698</v>
      </c>
      <c r="H2935">
        <v>0.20451687377849401</v>
      </c>
      <c r="I2935">
        <v>0.17720896309144299</v>
      </c>
      <c r="J2935">
        <v>0.100488332735631</v>
      </c>
      <c r="K2935">
        <v>3.7657817853337897E-2</v>
      </c>
      <c r="L2935">
        <v>696.40512273484205</v>
      </c>
      <c r="M2935">
        <v>13.218865195318999</v>
      </c>
      <c r="N2935">
        <v>53.104920496514602</v>
      </c>
      <c r="O2935">
        <v>51.5207708868097</v>
      </c>
      <c r="P2935">
        <v>-6.0953635895005402E-2</v>
      </c>
      <c r="Q2935">
        <v>4.9885592348454501E-2</v>
      </c>
      <c r="R2935">
        <v>0.97501468504085198</v>
      </c>
      <c r="S2935" t="s">
        <v>7231</v>
      </c>
      <c r="T2935" t="s">
        <v>8590</v>
      </c>
      <c r="U2935" t="s">
        <v>8590</v>
      </c>
      <c r="V2935" t="s">
        <v>8590</v>
      </c>
      <c r="W2935">
        <v>7</v>
      </c>
      <c r="X2935" t="s">
        <v>11525</v>
      </c>
      <c r="Y2935">
        <v>0.47615565231909451</v>
      </c>
      <c r="Z2935" t="str">
        <f>HYPERLINK("Melting_Curves/meltCurve_sp_Q9BXB4_OSB11_HUMAN_.pdf", "Melting_Curves/meltCurve_sp_Q9BXB4_OSB11_HUMAN_.pdf")</f>
        <v>Melting_Curves/meltCurve_sp_Q9BXB4_OSB11_HUMAN_.pdf</v>
      </c>
      <c r="AA2935" t="s">
        <v>15774</v>
      </c>
      <c r="AB2935" t="s">
        <v>20019</v>
      </c>
    </row>
    <row r="2936" spans="1:28" x14ac:dyDescent="0.25">
      <c r="A2936" t="s">
        <v>2940</v>
      </c>
      <c r="B2936">
        <v>0.99876560204751996</v>
      </c>
      <c r="C2936">
        <v>0.90746317647960995</v>
      </c>
      <c r="D2936">
        <v>0.77974357232543501</v>
      </c>
      <c r="E2936">
        <v>0.60157370926893206</v>
      </c>
      <c r="F2936">
        <v>0.49270924326737098</v>
      </c>
      <c r="G2936">
        <v>0.29115021815157899</v>
      </c>
      <c r="H2936">
        <v>0.207034007042976</v>
      </c>
      <c r="I2936">
        <v>0.23774796321404901</v>
      </c>
      <c r="J2936">
        <v>0.27059265983553299</v>
      </c>
      <c r="K2936">
        <v>0.289451489071548</v>
      </c>
      <c r="L2936">
        <v>706.06507508653704</v>
      </c>
      <c r="M2936">
        <v>14.251352435160101</v>
      </c>
      <c r="N2936">
        <v>51.714260873411398</v>
      </c>
      <c r="O2936">
        <v>48.5988419376705</v>
      </c>
      <c r="P2936">
        <v>-5.6816897238906303E-2</v>
      </c>
      <c r="Q2936">
        <v>0.22508557074906299</v>
      </c>
      <c r="R2936">
        <v>0.98260586987430398</v>
      </c>
      <c r="S2936" t="s">
        <v>7232</v>
      </c>
      <c r="T2936" t="s">
        <v>8590</v>
      </c>
      <c r="U2936" t="s">
        <v>8590</v>
      </c>
      <c r="V2936" t="s">
        <v>8590</v>
      </c>
      <c r="W2936">
        <v>5</v>
      </c>
      <c r="X2936" t="s">
        <v>11526</v>
      </c>
      <c r="Y2936">
        <v>0.49217663835575881</v>
      </c>
      <c r="Z2936" t="str">
        <f>HYPERLINK("Melting_Curves/meltCurve_sp_Q9BXI6_TB10A_HUMAN_.pdf", "Melting_Curves/meltCurve_sp_Q9BXI6_TB10A_HUMAN_.pdf")</f>
        <v>Melting_Curves/meltCurve_sp_Q9BXI6_TB10A_HUMAN_.pdf</v>
      </c>
      <c r="AA2936" t="s">
        <v>15775</v>
      </c>
      <c r="AB2936" t="s">
        <v>20020</v>
      </c>
    </row>
    <row r="2937" spans="1:28" x14ac:dyDescent="0.25">
      <c r="A2937" t="s">
        <v>2941</v>
      </c>
      <c r="B2937">
        <v>0.99876560204751996</v>
      </c>
      <c r="C2937">
        <v>1.01326482006587</v>
      </c>
      <c r="D2937">
        <v>0.89755441257808</v>
      </c>
      <c r="E2937">
        <v>0.87222990257741695</v>
      </c>
      <c r="F2937">
        <v>0.304302593351094</v>
      </c>
      <c r="G2937">
        <v>0.11985391362589901</v>
      </c>
      <c r="H2937">
        <v>7.3226120098389594E-2</v>
      </c>
      <c r="I2937">
        <v>6.6613662429063705E-2</v>
      </c>
      <c r="J2937">
        <v>6.6229590161325999E-2</v>
      </c>
      <c r="K2937">
        <v>5.3285205069671597E-2</v>
      </c>
      <c r="L2937">
        <v>2488.0466374645998</v>
      </c>
      <c r="M2937">
        <v>48.003833291426503</v>
      </c>
      <c r="N2937">
        <v>51.999672297160899</v>
      </c>
      <c r="O2937">
        <v>51.740449142730903</v>
      </c>
      <c r="P2937">
        <v>-0.21514667156897299</v>
      </c>
      <c r="Q2937">
        <v>7.2426084782793304E-2</v>
      </c>
      <c r="R2937">
        <v>0.99297917085088805</v>
      </c>
      <c r="S2937" t="s">
        <v>7233</v>
      </c>
      <c r="T2937" t="s">
        <v>8590</v>
      </c>
      <c r="U2937" t="s">
        <v>8590</v>
      </c>
      <c r="V2937" t="s">
        <v>8590</v>
      </c>
      <c r="W2937">
        <v>18</v>
      </c>
      <c r="X2937" t="s">
        <v>11527</v>
      </c>
      <c r="Y2937">
        <v>0.44050609346824737</v>
      </c>
      <c r="Z2937" t="str">
        <f>HYPERLINK("Melting_Curves/meltCurve_sp_Q9BXJ9_NAA15_HUMAN_.pdf", "Melting_Curves/meltCurve_sp_Q9BXJ9_NAA15_HUMAN_.pdf")</f>
        <v>Melting_Curves/meltCurve_sp_Q9BXJ9_NAA15_HUMAN_.pdf</v>
      </c>
      <c r="AA2937" t="s">
        <v>15776</v>
      </c>
      <c r="AB2937" t="s">
        <v>20021</v>
      </c>
    </row>
    <row r="2938" spans="1:28" x14ac:dyDescent="0.25">
      <c r="A2938" t="s">
        <v>2942</v>
      </c>
      <c r="B2938">
        <v>0.99876560204751996</v>
      </c>
      <c r="C2938">
        <v>0.97160941966698799</v>
      </c>
      <c r="D2938">
        <v>0.89920945161179799</v>
      </c>
      <c r="E2938">
        <v>0.80009238729734899</v>
      </c>
      <c r="F2938">
        <v>0.67277002251194895</v>
      </c>
      <c r="G2938">
        <v>0.46588716937578001</v>
      </c>
      <c r="H2938">
        <v>0.253517077869715</v>
      </c>
      <c r="I2938">
        <v>0.10299150453230201</v>
      </c>
      <c r="J2938">
        <v>4.2896769933935902E-2</v>
      </c>
      <c r="K2938">
        <v>4.6886246509224502E-2</v>
      </c>
      <c r="L2938">
        <v>760.38287137716395</v>
      </c>
      <c r="M2938">
        <v>13.655956851293601</v>
      </c>
      <c r="N2938">
        <v>55.681406840646503</v>
      </c>
      <c r="O2938">
        <v>54.528083211137002</v>
      </c>
      <c r="P2938">
        <v>-6.26188722170051E-2</v>
      </c>
      <c r="Q2938">
        <v>0</v>
      </c>
      <c r="R2938">
        <v>0.99305028136817597</v>
      </c>
      <c r="S2938" t="s">
        <v>7234</v>
      </c>
      <c r="T2938" t="s">
        <v>8590</v>
      </c>
      <c r="U2938" t="s">
        <v>8590</v>
      </c>
      <c r="V2938" t="s">
        <v>8590</v>
      </c>
      <c r="W2938">
        <v>7</v>
      </c>
      <c r="X2938" t="s">
        <v>11528</v>
      </c>
      <c r="Y2938">
        <v>0.54247257601696952</v>
      </c>
      <c r="Z2938" t="str">
        <f>HYPERLINK("Melting_Curves/meltCurve_sp_Q9BXK5_B2L13_HUMAN_.pdf", "Melting_Curves/meltCurve_sp_Q9BXK5_B2L13_HUMAN_.pdf")</f>
        <v>Melting_Curves/meltCurve_sp_Q9BXK5_B2L13_HUMAN_.pdf</v>
      </c>
      <c r="AA2938" t="s">
        <v>15777</v>
      </c>
      <c r="AB2938" t="s">
        <v>20022</v>
      </c>
    </row>
    <row r="2939" spans="1:28" x14ac:dyDescent="0.25">
      <c r="A2939" t="s">
        <v>2943</v>
      </c>
      <c r="B2939">
        <v>0.99876560204751996</v>
      </c>
      <c r="C2939">
        <v>0.95521441231535498</v>
      </c>
      <c r="D2939">
        <v>0.83391815734486896</v>
      </c>
      <c r="E2939">
        <v>0.42622133172736898</v>
      </c>
      <c r="F2939">
        <v>0.20093582563269999</v>
      </c>
      <c r="G2939">
        <v>0.118897132096746</v>
      </c>
      <c r="H2939">
        <v>8.7872474084320196E-2</v>
      </c>
      <c r="I2939">
        <v>7.5904994831378095E-2</v>
      </c>
      <c r="J2939">
        <v>7.2762123677018994E-2</v>
      </c>
      <c r="K2939">
        <v>6.1120207748379597E-2</v>
      </c>
      <c r="L2939">
        <v>1130.6443218465599</v>
      </c>
      <c r="M2939">
        <v>23.093974552717199</v>
      </c>
      <c r="N2939">
        <v>49.2899200584338</v>
      </c>
      <c r="O2939">
        <v>48.595748129675997</v>
      </c>
      <c r="P2939">
        <v>-0.11026279466606501</v>
      </c>
      <c r="Q2939">
        <v>7.19303449628233E-2</v>
      </c>
      <c r="R2939">
        <v>0.99961198788045003</v>
      </c>
      <c r="S2939" t="s">
        <v>7235</v>
      </c>
      <c r="T2939" t="s">
        <v>8590</v>
      </c>
      <c r="U2939" t="s">
        <v>8590</v>
      </c>
      <c r="V2939" t="s">
        <v>8590</v>
      </c>
      <c r="W2939">
        <v>16</v>
      </c>
      <c r="X2939" t="s">
        <v>11529</v>
      </c>
      <c r="Y2939">
        <v>0.35874742829854672</v>
      </c>
      <c r="Z2939" t="str">
        <f>HYPERLINK("Melting_Curves/meltCurve_sp_Q9BXP5_5_SRRT_HUMAN_.pdf", "Melting_Curves/meltCurve_sp_Q9BXP5_5_SRRT_HUMAN_.pdf")</f>
        <v>Melting_Curves/meltCurve_sp_Q9BXP5_5_SRRT_HUMAN_.pdf</v>
      </c>
      <c r="AA2939" t="s">
        <v>15778</v>
      </c>
      <c r="AB2939" t="s">
        <v>20023</v>
      </c>
    </row>
    <row r="2940" spans="1:28" x14ac:dyDescent="0.25">
      <c r="A2940" t="s">
        <v>2944</v>
      </c>
      <c r="B2940">
        <v>0.99876560204751996</v>
      </c>
      <c r="C2940">
        <v>0.97648682979313395</v>
      </c>
      <c r="D2940">
        <v>0.95817748387374102</v>
      </c>
      <c r="E2940">
        <v>0.86834725745395003</v>
      </c>
      <c r="F2940">
        <v>0.64035526965859801</v>
      </c>
      <c r="G2940">
        <v>0.36628911813568499</v>
      </c>
      <c r="H2940">
        <v>0.23376291969125099</v>
      </c>
      <c r="I2940">
        <v>0.197547601156075</v>
      </c>
      <c r="J2940">
        <v>0.173304491742689</v>
      </c>
      <c r="K2940">
        <v>7.5418173405824296E-2</v>
      </c>
      <c r="L2940">
        <v>959.07743989342202</v>
      </c>
      <c r="M2940">
        <v>17.653910677477</v>
      </c>
      <c r="N2940">
        <v>55.119315321342498</v>
      </c>
      <c r="O2940">
        <v>53.6439296383084</v>
      </c>
      <c r="P2940">
        <v>-7.3053776335424397E-2</v>
      </c>
      <c r="Q2940">
        <v>0.112109926786244</v>
      </c>
      <c r="R2940">
        <v>0.99528027103902195</v>
      </c>
      <c r="S2940" t="s">
        <v>7236</v>
      </c>
      <c r="T2940" t="s">
        <v>8590</v>
      </c>
      <c r="U2940" t="s">
        <v>8590</v>
      </c>
      <c r="V2940" t="s">
        <v>8590</v>
      </c>
      <c r="W2940">
        <v>11</v>
      </c>
      <c r="X2940" t="s">
        <v>11530</v>
      </c>
      <c r="Y2940">
        <v>0.55059145374142682</v>
      </c>
      <c r="Z2940" t="str">
        <f>HYPERLINK("Melting_Curves/meltCurve_sp_Q9BXR0_TGT_HUMAN_.pdf", "Melting_Curves/meltCurve_sp_Q9BXR0_TGT_HUMAN_.pdf")</f>
        <v>Melting_Curves/meltCurve_sp_Q9BXR0_TGT_HUMAN_.pdf</v>
      </c>
      <c r="AA2940" t="s">
        <v>15779</v>
      </c>
      <c r="AB2940" t="s">
        <v>20024</v>
      </c>
    </row>
    <row r="2941" spans="1:28" x14ac:dyDescent="0.25">
      <c r="A2941" t="s">
        <v>2945</v>
      </c>
      <c r="B2941">
        <v>0.99876560204751996</v>
      </c>
      <c r="C2941">
        <v>1.07007844126523</v>
      </c>
      <c r="D2941">
        <v>0.90158025124600405</v>
      </c>
      <c r="E2941">
        <v>1.02779919523478</v>
      </c>
      <c r="F2941">
        <v>0.82330500223830505</v>
      </c>
      <c r="G2941">
        <v>0.48953353424051199</v>
      </c>
      <c r="H2941">
        <v>0.22546616817092999</v>
      </c>
      <c r="I2941">
        <v>0.10732992010624801</v>
      </c>
      <c r="J2941">
        <v>4.8416537562580797E-2</v>
      </c>
      <c r="K2941">
        <v>4.0026359162136503E-2</v>
      </c>
      <c r="L2941">
        <v>1259.6177077843199</v>
      </c>
      <c r="M2941">
        <v>22.1430649684504</v>
      </c>
      <c r="N2941">
        <v>57.028173345766298</v>
      </c>
      <c r="O2941">
        <v>56.427567686179103</v>
      </c>
      <c r="P2941">
        <v>-9.5461217822609704E-2</v>
      </c>
      <c r="Q2941">
        <v>2.6959072950595998E-2</v>
      </c>
      <c r="R2941">
        <v>0.98837452081455901</v>
      </c>
      <c r="S2941" t="s">
        <v>7237</v>
      </c>
      <c r="T2941" t="s">
        <v>8590</v>
      </c>
      <c r="U2941" t="s">
        <v>8590</v>
      </c>
      <c r="V2941" t="s">
        <v>8590</v>
      </c>
      <c r="W2941">
        <v>12</v>
      </c>
      <c r="X2941" t="s">
        <v>11531</v>
      </c>
      <c r="Y2941">
        <v>0.58514470516608275</v>
      </c>
      <c r="Z2941" t="str">
        <f>HYPERLINK("Melting_Curves/meltCurve_sp_Q9BXS5_AP1M1_HUMAN_.pdf", "Melting_Curves/meltCurve_sp_Q9BXS5_AP1M1_HUMAN_.pdf")</f>
        <v>Melting_Curves/meltCurve_sp_Q9BXS5_AP1M1_HUMAN_.pdf</v>
      </c>
      <c r="AA2941" t="s">
        <v>15780</v>
      </c>
      <c r="AB2941" t="s">
        <v>20025</v>
      </c>
    </row>
    <row r="2942" spans="1:28" x14ac:dyDescent="0.25">
      <c r="A2942" t="s">
        <v>2946</v>
      </c>
      <c r="B2942">
        <v>0.99876560204751996</v>
      </c>
      <c r="C2942">
        <v>0.97602002029134305</v>
      </c>
      <c r="D2942">
        <v>1.0652702566734</v>
      </c>
      <c r="E2942">
        <v>1.1387052877118</v>
      </c>
      <c r="F2942">
        <v>0.897171230855631</v>
      </c>
      <c r="G2942">
        <v>0.61194457491448195</v>
      </c>
      <c r="H2942">
        <v>0.33389273351213</v>
      </c>
      <c r="I2942">
        <v>0.28447334137952801</v>
      </c>
      <c r="J2942">
        <v>0.49564055437987498</v>
      </c>
      <c r="K2942">
        <v>0.394883258841905</v>
      </c>
      <c r="L2942">
        <v>2340.5666200394699</v>
      </c>
      <c r="M2942">
        <v>41.7219240534344</v>
      </c>
      <c r="N2942">
        <v>58.022507744340302</v>
      </c>
      <c r="O2942">
        <v>55.970783249816201</v>
      </c>
      <c r="P2942">
        <v>-0.116549895404784</v>
      </c>
      <c r="Q2942">
        <v>0.374585177751322</v>
      </c>
      <c r="R2942">
        <v>0.94258344822890605</v>
      </c>
      <c r="S2942" t="s">
        <v>7238</v>
      </c>
      <c r="T2942" t="s">
        <v>8590</v>
      </c>
      <c r="U2942" t="s">
        <v>8590</v>
      </c>
      <c r="V2942" t="s">
        <v>8590</v>
      </c>
      <c r="W2942">
        <v>1</v>
      </c>
      <c r="X2942" t="s">
        <v>11532</v>
      </c>
      <c r="Y2942">
        <v>0.7124242677183662</v>
      </c>
      <c r="Z2942" t="str">
        <f>HYPERLINK("Melting_Curves/meltCurve_sp_Q9BXS6_7_NUSAP_HUMAN_.pdf", "Melting_Curves/meltCurve_sp_Q9BXS6_7_NUSAP_HUMAN_.pdf")</f>
        <v>Melting_Curves/meltCurve_sp_Q9BXS6_7_NUSAP_HUMAN_.pdf</v>
      </c>
      <c r="AA2942" t="s">
        <v>15781</v>
      </c>
      <c r="AB2942" t="s">
        <v>20026</v>
      </c>
    </row>
    <row r="2943" spans="1:28" x14ac:dyDescent="0.25">
      <c r="A2943" t="s">
        <v>2947</v>
      </c>
      <c r="B2943">
        <v>0.99876560204751996</v>
      </c>
      <c r="C2943">
        <v>1.0257706814545899</v>
      </c>
      <c r="D2943">
        <v>0.96495195710845705</v>
      </c>
      <c r="E2943">
        <v>1.1120483250802899</v>
      </c>
      <c r="F2943">
        <v>1.18098402988373</v>
      </c>
      <c r="G2943">
        <v>0.56520885960009903</v>
      </c>
      <c r="H2943">
        <v>0.38187130289860099</v>
      </c>
      <c r="I2943">
        <v>0.1952908559804</v>
      </c>
      <c r="J2943">
        <v>0.153122008565448</v>
      </c>
      <c r="K2943">
        <v>0.13654423334937399</v>
      </c>
      <c r="L2943">
        <v>3302.50188898126</v>
      </c>
      <c r="M2943">
        <v>58.023523880567602</v>
      </c>
      <c r="N2943">
        <v>57.453585535271998</v>
      </c>
      <c r="O2943">
        <v>56.849098751383899</v>
      </c>
      <c r="P2943">
        <v>-0.20176078626344399</v>
      </c>
      <c r="Q2943">
        <v>0.20929196438140199</v>
      </c>
      <c r="R2943">
        <v>0.948458692327936</v>
      </c>
      <c r="S2943" t="s">
        <v>7239</v>
      </c>
      <c r="T2943" t="s">
        <v>8590</v>
      </c>
      <c r="U2943" t="s">
        <v>8590</v>
      </c>
      <c r="V2943" t="s">
        <v>8590</v>
      </c>
      <c r="W2943">
        <v>1</v>
      </c>
      <c r="X2943" t="s">
        <v>11533</v>
      </c>
      <c r="Y2943">
        <v>0.65663294412511108</v>
      </c>
      <c r="Z2943" t="str">
        <f>HYPERLINK("Melting_Curves/meltCurve_sp_Q9BXV9_CN142_HUMAN_.pdf", "Melting_Curves/meltCurve_sp_Q9BXV9_CN142_HUMAN_.pdf")</f>
        <v>Melting_Curves/meltCurve_sp_Q9BXV9_CN142_HUMAN_.pdf</v>
      </c>
      <c r="AA2943" t="s">
        <v>15782</v>
      </c>
      <c r="AB2943" t="s">
        <v>20027</v>
      </c>
    </row>
    <row r="2944" spans="1:28" x14ac:dyDescent="0.25">
      <c r="A2944" t="s">
        <v>2948</v>
      </c>
      <c r="B2944">
        <v>0.99876560204751996</v>
      </c>
      <c r="C2944">
        <v>1.06700291731446</v>
      </c>
      <c r="D2944">
        <v>1.05865577122695</v>
      </c>
      <c r="E2944">
        <v>0.916483973984621</v>
      </c>
      <c r="F2944">
        <v>0.66854186976007002</v>
      </c>
      <c r="G2944">
        <v>0.295406030616925</v>
      </c>
      <c r="H2944">
        <v>0.216444179166696</v>
      </c>
      <c r="I2944">
        <v>0.136156924708243</v>
      </c>
      <c r="J2944">
        <v>8.6746045752734396E-2</v>
      </c>
      <c r="K2944">
        <v>6.6247398636522195E-2</v>
      </c>
      <c r="L2944">
        <v>1332.02110703777</v>
      </c>
      <c r="M2944">
        <v>24.534799415247999</v>
      </c>
      <c r="N2944">
        <v>54.784212477837599</v>
      </c>
      <c r="O2944">
        <v>53.934276894114703</v>
      </c>
      <c r="P2944">
        <v>-0.102459289753011</v>
      </c>
      <c r="Q2944">
        <v>9.9077621245006395E-2</v>
      </c>
      <c r="R2944">
        <v>0.99053953171547005</v>
      </c>
      <c r="S2944" t="s">
        <v>7240</v>
      </c>
      <c r="T2944" t="s">
        <v>8590</v>
      </c>
      <c r="U2944" t="s">
        <v>8590</v>
      </c>
      <c r="V2944" t="s">
        <v>8590</v>
      </c>
      <c r="W2944">
        <v>3</v>
      </c>
      <c r="X2944" t="s">
        <v>11534</v>
      </c>
      <c r="Y2944">
        <v>0.53687747978892475</v>
      </c>
      <c r="Z2944" t="str">
        <f>HYPERLINK("Melting_Curves/meltCurve_sp_Q9BXW6_OSBL1_HUMAN_.pdf", "Melting_Curves/meltCurve_sp_Q9BXW6_OSBL1_HUMAN_.pdf")</f>
        <v>Melting_Curves/meltCurve_sp_Q9BXW6_OSBL1_HUMAN_.pdf</v>
      </c>
      <c r="AA2944" t="s">
        <v>15783</v>
      </c>
      <c r="AB2944" t="s">
        <v>20028</v>
      </c>
    </row>
    <row r="2945" spans="1:28" x14ac:dyDescent="0.25">
      <c r="A2945" t="s">
        <v>2949</v>
      </c>
      <c r="B2945">
        <v>0.99876560204751996</v>
      </c>
      <c r="C2945">
        <v>0.87058409353603206</v>
      </c>
      <c r="D2945">
        <v>0.61706922692558497</v>
      </c>
      <c r="E2945">
        <v>0.30524644146861102</v>
      </c>
      <c r="F2945">
        <v>0.166638939932021</v>
      </c>
      <c r="G2945">
        <v>0.10473195081108901</v>
      </c>
      <c r="H2945">
        <v>6.3999471300721297E-2</v>
      </c>
      <c r="I2945">
        <v>5.4356402246600197E-2</v>
      </c>
      <c r="J2945">
        <v>5.0809887715153899E-2</v>
      </c>
      <c r="K2945">
        <v>3.79551272327424E-2</v>
      </c>
      <c r="L2945">
        <v>854.30053980154901</v>
      </c>
      <c r="M2945">
        <v>18.107763183914901</v>
      </c>
      <c r="N2945">
        <v>47.446592413074598</v>
      </c>
      <c r="O2945">
        <v>46.614583154347699</v>
      </c>
      <c r="P2945">
        <v>-9.2399457243422994E-2</v>
      </c>
      <c r="Q2945">
        <v>4.8594887439133802E-2</v>
      </c>
      <c r="R2945">
        <v>0.99841450822224198</v>
      </c>
      <c r="S2945" t="s">
        <v>7241</v>
      </c>
      <c r="T2945" t="s">
        <v>8590</v>
      </c>
      <c r="U2945" t="s">
        <v>8590</v>
      </c>
      <c r="V2945" t="s">
        <v>8590</v>
      </c>
      <c r="W2945">
        <v>18</v>
      </c>
      <c r="X2945" t="s">
        <v>11535</v>
      </c>
      <c r="Y2945">
        <v>0.29343871367111352</v>
      </c>
      <c r="Z2945" t="str">
        <f>HYPERLINK("Melting_Curves/meltCurve_sp_Q9BXW7_2_CECR5_HUMAN_.pdf", "Melting_Curves/meltCurve_sp_Q9BXW7_2_CECR5_HUMAN_.pdf")</f>
        <v>Melting_Curves/meltCurve_sp_Q9BXW7_2_CECR5_HUMAN_.pdf</v>
      </c>
      <c r="AA2945" t="s">
        <v>15784</v>
      </c>
      <c r="AB2945" t="s">
        <v>20029</v>
      </c>
    </row>
    <row r="2946" spans="1:28" x14ac:dyDescent="0.25">
      <c r="A2946" t="s">
        <v>2950</v>
      </c>
      <c r="B2946">
        <v>0.99876560204751996</v>
      </c>
      <c r="C2946">
        <v>1.0141891266732701</v>
      </c>
      <c r="D2946">
        <v>0.90395252040886998</v>
      </c>
      <c r="E2946">
        <v>1.04085090148538</v>
      </c>
      <c r="F2946">
        <v>0.65879318093303996</v>
      </c>
      <c r="G2946">
        <v>0.60673765280899705</v>
      </c>
      <c r="H2946">
        <v>0.400641189253434</v>
      </c>
      <c r="I2946">
        <v>0.40760843472944902</v>
      </c>
      <c r="J2946">
        <v>0.253768988727753</v>
      </c>
      <c r="K2946">
        <v>0.198925595134544</v>
      </c>
      <c r="L2946">
        <v>715.21113865651898</v>
      </c>
      <c r="M2946">
        <v>12.4430923639424</v>
      </c>
      <c r="N2946">
        <v>59.083062593113802</v>
      </c>
      <c r="O2946">
        <v>56.054553594694397</v>
      </c>
      <c r="P2946">
        <v>-4.7549020692231402E-2</v>
      </c>
      <c r="Q2946">
        <v>0.143370176238726</v>
      </c>
      <c r="R2946">
        <v>0.94727043044501003</v>
      </c>
      <c r="S2946" t="s">
        <v>7242</v>
      </c>
      <c r="T2946" t="s">
        <v>8590</v>
      </c>
      <c r="U2946" t="s">
        <v>8590</v>
      </c>
      <c r="V2946" t="s">
        <v>8590</v>
      </c>
      <c r="W2946">
        <v>2</v>
      </c>
      <c r="X2946" t="s">
        <v>11536</v>
      </c>
      <c r="Y2946">
        <v>0.65537013993145854</v>
      </c>
      <c r="Z2946" t="str">
        <f>HYPERLINK("Melting_Curves/meltCurve_sp_Q9BY32_ITPA_HUMAN_.pdf", "Melting_Curves/meltCurve_sp_Q9BY32_ITPA_HUMAN_.pdf")</f>
        <v>Melting_Curves/meltCurve_sp_Q9BY32_ITPA_HUMAN_.pdf</v>
      </c>
      <c r="AA2946" t="s">
        <v>15785</v>
      </c>
      <c r="AB2946" t="s">
        <v>20030</v>
      </c>
    </row>
    <row r="2947" spans="1:28" x14ac:dyDescent="0.25">
      <c r="A2947" t="s">
        <v>2951</v>
      </c>
      <c r="B2947">
        <v>0.99876560204751996</v>
      </c>
      <c r="C2947">
        <v>0.93673042061785305</v>
      </c>
      <c r="D2947">
        <v>0.94356386307587603</v>
      </c>
      <c r="E2947">
        <v>0.80651985861028896</v>
      </c>
      <c r="F2947">
        <v>0.772852639979145</v>
      </c>
      <c r="G2947">
        <v>0.44432341436102102</v>
      </c>
      <c r="H2947">
        <v>0.30305064424524703</v>
      </c>
      <c r="I2947">
        <v>0.26599519466459998</v>
      </c>
      <c r="J2947">
        <v>0.31271381018716499</v>
      </c>
      <c r="K2947">
        <v>0.28534118755926902</v>
      </c>
      <c r="L2947">
        <v>976.095071278398</v>
      </c>
      <c r="M2947">
        <v>18.035065145117599</v>
      </c>
      <c r="N2947">
        <v>56.316399119529599</v>
      </c>
      <c r="O2947">
        <v>53.469820995648298</v>
      </c>
      <c r="P2947">
        <v>-6.3044852833605197E-2</v>
      </c>
      <c r="Q2947">
        <v>0.25238264915179698</v>
      </c>
      <c r="R2947">
        <v>0.98001017619577402</v>
      </c>
      <c r="S2947" t="s">
        <v>7243</v>
      </c>
      <c r="T2947" t="s">
        <v>8590</v>
      </c>
      <c r="U2947" t="s">
        <v>8590</v>
      </c>
      <c r="V2947" t="s">
        <v>8590</v>
      </c>
      <c r="W2947">
        <v>5</v>
      </c>
      <c r="X2947" t="s">
        <v>11537</v>
      </c>
      <c r="Y2947">
        <v>0.61619920662037297</v>
      </c>
      <c r="Z2947" t="str">
        <f>HYPERLINK("Melting_Curves/meltCurve_sp_Q9BY42_RTF2_HUMAN_.pdf", "Melting_Curves/meltCurve_sp_Q9BY42_RTF2_HUMAN_.pdf")</f>
        <v>Melting_Curves/meltCurve_sp_Q9BY42_RTF2_HUMAN_.pdf</v>
      </c>
      <c r="AA2947" t="s">
        <v>15786</v>
      </c>
      <c r="AB2947" t="s">
        <v>20031</v>
      </c>
    </row>
    <row r="2948" spans="1:28" x14ac:dyDescent="0.25">
      <c r="A2948" t="s">
        <v>2952</v>
      </c>
      <c r="B2948">
        <v>0.99876560204751996</v>
      </c>
      <c r="C2948">
        <v>0.95598845504060703</v>
      </c>
      <c r="D2948">
        <v>1.0947023230367099</v>
      </c>
      <c r="E2948">
        <v>0.93907147338527497</v>
      </c>
      <c r="F2948">
        <v>0.995238600020386</v>
      </c>
      <c r="G2948">
        <v>0.80200479774689803</v>
      </c>
      <c r="H2948">
        <v>0.73655396986440502</v>
      </c>
      <c r="I2948">
        <v>0.79378144441944798</v>
      </c>
      <c r="J2948">
        <v>1.0239572754822299</v>
      </c>
      <c r="K2948">
        <v>0.98463958208895497</v>
      </c>
      <c r="L2948">
        <v>13424.0439606362</v>
      </c>
      <c r="M2948">
        <v>250</v>
      </c>
      <c r="O2948">
        <v>53.692738350314698</v>
      </c>
      <c r="P2948">
        <v>-0.15343390396652701</v>
      </c>
      <c r="Q2948">
        <v>0.86818741362284402</v>
      </c>
      <c r="R2948">
        <v>0.34131628240740097</v>
      </c>
      <c r="S2948" t="s">
        <v>7244</v>
      </c>
      <c r="T2948" t="s">
        <v>8590</v>
      </c>
      <c r="U2948" t="s">
        <v>8590</v>
      </c>
      <c r="V2948" t="s">
        <v>8590</v>
      </c>
      <c r="W2948">
        <v>9</v>
      </c>
      <c r="X2948" t="s">
        <v>11538</v>
      </c>
      <c r="Y2948">
        <v>0.92837744715026516</v>
      </c>
      <c r="Z2948" t="str">
        <f>HYPERLINK("Melting_Curves/meltCurve_sp_Q9BY43_CHM4A_HUMAN_.pdf", "Melting_Curves/meltCurve_sp_Q9BY43_CHM4A_HUMAN_.pdf")</f>
        <v>Melting_Curves/meltCurve_sp_Q9BY43_CHM4A_HUMAN_.pdf</v>
      </c>
      <c r="AA2948" t="s">
        <v>15787</v>
      </c>
      <c r="AB2948" t="s">
        <v>20032</v>
      </c>
    </row>
    <row r="2949" spans="1:28" x14ac:dyDescent="0.25">
      <c r="A2949" t="s">
        <v>2953</v>
      </c>
      <c r="B2949">
        <v>0.99876560204751996</v>
      </c>
      <c r="C2949">
        <v>0.92816418618669205</v>
      </c>
      <c r="D2949">
        <v>0.65909053066906798</v>
      </c>
      <c r="E2949">
        <v>0.36823081383207401</v>
      </c>
      <c r="F2949">
        <v>0.17847397912514601</v>
      </c>
      <c r="G2949">
        <v>9.9540948728185294E-2</v>
      </c>
      <c r="H2949">
        <v>5.16398688842011E-2</v>
      </c>
      <c r="I2949">
        <v>4.14057179956515E-2</v>
      </c>
      <c r="J2949">
        <v>3.8730262716901699E-2</v>
      </c>
      <c r="K2949">
        <v>3.3583903484200803E-2</v>
      </c>
      <c r="L2949">
        <v>858.960223839219</v>
      </c>
      <c r="M2949">
        <v>17.903318256398101</v>
      </c>
      <c r="N2949">
        <v>48.168241461017402</v>
      </c>
      <c r="O2949">
        <v>47.391140739647298</v>
      </c>
      <c r="P2949">
        <v>-9.1220375965759201E-2</v>
      </c>
      <c r="Q2949">
        <v>3.4185785900502502E-2</v>
      </c>
      <c r="R2949">
        <v>0.997400726423467</v>
      </c>
      <c r="S2949" t="s">
        <v>7245</v>
      </c>
      <c r="T2949" t="s">
        <v>8590</v>
      </c>
      <c r="U2949" t="s">
        <v>8590</v>
      </c>
      <c r="V2949" t="s">
        <v>8590</v>
      </c>
      <c r="W2949">
        <v>14</v>
      </c>
      <c r="X2949" t="s">
        <v>11539</v>
      </c>
      <c r="Y2949">
        <v>0.30836037637505342</v>
      </c>
      <c r="Z2949" t="str">
        <f>HYPERLINK("Melting_Curves/meltCurve_sp_Q9BY49_PECR_HUMAN_.pdf", "Melting_Curves/meltCurve_sp_Q9BY49_PECR_HUMAN_.pdf")</f>
        <v>Melting_Curves/meltCurve_sp_Q9BY49_PECR_HUMAN_.pdf</v>
      </c>
      <c r="AA2949" t="s">
        <v>15788</v>
      </c>
      <c r="AB2949" t="s">
        <v>20033</v>
      </c>
    </row>
    <row r="2950" spans="1:28" x14ac:dyDescent="0.25">
      <c r="A2950" t="s">
        <v>2954</v>
      </c>
      <c r="B2950">
        <v>0.99876560204751996</v>
      </c>
      <c r="C2950">
        <v>0.99749273169908903</v>
      </c>
      <c r="D2950">
        <v>1.0947313158176</v>
      </c>
      <c r="E2950">
        <v>0.91461847361887405</v>
      </c>
      <c r="F2950">
        <v>0.97972111002918905</v>
      </c>
      <c r="G2950">
        <v>0.63917144914084001</v>
      </c>
      <c r="H2950">
        <v>0.48129114277102503</v>
      </c>
      <c r="I2950">
        <v>0.45727074716801902</v>
      </c>
      <c r="J2950">
        <v>0.58480390036851804</v>
      </c>
      <c r="K2950">
        <v>0.50691717479489096</v>
      </c>
      <c r="L2950">
        <v>3290.0817012469502</v>
      </c>
      <c r="M2950">
        <v>58.748316129759999</v>
      </c>
      <c r="O2950">
        <v>55.938215553520898</v>
      </c>
      <c r="P2950">
        <v>-0.12945989636792801</v>
      </c>
      <c r="Q2950">
        <v>0.50693038832778003</v>
      </c>
      <c r="R2950">
        <v>0.95547049111826798</v>
      </c>
      <c r="S2950" t="s">
        <v>7246</v>
      </c>
      <c r="T2950" t="s">
        <v>8590</v>
      </c>
      <c r="U2950" t="s">
        <v>8590</v>
      </c>
      <c r="V2950" t="s">
        <v>8590</v>
      </c>
      <c r="W2950">
        <v>3</v>
      </c>
      <c r="X2950" t="s">
        <v>11540</v>
      </c>
      <c r="Y2950">
        <v>0.77083080440885032</v>
      </c>
      <c r="Z2950" t="str">
        <f>HYPERLINK("Melting_Curves/meltCurve_sp_Q9BY67_2_CADM1_HUMAN_.pdf", "Melting_Curves/meltCurve_sp_Q9BY67_2_CADM1_HUMAN_.pdf")</f>
        <v>Melting_Curves/meltCurve_sp_Q9BY67_2_CADM1_HUMAN_.pdf</v>
      </c>
      <c r="AA2950" t="s">
        <v>15789</v>
      </c>
      <c r="AB2950" t="s">
        <v>20034</v>
      </c>
    </row>
    <row r="2951" spans="1:28" x14ac:dyDescent="0.25">
      <c r="A2951" t="s">
        <v>2955</v>
      </c>
      <c r="B2951">
        <v>0.99876560204751996</v>
      </c>
      <c r="C2951">
        <v>0.96207319518321199</v>
      </c>
      <c r="D2951">
        <v>0.91958389005740104</v>
      </c>
      <c r="E2951">
        <v>0.75970922537146801</v>
      </c>
      <c r="F2951">
        <v>0.815882740217164</v>
      </c>
      <c r="G2951">
        <v>0.62935424686109398</v>
      </c>
      <c r="H2951">
        <v>0.46930947825431502</v>
      </c>
      <c r="I2951">
        <v>0.56143525530905602</v>
      </c>
      <c r="J2951">
        <v>0.52652697877954202</v>
      </c>
      <c r="K2951">
        <v>0.58849332956345402</v>
      </c>
      <c r="L2951">
        <v>683.13936701378896</v>
      </c>
      <c r="M2951">
        <v>13.1639449623821</v>
      </c>
      <c r="O2951">
        <v>50.740989376557799</v>
      </c>
      <c r="P2951">
        <v>-3.1601903833560201E-2</v>
      </c>
      <c r="Q2951">
        <v>0.51283840188896901</v>
      </c>
      <c r="R2951">
        <v>0.921688602105869</v>
      </c>
      <c r="S2951" t="s">
        <v>7247</v>
      </c>
      <c r="T2951" t="s">
        <v>8590</v>
      </c>
      <c r="U2951" t="s">
        <v>8590</v>
      </c>
      <c r="V2951" t="s">
        <v>8590</v>
      </c>
      <c r="W2951">
        <v>7</v>
      </c>
      <c r="X2951" t="s">
        <v>11541</v>
      </c>
      <c r="Y2951">
        <v>0.71924212858578729</v>
      </c>
      <c r="Z2951" t="str">
        <f>HYPERLINK("Melting_Curves/meltCurve_sp_Q9BY77_PDIP3_HUMAN_.pdf", "Melting_Curves/meltCurve_sp_Q9BY77_PDIP3_HUMAN_.pdf")</f>
        <v>Melting_Curves/meltCurve_sp_Q9BY77_PDIP3_HUMAN_.pdf</v>
      </c>
      <c r="AA2951" t="s">
        <v>15790</v>
      </c>
      <c r="AB2951" t="s">
        <v>20035</v>
      </c>
    </row>
    <row r="2952" spans="1:28" x14ac:dyDescent="0.25">
      <c r="A2952" t="s">
        <v>2956</v>
      </c>
      <c r="B2952">
        <v>0.99876560204751996</v>
      </c>
      <c r="C2952">
        <v>1.01651270218979</v>
      </c>
      <c r="D2952">
        <v>0.99456726180423005</v>
      </c>
      <c r="E2952">
        <v>0.93908055358490095</v>
      </c>
      <c r="F2952">
        <v>0.82265432638037195</v>
      </c>
      <c r="G2952">
        <v>0.65629274135709004</v>
      </c>
      <c r="H2952">
        <v>0.52559418809288305</v>
      </c>
      <c r="I2952">
        <v>0.52049286569364595</v>
      </c>
      <c r="J2952">
        <v>0.63178697066947498</v>
      </c>
      <c r="K2952">
        <v>0.55552611202904401</v>
      </c>
      <c r="L2952">
        <v>1445.1475067935601</v>
      </c>
      <c r="M2952">
        <v>26.862664715486702</v>
      </c>
      <c r="O2952">
        <v>53.502137210779203</v>
      </c>
      <c r="P2952">
        <v>-5.5735987351054103E-2</v>
      </c>
      <c r="Q2952">
        <v>0.55596895090837894</v>
      </c>
      <c r="R2952">
        <v>0.97402162231255995</v>
      </c>
      <c r="S2952" t="s">
        <v>7248</v>
      </c>
      <c r="T2952" t="s">
        <v>8590</v>
      </c>
      <c r="U2952" t="s">
        <v>8590</v>
      </c>
      <c r="V2952" t="s">
        <v>8590</v>
      </c>
      <c r="W2952">
        <v>13</v>
      </c>
      <c r="X2952" t="s">
        <v>11542</v>
      </c>
      <c r="Y2952">
        <v>0.76378112771589435</v>
      </c>
      <c r="Z2952" t="str">
        <f>HYPERLINK("Melting_Curves/meltCurve_sp_Q9BY89_K1671_HUMAN_.pdf", "Melting_Curves/meltCurve_sp_Q9BY89_K1671_HUMAN_.pdf")</f>
        <v>Melting_Curves/meltCurve_sp_Q9BY89_K1671_HUMAN_.pdf</v>
      </c>
      <c r="AA2952" t="s">
        <v>15791</v>
      </c>
      <c r="AB2952" t="s">
        <v>20036</v>
      </c>
    </row>
    <row r="2953" spans="1:28" x14ac:dyDescent="0.25">
      <c r="A2953" t="s">
        <v>2957</v>
      </c>
      <c r="B2953">
        <v>0.99876560204751996</v>
      </c>
      <c r="C2953">
        <v>1.0390672653069499</v>
      </c>
      <c r="D2953">
        <v>0.89846782495343103</v>
      </c>
      <c r="E2953">
        <v>0.88096449649226705</v>
      </c>
      <c r="F2953">
        <v>0.70951621509153795</v>
      </c>
      <c r="G2953">
        <v>0.45565385538640102</v>
      </c>
      <c r="H2953">
        <v>0.265047165821443</v>
      </c>
      <c r="I2953">
        <v>0.18152094091276999</v>
      </c>
      <c r="J2953">
        <v>0.192104747027561</v>
      </c>
      <c r="K2953">
        <v>0.22060568674856099</v>
      </c>
      <c r="L2953">
        <v>994.11837970445299</v>
      </c>
      <c r="M2953">
        <v>18.1513333580424</v>
      </c>
      <c r="N2953">
        <v>56.001999114327297</v>
      </c>
      <c r="O2953">
        <v>54.1165629732497</v>
      </c>
      <c r="P2953">
        <v>-7.0038102262542701E-2</v>
      </c>
      <c r="Q2953">
        <v>0.164790740983319</v>
      </c>
      <c r="R2953">
        <v>0.99001940712480196</v>
      </c>
      <c r="S2953" t="s">
        <v>7249</v>
      </c>
      <c r="T2953" t="s">
        <v>8590</v>
      </c>
      <c r="U2953" t="s">
        <v>8590</v>
      </c>
      <c r="V2953" t="s">
        <v>8590</v>
      </c>
      <c r="W2953">
        <v>3</v>
      </c>
      <c r="X2953" t="s">
        <v>11543</v>
      </c>
      <c r="Y2953">
        <v>0.58883230596827885</v>
      </c>
      <c r="Z2953" t="str">
        <f>HYPERLINK("Melting_Curves/meltCurve_sp_Q9BYM8_HOIL1_HUMAN_.pdf", "Melting_Curves/meltCurve_sp_Q9BYM8_HOIL1_HUMAN_.pdf")</f>
        <v>Melting_Curves/meltCurve_sp_Q9BYM8_HOIL1_HUMAN_.pdf</v>
      </c>
      <c r="AA2953" t="s">
        <v>15792</v>
      </c>
      <c r="AB2953" t="s">
        <v>20037</v>
      </c>
    </row>
    <row r="2954" spans="1:28" x14ac:dyDescent="0.25">
      <c r="A2954" t="s">
        <v>2958</v>
      </c>
      <c r="B2954">
        <v>0.99876560204751996</v>
      </c>
      <c r="C2954">
        <v>0.90056193435043297</v>
      </c>
      <c r="D2954">
        <v>0.89458337585360503</v>
      </c>
      <c r="E2954">
        <v>0.73683285670417997</v>
      </c>
      <c r="F2954">
        <v>0.66428347303149304</v>
      </c>
      <c r="G2954">
        <v>0.40608022702434099</v>
      </c>
      <c r="H2954">
        <v>0.235964275235614</v>
      </c>
      <c r="I2954">
        <v>0.217331398718068</v>
      </c>
      <c r="J2954">
        <v>0.24338657498948199</v>
      </c>
      <c r="K2954">
        <v>0.254457720433102</v>
      </c>
      <c r="L2954">
        <v>715.92415088414896</v>
      </c>
      <c r="M2954">
        <v>13.4637262038332</v>
      </c>
      <c r="N2954">
        <v>54.929491959819899</v>
      </c>
      <c r="O2954">
        <v>52.042339106261799</v>
      </c>
      <c r="P2954">
        <v>-5.3378563055348299E-2</v>
      </c>
      <c r="Q2954">
        <v>0.174814709501593</v>
      </c>
      <c r="R2954">
        <v>0.98028740413829896</v>
      </c>
      <c r="S2954" t="s">
        <v>7250</v>
      </c>
      <c r="T2954" t="s">
        <v>8590</v>
      </c>
      <c r="U2954" t="s">
        <v>8590</v>
      </c>
      <c r="V2954" t="s">
        <v>8590</v>
      </c>
      <c r="W2954">
        <v>1</v>
      </c>
      <c r="X2954" t="s">
        <v>11544</v>
      </c>
      <c r="Y2954">
        <v>0.55746905751856546</v>
      </c>
      <c r="Z2954" t="str">
        <f>HYPERLINK("Melting_Curves/meltCurve_sp_Q9BYN0_SRXN1_HUMAN_.pdf", "Melting_Curves/meltCurve_sp_Q9BYN0_SRXN1_HUMAN_.pdf")</f>
        <v>Melting_Curves/meltCurve_sp_Q9BYN0_SRXN1_HUMAN_.pdf</v>
      </c>
      <c r="AA2954" t="s">
        <v>15793</v>
      </c>
      <c r="AB2954" t="s">
        <v>20038</v>
      </c>
    </row>
    <row r="2955" spans="1:28" x14ac:dyDescent="0.25">
      <c r="A2955" t="s">
        <v>2959</v>
      </c>
      <c r="B2955">
        <v>0.99876560204751996</v>
      </c>
      <c r="C2955">
        <v>1.1483964066569601</v>
      </c>
      <c r="D2955">
        <v>1.2581320728489001</v>
      </c>
      <c r="E2955">
        <v>0.98814833527922996</v>
      </c>
      <c r="F2955">
        <v>0.79225574724932102</v>
      </c>
      <c r="G2955">
        <v>0.65145367771878704</v>
      </c>
      <c r="H2955">
        <v>0.39467053070903302</v>
      </c>
      <c r="I2955">
        <v>0.46114888353148797</v>
      </c>
      <c r="J2955">
        <v>0.34253694516167699</v>
      </c>
      <c r="K2955">
        <v>0.30158790749576497</v>
      </c>
      <c r="L2955">
        <v>1197.60446167136</v>
      </c>
      <c r="M2955">
        <v>21.2905542245291</v>
      </c>
      <c r="N2955">
        <v>59.276839468575297</v>
      </c>
      <c r="O2955">
        <v>55.761307645987003</v>
      </c>
      <c r="P2955">
        <v>-6.3823873092796204E-2</v>
      </c>
      <c r="Q2955">
        <v>0.33138195948555599</v>
      </c>
      <c r="R2955">
        <v>0.90308693468928802</v>
      </c>
      <c r="S2955" t="s">
        <v>7251</v>
      </c>
      <c r="T2955" t="s">
        <v>8590</v>
      </c>
      <c r="U2955" t="s">
        <v>8590</v>
      </c>
      <c r="V2955" t="s">
        <v>8590</v>
      </c>
      <c r="W2955">
        <v>5</v>
      </c>
      <c r="X2955" t="s">
        <v>11545</v>
      </c>
      <c r="Y2955">
        <v>0.70138231851398658</v>
      </c>
      <c r="Z2955" t="str">
        <f>HYPERLINK("Melting_Curves/meltCurve_sp_Q9BYP7_3_WNK3_HUMAN_.pdf", "Melting_Curves/meltCurve_sp_Q9BYP7_3_WNK3_HUMAN_.pdf")</f>
        <v>Melting_Curves/meltCurve_sp_Q9BYP7_3_WNK3_HUMAN_.pdf</v>
      </c>
      <c r="AA2955" t="s">
        <v>15794</v>
      </c>
      <c r="AB2955" t="s">
        <v>20039</v>
      </c>
    </row>
    <row r="2956" spans="1:28" x14ac:dyDescent="0.25">
      <c r="A2956" t="s">
        <v>2960</v>
      </c>
      <c r="B2956">
        <v>0.99876560204751996</v>
      </c>
      <c r="C2956">
        <v>0.945220265125987</v>
      </c>
      <c r="D2956">
        <v>0.92063091421646404</v>
      </c>
      <c r="E2956">
        <v>0.87107773211138595</v>
      </c>
      <c r="F2956">
        <v>0.75269086893638504</v>
      </c>
      <c r="G2956">
        <v>0.51691180750526899</v>
      </c>
      <c r="H2956">
        <v>0.140146671906096</v>
      </c>
      <c r="I2956">
        <v>7.8119895743614498E-2</v>
      </c>
      <c r="J2956">
        <v>6.1502804320109801E-2</v>
      </c>
      <c r="K2956">
        <v>5.30677421870481E-2</v>
      </c>
      <c r="L2956">
        <v>1007.97350959621</v>
      </c>
      <c r="M2956">
        <v>17.887503346460399</v>
      </c>
      <c r="N2956">
        <v>56.350709748979902</v>
      </c>
      <c r="O2956">
        <v>55.660557093076903</v>
      </c>
      <c r="P2956">
        <v>-8.0345949005074205E-2</v>
      </c>
      <c r="Q2956">
        <v>0</v>
      </c>
      <c r="R2956">
        <v>0.98833446429710603</v>
      </c>
      <c r="S2956" t="s">
        <v>7252</v>
      </c>
      <c r="T2956" t="s">
        <v>8590</v>
      </c>
      <c r="U2956" t="s">
        <v>8590</v>
      </c>
      <c r="V2956" t="s">
        <v>8590</v>
      </c>
      <c r="W2956">
        <v>32</v>
      </c>
      <c r="X2956" t="s">
        <v>11546</v>
      </c>
      <c r="Y2956">
        <v>0.55953615724127959</v>
      </c>
      <c r="Z2956" t="str">
        <f>HYPERLINK("Melting_Curves/meltCurve_sp_Q9BYT8_NEUL_HUMAN_.pdf", "Melting_Curves/meltCurve_sp_Q9BYT8_NEUL_HUMAN_.pdf")</f>
        <v>Melting_Curves/meltCurve_sp_Q9BYT8_NEUL_HUMAN_.pdf</v>
      </c>
      <c r="AA2956" t="s">
        <v>15795</v>
      </c>
      <c r="AB2956" t="s">
        <v>20040</v>
      </c>
    </row>
    <row r="2957" spans="1:28" x14ac:dyDescent="0.25">
      <c r="A2957" t="s">
        <v>2961</v>
      </c>
      <c r="B2957">
        <v>0.99876560204751996</v>
      </c>
      <c r="C2957">
        <v>0.92346269105077206</v>
      </c>
      <c r="D2957">
        <v>0.78439447218154501</v>
      </c>
      <c r="E2957">
        <v>0.64704021538516698</v>
      </c>
      <c r="F2957">
        <v>0.43060190666745402</v>
      </c>
      <c r="G2957">
        <v>0.25161435542681398</v>
      </c>
      <c r="H2957">
        <v>0.114661019663965</v>
      </c>
      <c r="I2957">
        <v>7.3897513693653494E-2</v>
      </c>
      <c r="J2957">
        <v>5.7674065170309499E-2</v>
      </c>
      <c r="K2957">
        <v>4.7176597195009898E-2</v>
      </c>
      <c r="L2957">
        <v>641.13878656665599</v>
      </c>
      <c r="M2957">
        <v>12.368841538481099</v>
      </c>
      <c r="N2957">
        <v>51.834988446596597</v>
      </c>
      <c r="O2957">
        <v>50.535967012994099</v>
      </c>
      <c r="P2957">
        <v>-6.1201426154253002E-2</v>
      </c>
      <c r="Q2957">
        <v>0</v>
      </c>
      <c r="R2957">
        <v>0.99655583388333302</v>
      </c>
      <c r="S2957" t="s">
        <v>7253</v>
      </c>
      <c r="T2957" t="s">
        <v>8590</v>
      </c>
      <c r="U2957" t="s">
        <v>8590</v>
      </c>
      <c r="V2957" t="s">
        <v>8590</v>
      </c>
      <c r="W2957">
        <v>26</v>
      </c>
      <c r="X2957" t="s">
        <v>11547</v>
      </c>
      <c r="Y2957">
        <v>0.42422317505826018</v>
      </c>
      <c r="Z2957" t="str">
        <f>HYPERLINK("Melting_Curves/meltCurve_sp_Q9BYV1_AGT2_HUMAN_.pdf", "Melting_Curves/meltCurve_sp_Q9BYV1_AGT2_HUMAN_.pdf")</f>
        <v>Melting_Curves/meltCurve_sp_Q9BYV1_AGT2_HUMAN_.pdf</v>
      </c>
      <c r="AA2957" t="s">
        <v>15796</v>
      </c>
      <c r="AB2957" t="s">
        <v>20041</v>
      </c>
    </row>
    <row r="2958" spans="1:28" x14ac:dyDescent="0.25">
      <c r="A2958" t="s">
        <v>2962</v>
      </c>
      <c r="B2958">
        <v>0.99876560204751996</v>
      </c>
      <c r="C2958">
        <v>0.95437627722044505</v>
      </c>
      <c r="D2958">
        <v>0.88020908283094501</v>
      </c>
      <c r="E2958">
        <v>0.576415605923287</v>
      </c>
      <c r="F2958">
        <v>0.368101968155851</v>
      </c>
      <c r="G2958">
        <v>0.25884412596613998</v>
      </c>
      <c r="H2958">
        <v>0.14297414624433499</v>
      </c>
      <c r="I2958">
        <v>0.14660995146264399</v>
      </c>
      <c r="J2958">
        <v>0.14389680862777399</v>
      </c>
      <c r="K2958">
        <v>0.11843970165480699</v>
      </c>
      <c r="L2958">
        <v>895.73111299941002</v>
      </c>
      <c r="M2958">
        <v>17.799313063735799</v>
      </c>
      <c r="N2958">
        <v>51.155671343324101</v>
      </c>
      <c r="O2958">
        <v>49.701609197038799</v>
      </c>
      <c r="P2958">
        <v>-7.8285839827468395E-2</v>
      </c>
      <c r="Q2958">
        <v>0.125644770405514</v>
      </c>
      <c r="R2958">
        <v>0.99776896033566898</v>
      </c>
      <c r="S2958" t="s">
        <v>7254</v>
      </c>
      <c r="T2958" t="s">
        <v>8590</v>
      </c>
      <c r="U2958" t="s">
        <v>8590</v>
      </c>
      <c r="V2958" t="s">
        <v>8590</v>
      </c>
      <c r="W2958">
        <v>4</v>
      </c>
      <c r="X2958" t="s">
        <v>11548</v>
      </c>
      <c r="Y2958">
        <v>0.44170095024389372</v>
      </c>
      <c r="Z2958" t="str">
        <f>HYPERLINK("Melting_Curves/meltCurve_sp_Q9BYV7_4_BCDO2_HUMAN_.pdf", "Melting_Curves/meltCurve_sp_Q9BYV7_4_BCDO2_HUMAN_.pdf")</f>
        <v>Melting_Curves/meltCurve_sp_Q9BYV7_4_BCDO2_HUMAN_.pdf</v>
      </c>
      <c r="AA2958" t="s">
        <v>15797</v>
      </c>
      <c r="AB2958" t="s">
        <v>20042</v>
      </c>
    </row>
    <row r="2959" spans="1:28" x14ac:dyDescent="0.25">
      <c r="A2959" t="s">
        <v>2963</v>
      </c>
      <c r="B2959">
        <v>0.99876560204751996</v>
      </c>
      <c r="C2959">
        <v>0.86905579942490796</v>
      </c>
      <c r="D2959">
        <v>0.91582767473704796</v>
      </c>
      <c r="E2959">
        <v>0.86302932680026601</v>
      </c>
      <c r="F2959">
        <v>0.81290820921785201</v>
      </c>
      <c r="G2959">
        <v>0.60762461966135295</v>
      </c>
      <c r="H2959">
        <v>0.476952533540344</v>
      </c>
      <c r="I2959">
        <v>0.60280500093073697</v>
      </c>
      <c r="J2959">
        <v>0.684100116754642</v>
      </c>
      <c r="K2959">
        <v>0.60494487638333105</v>
      </c>
      <c r="L2959">
        <v>789.89108704309695</v>
      </c>
      <c r="M2959">
        <v>15.324411469433199</v>
      </c>
      <c r="O2959">
        <v>50.690779492063498</v>
      </c>
      <c r="P2959">
        <v>-3.2033078247255299E-2</v>
      </c>
      <c r="Q2959">
        <v>0.57619733826389796</v>
      </c>
      <c r="R2959">
        <v>0.81260630303326498</v>
      </c>
      <c r="S2959" t="s">
        <v>7255</v>
      </c>
      <c r="T2959" t="s">
        <v>8590</v>
      </c>
      <c r="U2959" t="s">
        <v>8590</v>
      </c>
      <c r="V2959" t="s">
        <v>8590</v>
      </c>
      <c r="W2959">
        <v>2</v>
      </c>
      <c r="X2959" t="s">
        <v>11549</v>
      </c>
      <c r="Y2959">
        <v>0.74858416784181836</v>
      </c>
      <c r="Z2959" t="str">
        <f>HYPERLINK("Melting_Curves/meltCurve_sp_Q9BYW2_SETD2_HUMAN_.pdf", "Melting_Curves/meltCurve_sp_Q9BYW2_SETD2_HUMAN_.pdf")</f>
        <v>Melting_Curves/meltCurve_sp_Q9BYW2_SETD2_HUMAN_.pdf</v>
      </c>
      <c r="AA2959" t="s">
        <v>15798</v>
      </c>
      <c r="AB2959" t="s">
        <v>20043</v>
      </c>
    </row>
    <row r="2960" spans="1:28" x14ac:dyDescent="0.25">
      <c r="A2960" t="s">
        <v>2964</v>
      </c>
      <c r="B2960">
        <v>0.99876560204751996</v>
      </c>
      <c r="C2960">
        <v>1.08190070556509</v>
      </c>
      <c r="D2960">
        <v>0.758315871851444</v>
      </c>
      <c r="E2960">
        <v>0.58362290173999398</v>
      </c>
      <c r="F2960">
        <v>0.21960242985870601</v>
      </c>
      <c r="G2960">
        <v>0.203720444067888</v>
      </c>
      <c r="H2960">
        <v>0</v>
      </c>
      <c r="I2960">
        <v>4.2610580695125598E-2</v>
      </c>
      <c r="J2960">
        <v>0</v>
      </c>
      <c r="K2960">
        <v>4.3911277589460299E-2</v>
      </c>
      <c r="L2960">
        <v>917.744940515081</v>
      </c>
      <c r="M2960">
        <v>18.2768868449756</v>
      </c>
      <c r="N2960">
        <v>50.303378405871797</v>
      </c>
      <c r="O2960">
        <v>49.623845300746197</v>
      </c>
      <c r="P2960">
        <v>-9.0600714482931194E-2</v>
      </c>
      <c r="Q2960">
        <v>1.6079878491395999E-2</v>
      </c>
      <c r="R2960">
        <v>0.97397423587263598</v>
      </c>
      <c r="S2960" t="s">
        <v>7256</v>
      </c>
      <c r="T2960" t="s">
        <v>8590</v>
      </c>
      <c r="U2960" t="s">
        <v>8590</v>
      </c>
      <c r="V2960" t="s">
        <v>8590</v>
      </c>
      <c r="W2960">
        <v>1</v>
      </c>
      <c r="X2960" t="s">
        <v>11550</v>
      </c>
      <c r="Y2960">
        <v>0.36731234784599909</v>
      </c>
      <c r="Z2960" t="str">
        <f>HYPERLINK("Melting_Curves/meltCurve_sp_Q9BYX4_IFIH1_HUMAN_.pdf", "Melting_Curves/meltCurve_sp_Q9BYX4_IFIH1_HUMAN_.pdf")</f>
        <v>Melting_Curves/meltCurve_sp_Q9BYX4_IFIH1_HUMAN_.pdf</v>
      </c>
      <c r="AA2960" t="s">
        <v>15799</v>
      </c>
      <c r="AB2960" t="s">
        <v>20044</v>
      </c>
    </row>
    <row r="2961" spans="1:28" x14ac:dyDescent="0.25">
      <c r="A2961" t="s">
        <v>2965</v>
      </c>
      <c r="B2961">
        <v>0.99876560204751996</v>
      </c>
      <c r="C2961">
        <v>1.07608737876725</v>
      </c>
      <c r="D2961">
        <v>0.88368872966739198</v>
      </c>
      <c r="E2961">
        <v>0.729286984370077</v>
      </c>
      <c r="F2961">
        <v>0.48965750720924001</v>
      </c>
      <c r="G2961">
        <v>0.32429198737749698</v>
      </c>
      <c r="H2961">
        <v>0.22985164433098401</v>
      </c>
      <c r="I2961">
        <v>0.11185492293551499</v>
      </c>
      <c r="J2961">
        <v>7.0690559703687705E-2</v>
      </c>
      <c r="K2961">
        <v>4.6915520768759197E-2</v>
      </c>
      <c r="L2961">
        <v>739.19587837883398</v>
      </c>
      <c r="M2961">
        <v>13.874554348269299</v>
      </c>
      <c r="N2961">
        <v>53.535569827123602</v>
      </c>
      <c r="O2961">
        <v>52.206908456495498</v>
      </c>
      <c r="P2961">
        <v>-6.4296653860987804E-2</v>
      </c>
      <c r="Q2961">
        <v>3.2395456811856203E-2</v>
      </c>
      <c r="R2961">
        <v>0.98728916465899597</v>
      </c>
      <c r="S2961" t="s">
        <v>7257</v>
      </c>
      <c r="T2961" t="s">
        <v>8590</v>
      </c>
      <c r="U2961" t="s">
        <v>8590</v>
      </c>
      <c r="V2961" t="s">
        <v>8590</v>
      </c>
      <c r="W2961">
        <v>2</v>
      </c>
      <c r="X2961" t="s">
        <v>11551</v>
      </c>
      <c r="Y2961">
        <v>0.48339869180122508</v>
      </c>
      <c r="Z2961" t="str">
        <f>HYPERLINK("Melting_Curves/meltCurve_sp_Q9BZ29_3_DOCK9_HUMAN_.pdf", "Melting_Curves/meltCurve_sp_Q9BZ29_3_DOCK9_HUMAN_.pdf")</f>
        <v>Melting_Curves/meltCurve_sp_Q9BZ29_3_DOCK9_HUMAN_.pdf</v>
      </c>
      <c r="AA2961" t="s">
        <v>15800</v>
      </c>
      <c r="AB2961" t="s">
        <v>20045</v>
      </c>
    </row>
    <row r="2962" spans="1:28" x14ac:dyDescent="0.25">
      <c r="A2962" t="s">
        <v>2966</v>
      </c>
      <c r="B2962">
        <v>0.99876560204751996</v>
      </c>
      <c r="C2962">
        <v>0.91489200634373702</v>
      </c>
      <c r="D2962">
        <v>0.65289212495532301</v>
      </c>
      <c r="E2962">
        <v>0.56282848034625599</v>
      </c>
      <c r="F2962">
        <v>0.153084256824114</v>
      </c>
      <c r="G2962">
        <v>8.8184534792077801E-2</v>
      </c>
      <c r="H2962">
        <v>5.2317935942994602E-2</v>
      </c>
      <c r="I2962">
        <v>4.3091183947963803E-2</v>
      </c>
      <c r="J2962">
        <v>3.5258048189157599E-2</v>
      </c>
      <c r="K2962">
        <v>3.9020987952800797E-2</v>
      </c>
      <c r="L2962">
        <v>764.86731118843795</v>
      </c>
      <c r="M2962">
        <v>15.609467665259301</v>
      </c>
      <c r="N2962">
        <v>49.070379979370699</v>
      </c>
      <c r="O2962">
        <v>48.217137877488199</v>
      </c>
      <c r="P2962">
        <v>-8.0046938854924796E-2</v>
      </c>
      <c r="Q2962">
        <v>1.10359041210357E-2</v>
      </c>
      <c r="R2962">
        <v>0.97415858930961496</v>
      </c>
      <c r="S2962" t="s">
        <v>7258</v>
      </c>
      <c r="T2962" t="s">
        <v>8590</v>
      </c>
      <c r="U2962" t="s">
        <v>8590</v>
      </c>
      <c r="V2962" t="s">
        <v>8590</v>
      </c>
      <c r="W2962">
        <v>4</v>
      </c>
      <c r="X2962" t="s">
        <v>11552</v>
      </c>
      <c r="Y2962">
        <v>0.3303650908101744</v>
      </c>
      <c r="Z2962" t="str">
        <f>HYPERLINK("Melting_Curves/meltCurve_sp_Q9BZE2_PUS3_HUMAN_.pdf", "Melting_Curves/meltCurve_sp_Q9BZE2_PUS3_HUMAN_.pdf")</f>
        <v>Melting_Curves/meltCurve_sp_Q9BZE2_PUS3_HUMAN_.pdf</v>
      </c>
      <c r="AA2962" t="s">
        <v>15801</v>
      </c>
      <c r="AB2962" t="s">
        <v>20046</v>
      </c>
    </row>
    <row r="2963" spans="1:28" x14ac:dyDescent="0.25">
      <c r="A2963" t="s">
        <v>2967</v>
      </c>
      <c r="B2963">
        <v>0.99876560204751996</v>
      </c>
      <c r="C2963">
        <v>0.97690744086338699</v>
      </c>
      <c r="D2963">
        <v>1.0127913542739799</v>
      </c>
      <c r="E2963">
        <v>0.88846257779817805</v>
      </c>
      <c r="F2963">
        <v>0.685144285177539</v>
      </c>
      <c r="G2963">
        <v>0.33219906663813598</v>
      </c>
      <c r="H2963">
        <v>0.16954089857294999</v>
      </c>
      <c r="I2963">
        <v>0.13785842245409599</v>
      </c>
      <c r="J2963">
        <v>0.14036658412709099</v>
      </c>
      <c r="K2963">
        <v>0.11715574875373699</v>
      </c>
      <c r="L2963">
        <v>1300.20807729538</v>
      </c>
      <c r="M2963">
        <v>23.961485475756099</v>
      </c>
      <c r="N2963">
        <v>54.880825314017997</v>
      </c>
      <c r="O2963">
        <v>53.888711989962196</v>
      </c>
      <c r="P2963">
        <v>-9.8011708590761901E-2</v>
      </c>
      <c r="Q2963">
        <v>0.118311638087319</v>
      </c>
      <c r="R2963">
        <v>0.99900330304365204</v>
      </c>
      <c r="S2963" t="s">
        <v>7259</v>
      </c>
      <c r="T2963" t="s">
        <v>8590</v>
      </c>
      <c r="U2963" t="s">
        <v>8590</v>
      </c>
      <c r="V2963" t="s">
        <v>8590</v>
      </c>
      <c r="W2963">
        <v>7</v>
      </c>
      <c r="X2963" t="s">
        <v>11553</v>
      </c>
      <c r="Y2963">
        <v>0.54628468484281101</v>
      </c>
      <c r="Z2963" t="str">
        <f>HYPERLINK("Melting_Curves/meltCurve_sp_Q9BZE9_ASPC1_HUMAN_.pdf", "Melting_Curves/meltCurve_sp_Q9BZE9_ASPC1_HUMAN_.pdf")</f>
        <v>Melting_Curves/meltCurve_sp_Q9BZE9_ASPC1_HUMAN_.pdf</v>
      </c>
      <c r="AA2963" t="s">
        <v>15802</v>
      </c>
      <c r="AB2963" t="s">
        <v>20047</v>
      </c>
    </row>
    <row r="2964" spans="1:28" x14ac:dyDescent="0.25">
      <c r="A2964" t="s">
        <v>2968</v>
      </c>
      <c r="B2964">
        <v>0.99876560204751996</v>
      </c>
      <c r="C2964">
        <v>0.929508791105919</v>
      </c>
      <c r="D2964">
        <v>0.93218691250201002</v>
      </c>
      <c r="E2964">
        <v>0.80457974934962595</v>
      </c>
      <c r="F2964">
        <v>0.74497428287159495</v>
      </c>
      <c r="G2964">
        <v>0.56692655018018401</v>
      </c>
      <c r="H2964">
        <v>0.483316903327978</v>
      </c>
      <c r="I2964">
        <v>0.49955149772256902</v>
      </c>
      <c r="J2964">
        <v>0.63056495529576995</v>
      </c>
      <c r="K2964">
        <v>0.62907135409606396</v>
      </c>
      <c r="L2964">
        <v>955.11333431161199</v>
      </c>
      <c r="M2964">
        <v>18.8077882287992</v>
      </c>
      <c r="O2964">
        <v>50.2191921405134</v>
      </c>
      <c r="P2964">
        <v>-4.18989197049386E-2</v>
      </c>
      <c r="Q2964">
        <v>0.55251662539358903</v>
      </c>
      <c r="R2964">
        <v>0.906289320795724</v>
      </c>
      <c r="S2964" t="s">
        <v>7260</v>
      </c>
      <c r="T2964" t="s">
        <v>8590</v>
      </c>
      <c r="U2964" t="s">
        <v>8590</v>
      </c>
      <c r="V2964" t="s">
        <v>8590</v>
      </c>
      <c r="W2964">
        <v>1</v>
      </c>
      <c r="X2964" t="s">
        <v>11554</v>
      </c>
      <c r="Y2964">
        <v>0.72032767916953955</v>
      </c>
      <c r="Z2964" t="str">
        <f>HYPERLINK("Melting_Curves/meltCurve_sp_Q9BZF1_3_OSBL8_HUMAN_.pdf", "Melting_Curves/meltCurve_sp_Q9BZF1_3_OSBL8_HUMAN_.pdf")</f>
        <v>Melting_Curves/meltCurve_sp_Q9BZF1_3_OSBL8_HUMAN_.pdf</v>
      </c>
      <c r="AA2964" t="s">
        <v>15803</v>
      </c>
      <c r="AB2964" t="s">
        <v>20048</v>
      </c>
    </row>
    <row r="2965" spans="1:28" x14ac:dyDescent="0.25">
      <c r="A2965" t="s">
        <v>2969</v>
      </c>
      <c r="B2965">
        <v>0.99876560204751996</v>
      </c>
      <c r="C2965">
        <v>1.0438917577451099</v>
      </c>
      <c r="D2965">
        <v>1.05926331025752</v>
      </c>
      <c r="E2965">
        <v>0.994727233131945</v>
      </c>
      <c r="F2965">
        <v>0.78570998674349801</v>
      </c>
      <c r="G2965">
        <v>0.34092658895523298</v>
      </c>
      <c r="H2965">
        <v>0.13886660906992601</v>
      </c>
      <c r="I2965">
        <v>9.3635339883561999E-2</v>
      </c>
      <c r="J2965">
        <v>8.9378068560957494E-2</v>
      </c>
      <c r="K2965">
        <v>7.0920841247504599E-2</v>
      </c>
      <c r="L2965">
        <v>1678.55987970652</v>
      </c>
      <c r="M2965">
        <v>30.394157901307501</v>
      </c>
      <c r="N2965">
        <v>55.5492825177678</v>
      </c>
      <c r="O2965">
        <v>54.9889951746176</v>
      </c>
      <c r="P2965">
        <v>-0.12699490939244701</v>
      </c>
      <c r="Q2965">
        <v>8.0971034016739898E-2</v>
      </c>
      <c r="R2965">
        <v>0.99608288932210298</v>
      </c>
      <c r="S2965" t="s">
        <v>7261</v>
      </c>
      <c r="T2965" t="s">
        <v>8590</v>
      </c>
      <c r="U2965" t="s">
        <v>8590</v>
      </c>
      <c r="V2965" t="s">
        <v>8590</v>
      </c>
      <c r="W2965">
        <v>14</v>
      </c>
      <c r="X2965" t="s">
        <v>11555</v>
      </c>
      <c r="Y2965">
        <v>0.55337929891993454</v>
      </c>
      <c r="Z2965" t="str">
        <f>HYPERLINK("Melting_Curves/meltCurve_sp_Q9BZH6_WDR11_HUMAN_.pdf", "Melting_Curves/meltCurve_sp_Q9BZH6_WDR11_HUMAN_.pdf")</f>
        <v>Melting_Curves/meltCurve_sp_Q9BZH6_WDR11_HUMAN_.pdf</v>
      </c>
      <c r="AA2965" t="s">
        <v>15804</v>
      </c>
      <c r="AB2965" t="s">
        <v>20049</v>
      </c>
    </row>
    <row r="2966" spans="1:28" x14ac:dyDescent="0.25">
      <c r="A2966" t="s">
        <v>2970</v>
      </c>
      <c r="B2966">
        <v>0.99876560204751996</v>
      </c>
      <c r="C2966">
        <v>0.91652077155682998</v>
      </c>
      <c r="D2966">
        <v>0.95247200165214996</v>
      </c>
      <c r="E2966">
        <v>0.91085101589744299</v>
      </c>
      <c r="F2966">
        <v>0.93320980466732395</v>
      </c>
      <c r="G2966">
        <v>0.67072390044149499</v>
      </c>
      <c r="H2966">
        <v>0.63300908395197197</v>
      </c>
      <c r="I2966">
        <v>0.58920205575649798</v>
      </c>
      <c r="J2966">
        <v>0.67527127870187398</v>
      </c>
      <c r="K2966">
        <v>0.70113080154884599</v>
      </c>
      <c r="L2966">
        <v>2670.7286435729502</v>
      </c>
      <c r="M2966">
        <v>49.141373449052097</v>
      </c>
      <c r="O2966">
        <v>54.258093178183898</v>
      </c>
      <c r="P2966">
        <v>-7.9822581253376795E-2</v>
      </c>
      <c r="Q2966">
        <v>0.64746473456981102</v>
      </c>
      <c r="R2966">
        <v>0.891775430027962</v>
      </c>
      <c r="S2966" t="s">
        <v>7262</v>
      </c>
      <c r="T2966" t="s">
        <v>8590</v>
      </c>
      <c r="U2966" t="s">
        <v>8590</v>
      </c>
      <c r="V2966" t="s">
        <v>8590</v>
      </c>
      <c r="W2966">
        <v>8</v>
      </c>
      <c r="X2966" t="s">
        <v>11556</v>
      </c>
      <c r="Y2966">
        <v>0.81694370992656684</v>
      </c>
      <c r="Z2966" t="str">
        <f>HYPERLINK("Melting_Curves/meltCurve_sp_Q9BZI7_2_REN3B_HUMAN_.pdf", "Melting_Curves/meltCurve_sp_Q9BZI7_2_REN3B_HUMAN_.pdf")</f>
        <v>Melting_Curves/meltCurve_sp_Q9BZI7_2_REN3B_HUMAN_.pdf</v>
      </c>
      <c r="AA2966" t="s">
        <v>15805</v>
      </c>
      <c r="AB2966" t="s">
        <v>20050</v>
      </c>
    </row>
    <row r="2967" spans="1:28" x14ac:dyDescent="0.25">
      <c r="A2967" t="s">
        <v>2971</v>
      </c>
      <c r="B2967">
        <v>0.99876560204751996</v>
      </c>
      <c r="C2967">
        <v>1.1025114845502699</v>
      </c>
      <c r="D2967">
        <v>0.89414205438792205</v>
      </c>
      <c r="E2967">
        <v>0.56314193750403996</v>
      </c>
      <c r="F2967">
        <v>0.26614486807623799</v>
      </c>
      <c r="G2967">
        <v>0.21073930381618999</v>
      </c>
      <c r="H2967">
        <v>0.126172764931026</v>
      </c>
      <c r="I2967">
        <v>0.109742323981317</v>
      </c>
      <c r="J2967">
        <v>0.109482740191216</v>
      </c>
      <c r="K2967">
        <v>8.6275027521164199E-2</v>
      </c>
      <c r="L2967">
        <v>1278.1493954657501</v>
      </c>
      <c r="M2967">
        <v>25.551490753703199</v>
      </c>
      <c r="N2967">
        <v>50.539080755426099</v>
      </c>
      <c r="O2967">
        <v>49.719117516709197</v>
      </c>
      <c r="P2967">
        <v>-0.113714372295748</v>
      </c>
      <c r="Q2967">
        <v>0.11493092990846</v>
      </c>
      <c r="R2967">
        <v>0.98768147939056505</v>
      </c>
      <c r="S2967" t="s">
        <v>7263</v>
      </c>
      <c r="T2967" t="s">
        <v>8590</v>
      </c>
      <c r="U2967" t="s">
        <v>8590</v>
      </c>
      <c r="V2967" t="s">
        <v>8590</v>
      </c>
      <c r="W2967">
        <v>1</v>
      </c>
      <c r="X2967" t="s">
        <v>11557</v>
      </c>
      <c r="Y2967">
        <v>0.41819029094475912</v>
      </c>
      <c r="Z2967" t="str">
        <f>HYPERLINK("Melting_Curves/meltCurve_sp_Q9BZJ0_2_CRNL1_HUMAN_.pdf", "Melting_Curves/meltCurve_sp_Q9BZJ0_2_CRNL1_HUMAN_.pdf")</f>
        <v>Melting_Curves/meltCurve_sp_Q9BZJ0_2_CRNL1_HUMAN_.pdf</v>
      </c>
      <c r="AA2967" t="s">
        <v>15806</v>
      </c>
      <c r="AB2967" t="s">
        <v>20051</v>
      </c>
    </row>
    <row r="2968" spans="1:28" x14ac:dyDescent="0.25">
      <c r="A2968" t="s">
        <v>2972</v>
      </c>
      <c r="B2968">
        <v>0.99876560204751996</v>
      </c>
      <c r="C2968">
        <v>0.99613971826904202</v>
      </c>
      <c r="D2968">
        <v>0.88758124856846199</v>
      </c>
      <c r="E2968">
        <v>0.96580107119620395</v>
      </c>
      <c r="F2968">
        <v>0.85806879956438398</v>
      </c>
      <c r="G2968">
        <v>0.58253204456186003</v>
      </c>
      <c r="H2968">
        <v>0.296241380017361</v>
      </c>
      <c r="I2968">
        <v>0.13728481209483401</v>
      </c>
      <c r="J2968">
        <v>7.0408088562330801E-2</v>
      </c>
      <c r="K2968">
        <v>6.3754574298992797E-2</v>
      </c>
      <c r="L2968">
        <v>1094.9045035086699</v>
      </c>
      <c r="M2968">
        <v>18.8931059347053</v>
      </c>
      <c r="N2968">
        <v>58.014022599391403</v>
      </c>
      <c r="O2968">
        <v>57.315047576336902</v>
      </c>
      <c r="P2968">
        <v>-8.1596263116044995E-2</v>
      </c>
      <c r="Q2968">
        <v>9.90274452556884E-3</v>
      </c>
      <c r="R2968">
        <v>0.99188375309027799</v>
      </c>
      <c r="S2968" t="s">
        <v>7264</v>
      </c>
      <c r="T2968" t="s">
        <v>8590</v>
      </c>
      <c r="U2968" t="s">
        <v>8590</v>
      </c>
      <c r="V2968" t="s">
        <v>8590</v>
      </c>
      <c r="W2968">
        <v>9</v>
      </c>
      <c r="X2968" t="s">
        <v>11558</v>
      </c>
      <c r="Y2968">
        <v>0.61425971861119188</v>
      </c>
      <c r="Z2968" t="str">
        <f>HYPERLINK("Melting_Curves/meltCurve_sp_Q9BZK7_TBL1R_HUMAN_.pdf", "Melting_Curves/meltCurve_sp_Q9BZK7_TBL1R_HUMAN_.pdf")</f>
        <v>Melting_Curves/meltCurve_sp_Q9BZK7_TBL1R_HUMAN_.pdf</v>
      </c>
      <c r="AA2968" t="s">
        <v>15807</v>
      </c>
      <c r="AB2968" t="s">
        <v>20052</v>
      </c>
    </row>
    <row r="2969" spans="1:28" x14ac:dyDescent="0.25">
      <c r="A2969" t="s">
        <v>2973</v>
      </c>
      <c r="B2969">
        <v>0.99876560204751996</v>
      </c>
      <c r="C2969">
        <v>0.88611817247787905</v>
      </c>
      <c r="D2969">
        <v>0.92139677639917394</v>
      </c>
      <c r="E2969">
        <v>0.79179469315832796</v>
      </c>
      <c r="F2969">
        <v>0.710962720171889</v>
      </c>
      <c r="G2969">
        <v>0.39354823018573998</v>
      </c>
      <c r="H2969">
        <v>0.22613001538514099</v>
      </c>
      <c r="I2969">
        <v>0.149411558878004</v>
      </c>
      <c r="J2969">
        <v>0.144686047418259</v>
      </c>
      <c r="K2969">
        <v>0.108778692881422</v>
      </c>
      <c r="L2969">
        <v>748.035573492141</v>
      </c>
      <c r="M2969">
        <v>13.576668489651899</v>
      </c>
      <c r="N2969">
        <v>55.483247254787699</v>
      </c>
      <c r="O2969">
        <v>53.943013198973198</v>
      </c>
      <c r="P2969">
        <v>-6.0093995046697303E-2</v>
      </c>
      <c r="Q2969">
        <v>4.5077223433586201E-2</v>
      </c>
      <c r="R2969">
        <v>0.98688610679354605</v>
      </c>
      <c r="S2969" t="s">
        <v>7265</v>
      </c>
      <c r="T2969" t="s">
        <v>8590</v>
      </c>
      <c r="U2969" t="s">
        <v>8590</v>
      </c>
      <c r="V2969" t="s">
        <v>8590</v>
      </c>
      <c r="W2969">
        <v>4</v>
      </c>
      <c r="X2969" t="s">
        <v>11559</v>
      </c>
      <c r="Y2969">
        <v>0.54575189000535995</v>
      </c>
      <c r="Z2969" t="str">
        <f>HYPERLINK("Melting_Curves/meltCurve_sp_Q9BZL1_UBL5_HUMAN_.pdf", "Melting_Curves/meltCurve_sp_Q9BZL1_UBL5_HUMAN_.pdf")</f>
        <v>Melting_Curves/meltCurve_sp_Q9BZL1_UBL5_HUMAN_.pdf</v>
      </c>
      <c r="AA2969" t="s">
        <v>15808</v>
      </c>
      <c r="AB2969" t="s">
        <v>20053</v>
      </c>
    </row>
    <row r="2970" spans="1:28" x14ac:dyDescent="0.25">
      <c r="A2970" t="s">
        <v>2974</v>
      </c>
      <c r="B2970">
        <v>0.99876560204751996</v>
      </c>
      <c r="C2970">
        <v>0.96631230556413705</v>
      </c>
      <c r="D2970">
        <v>0.99463996980533598</v>
      </c>
      <c r="E2970">
        <v>0.91614746306570605</v>
      </c>
      <c r="F2970">
        <v>0.84539489561109904</v>
      </c>
      <c r="G2970">
        <v>0.68779246205431299</v>
      </c>
      <c r="H2970">
        <v>0.56607054738986295</v>
      </c>
      <c r="I2970">
        <v>0.59896216962554305</v>
      </c>
      <c r="J2970">
        <v>0.71088594804459204</v>
      </c>
      <c r="K2970">
        <v>0.66486395203778403</v>
      </c>
      <c r="L2970">
        <v>1473.0748353619199</v>
      </c>
      <c r="M2970">
        <v>27.7215171673136</v>
      </c>
      <c r="O2970">
        <v>52.864098133149902</v>
      </c>
      <c r="P2970">
        <v>-4.7910459373248303E-2</v>
      </c>
      <c r="Q2970">
        <v>0.63454798830161496</v>
      </c>
      <c r="R2970">
        <v>0.93450643972219505</v>
      </c>
      <c r="S2970" t="s">
        <v>7266</v>
      </c>
      <c r="T2970" t="s">
        <v>8590</v>
      </c>
      <c r="U2970" t="s">
        <v>8590</v>
      </c>
      <c r="V2970" t="s">
        <v>8590</v>
      </c>
      <c r="W2970">
        <v>16</v>
      </c>
      <c r="X2970" t="s">
        <v>11560</v>
      </c>
      <c r="Y2970">
        <v>0.79736338303481824</v>
      </c>
      <c r="Z2970" t="str">
        <f>HYPERLINK("Melting_Curves/meltCurve_sp_Q9BZL4_PP12C_HUMAN_.pdf", "Melting_Curves/meltCurve_sp_Q9BZL4_PP12C_HUMAN_.pdf")</f>
        <v>Melting_Curves/meltCurve_sp_Q9BZL4_PP12C_HUMAN_.pdf</v>
      </c>
      <c r="AA2970" t="s">
        <v>15809</v>
      </c>
      <c r="AB2970" t="s">
        <v>20054</v>
      </c>
    </row>
    <row r="2971" spans="1:28" x14ac:dyDescent="0.25">
      <c r="A2971" t="s">
        <v>2975</v>
      </c>
      <c r="B2971">
        <v>0.99876560204751996</v>
      </c>
      <c r="C2971">
        <v>1.0939475550636699</v>
      </c>
      <c r="D2971">
        <v>1.2854986482205799</v>
      </c>
      <c r="E2971">
        <v>1.0524415105737199</v>
      </c>
      <c r="F2971">
        <v>1.2195542582282</v>
      </c>
      <c r="G2971">
        <v>0.76003233550562799</v>
      </c>
      <c r="H2971">
        <v>0.66437579119891199</v>
      </c>
      <c r="I2971">
        <v>0.55928203454060299</v>
      </c>
      <c r="J2971">
        <v>0.74088346141333405</v>
      </c>
      <c r="K2971">
        <v>0.626570322074393</v>
      </c>
      <c r="L2971">
        <v>14206.6950551522</v>
      </c>
      <c r="M2971">
        <v>250</v>
      </c>
      <c r="O2971">
        <v>56.823145057505997</v>
      </c>
      <c r="P2971">
        <v>-0.38741048165143299</v>
      </c>
      <c r="Q2971">
        <v>0.64777789699510202</v>
      </c>
      <c r="R2971">
        <v>0.74124487398944905</v>
      </c>
      <c r="S2971" t="s">
        <v>7267</v>
      </c>
      <c r="T2971" t="s">
        <v>8590</v>
      </c>
      <c r="U2971" t="s">
        <v>8590</v>
      </c>
      <c r="V2971" t="s">
        <v>8590</v>
      </c>
      <c r="W2971">
        <v>1</v>
      </c>
      <c r="X2971" t="s">
        <v>11561</v>
      </c>
      <c r="Y2971">
        <v>0.84537182134936173</v>
      </c>
      <c r="Z2971" t="str">
        <f>HYPERLINK("Melting_Curves/meltCurve_sp_Q9BZM1_PG12A_HUMAN_.pdf", "Melting_Curves/meltCurve_sp_Q9BZM1_PG12A_HUMAN_.pdf")</f>
        <v>Melting_Curves/meltCurve_sp_Q9BZM1_PG12A_HUMAN_.pdf</v>
      </c>
      <c r="AA2971" t="s">
        <v>15810</v>
      </c>
      <c r="AB2971" t="s">
        <v>20055</v>
      </c>
    </row>
    <row r="2972" spans="1:28" x14ac:dyDescent="0.25">
      <c r="A2972" t="s">
        <v>2976</v>
      </c>
      <c r="B2972">
        <v>0.99876560204751996</v>
      </c>
      <c r="C2972">
        <v>0.98759004463469902</v>
      </c>
      <c r="D2972">
        <v>0.98412470136753905</v>
      </c>
      <c r="E2972">
        <v>0.92856505084360397</v>
      </c>
      <c r="F2972">
        <v>0.86981525176487895</v>
      </c>
      <c r="G2972">
        <v>0.31335895513284601</v>
      </c>
      <c r="H2972">
        <v>9.8530719792835397E-2</v>
      </c>
      <c r="I2972">
        <v>6.7976356121086906E-2</v>
      </c>
      <c r="J2972">
        <v>5.1332787512427702E-2</v>
      </c>
      <c r="K2972">
        <v>5.5077564206719803E-2</v>
      </c>
      <c r="L2972">
        <v>1993.5547544743899</v>
      </c>
      <c r="M2972">
        <v>35.918295033264201</v>
      </c>
      <c r="N2972">
        <v>55.685714479891899</v>
      </c>
      <c r="O2972">
        <v>55.331297385264499</v>
      </c>
      <c r="P2972">
        <v>-0.15324230936465799</v>
      </c>
      <c r="Q2972">
        <v>5.5738318642760597E-2</v>
      </c>
      <c r="R2972">
        <v>0.99796320826571505</v>
      </c>
      <c r="S2972" t="s">
        <v>7268</v>
      </c>
      <c r="T2972" t="s">
        <v>8590</v>
      </c>
      <c r="U2972" t="s">
        <v>8590</v>
      </c>
      <c r="V2972" t="s">
        <v>8590</v>
      </c>
      <c r="W2972">
        <v>18</v>
      </c>
      <c r="X2972" t="s">
        <v>11562</v>
      </c>
      <c r="Y2972">
        <v>0.54813988866214602</v>
      </c>
      <c r="Z2972" t="str">
        <f>HYPERLINK("Melting_Curves/meltCurve_sp_Q9BZZ5_2_API5_HUMAN_.pdf", "Melting_Curves/meltCurve_sp_Q9BZZ5_2_API5_HUMAN_.pdf")</f>
        <v>Melting_Curves/meltCurve_sp_Q9BZZ5_2_API5_HUMAN_.pdf</v>
      </c>
      <c r="AA2972" t="s">
        <v>15811</v>
      </c>
      <c r="AB2972" t="s">
        <v>20056</v>
      </c>
    </row>
    <row r="2973" spans="1:28" x14ac:dyDescent="0.25">
      <c r="A2973" t="s">
        <v>2977</v>
      </c>
      <c r="B2973">
        <v>0.99876560204751996</v>
      </c>
      <c r="C2973">
        <v>1.0150385964017099</v>
      </c>
      <c r="D2973">
        <v>1.03702508736444</v>
      </c>
      <c r="E2973">
        <v>0.93760294642270203</v>
      </c>
      <c r="F2973">
        <v>0.919217980481568</v>
      </c>
      <c r="G2973">
        <v>0.675964259771205</v>
      </c>
      <c r="H2973">
        <v>0.67805863295332902</v>
      </c>
      <c r="I2973">
        <v>0.662171051421098</v>
      </c>
      <c r="J2973">
        <v>0.823542113633561</v>
      </c>
      <c r="K2973">
        <v>0.84790554219808001</v>
      </c>
      <c r="L2973">
        <v>9344.5344473349396</v>
      </c>
      <c r="M2973">
        <v>175.501553023464</v>
      </c>
      <c r="O2973">
        <v>53.237827167175801</v>
      </c>
      <c r="P2973">
        <v>-0.21631329456742199</v>
      </c>
      <c r="Q2973">
        <v>0.73752825994645199</v>
      </c>
      <c r="R2973">
        <v>0.80140473689344105</v>
      </c>
      <c r="S2973" t="s">
        <v>7269</v>
      </c>
      <c r="T2973" t="s">
        <v>8590</v>
      </c>
      <c r="U2973" t="s">
        <v>8590</v>
      </c>
      <c r="V2973" t="s">
        <v>8590</v>
      </c>
      <c r="W2973">
        <v>2</v>
      </c>
      <c r="X2973" t="s">
        <v>11563</v>
      </c>
      <c r="Y2973">
        <v>0.85345703217912372</v>
      </c>
      <c r="Z2973" t="str">
        <f>HYPERLINK("Melting_Curves/meltCurve_sp_Q9C005_DPY30_HUMAN_.pdf", "Melting_Curves/meltCurve_sp_Q9C005_DPY30_HUMAN_.pdf")</f>
        <v>Melting_Curves/meltCurve_sp_Q9C005_DPY30_HUMAN_.pdf</v>
      </c>
      <c r="AA2973" t="s">
        <v>15812</v>
      </c>
      <c r="AB2973" t="s">
        <v>20057</v>
      </c>
    </row>
    <row r="2974" spans="1:28" x14ac:dyDescent="0.25">
      <c r="A2974" t="s">
        <v>2978</v>
      </c>
      <c r="B2974">
        <v>0.99876560204751996</v>
      </c>
      <c r="C2974">
        <v>0.98482819234552099</v>
      </c>
      <c r="D2974">
        <v>1.0004021112672301</v>
      </c>
      <c r="E2974">
        <v>0.77349796116649105</v>
      </c>
      <c r="F2974">
        <v>0.61883533612371899</v>
      </c>
      <c r="G2974">
        <v>0.40161350138287999</v>
      </c>
      <c r="H2974">
        <v>0.34660502110851898</v>
      </c>
      <c r="I2974">
        <v>0.31627291427132698</v>
      </c>
      <c r="J2974">
        <v>0.384510652628413</v>
      </c>
      <c r="K2974">
        <v>0.42770232990555401</v>
      </c>
      <c r="L2974">
        <v>1279.92143722736</v>
      </c>
      <c r="M2974">
        <v>24.780056927407902</v>
      </c>
      <c r="N2974">
        <v>54.4962850391967</v>
      </c>
      <c r="O2974">
        <v>51.318417482406097</v>
      </c>
      <c r="P2974">
        <v>-7.6913929739721595E-2</v>
      </c>
      <c r="Q2974">
        <v>0.362867303932291</v>
      </c>
      <c r="R2974">
        <v>0.98461145368807401</v>
      </c>
      <c r="S2974" t="s">
        <v>7270</v>
      </c>
      <c r="T2974" t="s">
        <v>8590</v>
      </c>
      <c r="U2974" t="s">
        <v>8590</v>
      </c>
      <c r="V2974" t="s">
        <v>8590</v>
      </c>
      <c r="W2974">
        <v>3</v>
      </c>
      <c r="X2974" t="s">
        <v>11564</v>
      </c>
      <c r="Y2974">
        <v>0.61621030517403697</v>
      </c>
      <c r="Z2974" t="str">
        <f>HYPERLINK("Melting_Curves/meltCurve_sp_Q9C0B0_UNK_HUMAN_.pdf", "Melting_Curves/meltCurve_sp_Q9C0B0_UNK_HUMAN_.pdf")</f>
        <v>Melting_Curves/meltCurve_sp_Q9C0B0_UNK_HUMAN_.pdf</v>
      </c>
      <c r="AA2974" t="s">
        <v>15813</v>
      </c>
      <c r="AB2974" t="s">
        <v>20058</v>
      </c>
    </row>
    <row r="2975" spans="1:28" x14ac:dyDescent="0.25">
      <c r="A2975" t="s">
        <v>2979</v>
      </c>
      <c r="B2975">
        <v>0.99876560204751996</v>
      </c>
      <c r="C2975">
        <v>0.96230167128567601</v>
      </c>
      <c r="D2975">
        <v>0.89491428110175197</v>
      </c>
      <c r="E2975">
        <v>0.65466669495832497</v>
      </c>
      <c r="F2975">
        <v>0.27639688426124298</v>
      </c>
      <c r="G2975">
        <v>0.15453254047075499</v>
      </c>
      <c r="H2975">
        <v>7.9211433748683793E-2</v>
      </c>
      <c r="I2975">
        <v>6.2485938854150602E-2</v>
      </c>
      <c r="J2975">
        <v>3.5987985186153502E-2</v>
      </c>
      <c r="K2975">
        <v>2.0432969795715801E-2</v>
      </c>
      <c r="L2975">
        <v>1122.3788929632599</v>
      </c>
      <c r="M2975">
        <v>22.044187124737402</v>
      </c>
      <c r="N2975">
        <v>51.112046880716598</v>
      </c>
      <c r="O2975">
        <v>50.501519895743002</v>
      </c>
      <c r="P2975">
        <v>-0.10468234470090999</v>
      </c>
      <c r="Q2975">
        <v>4.07447688639061E-2</v>
      </c>
      <c r="R2975">
        <v>0.99570149449481404</v>
      </c>
      <c r="S2975" t="s">
        <v>7271</v>
      </c>
      <c r="T2975" t="s">
        <v>8590</v>
      </c>
      <c r="U2975" t="s">
        <v>8590</v>
      </c>
      <c r="V2975" t="s">
        <v>8590</v>
      </c>
      <c r="W2975">
        <v>11</v>
      </c>
      <c r="X2975" t="s">
        <v>11565</v>
      </c>
      <c r="Y2975">
        <v>0.40081881099848332</v>
      </c>
      <c r="Z2975" t="str">
        <f>HYPERLINK("Melting_Curves/meltCurve_sp_Q9C0B1_FTO_HUMAN_.pdf", "Melting_Curves/meltCurve_sp_Q9C0B1_FTO_HUMAN_.pdf")</f>
        <v>Melting_Curves/meltCurve_sp_Q9C0B1_FTO_HUMAN_.pdf</v>
      </c>
      <c r="AA2975" t="s">
        <v>15814</v>
      </c>
      <c r="AB2975" t="s">
        <v>20059</v>
      </c>
    </row>
    <row r="2976" spans="1:28" x14ac:dyDescent="0.25">
      <c r="A2976" t="s">
        <v>2980</v>
      </c>
      <c r="B2976">
        <v>0.99876560204751996</v>
      </c>
      <c r="C2976">
        <v>0.93534016573370904</v>
      </c>
      <c r="D2976">
        <v>0.98772384815226999</v>
      </c>
      <c r="E2976">
        <v>0.89390173257995698</v>
      </c>
      <c r="F2976">
        <v>0.82012452433730798</v>
      </c>
      <c r="G2976">
        <v>0.51569148292658495</v>
      </c>
      <c r="H2976">
        <v>0.47376135843457601</v>
      </c>
      <c r="I2976">
        <v>0.51186631612394196</v>
      </c>
      <c r="J2976">
        <v>0.60994114542392297</v>
      </c>
      <c r="K2976">
        <v>0.53393986473080701</v>
      </c>
      <c r="L2976">
        <v>1949.95463867636</v>
      </c>
      <c r="M2976">
        <v>36.610596718097803</v>
      </c>
      <c r="O2976">
        <v>53.103881053230602</v>
      </c>
      <c r="P2976">
        <v>-8.22016740613222E-2</v>
      </c>
      <c r="Q2976">
        <v>0.52306556338805099</v>
      </c>
      <c r="R2976">
        <v>0.94647132703391501</v>
      </c>
      <c r="S2976" t="s">
        <v>7272</v>
      </c>
      <c r="T2976" t="s">
        <v>8590</v>
      </c>
      <c r="U2976" t="s">
        <v>8590</v>
      </c>
      <c r="V2976" t="s">
        <v>8590</v>
      </c>
      <c r="W2976">
        <v>3</v>
      </c>
      <c r="X2976" t="s">
        <v>11566</v>
      </c>
      <c r="Y2976">
        <v>0.73599638677862056</v>
      </c>
      <c r="Z2976" t="str">
        <f>HYPERLINK("Melting_Curves/meltCurve_sp_Q9C0B5_2_ZDHC5_HUMAN_.pdf", "Melting_Curves/meltCurve_sp_Q9C0B5_2_ZDHC5_HUMAN_.pdf")</f>
        <v>Melting_Curves/meltCurve_sp_Q9C0B5_2_ZDHC5_HUMAN_.pdf</v>
      </c>
      <c r="AA2976" t="s">
        <v>15815</v>
      </c>
      <c r="AB2976" t="s">
        <v>20060</v>
      </c>
    </row>
    <row r="2977" spans="1:28" x14ac:dyDescent="0.25">
      <c r="A2977" t="s">
        <v>2981</v>
      </c>
      <c r="B2977">
        <v>0.99876560204751996</v>
      </c>
      <c r="C2977">
        <v>0.984603495843137</v>
      </c>
      <c r="D2977">
        <v>1.01272578618207</v>
      </c>
      <c r="E2977">
        <v>0.96660704448741197</v>
      </c>
      <c r="F2977">
        <v>0.94342781146599597</v>
      </c>
      <c r="G2977">
        <v>0.75498281131297296</v>
      </c>
      <c r="H2977">
        <v>0.663493553650356</v>
      </c>
      <c r="I2977">
        <v>0.641961776299803</v>
      </c>
      <c r="J2977">
        <v>0.77886314569117399</v>
      </c>
      <c r="K2977">
        <v>0.76545053588933598</v>
      </c>
      <c r="L2977">
        <v>2480.9656694332398</v>
      </c>
      <c r="M2977">
        <v>45.450851493574099</v>
      </c>
      <c r="O2977">
        <v>54.480336211915599</v>
      </c>
      <c r="P2977">
        <v>-5.9850292204186799E-2</v>
      </c>
      <c r="Q2977">
        <v>0.71303865701498503</v>
      </c>
      <c r="R2977">
        <v>0.91426295113370903</v>
      </c>
      <c r="S2977" t="s">
        <v>7273</v>
      </c>
      <c r="T2977" t="s">
        <v>8590</v>
      </c>
      <c r="U2977" t="s">
        <v>8590</v>
      </c>
      <c r="V2977" t="s">
        <v>8590</v>
      </c>
      <c r="W2977">
        <v>52</v>
      </c>
      <c r="X2977" t="s">
        <v>11567</v>
      </c>
      <c r="Y2977">
        <v>0.85339247890935566</v>
      </c>
      <c r="Z2977" t="str">
        <f>HYPERLINK("Melting_Curves/meltCurve_sp_Q9C0C2_TB182_HUMAN_.pdf", "Melting_Curves/meltCurve_sp_Q9C0C2_TB182_HUMAN_.pdf")</f>
        <v>Melting_Curves/meltCurve_sp_Q9C0C2_TB182_HUMAN_.pdf</v>
      </c>
      <c r="AA2977" t="s">
        <v>15816</v>
      </c>
      <c r="AB2977" t="s">
        <v>20061</v>
      </c>
    </row>
    <row r="2978" spans="1:28" x14ac:dyDescent="0.25">
      <c r="A2978" t="s">
        <v>2982</v>
      </c>
      <c r="B2978">
        <v>0.99876560204751996</v>
      </c>
      <c r="C2978">
        <v>0.92688535984438203</v>
      </c>
      <c r="D2978">
        <v>0.93677087932721403</v>
      </c>
      <c r="E2978">
        <v>0.84400046762042602</v>
      </c>
      <c r="F2978">
        <v>0.63444748493261705</v>
      </c>
      <c r="G2978">
        <v>0.394680336936301</v>
      </c>
      <c r="H2978">
        <v>0.23745271482083699</v>
      </c>
      <c r="I2978">
        <v>0.15669295609238701</v>
      </c>
      <c r="J2978">
        <v>0.16207409401626</v>
      </c>
      <c r="K2978">
        <v>0.101446337130483</v>
      </c>
      <c r="L2978">
        <v>828.577033535228</v>
      </c>
      <c r="M2978">
        <v>15.183718805025</v>
      </c>
      <c r="N2978">
        <v>55.227858280695102</v>
      </c>
      <c r="O2978">
        <v>53.649782624564601</v>
      </c>
      <c r="P2978">
        <v>-6.4907792986369298E-2</v>
      </c>
      <c r="Q2978">
        <v>8.2713657365232299E-2</v>
      </c>
      <c r="R2978">
        <v>0.99543919433413697</v>
      </c>
      <c r="S2978" t="s">
        <v>7274</v>
      </c>
      <c r="T2978" t="s">
        <v>8590</v>
      </c>
      <c r="U2978" t="s">
        <v>8590</v>
      </c>
      <c r="V2978" t="s">
        <v>8590</v>
      </c>
      <c r="W2978">
        <v>10</v>
      </c>
      <c r="X2978" t="s">
        <v>11568</v>
      </c>
      <c r="Y2978">
        <v>0.54616365959964541</v>
      </c>
      <c r="Z2978" t="str">
        <f>HYPERLINK("Melting_Curves/meltCurve_sp_Q9C0C9_UBE2O_HUMAN_.pdf", "Melting_Curves/meltCurve_sp_Q9C0C9_UBE2O_HUMAN_.pdf")</f>
        <v>Melting_Curves/meltCurve_sp_Q9C0C9_UBE2O_HUMAN_.pdf</v>
      </c>
      <c r="AA2978" t="s">
        <v>15817</v>
      </c>
      <c r="AB2978" t="s">
        <v>20062</v>
      </c>
    </row>
    <row r="2979" spans="1:28" x14ac:dyDescent="0.25">
      <c r="A2979" t="s">
        <v>2983</v>
      </c>
      <c r="B2979">
        <v>0.99876560204751996</v>
      </c>
      <c r="C2979">
        <v>0.93739493667349605</v>
      </c>
      <c r="D2979">
        <v>1.0712920843581999</v>
      </c>
      <c r="E2979">
        <v>0.89707714268969896</v>
      </c>
      <c r="F2979">
        <v>0.90572273177011997</v>
      </c>
      <c r="G2979">
        <v>0.61772008564883196</v>
      </c>
      <c r="H2979">
        <v>0.53336716273376505</v>
      </c>
      <c r="I2979">
        <v>0.48112199908919401</v>
      </c>
      <c r="J2979">
        <v>0.62833655899246199</v>
      </c>
      <c r="K2979">
        <v>0.54732040098599799</v>
      </c>
      <c r="L2979">
        <v>1932.57861163405</v>
      </c>
      <c r="M2979">
        <v>35.426620153646901</v>
      </c>
      <c r="O2979">
        <v>54.378648483915697</v>
      </c>
      <c r="P2979">
        <v>-7.4341537486049297E-2</v>
      </c>
      <c r="Q2979">
        <v>0.54355467530061197</v>
      </c>
      <c r="R2979">
        <v>0.934103424830519</v>
      </c>
      <c r="S2979" t="s">
        <v>7275</v>
      </c>
      <c r="T2979" t="s">
        <v>8590</v>
      </c>
      <c r="U2979" t="s">
        <v>8590</v>
      </c>
      <c r="V2979" t="s">
        <v>8590</v>
      </c>
      <c r="W2979">
        <v>10</v>
      </c>
      <c r="X2979" t="s">
        <v>11569</v>
      </c>
      <c r="Y2979">
        <v>0.76713841525473547</v>
      </c>
      <c r="Z2979" t="str">
        <f>HYPERLINK("Melting_Curves/meltCurve_sp_Q9C0H9_5_SRCN1_HUMAN_.pdf", "Melting_Curves/meltCurve_sp_Q9C0H9_5_SRCN1_HUMAN_.pdf")</f>
        <v>Melting_Curves/meltCurve_sp_Q9C0H9_5_SRCN1_HUMAN_.pdf</v>
      </c>
      <c r="AA2979" t="s">
        <v>15818</v>
      </c>
      <c r="AB2979" t="s">
        <v>20063</v>
      </c>
    </row>
    <row r="2980" spans="1:28" x14ac:dyDescent="0.25">
      <c r="A2980" t="s">
        <v>2984</v>
      </c>
      <c r="B2980">
        <v>0.99876560204751996</v>
      </c>
      <c r="C2980">
        <v>0.93172053920939801</v>
      </c>
      <c r="D2980">
        <v>0.82653998293818198</v>
      </c>
      <c r="E2980">
        <v>0.88024725134318105</v>
      </c>
      <c r="F2980">
        <v>0.80680265459296296</v>
      </c>
      <c r="G2980">
        <v>0.60277494252380304</v>
      </c>
      <c r="H2980">
        <v>0.38296199397622099</v>
      </c>
      <c r="I2980">
        <v>0.23535260338486499</v>
      </c>
      <c r="J2980">
        <v>0.25024903689774097</v>
      </c>
      <c r="K2980">
        <v>0.25271258658865697</v>
      </c>
      <c r="L2980">
        <v>677.28840020568805</v>
      </c>
      <c r="M2980">
        <v>11.8024815914914</v>
      </c>
      <c r="N2980">
        <v>58.584612753459503</v>
      </c>
      <c r="O2980">
        <v>55.812200153680799</v>
      </c>
      <c r="P2980">
        <v>-4.7205205066682299E-2</v>
      </c>
      <c r="Q2980">
        <v>0.107323969684066</v>
      </c>
      <c r="R2980">
        <v>0.963463616831298</v>
      </c>
      <c r="S2980" t="s">
        <v>7276</v>
      </c>
      <c r="T2980" t="s">
        <v>8590</v>
      </c>
      <c r="U2980" t="s">
        <v>8590</v>
      </c>
      <c r="V2980" t="s">
        <v>8590</v>
      </c>
      <c r="W2980">
        <v>8</v>
      </c>
      <c r="X2980" t="s">
        <v>11570</v>
      </c>
      <c r="Y2980">
        <v>0.63824062278390392</v>
      </c>
      <c r="Z2980" t="str">
        <f>HYPERLINK("Melting_Curves/meltCurve_sp_Q9C0I1_MTMRC_HUMAN_.pdf", "Melting_Curves/meltCurve_sp_Q9C0I1_MTMRC_HUMAN_.pdf")</f>
        <v>Melting_Curves/meltCurve_sp_Q9C0I1_MTMRC_HUMAN_.pdf</v>
      </c>
      <c r="AA2980" t="s">
        <v>15819</v>
      </c>
      <c r="AB2980" t="s">
        <v>20064</v>
      </c>
    </row>
    <row r="2981" spans="1:28" x14ac:dyDescent="0.25">
      <c r="A2981" t="s">
        <v>2985</v>
      </c>
      <c r="B2981">
        <v>0.99876560204751996</v>
      </c>
      <c r="C2981">
        <v>0.90719470451367701</v>
      </c>
      <c r="D2981">
        <v>1.1507828466429799</v>
      </c>
      <c r="E2981">
        <v>0.86220063843817196</v>
      </c>
      <c r="F2981">
        <v>0.921962102496519</v>
      </c>
      <c r="G2981">
        <v>0.68040877285443702</v>
      </c>
      <c r="H2981">
        <v>0.453699414513282</v>
      </c>
      <c r="I2981">
        <v>0.56912643245454597</v>
      </c>
      <c r="J2981">
        <v>0.79814173899125995</v>
      </c>
      <c r="K2981">
        <v>0.55017818045868305</v>
      </c>
      <c r="L2981">
        <v>1989.18149238521</v>
      </c>
      <c r="M2981">
        <v>36.454766155855097</v>
      </c>
      <c r="O2981">
        <v>54.402328347374599</v>
      </c>
      <c r="P2981">
        <v>-6.7927634406818801E-2</v>
      </c>
      <c r="Q2981">
        <v>0.59452102172473198</v>
      </c>
      <c r="R2981">
        <v>0.74195248545017101</v>
      </c>
      <c r="S2981" t="s">
        <v>7277</v>
      </c>
      <c r="T2981" t="s">
        <v>8590</v>
      </c>
      <c r="U2981" t="s">
        <v>8590</v>
      </c>
      <c r="V2981" t="s">
        <v>8590</v>
      </c>
      <c r="W2981">
        <v>5</v>
      </c>
      <c r="X2981" t="s">
        <v>11571</v>
      </c>
      <c r="Y2981">
        <v>0.79322473840582242</v>
      </c>
      <c r="Z2981" t="str">
        <f>HYPERLINK("Melting_Curves/meltCurve_sp_Q9C0J8_WDR33_HUMAN_.pdf", "Melting_Curves/meltCurve_sp_Q9C0J8_WDR33_HUMAN_.pdf")</f>
        <v>Melting_Curves/meltCurve_sp_Q9C0J8_WDR33_HUMAN_.pdf</v>
      </c>
      <c r="AA2981" t="s">
        <v>15820</v>
      </c>
      <c r="AB2981" t="s">
        <v>20065</v>
      </c>
    </row>
    <row r="2982" spans="1:28" x14ac:dyDescent="0.25">
      <c r="A2982" t="s">
        <v>2986</v>
      </c>
      <c r="B2982">
        <v>0.99876560204751996</v>
      </c>
      <c r="C2982">
        <v>0.92381254205132701</v>
      </c>
      <c r="D2982">
        <v>0.74685004545615996</v>
      </c>
      <c r="E2982">
        <v>0.85556258713827904</v>
      </c>
      <c r="F2982">
        <v>0.86429967998405999</v>
      </c>
      <c r="G2982">
        <v>1.1817633028033701</v>
      </c>
      <c r="H2982">
        <v>0.50689834364715503</v>
      </c>
      <c r="I2982">
        <v>0.39403087532335601</v>
      </c>
      <c r="J2982">
        <v>0.16587955581862299</v>
      </c>
      <c r="K2982">
        <v>0.121150530082936</v>
      </c>
      <c r="L2982">
        <v>3154.3747322224499</v>
      </c>
      <c r="M2982">
        <v>51.857584863222797</v>
      </c>
      <c r="N2982">
        <v>61.406520246575703</v>
      </c>
      <c r="O2982">
        <v>60.737402400859203</v>
      </c>
      <c r="P2982">
        <v>-0.172182340116182</v>
      </c>
      <c r="Q2982">
        <v>0.19333701840638301</v>
      </c>
      <c r="R2982">
        <v>0.84437896650828403</v>
      </c>
      <c r="S2982" t="s">
        <v>7278</v>
      </c>
      <c r="T2982" t="s">
        <v>8590</v>
      </c>
      <c r="U2982" t="s">
        <v>8590</v>
      </c>
      <c r="V2982" t="s">
        <v>8590</v>
      </c>
      <c r="W2982">
        <v>2</v>
      </c>
      <c r="X2982" t="s">
        <v>11572</v>
      </c>
      <c r="Y2982">
        <v>0.75532903074546032</v>
      </c>
      <c r="Z2982" t="str">
        <f>HYPERLINK("Melting_Curves/meltCurve_sp_Q9GZM5_YIPF3_HUMAN_.pdf", "Melting_Curves/meltCurve_sp_Q9GZM5_YIPF3_HUMAN_.pdf")</f>
        <v>Melting_Curves/meltCurve_sp_Q9GZM5_YIPF3_HUMAN_.pdf</v>
      </c>
      <c r="AA2982" t="s">
        <v>15821</v>
      </c>
      <c r="AB2982" t="s">
        <v>20066</v>
      </c>
    </row>
    <row r="2983" spans="1:28" x14ac:dyDescent="0.25">
      <c r="A2983" t="s">
        <v>2987</v>
      </c>
      <c r="B2983">
        <v>0.99876560204751996</v>
      </c>
      <c r="C2983">
        <v>0.90060442913150696</v>
      </c>
      <c r="D2983">
        <v>1.04661809698566</v>
      </c>
      <c r="E2983">
        <v>0.86834189933651595</v>
      </c>
      <c r="F2983">
        <v>0.849200039511391</v>
      </c>
      <c r="G2983">
        <v>0.76396222939288305</v>
      </c>
      <c r="H2983">
        <v>0.40953808454719998</v>
      </c>
      <c r="I2983">
        <v>0.27967850656152898</v>
      </c>
      <c r="J2983">
        <v>0.348724898392343</v>
      </c>
      <c r="K2983">
        <v>0.220835432343753</v>
      </c>
      <c r="L2983">
        <v>955.45589557565404</v>
      </c>
      <c r="M2983">
        <v>16.341605202377099</v>
      </c>
      <c r="N2983">
        <v>60.133676669603602</v>
      </c>
      <c r="O2983">
        <v>57.613173637836297</v>
      </c>
      <c r="P2983">
        <v>-5.8005304539888898E-2</v>
      </c>
      <c r="Q2983">
        <v>0.182056168679777</v>
      </c>
      <c r="R2983">
        <v>0.95598152347781895</v>
      </c>
      <c r="S2983" t="s">
        <v>7279</v>
      </c>
      <c r="T2983" t="s">
        <v>8590</v>
      </c>
      <c r="U2983" t="s">
        <v>8590</v>
      </c>
      <c r="V2983" t="s">
        <v>8590</v>
      </c>
      <c r="W2983">
        <v>1</v>
      </c>
      <c r="X2983" t="s">
        <v>11573</v>
      </c>
      <c r="Y2983">
        <v>0.69542403258036722</v>
      </c>
      <c r="Z2983" t="str">
        <f>HYPERLINK("Melting_Curves/meltCurve_sp_Q9GZM7_3_TINAL_HUMAN_.pdf", "Melting_Curves/meltCurve_sp_Q9GZM7_3_TINAL_HUMAN_.pdf")</f>
        <v>Melting_Curves/meltCurve_sp_Q9GZM7_3_TINAL_HUMAN_.pdf</v>
      </c>
      <c r="AA2983" t="s">
        <v>15822</v>
      </c>
      <c r="AB2983" t="s">
        <v>20067</v>
      </c>
    </row>
    <row r="2984" spans="1:28" x14ac:dyDescent="0.25">
      <c r="A2984" t="s">
        <v>2988</v>
      </c>
      <c r="B2984">
        <v>0.99876560204751996</v>
      </c>
      <c r="C2984">
        <v>0.96366009957069798</v>
      </c>
      <c r="D2984">
        <v>0.98499240862942306</v>
      </c>
      <c r="E2984">
        <v>0.86550570603188404</v>
      </c>
      <c r="F2984">
        <v>0.81730457187053895</v>
      </c>
      <c r="G2984">
        <v>0.63873628624991696</v>
      </c>
      <c r="H2984">
        <v>0.43513837641466302</v>
      </c>
      <c r="I2984">
        <v>0.34962689094792099</v>
      </c>
      <c r="J2984">
        <v>0.30799500599273399</v>
      </c>
      <c r="K2984">
        <v>0.20039179848514299</v>
      </c>
      <c r="L2984">
        <v>661.77069140196602</v>
      </c>
      <c r="M2984">
        <v>11.2222775058714</v>
      </c>
      <c r="N2984">
        <v>59.969199466743802</v>
      </c>
      <c r="O2984">
        <v>57.189901275112</v>
      </c>
      <c r="P2984">
        <v>-4.4885507782293603E-2</v>
      </c>
      <c r="Q2984">
        <v>8.5320717180289204E-2</v>
      </c>
      <c r="R2984">
        <v>0.99516332819258502</v>
      </c>
      <c r="S2984" t="s">
        <v>7280</v>
      </c>
      <c r="T2984" t="s">
        <v>8590</v>
      </c>
      <c r="U2984" t="s">
        <v>8590</v>
      </c>
      <c r="V2984" t="s">
        <v>8590</v>
      </c>
      <c r="W2984">
        <v>4</v>
      </c>
      <c r="X2984" t="s">
        <v>11574</v>
      </c>
      <c r="Y2984">
        <v>0.66979601908508768</v>
      </c>
      <c r="Z2984" t="str">
        <f>HYPERLINK("Melting_Curves/meltCurve_sp_Q9GZN8_CT027_HUMAN_.pdf", "Melting_Curves/meltCurve_sp_Q9GZN8_CT027_HUMAN_.pdf")</f>
        <v>Melting_Curves/meltCurve_sp_Q9GZN8_CT027_HUMAN_.pdf</v>
      </c>
      <c r="AA2984" t="s">
        <v>15823</v>
      </c>
      <c r="AB2984" t="s">
        <v>20068</v>
      </c>
    </row>
    <row r="2985" spans="1:28" x14ac:dyDescent="0.25">
      <c r="A2985" t="s">
        <v>2989</v>
      </c>
      <c r="B2985">
        <v>0.99876560204751996</v>
      </c>
      <c r="C2985">
        <v>0.896617998838111</v>
      </c>
      <c r="D2985">
        <v>1.04510820193416</v>
      </c>
      <c r="E2985">
        <v>0.84440767930960503</v>
      </c>
      <c r="F2985">
        <v>0.81265932768869797</v>
      </c>
      <c r="G2985">
        <v>0.60415473743442305</v>
      </c>
      <c r="H2985">
        <v>0.52646960975725998</v>
      </c>
      <c r="I2985">
        <v>0.41754641954064797</v>
      </c>
      <c r="J2985">
        <v>0.35720231773340699</v>
      </c>
      <c r="K2985">
        <v>0.204421317271932</v>
      </c>
      <c r="L2985">
        <v>534.09438321898904</v>
      </c>
      <c r="M2985">
        <v>8.7323697255349195</v>
      </c>
      <c r="N2985">
        <v>61.162589164814698</v>
      </c>
      <c r="O2985">
        <v>58.209216860586999</v>
      </c>
      <c r="P2985">
        <v>-3.75347620007268E-2</v>
      </c>
      <c r="Q2985">
        <v>0</v>
      </c>
      <c r="R2985">
        <v>0.968118716671026</v>
      </c>
      <c r="S2985" t="s">
        <v>7281</v>
      </c>
      <c r="T2985" t="s">
        <v>8590</v>
      </c>
      <c r="U2985" t="s">
        <v>8590</v>
      </c>
      <c r="V2985" t="s">
        <v>8590</v>
      </c>
      <c r="W2985">
        <v>6</v>
      </c>
      <c r="X2985" t="s">
        <v>11575</v>
      </c>
      <c r="Y2985">
        <v>0.68393227079662833</v>
      </c>
      <c r="Z2985" t="str">
        <f>HYPERLINK("Melting_Curves/meltCurve_sp_Q9GZP4_PITH1_HUMAN_.pdf", "Melting_Curves/meltCurve_sp_Q9GZP4_PITH1_HUMAN_.pdf")</f>
        <v>Melting_Curves/meltCurve_sp_Q9GZP4_PITH1_HUMAN_.pdf</v>
      </c>
      <c r="AA2985" t="s">
        <v>15824</v>
      </c>
      <c r="AB2985" t="s">
        <v>20069</v>
      </c>
    </row>
    <row r="2986" spans="1:28" x14ac:dyDescent="0.25">
      <c r="A2986" t="s">
        <v>2990</v>
      </c>
      <c r="B2986">
        <v>0.99876560204751996</v>
      </c>
      <c r="C2986">
        <v>1.0888953098404699</v>
      </c>
      <c r="D2986">
        <v>0.94334705977662903</v>
      </c>
      <c r="E2986">
        <v>0.90902994435975104</v>
      </c>
      <c r="F2986">
        <v>0.60980172650931397</v>
      </c>
      <c r="G2986">
        <v>0.26604932526299002</v>
      </c>
      <c r="H2986">
        <v>9.1277422383187701E-2</v>
      </c>
      <c r="I2986">
        <v>6.6959732781438394E-2</v>
      </c>
      <c r="J2986">
        <v>5.5237768412108201E-2</v>
      </c>
      <c r="K2986">
        <v>2.9811023187274799E-2</v>
      </c>
      <c r="L2986">
        <v>1300.0400336705</v>
      </c>
      <c r="M2986">
        <v>24.058409569334099</v>
      </c>
      <c r="N2986">
        <v>54.219670378868003</v>
      </c>
      <c r="O2986">
        <v>53.667633971443102</v>
      </c>
      <c r="P2986">
        <v>-0.107706298765013</v>
      </c>
      <c r="Q2986">
        <v>3.8963644050143999E-2</v>
      </c>
      <c r="R2986">
        <v>0.99343738499121803</v>
      </c>
      <c r="S2986" t="s">
        <v>7282</v>
      </c>
      <c r="T2986" t="s">
        <v>8590</v>
      </c>
      <c r="U2986" t="s">
        <v>8590</v>
      </c>
      <c r="V2986" t="s">
        <v>8590</v>
      </c>
      <c r="W2986">
        <v>4</v>
      </c>
      <c r="X2986" t="s">
        <v>11576</v>
      </c>
      <c r="Y2986">
        <v>0.49815868676031572</v>
      </c>
      <c r="Z2986" t="str">
        <f>HYPERLINK("Melting_Curves/meltCurve_sp_Q9GZQ3_COMD5_HUMAN_.pdf", "Melting_Curves/meltCurve_sp_Q9GZQ3_COMD5_HUMAN_.pdf")</f>
        <v>Melting_Curves/meltCurve_sp_Q9GZQ3_COMD5_HUMAN_.pdf</v>
      </c>
      <c r="AA2986" t="s">
        <v>15825</v>
      </c>
      <c r="AB2986" t="s">
        <v>20070</v>
      </c>
    </row>
    <row r="2987" spans="1:28" x14ac:dyDescent="0.25">
      <c r="A2987" t="s">
        <v>2991</v>
      </c>
      <c r="B2987">
        <v>0.99876560204751996</v>
      </c>
      <c r="C2987">
        <v>1.06195686052479</v>
      </c>
      <c r="D2987">
        <v>0.92007242385767996</v>
      </c>
      <c r="E2987">
        <v>0.60229145485710101</v>
      </c>
      <c r="F2987">
        <v>0.28784981309242802</v>
      </c>
      <c r="G2987">
        <v>0.192824609267606</v>
      </c>
      <c r="H2987">
        <v>0.141252398508451</v>
      </c>
      <c r="I2987">
        <v>0.12875122530955299</v>
      </c>
      <c r="J2987">
        <v>0.174446664919231</v>
      </c>
      <c r="K2987">
        <v>0.14820035094084</v>
      </c>
      <c r="L2987">
        <v>1451.5097660215899</v>
      </c>
      <c r="M2987">
        <v>28.937100158327301</v>
      </c>
      <c r="N2987">
        <v>50.783045061965097</v>
      </c>
      <c r="O2987">
        <v>49.923128003804699</v>
      </c>
      <c r="P2987">
        <v>-0.1232816914801</v>
      </c>
      <c r="Q2987">
        <v>0.149249659041467</v>
      </c>
      <c r="R2987">
        <v>0.994981626350804</v>
      </c>
      <c r="S2987" t="s">
        <v>7283</v>
      </c>
      <c r="T2987" t="s">
        <v>8590</v>
      </c>
      <c r="U2987" t="s">
        <v>8590</v>
      </c>
      <c r="V2987" t="s">
        <v>8590</v>
      </c>
      <c r="W2987">
        <v>10</v>
      </c>
      <c r="X2987" t="s">
        <v>11577</v>
      </c>
      <c r="Y2987">
        <v>0.44306922718753422</v>
      </c>
      <c r="Z2987" t="str">
        <f>HYPERLINK("Melting_Curves/meltCurve_sp_Q9GZT3_2_SLIRP_HUMAN_.pdf", "Melting_Curves/meltCurve_sp_Q9GZT3_2_SLIRP_HUMAN_.pdf")</f>
        <v>Melting_Curves/meltCurve_sp_Q9GZT3_2_SLIRP_HUMAN_.pdf</v>
      </c>
      <c r="AA2987" t="s">
        <v>15826</v>
      </c>
      <c r="AB2987" t="s">
        <v>20071</v>
      </c>
    </row>
    <row r="2988" spans="1:28" x14ac:dyDescent="0.25">
      <c r="A2988" t="s">
        <v>2992</v>
      </c>
      <c r="B2988">
        <v>0.99876560204751996</v>
      </c>
      <c r="C2988">
        <v>1.08535228318387</v>
      </c>
      <c r="D2988">
        <v>0.98458635916088899</v>
      </c>
      <c r="E2988">
        <v>1.1318932465052101</v>
      </c>
      <c r="F2988">
        <v>1.08001205994562</v>
      </c>
      <c r="G2988">
        <v>0.81196428426535805</v>
      </c>
      <c r="H2988">
        <v>0.74916217691141396</v>
      </c>
      <c r="I2988">
        <v>0.71597798539025403</v>
      </c>
      <c r="J2988">
        <v>0.76919726347663797</v>
      </c>
      <c r="K2988">
        <v>0.49805850182717398</v>
      </c>
      <c r="L2988">
        <v>976.56042170771002</v>
      </c>
      <c r="M2988">
        <v>15.798721725741499</v>
      </c>
      <c r="O2988">
        <v>60.847705022220403</v>
      </c>
      <c r="P2988">
        <v>-3.0460128635959399E-2</v>
      </c>
      <c r="Q2988">
        <v>0.53077820990200697</v>
      </c>
      <c r="R2988">
        <v>0.79583341388463902</v>
      </c>
      <c r="S2988" t="s">
        <v>7284</v>
      </c>
      <c r="T2988" t="s">
        <v>8590</v>
      </c>
      <c r="U2988" t="s">
        <v>8590</v>
      </c>
      <c r="V2988" t="s">
        <v>8590</v>
      </c>
      <c r="W2988">
        <v>10</v>
      </c>
      <c r="X2988" t="s">
        <v>11578</v>
      </c>
      <c r="Y2988">
        <v>0.87176616641045446</v>
      </c>
      <c r="Z2988" t="str">
        <f>HYPERLINK("Melting_Curves/meltCurve_sp_Q9GZT8_2_NIF3L_HUMAN_.pdf", "Melting_Curves/meltCurve_sp_Q9GZT8_2_NIF3L_HUMAN_.pdf")</f>
        <v>Melting_Curves/meltCurve_sp_Q9GZT8_2_NIF3L_HUMAN_.pdf</v>
      </c>
      <c r="AA2988" t="s">
        <v>15827</v>
      </c>
      <c r="AB2988" t="s">
        <v>20072</v>
      </c>
    </row>
    <row r="2989" spans="1:28" x14ac:dyDescent="0.25">
      <c r="A2989" t="s">
        <v>2993</v>
      </c>
      <c r="B2989">
        <v>0.99876560204751996</v>
      </c>
      <c r="C2989">
        <v>0.83311364061192605</v>
      </c>
      <c r="D2989">
        <v>0.77694974533720096</v>
      </c>
      <c r="E2989">
        <v>0.64708417915511696</v>
      </c>
      <c r="F2989">
        <v>0.55838722117936201</v>
      </c>
      <c r="G2989">
        <v>0.46210951003560402</v>
      </c>
      <c r="H2989">
        <v>0.34008316074867201</v>
      </c>
      <c r="I2989">
        <v>0.468236162931359</v>
      </c>
      <c r="J2989">
        <v>0.33846934657037098</v>
      </c>
      <c r="K2989">
        <v>0.55556386596575402</v>
      </c>
      <c r="L2989">
        <v>620.96156608937895</v>
      </c>
      <c r="M2989">
        <v>13.0303168049621</v>
      </c>
      <c r="N2989">
        <v>55.012556934561701</v>
      </c>
      <c r="O2989">
        <v>46.5746293658813</v>
      </c>
      <c r="P2989">
        <v>-4.1100585907355602E-2</v>
      </c>
      <c r="Q2989">
        <v>0.41247491938340403</v>
      </c>
      <c r="R2989">
        <v>0.89577323870363901</v>
      </c>
      <c r="S2989" t="s">
        <v>7285</v>
      </c>
      <c r="T2989" t="s">
        <v>8590</v>
      </c>
      <c r="U2989" t="s">
        <v>8590</v>
      </c>
      <c r="V2989" t="s">
        <v>8590</v>
      </c>
      <c r="W2989">
        <v>6</v>
      </c>
      <c r="X2989" t="s">
        <v>11579</v>
      </c>
      <c r="Y2989">
        <v>0.58262337095980476</v>
      </c>
      <c r="Z2989" t="str">
        <f>HYPERLINK("Melting_Curves/meltCurve_sp_Q9GZT9_EGLN1_HUMAN_.pdf", "Melting_Curves/meltCurve_sp_Q9GZT9_EGLN1_HUMAN_.pdf")</f>
        <v>Melting_Curves/meltCurve_sp_Q9GZT9_EGLN1_HUMAN_.pdf</v>
      </c>
      <c r="AA2989" t="s">
        <v>15828</v>
      </c>
      <c r="AB2989" t="s">
        <v>20073</v>
      </c>
    </row>
    <row r="2990" spans="1:28" x14ac:dyDescent="0.25">
      <c r="A2990" t="s">
        <v>2994</v>
      </c>
      <c r="B2990">
        <v>0.99876560204751996</v>
      </c>
      <c r="C2990">
        <v>0.93846303887481397</v>
      </c>
      <c r="D2990">
        <v>1.1178839300129599</v>
      </c>
      <c r="E2990">
        <v>0.98681278683192997</v>
      </c>
      <c r="F2990">
        <v>1.0990865735990201</v>
      </c>
      <c r="G2990">
        <v>0.80889876100653002</v>
      </c>
      <c r="H2990">
        <v>0.86955637894212401</v>
      </c>
      <c r="I2990">
        <v>0.77850655023197202</v>
      </c>
      <c r="J2990">
        <v>1.0284425226724401</v>
      </c>
      <c r="K2990">
        <v>0.96099542774016999</v>
      </c>
      <c r="L2990">
        <v>2956.32908028977</v>
      </c>
      <c r="M2990">
        <v>53.745802919988897</v>
      </c>
      <c r="O2990">
        <v>54.929772728864698</v>
      </c>
      <c r="P2990">
        <v>-2.6546326901200099E-2</v>
      </c>
      <c r="Q2990">
        <v>0.89147559874662496</v>
      </c>
      <c r="R2990">
        <v>0.33743935438332501</v>
      </c>
      <c r="S2990" t="s">
        <v>7286</v>
      </c>
      <c r="T2990" t="s">
        <v>8590</v>
      </c>
      <c r="U2990" t="s">
        <v>8590</v>
      </c>
      <c r="V2990" t="s">
        <v>8590</v>
      </c>
      <c r="W2990">
        <v>4</v>
      </c>
      <c r="X2990" t="s">
        <v>11580</v>
      </c>
      <c r="Y2990">
        <v>0.94598631502125696</v>
      </c>
      <c r="Z2990" t="str">
        <f>HYPERLINK("Melting_Curves/meltCurve_sp_Q9GZU8_F192A_HUMAN_.pdf", "Melting_Curves/meltCurve_sp_Q9GZU8_F192A_HUMAN_.pdf")</f>
        <v>Melting_Curves/meltCurve_sp_Q9GZU8_F192A_HUMAN_.pdf</v>
      </c>
      <c r="AA2990" t="s">
        <v>15829</v>
      </c>
      <c r="AB2990" t="s">
        <v>20074</v>
      </c>
    </row>
    <row r="2991" spans="1:28" x14ac:dyDescent="0.25">
      <c r="A2991" t="s">
        <v>2995</v>
      </c>
      <c r="B2991">
        <v>0.99876560204751996</v>
      </c>
      <c r="C2991">
        <v>1.2737768118030599</v>
      </c>
      <c r="D2991">
        <v>1.2152331210602101</v>
      </c>
      <c r="E2991">
        <v>1.05436773556069</v>
      </c>
      <c r="F2991">
        <v>0.97475146578105398</v>
      </c>
      <c r="G2991">
        <v>0.70115308021556499</v>
      </c>
      <c r="H2991">
        <v>0.45545819517306202</v>
      </c>
      <c r="I2991">
        <v>0.42894633706769603</v>
      </c>
      <c r="J2991">
        <v>0.70039982321758798</v>
      </c>
      <c r="K2991">
        <v>0.55170306745835396</v>
      </c>
      <c r="S2991" t="s">
        <v>7287</v>
      </c>
      <c r="T2991" t="s">
        <v>8590</v>
      </c>
      <c r="U2991" t="s">
        <v>8591</v>
      </c>
      <c r="V2991" t="s">
        <v>8590</v>
      </c>
      <c r="W2991">
        <v>2</v>
      </c>
      <c r="X2991" t="s">
        <v>11581</v>
      </c>
      <c r="Z2991" t="str">
        <f>HYPERLINK("Melting_Curves/meltCurve_sp_Q9GZY8_2_MFF_HUMAN_.pdf", "Melting_Curves/meltCurve_sp_Q9GZY8_2_MFF_HUMAN_.pdf")</f>
        <v>Melting_Curves/meltCurve_sp_Q9GZY8_2_MFF_HUMAN_.pdf</v>
      </c>
      <c r="AA2991" t="s">
        <v>15830</v>
      </c>
      <c r="AB2991" t="s">
        <v>20075</v>
      </c>
    </row>
    <row r="2992" spans="1:28" x14ac:dyDescent="0.25">
      <c r="A2992" t="s">
        <v>2996</v>
      </c>
      <c r="B2992">
        <v>0.99876560204751996</v>
      </c>
      <c r="C2992">
        <v>0.90297254399107596</v>
      </c>
      <c r="D2992">
        <v>0.94831689450980305</v>
      </c>
      <c r="E2992">
        <v>0.58992486390096999</v>
      </c>
      <c r="F2992">
        <v>0.33183990965750298</v>
      </c>
      <c r="G2992">
        <v>0.22098943832984999</v>
      </c>
      <c r="H2992">
        <v>0.15816665561635601</v>
      </c>
      <c r="I2992">
        <v>0.11260733579691599</v>
      </c>
      <c r="J2992">
        <v>0.105809530743149</v>
      </c>
      <c r="K2992">
        <v>8.7116455844473306E-2</v>
      </c>
      <c r="L2992">
        <v>1045.5128544817901</v>
      </c>
      <c r="M2992">
        <v>20.702862575597401</v>
      </c>
      <c r="N2992">
        <v>51.1075637294568</v>
      </c>
      <c r="O2992">
        <v>50.036785796931397</v>
      </c>
      <c r="P2992">
        <v>-9.2171966127825897E-2</v>
      </c>
      <c r="Q2992">
        <v>0.10894295844117299</v>
      </c>
      <c r="R2992">
        <v>0.991111685398123</v>
      </c>
      <c r="S2992" t="s">
        <v>7288</v>
      </c>
      <c r="T2992" t="s">
        <v>8590</v>
      </c>
      <c r="U2992" t="s">
        <v>8590</v>
      </c>
      <c r="V2992" t="s">
        <v>8590</v>
      </c>
      <c r="W2992">
        <v>4</v>
      </c>
      <c r="X2992" t="s">
        <v>11582</v>
      </c>
      <c r="Y2992">
        <v>0.43242961137161912</v>
      </c>
      <c r="Z2992" t="str">
        <f>HYPERLINK("Melting_Curves/meltCurve_sp_Q9GZZ9_UBA5_HUMAN_.pdf", "Melting_Curves/meltCurve_sp_Q9GZZ9_UBA5_HUMAN_.pdf")</f>
        <v>Melting_Curves/meltCurve_sp_Q9GZZ9_UBA5_HUMAN_.pdf</v>
      </c>
      <c r="AA2992" t="s">
        <v>15831</v>
      </c>
      <c r="AB2992" t="s">
        <v>20076</v>
      </c>
    </row>
    <row r="2993" spans="1:28" x14ac:dyDescent="0.25">
      <c r="A2993" t="s">
        <v>2997</v>
      </c>
      <c r="B2993">
        <v>0.99876560204751996</v>
      </c>
      <c r="C2993">
        <v>0.96961263141758003</v>
      </c>
      <c r="D2993">
        <v>1.0334710301133001</v>
      </c>
      <c r="E2993">
        <v>0.97068759607621702</v>
      </c>
      <c r="F2993">
        <v>0.96666577800256104</v>
      </c>
      <c r="G2993">
        <v>0.71455776248317104</v>
      </c>
      <c r="H2993">
        <v>0.26546368255048602</v>
      </c>
      <c r="I2993">
        <v>8.8254395896965696E-2</v>
      </c>
      <c r="J2993">
        <v>4.4998043266004602E-2</v>
      </c>
      <c r="K2993">
        <v>4.8283143800556698E-2</v>
      </c>
      <c r="L2993">
        <v>1789.6343035708401</v>
      </c>
      <c r="M2993">
        <v>30.512450905616099</v>
      </c>
      <c r="N2993">
        <v>58.7699489101757</v>
      </c>
      <c r="O2993">
        <v>58.4023739569516</v>
      </c>
      <c r="P2993">
        <v>-0.12675345633407201</v>
      </c>
      <c r="Q2993">
        <v>2.9555625431597898E-2</v>
      </c>
      <c r="R2993">
        <v>0.99827746841477405</v>
      </c>
      <c r="S2993" t="s">
        <v>7289</v>
      </c>
      <c r="T2993" t="s">
        <v>8590</v>
      </c>
      <c r="U2993" t="s">
        <v>8590</v>
      </c>
      <c r="V2993" t="s">
        <v>8590</v>
      </c>
      <c r="W2993">
        <v>11</v>
      </c>
      <c r="X2993" t="s">
        <v>11583</v>
      </c>
      <c r="Y2993">
        <v>0.63905626715731567</v>
      </c>
      <c r="Z2993" t="str">
        <f>HYPERLINK("Melting_Curves/meltCurve_sp_Q9H008_LHPP_HUMAN_.pdf", "Melting_Curves/meltCurve_sp_Q9H008_LHPP_HUMAN_.pdf")</f>
        <v>Melting_Curves/meltCurve_sp_Q9H008_LHPP_HUMAN_.pdf</v>
      </c>
      <c r="AA2993" t="s">
        <v>15832</v>
      </c>
      <c r="AB2993" t="s">
        <v>20077</v>
      </c>
    </row>
    <row r="2994" spans="1:28" x14ac:dyDescent="0.25">
      <c r="A2994" t="s">
        <v>2998</v>
      </c>
      <c r="B2994">
        <v>0.99876560204751996</v>
      </c>
      <c r="C2994">
        <v>1.01305539675163</v>
      </c>
      <c r="D2994">
        <v>0.97986433540950701</v>
      </c>
      <c r="E2994">
        <v>1.0002424533016701</v>
      </c>
      <c r="F2994">
        <v>0.88182796985282896</v>
      </c>
      <c r="G2994">
        <v>0.72421973770673498</v>
      </c>
      <c r="H2994">
        <v>0.488611854496531</v>
      </c>
      <c r="I2994">
        <v>0.25841513785759601</v>
      </c>
      <c r="J2994">
        <v>0.136560508381216</v>
      </c>
      <c r="K2994">
        <v>7.9020834505711707E-2</v>
      </c>
      <c r="L2994">
        <v>1039.80646040277</v>
      </c>
      <c r="M2994">
        <v>17.233368782296001</v>
      </c>
      <c r="N2994">
        <v>60.336807871680797</v>
      </c>
      <c r="O2994">
        <v>59.541945474169196</v>
      </c>
      <c r="P2994">
        <v>-7.23623427795234E-2</v>
      </c>
      <c r="Q2994">
        <v>0</v>
      </c>
      <c r="R2994">
        <v>0.99684092592916396</v>
      </c>
      <c r="S2994" t="s">
        <v>7290</v>
      </c>
      <c r="T2994" t="s">
        <v>8590</v>
      </c>
      <c r="U2994" t="s">
        <v>8590</v>
      </c>
      <c r="V2994" t="s">
        <v>8590</v>
      </c>
      <c r="W2994">
        <v>9</v>
      </c>
      <c r="X2994" t="s">
        <v>11584</v>
      </c>
      <c r="Y2994">
        <v>0.68496033417892466</v>
      </c>
      <c r="Z2994" t="str">
        <f>HYPERLINK("Melting_Curves/meltCurve_sp_Q9H074_PAIP1_HUMAN_.pdf", "Melting_Curves/meltCurve_sp_Q9H074_PAIP1_HUMAN_.pdf")</f>
        <v>Melting_Curves/meltCurve_sp_Q9H074_PAIP1_HUMAN_.pdf</v>
      </c>
      <c r="AA2994" t="s">
        <v>15833</v>
      </c>
      <c r="AB2994" t="s">
        <v>20078</v>
      </c>
    </row>
    <row r="2995" spans="1:28" x14ac:dyDescent="0.25">
      <c r="A2995" t="s">
        <v>2999</v>
      </c>
      <c r="B2995">
        <v>0.99876560204751996</v>
      </c>
      <c r="C2995">
        <v>0.89106236982460096</v>
      </c>
      <c r="D2995">
        <v>0.93012550832520402</v>
      </c>
      <c r="E2995">
        <v>0.84993012202983897</v>
      </c>
      <c r="F2995">
        <v>0.75644906397623901</v>
      </c>
      <c r="G2995">
        <v>0.54803582476026902</v>
      </c>
      <c r="H2995">
        <v>0.49210910196308999</v>
      </c>
      <c r="I2995">
        <v>0.45746429958479801</v>
      </c>
      <c r="J2995">
        <v>0.58711863415489995</v>
      </c>
      <c r="K2995">
        <v>0.55474915446635298</v>
      </c>
      <c r="L2995">
        <v>999.35892394997302</v>
      </c>
      <c r="M2995">
        <v>19.206403173251001</v>
      </c>
      <c r="O2995">
        <v>51.478367742880103</v>
      </c>
      <c r="P2995">
        <v>-4.5828929228069602E-2</v>
      </c>
      <c r="Q2995">
        <v>0.50868295406851705</v>
      </c>
      <c r="R2995">
        <v>0.92336540390712396</v>
      </c>
      <c r="S2995" t="s">
        <v>7291</v>
      </c>
      <c r="T2995" t="s">
        <v>8590</v>
      </c>
      <c r="U2995" t="s">
        <v>8590</v>
      </c>
      <c r="V2995" t="s">
        <v>8590</v>
      </c>
      <c r="W2995">
        <v>5</v>
      </c>
      <c r="X2995" t="s">
        <v>11585</v>
      </c>
      <c r="Y2995">
        <v>0.71304798234227629</v>
      </c>
      <c r="Z2995" t="str">
        <f>HYPERLINK("Melting_Curves/meltCurve_sp_Q9H098_F107B_HUMAN_.pdf", "Melting_Curves/meltCurve_sp_Q9H098_F107B_HUMAN_.pdf")</f>
        <v>Melting_Curves/meltCurve_sp_Q9H098_F107B_HUMAN_.pdf</v>
      </c>
      <c r="AA2995" t="s">
        <v>15834</v>
      </c>
      <c r="AB2995" t="s">
        <v>20079</v>
      </c>
    </row>
    <row r="2996" spans="1:28" x14ac:dyDescent="0.25">
      <c r="A2996" t="s">
        <v>3000</v>
      </c>
      <c r="B2996">
        <v>0.99876560204751996</v>
      </c>
      <c r="C2996">
        <v>1.0620631777141001</v>
      </c>
      <c r="D2996">
        <v>1.0628428804580601</v>
      </c>
      <c r="E2996">
        <v>0.82171065911438901</v>
      </c>
      <c r="F2996">
        <v>0.44445017273806298</v>
      </c>
      <c r="G2996">
        <v>0.235630588142522</v>
      </c>
      <c r="H2996">
        <v>0.160967773299793</v>
      </c>
      <c r="I2996">
        <v>0.13954988632302101</v>
      </c>
      <c r="J2996">
        <v>0.156863113349684</v>
      </c>
      <c r="K2996">
        <v>0.112294697136268</v>
      </c>
      <c r="L2996">
        <v>1681.2458636441399</v>
      </c>
      <c r="M2996">
        <v>32.281542266143298</v>
      </c>
      <c r="N2996">
        <v>52.649052018030702</v>
      </c>
      <c r="O2996">
        <v>51.882083925849599</v>
      </c>
      <c r="P2996">
        <v>-0.132668143095165</v>
      </c>
      <c r="Q2996">
        <v>0.14712059780591</v>
      </c>
      <c r="R2996">
        <v>0.99192223032451798</v>
      </c>
      <c r="S2996" t="s">
        <v>7292</v>
      </c>
      <c r="T2996" t="s">
        <v>8590</v>
      </c>
      <c r="U2996" t="s">
        <v>8590</v>
      </c>
      <c r="V2996" t="s">
        <v>8590</v>
      </c>
      <c r="W2996">
        <v>5</v>
      </c>
      <c r="X2996" t="s">
        <v>11586</v>
      </c>
      <c r="Y2996">
        <v>0.49528340504868962</v>
      </c>
      <c r="Z2996" t="str">
        <f>HYPERLINK("Melting_Curves/meltCurve_sp_Q9H0A8_COMD4_HUMAN_.pdf", "Melting_Curves/meltCurve_sp_Q9H0A8_COMD4_HUMAN_.pdf")</f>
        <v>Melting_Curves/meltCurve_sp_Q9H0A8_COMD4_HUMAN_.pdf</v>
      </c>
      <c r="AA2996" t="s">
        <v>15835</v>
      </c>
      <c r="AB2996" t="s">
        <v>20080</v>
      </c>
    </row>
    <row r="2997" spans="1:28" x14ac:dyDescent="0.25">
      <c r="A2997" t="s">
        <v>3001</v>
      </c>
      <c r="B2997">
        <v>0.99876560204751996</v>
      </c>
      <c r="C2997">
        <v>0.94455967451270895</v>
      </c>
      <c r="D2997">
        <v>0.88688018139005298</v>
      </c>
      <c r="E2997">
        <v>0.57485581864464297</v>
      </c>
      <c r="F2997">
        <v>0.21380645572644699</v>
      </c>
      <c r="G2997">
        <v>9.59866461858674E-2</v>
      </c>
      <c r="H2997">
        <v>5.1895746776078701E-2</v>
      </c>
      <c r="I2997">
        <v>5.22236916475248E-2</v>
      </c>
      <c r="J2997">
        <v>3.90323920695217E-2</v>
      </c>
      <c r="K2997">
        <v>3.7939219628162699E-2</v>
      </c>
      <c r="L2997">
        <v>1228.9156962915999</v>
      </c>
      <c r="M2997">
        <v>24.4730551921079</v>
      </c>
      <c r="N2997">
        <v>50.380062672676999</v>
      </c>
      <c r="O2997">
        <v>49.883370249999402</v>
      </c>
      <c r="P2997">
        <v>-0.11792922166200601</v>
      </c>
      <c r="Q2997">
        <v>3.8514643134009999E-2</v>
      </c>
      <c r="R2997">
        <v>0.99726144486852497</v>
      </c>
      <c r="S2997" t="s">
        <v>7293</v>
      </c>
      <c r="T2997" t="s">
        <v>8590</v>
      </c>
      <c r="U2997" t="s">
        <v>8590</v>
      </c>
      <c r="V2997" t="s">
        <v>8590</v>
      </c>
      <c r="W2997">
        <v>6</v>
      </c>
      <c r="X2997" t="s">
        <v>11587</v>
      </c>
      <c r="Y2997">
        <v>0.37488936445540288</v>
      </c>
      <c r="Z2997" t="str">
        <f>HYPERLINK("Melting_Curves/meltCurve_sp_Q9H0C8_ILKAP_HUMAN_.pdf", "Melting_Curves/meltCurve_sp_Q9H0C8_ILKAP_HUMAN_.pdf")</f>
        <v>Melting_Curves/meltCurve_sp_Q9H0C8_ILKAP_HUMAN_.pdf</v>
      </c>
      <c r="AA2997" t="s">
        <v>15836</v>
      </c>
      <c r="AB2997" t="s">
        <v>20081</v>
      </c>
    </row>
    <row r="2998" spans="1:28" x14ac:dyDescent="0.25">
      <c r="A2998" t="s">
        <v>3002</v>
      </c>
      <c r="B2998">
        <v>0.99876560204751996</v>
      </c>
      <c r="C2998">
        <v>1.0202019733869701</v>
      </c>
      <c r="D2998">
        <v>0.96618253394137799</v>
      </c>
      <c r="E2998">
        <v>0.94881743997691403</v>
      </c>
      <c r="F2998">
        <v>0.89474231649586</v>
      </c>
      <c r="G2998">
        <v>0.80948819085596302</v>
      </c>
      <c r="H2998">
        <v>0.55281948453672902</v>
      </c>
      <c r="I2998">
        <v>0.223688388497674</v>
      </c>
      <c r="J2998">
        <v>0.10056563177689699</v>
      </c>
      <c r="K2998">
        <v>8.4798830985001503E-2</v>
      </c>
      <c r="L2998">
        <v>1291.75970104617</v>
      </c>
      <c r="M2998">
        <v>21.189465846790899</v>
      </c>
      <c r="N2998">
        <v>60.962364730919703</v>
      </c>
      <c r="O2998">
        <v>60.427177235042301</v>
      </c>
      <c r="P2998">
        <v>-8.7667564909924195E-2</v>
      </c>
      <c r="Q2998">
        <v>0</v>
      </c>
      <c r="R2998">
        <v>0.98958626394264104</v>
      </c>
      <c r="S2998" t="s">
        <v>7294</v>
      </c>
      <c r="T2998" t="s">
        <v>8590</v>
      </c>
      <c r="U2998" t="s">
        <v>8590</v>
      </c>
      <c r="V2998" t="s">
        <v>8590</v>
      </c>
      <c r="W2998">
        <v>22</v>
      </c>
      <c r="X2998" t="s">
        <v>11588</v>
      </c>
      <c r="Y2998">
        <v>0.7051237960032285</v>
      </c>
      <c r="Z2998" t="str">
        <f>HYPERLINK("Melting_Curves/meltCurve_sp_Q9H0D6_XRN2_HUMAN_.pdf", "Melting_Curves/meltCurve_sp_Q9H0D6_XRN2_HUMAN_.pdf")</f>
        <v>Melting_Curves/meltCurve_sp_Q9H0D6_XRN2_HUMAN_.pdf</v>
      </c>
      <c r="AA2998" t="s">
        <v>15837</v>
      </c>
      <c r="AB2998" t="s">
        <v>20082</v>
      </c>
    </row>
    <row r="2999" spans="1:28" x14ac:dyDescent="0.25">
      <c r="A2999" t="s">
        <v>3003</v>
      </c>
      <c r="B2999">
        <v>0.99876560204751996</v>
      </c>
      <c r="C2999">
        <v>0.96531381482469902</v>
      </c>
      <c r="D2999">
        <v>0.93083499197869102</v>
      </c>
      <c r="E2999">
        <v>0.84406977306675901</v>
      </c>
      <c r="F2999">
        <v>0.53898779318928203</v>
      </c>
      <c r="G2999">
        <v>0.240937023745221</v>
      </c>
      <c r="H2999">
        <v>0.18333750900370299</v>
      </c>
      <c r="I2999">
        <v>0.16947745140920201</v>
      </c>
      <c r="J2999">
        <v>0.18511456434822099</v>
      </c>
      <c r="K2999">
        <v>0.14490919176164399</v>
      </c>
      <c r="L2999">
        <v>1412.8692073176001</v>
      </c>
      <c r="M2999">
        <v>26.8655643880636</v>
      </c>
      <c r="N2999">
        <v>53.360131332434598</v>
      </c>
      <c r="O2999">
        <v>52.301533379732199</v>
      </c>
      <c r="P2999">
        <v>-0.107787845890113</v>
      </c>
      <c r="Q2999">
        <v>0.16064829688526699</v>
      </c>
      <c r="R2999">
        <v>0.99620617390565502</v>
      </c>
      <c r="S2999" t="s">
        <v>7295</v>
      </c>
      <c r="T2999" t="s">
        <v>8590</v>
      </c>
      <c r="U2999" t="s">
        <v>8590</v>
      </c>
      <c r="V2999" t="s">
        <v>8590</v>
      </c>
      <c r="W2999">
        <v>9</v>
      </c>
      <c r="X2999" t="s">
        <v>11589</v>
      </c>
      <c r="Y2999">
        <v>0.51961752764614855</v>
      </c>
      <c r="Z2999" t="str">
        <f>HYPERLINK("Melting_Curves/meltCurve_sp_Q9H0E2_TOLIP_HUMAN_.pdf", "Melting_Curves/meltCurve_sp_Q9H0E2_TOLIP_HUMAN_.pdf")</f>
        <v>Melting_Curves/meltCurve_sp_Q9H0E2_TOLIP_HUMAN_.pdf</v>
      </c>
      <c r="AA2999" t="s">
        <v>15838</v>
      </c>
      <c r="AB2999" t="s">
        <v>20083</v>
      </c>
    </row>
    <row r="3000" spans="1:28" x14ac:dyDescent="0.25">
      <c r="A3000" t="s">
        <v>3004</v>
      </c>
      <c r="B3000">
        <v>0.99876560204751996</v>
      </c>
      <c r="C3000">
        <v>1.0800445162835599</v>
      </c>
      <c r="D3000">
        <v>1.0009901199762199</v>
      </c>
      <c r="E3000">
        <v>0.92742912669440503</v>
      </c>
      <c r="F3000">
        <v>0.71493622680285396</v>
      </c>
      <c r="G3000">
        <v>0.55364403898937598</v>
      </c>
      <c r="H3000">
        <v>0.366455875770549</v>
      </c>
      <c r="I3000">
        <v>0.333424009194634</v>
      </c>
      <c r="J3000">
        <v>0.26893584432203399</v>
      </c>
      <c r="K3000">
        <v>0.244412113501664</v>
      </c>
      <c r="L3000">
        <v>946.65002085347498</v>
      </c>
      <c r="M3000">
        <v>17.068293259426301</v>
      </c>
      <c r="N3000">
        <v>57.644055481531097</v>
      </c>
      <c r="O3000">
        <v>54.717940547249803</v>
      </c>
      <c r="P3000">
        <v>-5.9433005232111903E-2</v>
      </c>
      <c r="Q3000">
        <v>0.23791923146826199</v>
      </c>
      <c r="R3000">
        <v>0.98785197811313097</v>
      </c>
      <c r="S3000" t="s">
        <v>7296</v>
      </c>
      <c r="T3000" t="s">
        <v>8590</v>
      </c>
      <c r="U3000" t="s">
        <v>8590</v>
      </c>
      <c r="V3000" t="s">
        <v>8590</v>
      </c>
      <c r="W3000">
        <v>2</v>
      </c>
      <c r="X3000" t="s">
        <v>11590</v>
      </c>
      <c r="Y3000">
        <v>0.64304291328863239</v>
      </c>
      <c r="Z3000" t="str">
        <f>HYPERLINK("Melting_Curves/meltCurve_sp_Q9H0F6_SHRPN_HUMAN_.pdf", "Melting_Curves/meltCurve_sp_Q9H0F6_SHRPN_HUMAN_.pdf")</f>
        <v>Melting_Curves/meltCurve_sp_Q9H0F6_SHRPN_HUMAN_.pdf</v>
      </c>
      <c r="AA3000" t="s">
        <v>15839</v>
      </c>
      <c r="AB3000" t="s">
        <v>20084</v>
      </c>
    </row>
    <row r="3001" spans="1:28" x14ac:dyDescent="0.25">
      <c r="A3001" t="s">
        <v>3005</v>
      </c>
      <c r="B3001">
        <v>0.99876560204751996</v>
      </c>
      <c r="C3001">
        <v>0.87027195813573899</v>
      </c>
      <c r="D3001">
        <v>0.94933306741564605</v>
      </c>
      <c r="E3001">
        <v>0.86439441927939997</v>
      </c>
      <c r="F3001">
        <v>1.32248813447964</v>
      </c>
      <c r="G3001">
        <v>1.03264604502743</v>
      </c>
      <c r="H3001">
        <v>1.0368417590766399</v>
      </c>
      <c r="I3001">
        <v>1.1039247368958001</v>
      </c>
      <c r="J3001">
        <v>1.35974601182965</v>
      </c>
      <c r="K3001">
        <v>1.3556635551798799</v>
      </c>
      <c r="L3001">
        <v>7706.5340370534104</v>
      </c>
      <c r="M3001">
        <v>119.51970047083699</v>
      </c>
      <c r="O3001">
        <v>64.461148645817403</v>
      </c>
      <c r="P3001">
        <v>0.16670524523357</v>
      </c>
      <c r="Q3001">
        <v>1.3596398304536499</v>
      </c>
      <c r="R3001">
        <v>0.56429511628041995</v>
      </c>
      <c r="S3001" t="s">
        <v>7297</v>
      </c>
      <c r="T3001" t="s">
        <v>8590</v>
      </c>
      <c r="U3001" t="s">
        <v>8590</v>
      </c>
      <c r="V3001" t="s">
        <v>8590</v>
      </c>
      <c r="W3001">
        <v>3</v>
      </c>
      <c r="X3001" t="s">
        <v>11591</v>
      </c>
      <c r="Y3001">
        <v>1.066005817060115</v>
      </c>
      <c r="Z3001" t="str">
        <f>HYPERLINK("Melting_Curves/meltCurve_sp_Q9H0G5_NSRP1_HUMAN_.pdf", "Melting_Curves/meltCurve_sp_Q9H0G5_NSRP1_HUMAN_.pdf")</f>
        <v>Melting_Curves/meltCurve_sp_Q9H0G5_NSRP1_HUMAN_.pdf</v>
      </c>
      <c r="AA3001" t="s">
        <v>15840</v>
      </c>
      <c r="AB3001" t="s">
        <v>20085</v>
      </c>
    </row>
    <row r="3002" spans="1:28" x14ac:dyDescent="0.25">
      <c r="A3002" t="s">
        <v>3006</v>
      </c>
      <c r="B3002">
        <v>0.99876560204751996</v>
      </c>
      <c r="C3002">
        <v>1.2354532976747801</v>
      </c>
      <c r="D3002">
        <v>1.02124404971405</v>
      </c>
      <c r="E3002">
        <v>1.0397497830811</v>
      </c>
      <c r="F3002">
        <v>0.66474894461739498</v>
      </c>
      <c r="G3002">
        <v>0.65627382942820101</v>
      </c>
      <c r="H3002">
        <v>0.41455605935002698</v>
      </c>
      <c r="I3002">
        <v>0.307756392570946</v>
      </c>
      <c r="J3002">
        <v>0.373580647189661</v>
      </c>
      <c r="K3002">
        <v>0.24837734287240701</v>
      </c>
      <c r="L3002">
        <v>988.52749725047897</v>
      </c>
      <c r="M3002">
        <v>17.605890873999599</v>
      </c>
      <c r="N3002">
        <v>58.735649284948799</v>
      </c>
      <c r="O3002">
        <v>55.438189207319198</v>
      </c>
      <c r="P3002">
        <v>-5.7974677557917201E-2</v>
      </c>
      <c r="Q3002">
        <v>0.26982664758064401</v>
      </c>
      <c r="R3002">
        <v>0.90842650013922499</v>
      </c>
      <c r="S3002" t="s">
        <v>7298</v>
      </c>
      <c r="T3002" t="s">
        <v>8590</v>
      </c>
      <c r="U3002" t="s">
        <v>8590</v>
      </c>
      <c r="V3002" t="s">
        <v>8590</v>
      </c>
      <c r="W3002">
        <v>2</v>
      </c>
      <c r="X3002" t="s">
        <v>11592</v>
      </c>
      <c r="Y3002">
        <v>0.67377676820032439</v>
      </c>
      <c r="Z3002" t="str">
        <f>HYPERLINK("Melting_Curves/meltCurve_sp_Q9H0K1_SIK2_HUMAN_.pdf", "Melting_Curves/meltCurve_sp_Q9H0K1_SIK2_HUMAN_.pdf")</f>
        <v>Melting_Curves/meltCurve_sp_Q9H0K1_SIK2_HUMAN_.pdf</v>
      </c>
      <c r="AA3002" t="s">
        <v>15841</v>
      </c>
      <c r="AB3002" t="s">
        <v>20086</v>
      </c>
    </row>
    <row r="3003" spans="1:28" x14ac:dyDescent="0.25">
      <c r="A3003" t="s">
        <v>3007</v>
      </c>
      <c r="B3003">
        <v>0.99876560204751996</v>
      </c>
      <c r="C3003">
        <v>1.03031555360126</v>
      </c>
      <c r="D3003">
        <v>0.87136463791948504</v>
      </c>
      <c r="E3003">
        <v>0.92753965566701801</v>
      </c>
      <c r="F3003">
        <v>0.79171105120741303</v>
      </c>
      <c r="G3003">
        <v>0.54235962898844103</v>
      </c>
      <c r="H3003">
        <v>0.42296955449336299</v>
      </c>
      <c r="I3003">
        <v>0.40404983175783798</v>
      </c>
      <c r="J3003">
        <v>0.47617148601665399</v>
      </c>
      <c r="K3003">
        <v>0.42106854833789698</v>
      </c>
      <c r="L3003">
        <v>1318.50988832591</v>
      </c>
      <c r="M3003">
        <v>24.414156244967099</v>
      </c>
      <c r="N3003">
        <v>58.351612383245502</v>
      </c>
      <c r="O3003">
        <v>53.647535375612897</v>
      </c>
      <c r="P3003">
        <v>-6.6120012824116003E-2</v>
      </c>
      <c r="Q3003">
        <v>0.41884155363183601</v>
      </c>
      <c r="R3003">
        <v>0.96671313074119902</v>
      </c>
      <c r="S3003" t="s">
        <v>7299</v>
      </c>
      <c r="T3003" t="s">
        <v>8590</v>
      </c>
      <c r="U3003" t="s">
        <v>8590</v>
      </c>
      <c r="V3003" t="s">
        <v>8590</v>
      </c>
      <c r="W3003">
        <v>12</v>
      </c>
      <c r="X3003" t="s">
        <v>11593</v>
      </c>
      <c r="Y3003">
        <v>0.69577827648531143</v>
      </c>
      <c r="Z3003" t="str">
        <f>HYPERLINK("Melting_Curves/meltCurve_sp_Q9H0L4_CSTFT_HUMAN_.pdf", "Melting_Curves/meltCurve_sp_Q9H0L4_CSTFT_HUMAN_.pdf")</f>
        <v>Melting_Curves/meltCurve_sp_Q9H0L4_CSTFT_HUMAN_.pdf</v>
      </c>
      <c r="AA3003" t="s">
        <v>15842</v>
      </c>
      <c r="AB3003" t="s">
        <v>20087</v>
      </c>
    </row>
    <row r="3004" spans="1:28" x14ac:dyDescent="0.25">
      <c r="A3004" t="s">
        <v>3008</v>
      </c>
      <c r="B3004">
        <v>0.99876560204751996</v>
      </c>
      <c r="C3004">
        <v>0.93129492458426499</v>
      </c>
      <c r="D3004">
        <v>0.93009998590439003</v>
      </c>
      <c r="E3004">
        <v>0.459551815472309</v>
      </c>
      <c r="F3004">
        <v>0.14087810826889099</v>
      </c>
      <c r="G3004">
        <v>0.10897779599402201</v>
      </c>
      <c r="H3004">
        <v>7.0985771171890005E-2</v>
      </c>
      <c r="I3004">
        <v>7.4465974964860099E-2</v>
      </c>
      <c r="J3004">
        <v>7.1751496006703899E-2</v>
      </c>
      <c r="K3004">
        <v>6.0552556240460201E-2</v>
      </c>
      <c r="L3004">
        <v>1653.91333749449</v>
      </c>
      <c r="M3004">
        <v>33.444380530541501</v>
      </c>
      <c r="N3004">
        <v>49.682915869881498</v>
      </c>
      <c r="O3004">
        <v>49.276850040378399</v>
      </c>
      <c r="P3004">
        <v>-0.15749606994088</v>
      </c>
      <c r="Q3004">
        <v>7.1786967141945601E-2</v>
      </c>
      <c r="R3004">
        <v>0.99650433292716201</v>
      </c>
      <c r="S3004" t="s">
        <v>7300</v>
      </c>
      <c r="T3004" t="s">
        <v>8590</v>
      </c>
      <c r="U3004" t="s">
        <v>8590</v>
      </c>
      <c r="V3004" t="s">
        <v>8590</v>
      </c>
      <c r="W3004">
        <v>2</v>
      </c>
      <c r="X3004" t="s">
        <v>11594</v>
      </c>
      <c r="Y3004">
        <v>0.36881882356919199</v>
      </c>
      <c r="Z3004" t="str">
        <f>HYPERLINK("Melting_Curves/meltCurve_sp_Q9H0P0_1_5NT3A_HUMAN_.pdf", "Melting_Curves/meltCurve_sp_Q9H0P0_1_5NT3A_HUMAN_.pdf")</f>
        <v>Melting_Curves/meltCurve_sp_Q9H0P0_1_5NT3A_HUMAN_.pdf</v>
      </c>
      <c r="AA3004" t="s">
        <v>15843</v>
      </c>
      <c r="AB3004" t="s">
        <v>20088</v>
      </c>
    </row>
    <row r="3005" spans="1:28" x14ac:dyDescent="0.25">
      <c r="A3005" t="s">
        <v>3009</v>
      </c>
      <c r="B3005">
        <v>0.99876560204751996</v>
      </c>
      <c r="C3005">
        <v>0.98340987566487204</v>
      </c>
      <c r="D3005">
        <v>1.03034092311584</v>
      </c>
      <c r="E3005">
        <v>0.93109878583015004</v>
      </c>
      <c r="F3005">
        <v>0.89776138759241098</v>
      </c>
      <c r="G3005">
        <v>0.787136516078213</v>
      </c>
      <c r="H3005">
        <v>0.60290141998112401</v>
      </c>
      <c r="I3005">
        <v>0.56685020328140601</v>
      </c>
      <c r="J3005">
        <v>0.50347125727641995</v>
      </c>
      <c r="K3005">
        <v>0.22815531759065999</v>
      </c>
      <c r="L3005">
        <v>649.53994498944598</v>
      </c>
      <c r="M3005">
        <v>10.0405812646716</v>
      </c>
      <c r="N3005">
        <v>64.691455275513803</v>
      </c>
      <c r="O3005">
        <v>62.282477223152597</v>
      </c>
      <c r="P3005">
        <v>-4.0321903011435498E-2</v>
      </c>
      <c r="Q3005">
        <v>0</v>
      </c>
      <c r="R3005">
        <v>0.96496421589484904</v>
      </c>
      <c r="S3005" t="s">
        <v>7301</v>
      </c>
      <c r="T3005" t="s">
        <v>8590</v>
      </c>
      <c r="U3005" t="s">
        <v>8590</v>
      </c>
      <c r="V3005" t="s">
        <v>8590</v>
      </c>
      <c r="W3005">
        <v>9</v>
      </c>
      <c r="X3005" t="s">
        <v>11595</v>
      </c>
      <c r="Y3005">
        <v>0.77285035013020686</v>
      </c>
      <c r="Z3005" t="str">
        <f>HYPERLINK("Melting_Curves/meltCurve_sp_Q9H0R4_HDHD2_HUMAN_.pdf", "Melting_Curves/meltCurve_sp_Q9H0R4_HDHD2_HUMAN_.pdf")</f>
        <v>Melting_Curves/meltCurve_sp_Q9H0R4_HDHD2_HUMAN_.pdf</v>
      </c>
      <c r="AA3005" t="s">
        <v>15844</v>
      </c>
      <c r="AB3005" t="s">
        <v>20089</v>
      </c>
    </row>
    <row r="3006" spans="1:28" x14ac:dyDescent="0.25">
      <c r="A3006" t="s">
        <v>3010</v>
      </c>
      <c r="B3006">
        <v>0.99876560204751996</v>
      </c>
      <c r="C3006">
        <v>0.83815829430087396</v>
      </c>
      <c r="D3006">
        <v>0.67664339286483099</v>
      </c>
      <c r="E3006">
        <v>0.42799757684560402</v>
      </c>
      <c r="F3006">
        <v>0.30569292252519598</v>
      </c>
      <c r="G3006">
        <v>0.183430865379901</v>
      </c>
      <c r="H3006">
        <v>0.116290572955662</v>
      </c>
      <c r="I3006">
        <v>4.0789728402610102E-2</v>
      </c>
      <c r="J3006">
        <v>5.1759009517745598E-2</v>
      </c>
      <c r="K3006">
        <v>9.7790991684756703E-2</v>
      </c>
      <c r="L3006">
        <v>628.08029945749104</v>
      </c>
      <c r="M3006">
        <v>12.9227171466885</v>
      </c>
      <c r="N3006">
        <v>48.951719220048197</v>
      </c>
      <c r="O3006">
        <v>47.483079365199401</v>
      </c>
      <c r="P3006">
        <v>-6.5056844332302702E-2</v>
      </c>
      <c r="Q3006">
        <v>4.3996453745562103E-2</v>
      </c>
      <c r="R3006">
        <v>0.99300097187296399</v>
      </c>
      <c r="S3006" t="s">
        <v>7302</v>
      </c>
      <c r="T3006" t="s">
        <v>8590</v>
      </c>
      <c r="U3006" t="s">
        <v>8590</v>
      </c>
      <c r="V3006" t="s">
        <v>8590</v>
      </c>
      <c r="W3006">
        <v>4</v>
      </c>
      <c r="X3006" t="s">
        <v>11596</v>
      </c>
      <c r="Y3006">
        <v>0.34975021857537031</v>
      </c>
      <c r="Z3006" t="str">
        <f>HYPERLINK("Melting_Curves/meltCurve_sp_Q9H0R6_GATA_HUMAN_.pdf", "Melting_Curves/meltCurve_sp_Q9H0R6_GATA_HUMAN_.pdf")</f>
        <v>Melting_Curves/meltCurve_sp_Q9H0R6_GATA_HUMAN_.pdf</v>
      </c>
      <c r="AA3006" t="s">
        <v>15845</v>
      </c>
      <c r="AB3006" t="s">
        <v>20090</v>
      </c>
    </row>
    <row r="3007" spans="1:28" x14ac:dyDescent="0.25">
      <c r="A3007" t="s">
        <v>3011</v>
      </c>
      <c r="B3007">
        <v>0.99876560204751996</v>
      </c>
      <c r="C3007">
        <v>1.1391565009510101</v>
      </c>
      <c r="D3007">
        <v>0.98618346788379996</v>
      </c>
      <c r="E3007">
        <v>0.88553038032518505</v>
      </c>
      <c r="F3007">
        <v>0.55575754003630795</v>
      </c>
      <c r="G3007">
        <v>0.17350588943619399</v>
      </c>
      <c r="H3007">
        <v>6.9515839308970498E-2</v>
      </c>
      <c r="I3007">
        <v>5.0054882140666397E-2</v>
      </c>
      <c r="J3007">
        <v>4.7181246114165701E-2</v>
      </c>
      <c r="K3007">
        <v>5.11201665121725E-2</v>
      </c>
      <c r="L3007">
        <v>1585.04918093472</v>
      </c>
      <c r="M3007">
        <v>29.751968002900799</v>
      </c>
      <c r="N3007">
        <v>53.455834649809802</v>
      </c>
      <c r="O3007">
        <v>53.036484904084297</v>
      </c>
      <c r="P3007">
        <v>-0.13354530534835099</v>
      </c>
      <c r="Q3007">
        <v>4.7763563333259797E-2</v>
      </c>
      <c r="R3007">
        <v>0.98987288482870595</v>
      </c>
      <c r="S3007" t="s">
        <v>7303</v>
      </c>
      <c r="T3007" t="s">
        <v>8590</v>
      </c>
      <c r="U3007" t="s">
        <v>8590</v>
      </c>
      <c r="V3007" t="s">
        <v>8590</v>
      </c>
      <c r="W3007">
        <v>12</v>
      </c>
      <c r="X3007" t="s">
        <v>11597</v>
      </c>
      <c r="Y3007">
        <v>0.47544192452379508</v>
      </c>
      <c r="Z3007" t="str">
        <f>HYPERLINK("Melting_Curves/meltCurve_sp_Q9H0U4_RAB1B_HUMAN_.pdf", "Melting_Curves/meltCurve_sp_Q9H0U4_RAB1B_HUMAN_.pdf")</f>
        <v>Melting_Curves/meltCurve_sp_Q9H0U4_RAB1B_HUMAN_.pdf</v>
      </c>
      <c r="AA3007" t="s">
        <v>15846</v>
      </c>
      <c r="AB3007" t="s">
        <v>20091</v>
      </c>
    </row>
    <row r="3008" spans="1:28" x14ac:dyDescent="0.25">
      <c r="A3008" t="s">
        <v>3012</v>
      </c>
      <c r="B3008">
        <v>0.99876560204751996</v>
      </c>
      <c r="C3008">
        <v>0.93754521749828101</v>
      </c>
      <c r="D3008">
        <v>0.99831133932448501</v>
      </c>
      <c r="E3008">
        <v>0.88408333621605195</v>
      </c>
      <c r="F3008">
        <v>0.78849403432167597</v>
      </c>
      <c r="G3008">
        <v>0.49030520164344599</v>
      </c>
      <c r="H3008">
        <v>0.23205349627276201</v>
      </c>
      <c r="I3008">
        <v>0.180723446535653</v>
      </c>
      <c r="J3008">
        <v>0.14221913869293501</v>
      </c>
      <c r="K3008">
        <v>0.116920069368217</v>
      </c>
      <c r="L3008">
        <v>1048.27495281693</v>
      </c>
      <c r="M3008">
        <v>18.688563144488999</v>
      </c>
      <c r="N3008">
        <v>56.719099098526101</v>
      </c>
      <c r="O3008">
        <v>55.461373184402902</v>
      </c>
      <c r="P3008">
        <v>-7.63792933956077E-2</v>
      </c>
      <c r="Q3008">
        <v>9.3366106573071206E-2</v>
      </c>
      <c r="R3008">
        <v>0.99550602705180502</v>
      </c>
      <c r="S3008" t="s">
        <v>7304</v>
      </c>
      <c r="T3008" t="s">
        <v>8590</v>
      </c>
      <c r="U3008" t="s">
        <v>8590</v>
      </c>
      <c r="V3008" t="s">
        <v>8590</v>
      </c>
      <c r="W3008">
        <v>21</v>
      </c>
      <c r="X3008" t="s">
        <v>11598</v>
      </c>
      <c r="Y3008">
        <v>0.59237564645934548</v>
      </c>
      <c r="Z3008" t="str">
        <f>HYPERLINK("Melting_Curves/meltCurve_sp_Q9H0W9_CK054_HUMAN_.pdf", "Melting_Curves/meltCurve_sp_Q9H0W9_CK054_HUMAN_.pdf")</f>
        <v>Melting_Curves/meltCurve_sp_Q9H0W9_CK054_HUMAN_.pdf</v>
      </c>
      <c r="AA3008" t="s">
        <v>15847</v>
      </c>
      <c r="AB3008" t="s">
        <v>20092</v>
      </c>
    </row>
    <row r="3009" spans="1:28" x14ac:dyDescent="0.25">
      <c r="A3009" t="s">
        <v>3013</v>
      </c>
      <c r="B3009">
        <v>0.99876560204751996</v>
      </c>
      <c r="C3009">
        <v>0.91449984632457504</v>
      </c>
      <c r="D3009">
        <v>0.95594439560718203</v>
      </c>
      <c r="E3009">
        <v>0.94801350547538998</v>
      </c>
      <c r="F3009">
        <v>0.59327144114650299</v>
      </c>
      <c r="G3009">
        <v>0.32222106063155798</v>
      </c>
      <c r="H3009">
        <v>0.20542791545866099</v>
      </c>
      <c r="I3009">
        <v>0.22124273305457601</v>
      </c>
      <c r="J3009">
        <v>0.24318426154761999</v>
      </c>
      <c r="K3009">
        <v>0.24366431308742301</v>
      </c>
      <c r="L3009">
        <v>1934.00263036058</v>
      </c>
      <c r="M3009">
        <v>36.520812053739</v>
      </c>
      <c r="N3009">
        <v>53.882677045577402</v>
      </c>
      <c r="O3009">
        <v>52.798151079561997</v>
      </c>
      <c r="P3009">
        <v>-0.132607115943534</v>
      </c>
      <c r="Q3009">
        <v>0.233161664894112</v>
      </c>
      <c r="R3009">
        <v>0.98859453897536498</v>
      </c>
      <c r="S3009" t="s">
        <v>7305</v>
      </c>
      <c r="T3009" t="s">
        <v>8590</v>
      </c>
      <c r="U3009" t="s">
        <v>8590</v>
      </c>
      <c r="V3009" t="s">
        <v>8590</v>
      </c>
      <c r="W3009">
        <v>2</v>
      </c>
      <c r="X3009" t="s">
        <v>11599</v>
      </c>
      <c r="Y3009">
        <v>0.56770294041475255</v>
      </c>
      <c r="Z3009" t="str">
        <f>HYPERLINK("Melting_Curves/meltCurve_sp_Q9H173_SIL1_HUMAN_.pdf", "Melting_Curves/meltCurve_sp_Q9H173_SIL1_HUMAN_.pdf")</f>
        <v>Melting_Curves/meltCurve_sp_Q9H173_SIL1_HUMAN_.pdf</v>
      </c>
      <c r="AA3009" t="s">
        <v>15848</v>
      </c>
      <c r="AB3009" t="s">
        <v>20093</v>
      </c>
    </row>
    <row r="3010" spans="1:28" x14ac:dyDescent="0.25">
      <c r="A3010" t="s">
        <v>3014</v>
      </c>
      <c r="B3010">
        <v>0.99876560204751996</v>
      </c>
      <c r="C3010">
        <v>0.93375954434384201</v>
      </c>
      <c r="D3010">
        <v>0.88078609075320902</v>
      </c>
      <c r="E3010">
        <v>0.78554745234496504</v>
      </c>
      <c r="F3010">
        <v>0.590423927854971</v>
      </c>
      <c r="G3010">
        <v>0.41615415934694999</v>
      </c>
      <c r="H3010">
        <v>0.34837554233667001</v>
      </c>
      <c r="I3010">
        <v>0.32874131077388802</v>
      </c>
      <c r="J3010">
        <v>0.35604760501559601</v>
      </c>
      <c r="K3010">
        <v>0.32617290490251</v>
      </c>
      <c r="L3010">
        <v>812.30248828724598</v>
      </c>
      <c r="M3010">
        <v>15.7028107998926</v>
      </c>
      <c r="N3010">
        <v>55.080854149123198</v>
      </c>
      <c r="O3010">
        <v>50.912599136844001</v>
      </c>
      <c r="P3010">
        <v>-5.33883108056597E-2</v>
      </c>
      <c r="Q3010">
        <v>0.307663337451551</v>
      </c>
      <c r="R3010">
        <v>0.99095525918335803</v>
      </c>
      <c r="S3010" t="s">
        <v>7306</v>
      </c>
      <c r="T3010" t="s">
        <v>8590</v>
      </c>
      <c r="U3010" t="s">
        <v>8590</v>
      </c>
      <c r="V3010" t="s">
        <v>8590</v>
      </c>
      <c r="W3010">
        <v>8</v>
      </c>
      <c r="X3010" t="s">
        <v>11600</v>
      </c>
      <c r="Y3010">
        <v>0.59288920329020434</v>
      </c>
      <c r="Z3010" t="str">
        <f>HYPERLINK("Melting_Curves/meltCurve_sp_Q9H1B7_I2BPL_HUMAN_.pdf", "Melting_Curves/meltCurve_sp_Q9H1B7_I2BPL_HUMAN_.pdf")</f>
        <v>Melting_Curves/meltCurve_sp_Q9H1B7_I2BPL_HUMAN_.pdf</v>
      </c>
      <c r="AA3010" t="s">
        <v>15849</v>
      </c>
      <c r="AB3010" t="s">
        <v>20094</v>
      </c>
    </row>
    <row r="3011" spans="1:28" x14ac:dyDescent="0.25">
      <c r="A3011" t="s">
        <v>3015</v>
      </c>
      <c r="B3011">
        <v>0.99876560204751996</v>
      </c>
      <c r="C3011">
        <v>0.92070513597654602</v>
      </c>
      <c r="D3011">
        <v>1.2258026359249601</v>
      </c>
      <c r="E3011">
        <v>1.1144896424844399</v>
      </c>
      <c r="F3011">
        <v>1.0724962257511701</v>
      </c>
      <c r="G3011">
        <v>1.12637565388483</v>
      </c>
      <c r="H3011">
        <v>1.0189054358519301</v>
      </c>
      <c r="I3011">
        <v>1.1063504245900999</v>
      </c>
      <c r="J3011">
        <v>1.36493392254871</v>
      </c>
      <c r="K3011">
        <v>1.4630667333296501</v>
      </c>
      <c r="L3011">
        <v>3319.0807830754802</v>
      </c>
      <c r="M3011">
        <v>50.640939873986802</v>
      </c>
      <c r="O3011">
        <v>65.439489433028996</v>
      </c>
      <c r="P3011">
        <v>9.3408914838014695E-2</v>
      </c>
      <c r="Q3011">
        <v>1.4828209560880601</v>
      </c>
      <c r="R3011">
        <v>0.63570926643655201</v>
      </c>
      <c r="S3011" t="s">
        <v>7307</v>
      </c>
      <c r="T3011" t="s">
        <v>8590</v>
      </c>
      <c r="U3011" t="s">
        <v>8590</v>
      </c>
      <c r="V3011" t="s">
        <v>8590</v>
      </c>
      <c r="W3011">
        <v>11</v>
      </c>
      <c r="X3011" t="s">
        <v>11601</v>
      </c>
      <c r="Y3011">
        <v>1.071363456239701</v>
      </c>
      <c r="Z3011" t="str">
        <f>HYPERLINK("Melting_Curves/meltCurve_sp_Q9H1E3_NUCKS_HUMAN_.pdf", "Melting_Curves/meltCurve_sp_Q9H1E3_NUCKS_HUMAN_.pdf")</f>
        <v>Melting_Curves/meltCurve_sp_Q9H1E3_NUCKS_HUMAN_.pdf</v>
      </c>
      <c r="AA3011" t="s">
        <v>15850</v>
      </c>
      <c r="AB3011" t="s">
        <v>20095</v>
      </c>
    </row>
    <row r="3012" spans="1:28" x14ac:dyDescent="0.25">
      <c r="A3012" t="s">
        <v>3016</v>
      </c>
      <c r="B3012">
        <v>0.99876560204751996</v>
      </c>
      <c r="C3012">
        <v>0.86822763571918404</v>
      </c>
      <c r="D3012">
        <v>0.86538522529423101</v>
      </c>
      <c r="E3012">
        <v>0.58072238378810503</v>
      </c>
      <c r="F3012">
        <v>0.36019804746489498</v>
      </c>
      <c r="G3012">
        <v>0.22153458105565901</v>
      </c>
      <c r="H3012">
        <v>0.19924571438230401</v>
      </c>
      <c r="I3012">
        <v>0.11410207987988499</v>
      </c>
      <c r="J3012">
        <v>0.153123764260756</v>
      </c>
      <c r="K3012">
        <v>0.13770717404491101</v>
      </c>
      <c r="L3012">
        <v>808.56530097372502</v>
      </c>
      <c r="M3012">
        <v>16.143696126010202</v>
      </c>
      <c r="N3012">
        <v>50.981667988407303</v>
      </c>
      <c r="O3012">
        <v>49.335898595362899</v>
      </c>
      <c r="P3012">
        <v>-7.1704979979399494E-2</v>
      </c>
      <c r="Q3012">
        <v>0.123531136416677</v>
      </c>
      <c r="R3012">
        <v>0.99060872326851102</v>
      </c>
      <c r="S3012" t="s">
        <v>7308</v>
      </c>
      <c r="T3012" t="s">
        <v>8590</v>
      </c>
      <c r="U3012" t="s">
        <v>8590</v>
      </c>
      <c r="V3012" t="s">
        <v>8590</v>
      </c>
      <c r="W3012">
        <v>6</v>
      </c>
      <c r="X3012" t="s">
        <v>11602</v>
      </c>
      <c r="Y3012">
        <v>0.43645896465488732</v>
      </c>
      <c r="Z3012" t="str">
        <f>HYPERLINK("Melting_Curves/meltCurve_sp_Q9H1H9_3_KI13A_HUMAN_.pdf", "Melting_Curves/meltCurve_sp_Q9H1H9_3_KI13A_HUMAN_.pdf")</f>
        <v>Melting_Curves/meltCurve_sp_Q9H1H9_3_KI13A_HUMAN_.pdf</v>
      </c>
      <c r="AA3012" t="s">
        <v>15851</v>
      </c>
      <c r="AB3012" t="s">
        <v>20096</v>
      </c>
    </row>
    <row r="3013" spans="1:28" x14ac:dyDescent="0.25">
      <c r="A3013" t="s">
        <v>3017</v>
      </c>
      <c r="B3013">
        <v>0.99876560204751996</v>
      </c>
      <c r="C3013">
        <v>1.4249079765780299</v>
      </c>
      <c r="D3013">
        <v>2.0940013118482299</v>
      </c>
      <c r="E3013">
        <v>1.2224814901409</v>
      </c>
      <c r="F3013">
        <v>1.2177496643248999</v>
      </c>
      <c r="G3013">
        <v>0.93490316918647598</v>
      </c>
      <c r="H3013">
        <v>0.52653406169519701</v>
      </c>
      <c r="I3013">
        <v>1.0565094929424399</v>
      </c>
      <c r="J3013">
        <v>0.57703760489150702</v>
      </c>
      <c r="K3013">
        <v>0.63512224492244296</v>
      </c>
      <c r="L3013">
        <v>14323.437928335299</v>
      </c>
      <c r="M3013">
        <v>250</v>
      </c>
      <c r="O3013">
        <v>57.290085305587901</v>
      </c>
      <c r="P3013">
        <v>-0.32858995397287299</v>
      </c>
      <c r="Q3013">
        <v>0.69880085651925805</v>
      </c>
      <c r="R3013">
        <v>0.162278235998459</v>
      </c>
      <c r="S3013" t="s">
        <v>7309</v>
      </c>
      <c r="T3013" t="s">
        <v>8590</v>
      </c>
      <c r="U3013" t="s">
        <v>8590</v>
      </c>
      <c r="V3013" t="s">
        <v>8590</v>
      </c>
      <c r="W3013">
        <v>3</v>
      </c>
      <c r="X3013" t="s">
        <v>11603</v>
      </c>
      <c r="Y3013">
        <v>0.87245991543970891</v>
      </c>
      <c r="Z3013" t="str">
        <f>HYPERLINK("Melting_Curves/meltCurve_sp_Q9H1J1_REN3A_HUMAN_.pdf", "Melting_Curves/meltCurve_sp_Q9H1J1_REN3A_HUMAN_.pdf")</f>
        <v>Melting_Curves/meltCurve_sp_Q9H1J1_REN3A_HUMAN_.pdf</v>
      </c>
      <c r="AA3013" t="s">
        <v>15852</v>
      </c>
      <c r="AB3013" t="s">
        <v>20097</v>
      </c>
    </row>
    <row r="3014" spans="1:28" x14ac:dyDescent="0.25">
      <c r="A3014" t="s">
        <v>3018</v>
      </c>
      <c r="B3014">
        <v>0.99876560204751996</v>
      </c>
      <c r="C3014">
        <v>0.96330667057110297</v>
      </c>
      <c r="D3014">
        <v>0.88074519275866903</v>
      </c>
      <c r="E3014">
        <v>0.75116908828106299</v>
      </c>
      <c r="F3014">
        <v>0.43683799563686099</v>
      </c>
      <c r="G3014">
        <v>0.23878725966987399</v>
      </c>
      <c r="H3014">
        <v>0.264635826898454</v>
      </c>
      <c r="I3014">
        <v>0.136122164940782</v>
      </c>
      <c r="J3014">
        <v>0.170806732560602</v>
      </c>
      <c r="K3014">
        <v>0.16049727693761301</v>
      </c>
      <c r="L3014">
        <v>1024.73833356976</v>
      </c>
      <c r="M3014">
        <v>19.8975278326226</v>
      </c>
      <c r="N3014">
        <v>52.510017096637803</v>
      </c>
      <c r="O3014">
        <v>50.989054484184599</v>
      </c>
      <c r="P3014">
        <v>-8.2058836661582896E-2</v>
      </c>
      <c r="Q3014">
        <v>0.158897802204228</v>
      </c>
      <c r="R3014">
        <v>0.98860505972207302</v>
      </c>
      <c r="S3014" t="s">
        <v>7310</v>
      </c>
      <c r="T3014" t="s">
        <v>8590</v>
      </c>
      <c r="U3014" t="s">
        <v>8590</v>
      </c>
      <c r="V3014" t="s">
        <v>8590</v>
      </c>
      <c r="W3014">
        <v>4</v>
      </c>
      <c r="X3014" t="s">
        <v>11604</v>
      </c>
      <c r="Y3014">
        <v>0.49311280567754812</v>
      </c>
      <c r="Z3014" t="str">
        <f>HYPERLINK("Melting_Curves/meltCurve_sp_Q9H1K0_RBNS5_HUMAN_.pdf", "Melting_Curves/meltCurve_sp_Q9H1K0_RBNS5_HUMAN_.pdf")</f>
        <v>Melting_Curves/meltCurve_sp_Q9H1K0_RBNS5_HUMAN_.pdf</v>
      </c>
      <c r="AA3014" t="s">
        <v>15853</v>
      </c>
      <c r="AB3014" t="s">
        <v>20098</v>
      </c>
    </row>
    <row r="3015" spans="1:28" x14ac:dyDescent="0.25">
      <c r="A3015" t="s">
        <v>3019</v>
      </c>
      <c r="B3015">
        <v>0.99876560204751996</v>
      </c>
      <c r="C3015">
        <v>1.0006512349463901</v>
      </c>
      <c r="D3015">
        <v>1.09708557409866</v>
      </c>
      <c r="E3015">
        <v>0.97477871650595205</v>
      </c>
      <c r="F3015">
        <v>1.03811817019251</v>
      </c>
      <c r="G3015">
        <v>0.789632299974106</v>
      </c>
      <c r="H3015">
        <v>0.67558207371426404</v>
      </c>
      <c r="I3015">
        <v>0.701047886709666</v>
      </c>
      <c r="J3015">
        <v>0.87607869624261603</v>
      </c>
      <c r="K3015">
        <v>0.90607886991641196</v>
      </c>
      <c r="L3015">
        <v>13870.225098946101</v>
      </c>
      <c r="M3015">
        <v>250</v>
      </c>
      <c r="O3015">
        <v>55.477349852089603</v>
      </c>
      <c r="P3015">
        <v>-0.23699941486255299</v>
      </c>
      <c r="Q3015">
        <v>0.78963040848905597</v>
      </c>
      <c r="R3015">
        <v>0.71256758195974701</v>
      </c>
      <c r="S3015" t="s">
        <v>7311</v>
      </c>
      <c r="T3015" t="s">
        <v>8590</v>
      </c>
      <c r="U3015" t="s">
        <v>8590</v>
      </c>
      <c r="V3015" t="s">
        <v>8590</v>
      </c>
      <c r="W3015">
        <v>10</v>
      </c>
      <c r="X3015" t="s">
        <v>11605</v>
      </c>
      <c r="Y3015">
        <v>0.89820791486275675</v>
      </c>
      <c r="Z3015" t="str">
        <f>HYPERLINK("Melting_Curves/meltCurve_sp_Q9H1K1_ISCU_HUMAN_.pdf", "Melting_Curves/meltCurve_sp_Q9H1K1_ISCU_HUMAN_.pdf")</f>
        <v>Melting_Curves/meltCurve_sp_Q9H1K1_ISCU_HUMAN_.pdf</v>
      </c>
      <c r="AA3015" t="s">
        <v>15854</v>
      </c>
      <c r="AB3015" t="s">
        <v>20099</v>
      </c>
    </row>
    <row r="3016" spans="1:28" x14ac:dyDescent="0.25">
      <c r="A3016" t="s">
        <v>3020</v>
      </c>
      <c r="B3016">
        <v>0.99876560204751996</v>
      </c>
      <c r="C3016">
        <v>0.94435153008765804</v>
      </c>
      <c r="D3016">
        <v>0.94223406836326196</v>
      </c>
      <c r="E3016">
        <v>0.51962347726404901</v>
      </c>
      <c r="F3016">
        <v>0.22632140075257301</v>
      </c>
      <c r="G3016">
        <v>0.20143140416824701</v>
      </c>
      <c r="H3016">
        <v>0.148062273362945</v>
      </c>
      <c r="I3016">
        <v>0.106285635833475</v>
      </c>
      <c r="J3016">
        <v>0.125494101608293</v>
      </c>
      <c r="K3016">
        <v>0.117863989398657</v>
      </c>
      <c r="L3016">
        <v>1517.56653477023</v>
      </c>
      <c r="M3016">
        <v>30.571497899090399</v>
      </c>
      <c r="N3016">
        <v>50.1469598173653</v>
      </c>
      <c r="O3016">
        <v>49.428967396748803</v>
      </c>
      <c r="P3016">
        <v>-0.13406678280710399</v>
      </c>
      <c r="Q3016">
        <v>0.13295154238887999</v>
      </c>
      <c r="R3016">
        <v>0.99495464735939199</v>
      </c>
      <c r="S3016" t="s">
        <v>7312</v>
      </c>
      <c r="T3016" t="s">
        <v>8590</v>
      </c>
      <c r="U3016" t="s">
        <v>8590</v>
      </c>
      <c r="V3016" t="s">
        <v>8590</v>
      </c>
      <c r="W3016">
        <v>1</v>
      </c>
      <c r="X3016" t="s">
        <v>11606</v>
      </c>
      <c r="Y3016">
        <v>0.41669211159777991</v>
      </c>
      <c r="Z3016" t="str">
        <f>HYPERLINK("Melting_Curves/meltCurve_sp_Q9H1P3_2_OSBL2_HUMAN_.pdf", "Melting_Curves/meltCurve_sp_Q9H1P3_2_OSBL2_HUMAN_.pdf")</f>
        <v>Melting_Curves/meltCurve_sp_Q9H1P3_2_OSBL2_HUMAN_.pdf</v>
      </c>
      <c r="AA3016" t="s">
        <v>15855</v>
      </c>
      <c r="AB3016" t="s">
        <v>20100</v>
      </c>
    </row>
    <row r="3017" spans="1:28" x14ac:dyDescent="0.25">
      <c r="A3017" t="s">
        <v>3021</v>
      </c>
      <c r="B3017">
        <v>0.99876560204751996</v>
      </c>
      <c r="C3017">
        <v>1.20507415506823</v>
      </c>
      <c r="D3017">
        <v>0.95048410392526095</v>
      </c>
      <c r="E3017">
        <v>0.89752831229166097</v>
      </c>
      <c r="F3017">
        <v>0.84802924474288</v>
      </c>
      <c r="G3017">
        <v>0.23185139773897001</v>
      </c>
      <c r="H3017">
        <v>0.12919900548972199</v>
      </c>
      <c r="I3017">
        <v>0.117044741586147</v>
      </c>
      <c r="J3017">
        <v>0.12710196137294799</v>
      </c>
      <c r="K3017">
        <v>0.118120105782668</v>
      </c>
      <c r="L3017">
        <v>2474.1312695348302</v>
      </c>
      <c r="M3017">
        <v>45.230683079288703</v>
      </c>
      <c r="N3017">
        <v>55.030483090168701</v>
      </c>
      <c r="O3017">
        <v>54.593693451176598</v>
      </c>
      <c r="P3017">
        <v>-0.18250917388782201</v>
      </c>
      <c r="Q3017">
        <v>0.118842832291686</v>
      </c>
      <c r="R3017">
        <v>0.97103260424832205</v>
      </c>
      <c r="S3017" t="s">
        <v>7313</v>
      </c>
      <c r="T3017" t="s">
        <v>8590</v>
      </c>
      <c r="U3017" t="s">
        <v>8590</v>
      </c>
      <c r="V3017" t="s">
        <v>8590</v>
      </c>
      <c r="W3017">
        <v>3</v>
      </c>
      <c r="X3017" t="s">
        <v>11607</v>
      </c>
      <c r="Y3017">
        <v>0.55321645776928763</v>
      </c>
      <c r="Z3017" t="str">
        <f>HYPERLINK("Melting_Curves/meltCurve_sp_Q9H1Y0_ATG5_HUMAN_.pdf", "Melting_Curves/meltCurve_sp_Q9H1Y0_ATG5_HUMAN_.pdf")</f>
        <v>Melting_Curves/meltCurve_sp_Q9H1Y0_ATG5_HUMAN_.pdf</v>
      </c>
      <c r="AA3017" t="s">
        <v>15856</v>
      </c>
      <c r="AB3017" t="s">
        <v>20101</v>
      </c>
    </row>
    <row r="3018" spans="1:28" x14ac:dyDescent="0.25">
      <c r="A3018" t="s">
        <v>3022</v>
      </c>
      <c r="B3018">
        <v>0.99876560204751996</v>
      </c>
      <c r="C3018">
        <v>0.88223110019070705</v>
      </c>
      <c r="D3018">
        <v>0.81499971897311196</v>
      </c>
      <c r="E3018">
        <v>0.77672127121130796</v>
      </c>
      <c r="F3018">
        <v>0.63144587870990099</v>
      </c>
      <c r="G3018">
        <v>0.52901221639684903</v>
      </c>
      <c r="H3018">
        <v>0.30783194527727298</v>
      </c>
      <c r="I3018">
        <v>0.20977400561510201</v>
      </c>
      <c r="J3018">
        <v>0.120870617746082</v>
      </c>
      <c r="K3018">
        <v>4.6369477189981002E-2</v>
      </c>
      <c r="L3018">
        <v>554.89330086639995</v>
      </c>
      <c r="M3018">
        <v>9.9399676648655007</v>
      </c>
      <c r="N3018">
        <v>55.824457338925903</v>
      </c>
      <c r="O3018">
        <v>53.7059752588873</v>
      </c>
      <c r="P3018">
        <v>-4.6293336968302998E-2</v>
      </c>
      <c r="Q3018">
        <v>0</v>
      </c>
      <c r="R3018">
        <v>0.97637746575818396</v>
      </c>
      <c r="S3018" t="s">
        <v>7314</v>
      </c>
      <c r="T3018" t="s">
        <v>8590</v>
      </c>
      <c r="U3018" t="s">
        <v>8590</v>
      </c>
      <c r="V3018" t="s">
        <v>8590</v>
      </c>
      <c r="W3018">
        <v>5</v>
      </c>
      <c r="X3018" t="s">
        <v>11608</v>
      </c>
      <c r="Y3018">
        <v>0.54946197789675044</v>
      </c>
      <c r="Z3018" t="str">
        <f>HYPERLINK("Melting_Curves/meltCurve_sp_Q9H1Z4_WDR13_HUMAN_.pdf", "Melting_Curves/meltCurve_sp_Q9H1Z4_WDR13_HUMAN_.pdf")</f>
        <v>Melting_Curves/meltCurve_sp_Q9H1Z4_WDR13_HUMAN_.pdf</v>
      </c>
      <c r="AA3018" t="s">
        <v>15857</v>
      </c>
      <c r="AB3018" t="s">
        <v>20102</v>
      </c>
    </row>
    <row r="3019" spans="1:28" x14ac:dyDescent="0.25">
      <c r="A3019" t="s">
        <v>3023</v>
      </c>
      <c r="B3019">
        <v>0.99876560204751996</v>
      </c>
      <c r="C3019">
        <v>0.819712011337004</v>
      </c>
      <c r="D3019">
        <v>0.57603516059827298</v>
      </c>
      <c r="E3019">
        <v>0.39068585991618898</v>
      </c>
      <c r="F3019">
        <v>0.249527984286775</v>
      </c>
      <c r="G3019">
        <v>0.170967086679784</v>
      </c>
      <c r="H3019">
        <v>0.112180109379031</v>
      </c>
      <c r="I3019">
        <v>0.127329787121162</v>
      </c>
      <c r="J3019">
        <v>0.14305888776557299</v>
      </c>
      <c r="K3019">
        <v>0.117832685972778</v>
      </c>
      <c r="L3019">
        <v>718.88559391665001</v>
      </c>
      <c r="M3019">
        <v>15.362028561227</v>
      </c>
      <c r="N3019">
        <v>47.619835410674298</v>
      </c>
      <c r="O3019">
        <v>46.024786174072197</v>
      </c>
      <c r="P3019">
        <v>-7.3716650012468202E-2</v>
      </c>
      <c r="Q3019">
        <v>0.11665810740810099</v>
      </c>
      <c r="R3019">
        <v>0.99193059752868595</v>
      </c>
      <c r="S3019" t="s">
        <v>7315</v>
      </c>
      <c r="T3019" t="s">
        <v>8590</v>
      </c>
      <c r="U3019" t="s">
        <v>8590</v>
      </c>
      <c r="V3019" t="s">
        <v>8590</v>
      </c>
      <c r="W3019">
        <v>6</v>
      </c>
      <c r="X3019" t="s">
        <v>11609</v>
      </c>
      <c r="Y3019">
        <v>0.33991166117286292</v>
      </c>
      <c r="Z3019" t="str">
        <f>HYPERLINK("Melting_Curves/meltCurve_sp_Q9H223_EHD4_HUMAN_.pdf", "Melting_Curves/meltCurve_sp_Q9H223_EHD4_HUMAN_.pdf")</f>
        <v>Melting_Curves/meltCurve_sp_Q9H223_EHD4_HUMAN_.pdf</v>
      </c>
      <c r="AA3019" t="s">
        <v>15858</v>
      </c>
      <c r="AB3019" t="s">
        <v>20103</v>
      </c>
    </row>
    <row r="3020" spans="1:28" x14ac:dyDescent="0.25">
      <c r="A3020" t="s">
        <v>3024</v>
      </c>
      <c r="B3020">
        <v>0.99876560204751996</v>
      </c>
      <c r="C3020">
        <v>0.86684943754000499</v>
      </c>
      <c r="D3020">
        <v>0.96731480982229401</v>
      </c>
      <c r="E3020">
        <v>0.84607101432075704</v>
      </c>
      <c r="F3020">
        <v>0.475259538193464</v>
      </c>
      <c r="G3020">
        <v>0.14787338827855301</v>
      </c>
      <c r="H3020">
        <v>9.2017242921727596E-2</v>
      </c>
      <c r="I3020">
        <v>7.9012570873775501E-2</v>
      </c>
      <c r="J3020">
        <v>7.8682111243387504E-2</v>
      </c>
      <c r="K3020">
        <v>7.7327464115280103E-2</v>
      </c>
      <c r="L3020">
        <v>1619.1563737219101</v>
      </c>
      <c r="M3020">
        <v>30.820582348890301</v>
      </c>
      <c r="N3020">
        <v>52.818802585141398</v>
      </c>
      <c r="O3020">
        <v>52.315224011543101</v>
      </c>
      <c r="P3020">
        <v>-0.13604140537130399</v>
      </c>
      <c r="Q3020">
        <v>7.6332182300181198E-2</v>
      </c>
      <c r="R3020">
        <v>0.98824644987824095</v>
      </c>
      <c r="S3020" t="s">
        <v>7316</v>
      </c>
      <c r="T3020" t="s">
        <v>8590</v>
      </c>
      <c r="U3020" t="s">
        <v>8590</v>
      </c>
      <c r="V3020" t="s">
        <v>8590</v>
      </c>
      <c r="W3020">
        <v>10</v>
      </c>
      <c r="X3020" t="s">
        <v>11610</v>
      </c>
      <c r="Y3020">
        <v>0.46790972916986501</v>
      </c>
      <c r="Z3020" t="str">
        <f>HYPERLINK("Melting_Curves/meltCurve_sp_Q9H227_GBA3_HUMAN_.pdf", "Melting_Curves/meltCurve_sp_Q9H227_GBA3_HUMAN_.pdf")</f>
        <v>Melting_Curves/meltCurve_sp_Q9H227_GBA3_HUMAN_.pdf</v>
      </c>
      <c r="AA3020" t="s">
        <v>15859</v>
      </c>
      <c r="AB3020" t="s">
        <v>20104</v>
      </c>
    </row>
    <row r="3021" spans="1:28" x14ac:dyDescent="0.25">
      <c r="A3021" t="s">
        <v>3025</v>
      </c>
      <c r="B3021">
        <v>0.99876560204751996</v>
      </c>
      <c r="C3021">
        <v>1.1139053199487501</v>
      </c>
      <c r="D3021">
        <v>0.79625818883895605</v>
      </c>
      <c r="E3021">
        <v>1.1018996861136201</v>
      </c>
      <c r="F3021">
        <v>0.56775976236328896</v>
      </c>
      <c r="G3021">
        <v>0.11388691934417899</v>
      </c>
      <c r="H3021">
        <v>7.2613387465799401E-2</v>
      </c>
      <c r="I3021">
        <v>4.5536091721952103E-2</v>
      </c>
      <c r="J3021">
        <v>4.3731752063091302E-2</v>
      </c>
      <c r="K3021">
        <v>3.5940382824101003E-2</v>
      </c>
      <c r="L3021">
        <v>13258.2894602173</v>
      </c>
      <c r="M3021">
        <v>250</v>
      </c>
      <c r="N3021">
        <v>53.061422621298398</v>
      </c>
      <c r="O3021">
        <v>53.0297574270637</v>
      </c>
      <c r="P3021">
        <v>-1.10510852027241</v>
      </c>
      <c r="Q3021">
        <v>6.2341695230358402E-2</v>
      </c>
      <c r="R3021">
        <v>0.966211719375486</v>
      </c>
      <c r="S3021" t="s">
        <v>7317</v>
      </c>
      <c r="T3021" t="s">
        <v>8590</v>
      </c>
      <c r="U3021" t="s">
        <v>8590</v>
      </c>
      <c r="V3021" t="s">
        <v>8590</v>
      </c>
      <c r="W3021">
        <v>2</v>
      </c>
      <c r="X3021" t="s">
        <v>11611</v>
      </c>
      <c r="Y3021">
        <v>0.46978392153669479</v>
      </c>
      <c r="Z3021" t="str">
        <f>HYPERLINK("Melting_Curves/meltCurve_sp_Q9H270_VPS11_HUMAN_.pdf", "Melting_Curves/meltCurve_sp_Q9H270_VPS11_HUMAN_.pdf")</f>
        <v>Melting_Curves/meltCurve_sp_Q9H270_VPS11_HUMAN_.pdf</v>
      </c>
      <c r="AA3021" t="s">
        <v>15860</v>
      </c>
      <c r="AB3021" t="s">
        <v>20105</v>
      </c>
    </row>
    <row r="3022" spans="1:28" x14ac:dyDescent="0.25">
      <c r="A3022" t="s">
        <v>3026</v>
      </c>
      <c r="B3022">
        <v>0.99876560204751996</v>
      </c>
      <c r="C3022">
        <v>0.71711021674035502</v>
      </c>
      <c r="D3022">
        <v>0.50602442909101497</v>
      </c>
      <c r="E3022">
        <v>0.31081650242373099</v>
      </c>
      <c r="F3022">
        <v>0.14590473125841399</v>
      </c>
      <c r="G3022">
        <v>8.6984983720938297E-2</v>
      </c>
      <c r="H3022">
        <v>5.9296477640919998E-2</v>
      </c>
      <c r="I3022">
        <v>5.0666841587463603E-2</v>
      </c>
      <c r="J3022">
        <v>4.8653880480973501E-2</v>
      </c>
      <c r="K3022">
        <v>3.7796267860321101E-2</v>
      </c>
      <c r="L3022">
        <v>694.79590733621205</v>
      </c>
      <c r="M3022">
        <v>15.0714928444714</v>
      </c>
      <c r="N3022">
        <v>46.345738696977399</v>
      </c>
      <c r="O3022">
        <v>45.311239560159997</v>
      </c>
      <c r="P3022">
        <v>-7.99700273963483E-2</v>
      </c>
      <c r="Q3022">
        <v>3.8401023687414597E-2</v>
      </c>
      <c r="R3022">
        <v>0.98790827078467902</v>
      </c>
      <c r="S3022" t="s">
        <v>7318</v>
      </c>
      <c r="T3022" t="s">
        <v>8590</v>
      </c>
      <c r="U3022" t="s">
        <v>8590</v>
      </c>
      <c r="V3022" t="s">
        <v>8590</v>
      </c>
      <c r="W3022">
        <v>19</v>
      </c>
      <c r="X3022" t="s">
        <v>11612</v>
      </c>
      <c r="Y3022">
        <v>0.26150407866936898</v>
      </c>
      <c r="Z3022" t="str">
        <f>HYPERLINK("Melting_Curves/meltCurve_sp_Q9H2A2_AL8A1_HUMAN_.pdf", "Melting_Curves/meltCurve_sp_Q9H2A2_AL8A1_HUMAN_.pdf")</f>
        <v>Melting_Curves/meltCurve_sp_Q9H2A2_AL8A1_HUMAN_.pdf</v>
      </c>
      <c r="AA3022" t="s">
        <v>15861</v>
      </c>
      <c r="AB3022" t="s">
        <v>20106</v>
      </c>
    </row>
    <row r="3023" spans="1:28" x14ac:dyDescent="0.25">
      <c r="A3023" t="s">
        <v>3027</v>
      </c>
      <c r="B3023">
        <v>0.99876560204751996</v>
      </c>
      <c r="C3023">
        <v>0.96609776131244596</v>
      </c>
      <c r="D3023">
        <v>0.96539917153597798</v>
      </c>
      <c r="E3023">
        <v>0.79363494802149204</v>
      </c>
      <c r="F3023">
        <v>0.82443314398372802</v>
      </c>
      <c r="G3023">
        <v>0.56140166038724404</v>
      </c>
      <c r="H3023">
        <v>0.44157728445234801</v>
      </c>
      <c r="I3023">
        <v>0.40771148874142699</v>
      </c>
      <c r="J3023">
        <v>0.53638837369928205</v>
      </c>
      <c r="K3023">
        <v>0.44205648515946699</v>
      </c>
      <c r="L3023">
        <v>896.54616956817802</v>
      </c>
      <c r="M3023">
        <v>16.7655639104341</v>
      </c>
      <c r="N3023">
        <v>60.540627332971802</v>
      </c>
      <c r="O3023">
        <v>52.732035842024899</v>
      </c>
      <c r="P3023">
        <v>-4.5362615797948001E-2</v>
      </c>
      <c r="Q3023">
        <v>0.42932858847959798</v>
      </c>
      <c r="R3023">
        <v>0.94736751621177395</v>
      </c>
      <c r="S3023" t="s">
        <v>7319</v>
      </c>
      <c r="T3023" t="s">
        <v>8590</v>
      </c>
      <c r="U3023" t="s">
        <v>8590</v>
      </c>
      <c r="V3023" t="s">
        <v>8590</v>
      </c>
      <c r="W3023">
        <v>13</v>
      </c>
      <c r="X3023" t="s">
        <v>11613</v>
      </c>
      <c r="Y3023">
        <v>0.69596014574558296</v>
      </c>
      <c r="Z3023" t="str">
        <f>HYPERLINK("Melting_Curves/meltCurve_sp_Q9H2D6_3_TARA_HUMAN_.pdf", "Melting_Curves/meltCurve_sp_Q9H2D6_3_TARA_HUMAN_.pdf")</f>
        <v>Melting_Curves/meltCurve_sp_Q9H2D6_3_TARA_HUMAN_.pdf</v>
      </c>
      <c r="AA3023" t="s">
        <v>15862</v>
      </c>
      <c r="AB3023" t="s">
        <v>20107</v>
      </c>
    </row>
    <row r="3024" spans="1:28" x14ac:dyDescent="0.25">
      <c r="A3024" t="s">
        <v>3028</v>
      </c>
      <c r="B3024">
        <v>0.99876560204751996</v>
      </c>
      <c r="C3024">
        <v>1.0013373281245601</v>
      </c>
      <c r="D3024">
        <v>0.95253467204642805</v>
      </c>
      <c r="E3024">
        <v>0.95245385771392799</v>
      </c>
      <c r="F3024">
        <v>0.42685213311318199</v>
      </c>
      <c r="G3024">
        <v>0.23028046537249799</v>
      </c>
      <c r="H3024">
        <v>0.17860033341581</v>
      </c>
      <c r="I3024">
        <v>0.14267402506136101</v>
      </c>
      <c r="J3024">
        <v>0.17134440081691099</v>
      </c>
      <c r="K3024">
        <v>0.148723127131343</v>
      </c>
      <c r="L3024">
        <v>3009.4154030746399</v>
      </c>
      <c r="M3024">
        <v>57.568073089816103</v>
      </c>
      <c r="N3024">
        <v>52.6622881931576</v>
      </c>
      <c r="O3024">
        <v>52.212802285216704</v>
      </c>
      <c r="P3024">
        <v>-0.22814750191995201</v>
      </c>
      <c r="Q3024">
        <v>0.172304091435769</v>
      </c>
      <c r="R3024">
        <v>0.99557635294595004</v>
      </c>
      <c r="S3024" t="s">
        <v>7320</v>
      </c>
      <c r="T3024" t="s">
        <v>8590</v>
      </c>
      <c r="U3024" t="s">
        <v>8590</v>
      </c>
      <c r="V3024" t="s">
        <v>8590</v>
      </c>
      <c r="W3024">
        <v>15</v>
      </c>
      <c r="X3024" t="s">
        <v>11614</v>
      </c>
      <c r="Y3024">
        <v>0.51242868584472978</v>
      </c>
      <c r="Z3024" t="str">
        <f>HYPERLINK("Melting_Curves/meltCurve_sp_Q9H2G2_SLK_HUMAN_.pdf", "Melting_Curves/meltCurve_sp_Q9H2G2_SLK_HUMAN_.pdf")</f>
        <v>Melting_Curves/meltCurve_sp_Q9H2G2_SLK_HUMAN_.pdf</v>
      </c>
      <c r="AA3024" t="s">
        <v>15863</v>
      </c>
      <c r="AB3024" t="s">
        <v>20108</v>
      </c>
    </row>
    <row r="3025" spans="1:28" x14ac:dyDescent="0.25">
      <c r="A3025" t="s">
        <v>3029</v>
      </c>
      <c r="B3025">
        <v>0.99876560204751996</v>
      </c>
      <c r="C3025">
        <v>0.84067055994996198</v>
      </c>
      <c r="D3025">
        <v>0.88042361278349002</v>
      </c>
      <c r="E3025">
        <v>0.75845125078577302</v>
      </c>
      <c r="F3025">
        <v>0.29546770009784201</v>
      </c>
      <c r="G3025">
        <v>0.14424737257594999</v>
      </c>
      <c r="H3025">
        <v>9.3092736334984896E-2</v>
      </c>
      <c r="I3025">
        <v>7.2407190355554193E-2</v>
      </c>
      <c r="J3025">
        <v>7.7562407413752393E-2</v>
      </c>
      <c r="K3025">
        <v>7.0877960133511997E-2</v>
      </c>
      <c r="L3025">
        <v>1541.7383784757701</v>
      </c>
      <c r="M3025">
        <v>30.0400952193989</v>
      </c>
      <c r="N3025">
        <v>51.609734073737002</v>
      </c>
      <c r="O3025">
        <v>51.096860322143598</v>
      </c>
      <c r="P3025">
        <v>-0.13566963994440501</v>
      </c>
      <c r="Q3025">
        <v>7.6933989612412795E-2</v>
      </c>
      <c r="R3025">
        <v>0.97328362477444097</v>
      </c>
      <c r="S3025" t="s">
        <v>7321</v>
      </c>
      <c r="T3025" t="s">
        <v>8590</v>
      </c>
      <c r="U3025" t="s">
        <v>8590</v>
      </c>
      <c r="V3025" t="s">
        <v>8590</v>
      </c>
      <c r="W3025">
        <v>3</v>
      </c>
      <c r="X3025" t="s">
        <v>11615</v>
      </c>
      <c r="Y3025">
        <v>0.43113906473370539</v>
      </c>
      <c r="Z3025" t="str">
        <f>HYPERLINK("Melting_Curves/meltCurve_sp_Q9H2H8_PPIL3_HUMAN_.pdf", "Melting_Curves/meltCurve_sp_Q9H2H8_PPIL3_HUMAN_.pdf")</f>
        <v>Melting_Curves/meltCurve_sp_Q9H2H8_PPIL3_HUMAN_.pdf</v>
      </c>
      <c r="AA3025" t="s">
        <v>15864</v>
      </c>
      <c r="AB3025" t="s">
        <v>20109</v>
      </c>
    </row>
    <row r="3026" spans="1:28" x14ac:dyDescent="0.25">
      <c r="A3026" t="s">
        <v>3030</v>
      </c>
      <c r="B3026">
        <v>0.99876560204751996</v>
      </c>
      <c r="C3026">
        <v>0.82575919403284104</v>
      </c>
      <c r="D3026">
        <v>0.71259392224833795</v>
      </c>
      <c r="E3026">
        <v>0.54459709733637396</v>
      </c>
      <c r="F3026">
        <v>0.186520419046454</v>
      </c>
      <c r="G3026">
        <v>8.7040474794470302E-2</v>
      </c>
      <c r="H3026">
        <v>7.0943016613204096E-2</v>
      </c>
      <c r="I3026">
        <v>5.2536172299721899E-2</v>
      </c>
      <c r="J3026">
        <v>4.1059534954129298E-2</v>
      </c>
      <c r="K3026">
        <v>3.1902330245529603E-2</v>
      </c>
      <c r="L3026">
        <v>712.10428642025397</v>
      </c>
      <c r="M3026">
        <v>14.502389697223</v>
      </c>
      <c r="N3026">
        <v>49.1582585902283</v>
      </c>
      <c r="O3026">
        <v>48.197242653070802</v>
      </c>
      <c r="P3026">
        <v>-7.4619649818579506E-2</v>
      </c>
      <c r="Q3026">
        <v>8.1505651290658294E-3</v>
      </c>
      <c r="R3026">
        <v>0.98088917418822397</v>
      </c>
      <c r="S3026" t="s">
        <v>7322</v>
      </c>
      <c r="T3026" t="s">
        <v>8590</v>
      </c>
      <c r="U3026" t="s">
        <v>8590</v>
      </c>
      <c r="V3026" t="s">
        <v>8590</v>
      </c>
      <c r="W3026">
        <v>1</v>
      </c>
      <c r="X3026" t="s">
        <v>11616</v>
      </c>
      <c r="Y3026">
        <v>0.33505911009997902</v>
      </c>
      <c r="Z3026" t="str">
        <f>HYPERLINK("Melting_Curves/meltCurve_sp_Q9H2K8_TAOK3_HUMAN_.pdf", "Melting_Curves/meltCurve_sp_Q9H2K8_TAOK3_HUMAN_.pdf")</f>
        <v>Melting_Curves/meltCurve_sp_Q9H2K8_TAOK3_HUMAN_.pdf</v>
      </c>
      <c r="AA3026" t="s">
        <v>15865</v>
      </c>
      <c r="AB3026" t="s">
        <v>20110</v>
      </c>
    </row>
    <row r="3027" spans="1:28" x14ac:dyDescent="0.25">
      <c r="A3027" t="s">
        <v>3031</v>
      </c>
      <c r="B3027">
        <v>0.99876560204751996</v>
      </c>
      <c r="C3027">
        <v>1.0408353487939701</v>
      </c>
      <c r="D3027">
        <v>0.97253132693751299</v>
      </c>
      <c r="E3027">
        <v>1.02360414776752</v>
      </c>
      <c r="F3027">
        <v>0.91573473991853604</v>
      </c>
      <c r="G3027">
        <v>0.79133949526633096</v>
      </c>
      <c r="H3027">
        <v>0.66929284590521598</v>
      </c>
      <c r="I3027">
        <v>0.67827700568621296</v>
      </c>
      <c r="J3027">
        <v>0.71925483571779003</v>
      </c>
      <c r="K3027">
        <v>0.600852150450637</v>
      </c>
      <c r="L3027">
        <v>1497.9541247054101</v>
      </c>
      <c r="M3027">
        <v>26.829927798068201</v>
      </c>
      <c r="O3027">
        <v>55.5240645140358</v>
      </c>
      <c r="P3027">
        <v>-4.1546086923203301E-2</v>
      </c>
      <c r="Q3027">
        <v>0.65608790353928204</v>
      </c>
      <c r="R3027">
        <v>0.95455197657858604</v>
      </c>
      <c r="S3027" t="s">
        <v>7323</v>
      </c>
      <c r="T3027" t="s">
        <v>8590</v>
      </c>
      <c r="U3027" t="s">
        <v>8590</v>
      </c>
      <c r="V3027" t="s">
        <v>8590</v>
      </c>
      <c r="W3027">
        <v>31</v>
      </c>
      <c r="X3027" t="s">
        <v>11617</v>
      </c>
      <c r="Y3027">
        <v>0.84037790932308709</v>
      </c>
      <c r="Z3027" t="str">
        <f>HYPERLINK("Melting_Curves/meltCurve_sp_Q9H2M3_BHMT2_HUMAN_.pdf", "Melting_Curves/meltCurve_sp_Q9H2M3_BHMT2_HUMAN_.pdf")</f>
        <v>Melting_Curves/meltCurve_sp_Q9H2M3_BHMT2_HUMAN_.pdf</v>
      </c>
      <c r="AA3027" t="s">
        <v>15866</v>
      </c>
      <c r="AB3027" t="s">
        <v>20111</v>
      </c>
    </row>
    <row r="3028" spans="1:28" x14ac:dyDescent="0.25">
      <c r="A3028" t="s">
        <v>3032</v>
      </c>
      <c r="B3028">
        <v>0.99876560204751996</v>
      </c>
      <c r="C3028">
        <v>1.10474868465292</v>
      </c>
      <c r="D3028">
        <v>0.94421770939053795</v>
      </c>
      <c r="E3028">
        <v>0.58308711112171496</v>
      </c>
      <c r="F3028">
        <v>0.29313303448407801</v>
      </c>
      <c r="G3028">
        <v>0.148350074733272</v>
      </c>
      <c r="H3028">
        <v>9.1725690806684398E-2</v>
      </c>
      <c r="I3028">
        <v>6.9906702247323593E-2</v>
      </c>
      <c r="J3028">
        <v>4.6475844382557203E-2</v>
      </c>
      <c r="K3028">
        <v>5.8930179088891699E-2</v>
      </c>
      <c r="L3028">
        <v>1301.83656086212</v>
      </c>
      <c r="M3028">
        <v>25.747203629174798</v>
      </c>
      <c r="N3028">
        <v>50.856734988490501</v>
      </c>
      <c r="O3028">
        <v>50.260194789309999</v>
      </c>
      <c r="P3028">
        <v>-0.11920171643401301</v>
      </c>
      <c r="Q3028">
        <v>6.9253515176586303E-2</v>
      </c>
      <c r="R3028">
        <v>0.99095291194415003</v>
      </c>
      <c r="S3028" t="s">
        <v>7324</v>
      </c>
      <c r="T3028" t="s">
        <v>8590</v>
      </c>
      <c r="U3028" t="s">
        <v>8590</v>
      </c>
      <c r="V3028" t="s">
        <v>8590</v>
      </c>
      <c r="W3028">
        <v>10</v>
      </c>
      <c r="X3028" t="s">
        <v>11618</v>
      </c>
      <c r="Y3028">
        <v>0.404838216562876</v>
      </c>
      <c r="Z3028" t="str">
        <f>HYPERLINK("Melting_Curves/meltCurve_sp_Q9H2M9_RBGPR_HUMAN_.pdf", "Melting_Curves/meltCurve_sp_Q9H2M9_RBGPR_HUMAN_.pdf")</f>
        <v>Melting_Curves/meltCurve_sp_Q9H2M9_RBGPR_HUMAN_.pdf</v>
      </c>
      <c r="AA3028" t="s">
        <v>15867</v>
      </c>
      <c r="AB3028" t="s">
        <v>20112</v>
      </c>
    </row>
    <row r="3029" spans="1:28" x14ac:dyDescent="0.25">
      <c r="A3029" t="s">
        <v>3033</v>
      </c>
      <c r="B3029">
        <v>0.99876560204751996</v>
      </c>
      <c r="C3029">
        <v>0.98691406013455396</v>
      </c>
      <c r="D3029">
        <v>0.96686186809421004</v>
      </c>
      <c r="E3029">
        <v>0.807827450409911</v>
      </c>
      <c r="F3029">
        <v>0.67445141367552897</v>
      </c>
      <c r="G3029">
        <v>0.41178557413241501</v>
      </c>
      <c r="H3029">
        <v>0.30230706710904798</v>
      </c>
      <c r="I3029">
        <v>0.27647712115773398</v>
      </c>
      <c r="J3029">
        <v>0.34237332843504897</v>
      </c>
      <c r="K3029">
        <v>0.282720864398597</v>
      </c>
      <c r="L3029">
        <v>1066.13691920991</v>
      </c>
      <c r="M3029">
        <v>20.108577382401599</v>
      </c>
      <c r="N3029">
        <v>55.278687500714199</v>
      </c>
      <c r="O3029">
        <v>52.503015275471398</v>
      </c>
      <c r="P3029">
        <v>-6.8920553631805007E-2</v>
      </c>
      <c r="Q3029">
        <v>0.28022320592515798</v>
      </c>
      <c r="R3029">
        <v>0.99322360044375302</v>
      </c>
      <c r="S3029" t="s">
        <v>7325</v>
      </c>
      <c r="T3029" t="s">
        <v>8590</v>
      </c>
      <c r="U3029" t="s">
        <v>8590</v>
      </c>
      <c r="V3029" t="s">
        <v>8590</v>
      </c>
      <c r="W3029">
        <v>5</v>
      </c>
      <c r="X3029" t="s">
        <v>11619</v>
      </c>
      <c r="Y3029">
        <v>0.60238963040787907</v>
      </c>
      <c r="Z3029" t="str">
        <f>HYPERLINK("Melting_Curves/meltCurve_sp_Q9H2P0_ADNP_HUMAN_.pdf", "Melting_Curves/meltCurve_sp_Q9H2P0_ADNP_HUMAN_.pdf")</f>
        <v>Melting_Curves/meltCurve_sp_Q9H2P0_ADNP_HUMAN_.pdf</v>
      </c>
      <c r="AA3029" t="s">
        <v>15868</v>
      </c>
      <c r="AB3029" t="s">
        <v>20113</v>
      </c>
    </row>
    <row r="3030" spans="1:28" x14ac:dyDescent="0.25">
      <c r="A3030" t="s">
        <v>3034</v>
      </c>
      <c r="B3030">
        <v>0.99876560204751996</v>
      </c>
      <c r="C3030">
        <v>0.93583215067624903</v>
      </c>
      <c r="D3030">
        <v>0.94637742452471696</v>
      </c>
      <c r="E3030">
        <v>0.76116943715590302</v>
      </c>
      <c r="F3030">
        <v>0.48273630148312902</v>
      </c>
      <c r="G3030">
        <v>0.17738955180437899</v>
      </c>
      <c r="H3030">
        <v>0.10265190449235299</v>
      </c>
      <c r="I3030">
        <v>9.0434612193857594E-2</v>
      </c>
      <c r="J3030">
        <v>7.9366028305732694E-2</v>
      </c>
      <c r="K3030">
        <v>6.5262672485294895E-2</v>
      </c>
      <c r="L3030">
        <v>1161.7202723682101</v>
      </c>
      <c r="M3030">
        <v>22.180813456549</v>
      </c>
      <c r="N3030">
        <v>52.7060218345636</v>
      </c>
      <c r="O3030">
        <v>51.954865914126202</v>
      </c>
      <c r="P3030">
        <v>-9.9793847840607602E-2</v>
      </c>
      <c r="Q3030">
        <v>6.5018250027273197E-2</v>
      </c>
      <c r="R3030">
        <v>0.99723728566894798</v>
      </c>
      <c r="S3030" t="s">
        <v>7326</v>
      </c>
      <c r="T3030" t="s">
        <v>8590</v>
      </c>
      <c r="U3030" t="s">
        <v>8590</v>
      </c>
      <c r="V3030" t="s">
        <v>8590</v>
      </c>
      <c r="W3030">
        <v>3</v>
      </c>
      <c r="X3030" t="s">
        <v>11620</v>
      </c>
      <c r="Y3030">
        <v>0.46141783288020649</v>
      </c>
      <c r="Z3030" t="str">
        <f>HYPERLINK("Melting_Curves/meltCurve_sp_Q9H2P9_3_DPH5_HUMAN_.pdf", "Melting_Curves/meltCurve_sp_Q9H2P9_3_DPH5_HUMAN_.pdf")</f>
        <v>Melting_Curves/meltCurve_sp_Q9H2P9_3_DPH5_HUMAN_.pdf</v>
      </c>
      <c r="AA3030" t="s">
        <v>15869</v>
      </c>
      <c r="AB3030" t="s">
        <v>20114</v>
      </c>
    </row>
    <row r="3031" spans="1:28" x14ac:dyDescent="0.25">
      <c r="A3031" t="s">
        <v>3035</v>
      </c>
      <c r="B3031">
        <v>0.99876560204751996</v>
      </c>
      <c r="C3031">
        <v>0.99165094755872896</v>
      </c>
      <c r="D3031">
        <v>0.91470777485555599</v>
      </c>
      <c r="E3031">
        <v>0.90452156804122297</v>
      </c>
      <c r="F3031">
        <v>0.76316609867296803</v>
      </c>
      <c r="G3031">
        <v>0.42529314361588799</v>
      </c>
      <c r="H3031">
        <v>0.23758113084350399</v>
      </c>
      <c r="I3031">
        <v>0.19649293814886601</v>
      </c>
      <c r="J3031">
        <v>0.22240588816517101</v>
      </c>
      <c r="K3031">
        <v>0.17836777058591499</v>
      </c>
      <c r="L3031">
        <v>1226.49801414539</v>
      </c>
      <c r="M3031">
        <v>22.344240227495899</v>
      </c>
      <c r="N3031">
        <v>55.981734318321003</v>
      </c>
      <c r="O3031">
        <v>54.457027098281998</v>
      </c>
      <c r="P3031">
        <v>-8.44767187121096E-2</v>
      </c>
      <c r="Q3031">
        <v>0.17647607953864999</v>
      </c>
      <c r="R3031">
        <v>0.99349509727178698</v>
      </c>
      <c r="S3031" t="s">
        <v>7327</v>
      </c>
      <c r="T3031" t="s">
        <v>8590</v>
      </c>
      <c r="U3031" t="s">
        <v>8590</v>
      </c>
      <c r="V3031" t="s">
        <v>8590</v>
      </c>
      <c r="W3031">
        <v>9</v>
      </c>
      <c r="X3031" t="s">
        <v>11621</v>
      </c>
      <c r="Y3031">
        <v>0.59447578672504575</v>
      </c>
      <c r="Z3031" t="str">
        <f>HYPERLINK("Melting_Curves/meltCurve_sp_Q9H2U1_3_DHX36_HUMAN_.pdf", "Melting_Curves/meltCurve_sp_Q9H2U1_3_DHX36_HUMAN_.pdf")</f>
        <v>Melting_Curves/meltCurve_sp_Q9H2U1_3_DHX36_HUMAN_.pdf</v>
      </c>
      <c r="AA3031" t="s">
        <v>15870</v>
      </c>
      <c r="AB3031" t="s">
        <v>20115</v>
      </c>
    </row>
    <row r="3032" spans="1:28" x14ac:dyDescent="0.25">
      <c r="A3032" t="s">
        <v>3036</v>
      </c>
      <c r="B3032">
        <v>0.99876560204751996</v>
      </c>
      <c r="C3032">
        <v>0.98039747252144804</v>
      </c>
      <c r="D3032">
        <v>0.93562060170736105</v>
      </c>
      <c r="E3032">
        <v>0.88253194126118895</v>
      </c>
      <c r="F3032">
        <v>0.515224729565124</v>
      </c>
      <c r="G3032">
        <v>0.304115222744407</v>
      </c>
      <c r="H3032">
        <v>7.45152283681383E-2</v>
      </c>
      <c r="I3032">
        <v>4.9338043461878298E-2</v>
      </c>
      <c r="J3032">
        <v>4.7209553421785198E-2</v>
      </c>
      <c r="K3032">
        <v>3.72103755948072E-2</v>
      </c>
      <c r="L3032">
        <v>1094.16834493893</v>
      </c>
      <c r="M3032">
        <v>20.380588057379299</v>
      </c>
      <c r="N3032">
        <v>53.815655038019898</v>
      </c>
      <c r="O3032">
        <v>53.177933178669001</v>
      </c>
      <c r="P3032">
        <v>-9.35341724233682E-2</v>
      </c>
      <c r="Q3032">
        <v>2.3815471802299398E-2</v>
      </c>
      <c r="R3032">
        <v>0.99263892725339997</v>
      </c>
      <c r="S3032" t="s">
        <v>7328</v>
      </c>
      <c r="T3032" t="s">
        <v>8590</v>
      </c>
      <c r="U3032" t="s">
        <v>8590</v>
      </c>
      <c r="V3032" t="s">
        <v>8590</v>
      </c>
      <c r="W3032">
        <v>20</v>
      </c>
      <c r="X3032" t="s">
        <v>11622</v>
      </c>
      <c r="Y3032">
        <v>0.48209552935880562</v>
      </c>
      <c r="Z3032" t="str">
        <f>HYPERLINK("Melting_Curves/meltCurve_sp_Q9H2U2_IPYR2_HUMAN_.pdf", "Melting_Curves/meltCurve_sp_Q9H2U2_IPYR2_HUMAN_.pdf")</f>
        <v>Melting_Curves/meltCurve_sp_Q9H2U2_IPYR2_HUMAN_.pdf</v>
      </c>
      <c r="AA3032" t="s">
        <v>15871</v>
      </c>
      <c r="AB3032" t="s">
        <v>20116</v>
      </c>
    </row>
    <row r="3033" spans="1:28" x14ac:dyDescent="0.25">
      <c r="A3033" t="s">
        <v>3037</v>
      </c>
      <c r="B3033">
        <v>0.99876560204751996</v>
      </c>
      <c r="C3033">
        <v>0.88272102420874898</v>
      </c>
      <c r="D3033">
        <v>0.65743551245523801</v>
      </c>
      <c r="E3033">
        <v>0.341108098173179</v>
      </c>
      <c r="F3033">
        <v>0.17176354049574999</v>
      </c>
      <c r="G3033">
        <v>8.6595467802523501E-2</v>
      </c>
      <c r="H3033">
        <v>4.9135915474478001E-2</v>
      </c>
      <c r="I3033">
        <v>4.3415317621955801E-2</v>
      </c>
      <c r="J3033">
        <v>4.42506960274733E-2</v>
      </c>
      <c r="K3033">
        <v>3.56969924857089E-2</v>
      </c>
      <c r="L3033">
        <v>845.57803269824205</v>
      </c>
      <c r="M3033">
        <v>17.726760731019699</v>
      </c>
      <c r="N3033">
        <v>47.891611155179902</v>
      </c>
      <c r="O3033">
        <v>47.106035355320003</v>
      </c>
      <c r="P3033">
        <v>-9.0873681895225905E-2</v>
      </c>
      <c r="Q3033">
        <v>3.4121444795671398E-2</v>
      </c>
      <c r="R3033">
        <v>0.99905757443641396</v>
      </c>
      <c r="S3033" t="s">
        <v>7329</v>
      </c>
      <c r="T3033" t="s">
        <v>8590</v>
      </c>
      <c r="U3033" t="s">
        <v>8590</v>
      </c>
      <c r="V3033" t="s">
        <v>8590</v>
      </c>
      <c r="W3033">
        <v>4</v>
      </c>
      <c r="X3033" t="s">
        <v>11623</v>
      </c>
      <c r="Y3033">
        <v>0.29992524586722491</v>
      </c>
      <c r="Z3033" t="str">
        <f>HYPERLINK("Melting_Curves/meltCurve_sp_Q9H2W6_RM46_HUMAN_.pdf", "Melting_Curves/meltCurve_sp_Q9H2W6_RM46_HUMAN_.pdf")</f>
        <v>Melting_Curves/meltCurve_sp_Q9H2W6_RM46_HUMAN_.pdf</v>
      </c>
      <c r="AA3033" t="s">
        <v>15872</v>
      </c>
      <c r="AB3033" t="s">
        <v>20117</v>
      </c>
    </row>
    <row r="3034" spans="1:28" x14ac:dyDescent="0.25">
      <c r="A3034" t="s">
        <v>3038</v>
      </c>
      <c r="B3034">
        <v>0.99876560204751996</v>
      </c>
      <c r="C3034">
        <v>1.1107577732887699</v>
      </c>
      <c r="D3034">
        <v>1.03072628513345</v>
      </c>
      <c r="E3034">
        <v>0.992677995154576</v>
      </c>
      <c r="F3034">
        <v>0.95615663080985502</v>
      </c>
      <c r="G3034">
        <v>0.67053770454539496</v>
      </c>
      <c r="H3034">
        <v>0.51923491732554905</v>
      </c>
      <c r="I3034">
        <v>0.56210927697350099</v>
      </c>
      <c r="J3034">
        <v>0.630919333085881</v>
      </c>
      <c r="K3034">
        <v>0.65660317015560099</v>
      </c>
      <c r="L3034">
        <v>2897.3358285894601</v>
      </c>
      <c r="M3034">
        <v>52.401496484488803</v>
      </c>
      <c r="O3034">
        <v>55.210738908116497</v>
      </c>
      <c r="P3034">
        <v>-9.6585472185135496E-2</v>
      </c>
      <c r="Q3034">
        <v>0.59294660412917299</v>
      </c>
      <c r="R3034">
        <v>0.94299795872488701</v>
      </c>
      <c r="S3034" t="s">
        <v>7330</v>
      </c>
      <c r="T3034" t="s">
        <v>8590</v>
      </c>
      <c r="U3034" t="s">
        <v>8590</v>
      </c>
      <c r="V3034" t="s">
        <v>8590</v>
      </c>
      <c r="W3034">
        <v>5</v>
      </c>
      <c r="X3034" t="s">
        <v>11624</v>
      </c>
      <c r="Y3034">
        <v>0.80132593763096116</v>
      </c>
      <c r="Z3034" t="str">
        <f>HYPERLINK("Melting_Curves/meltCurve_sp_Q9H307_PININ_HUMAN_.pdf", "Melting_Curves/meltCurve_sp_Q9H307_PININ_HUMAN_.pdf")</f>
        <v>Melting_Curves/meltCurve_sp_Q9H307_PININ_HUMAN_.pdf</v>
      </c>
      <c r="AA3034" t="s">
        <v>15873</v>
      </c>
      <c r="AB3034" t="s">
        <v>20118</v>
      </c>
    </row>
    <row r="3035" spans="1:28" x14ac:dyDescent="0.25">
      <c r="A3035" t="s">
        <v>3039</v>
      </c>
      <c r="B3035">
        <v>0.99876560204751996</v>
      </c>
      <c r="C3035">
        <v>1.2447605324617299</v>
      </c>
      <c r="D3035">
        <v>1.1514638782809099</v>
      </c>
      <c r="E3035">
        <v>0.94190326333027696</v>
      </c>
      <c r="F3035">
        <v>0.81136153872766803</v>
      </c>
      <c r="G3035">
        <v>0.34417418202581002</v>
      </c>
      <c r="H3035">
        <v>0.29887393115243899</v>
      </c>
      <c r="I3035">
        <v>0.21227002369247999</v>
      </c>
      <c r="J3035">
        <v>0.50967832711555205</v>
      </c>
      <c r="K3035">
        <v>0.18091856238649501</v>
      </c>
      <c r="L3035">
        <v>2589.47010113122</v>
      </c>
      <c r="M3035">
        <v>47.908543974479102</v>
      </c>
      <c r="N3035">
        <v>55.092516175603897</v>
      </c>
      <c r="O3035">
        <v>53.956354497863401</v>
      </c>
      <c r="P3035">
        <v>-0.15582899381721599</v>
      </c>
      <c r="Q3035">
        <v>0.29799945976429498</v>
      </c>
      <c r="R3035">
        <v>0.89823696718352997</v>
      </c>
      <c r="S3035" t="s">
        <v>7331</v>
      </c>
      <c r="T3035" t="s">
        <v>8590</v>
      </c>
      <c r="U3035" t="s">
        <v>8590</v>
      </c>
      <c r="V3035" t="s">
        <v>8590</v>
      </c>
      <c r="W3035">
        <v>2</v>
      </c>
      <c r="X3035" t="s">
        <v>11625</v>
      </c>
      <c r="Y3035">
        <v>0.62859929345687815</v>
      </c>
      <c r="Z3035" t="str">
        <f>HYPERLINK("Melting_Curves/meltCurve_sp_Q9H329_2_E41LB_HUMAN_.pdf", "Melting_Curves/meltCurve_sp_Q9H329_2_E41LB_HUMAN_.pdf")</f>
        <v>Melting_Curves/meltCurve_sp_Q9H329_2_E41LB_HUMAN_.pdf</v>
      </c>
      <c r="AA3035" t="s">
        <v>15874</v>
      </c>
      <c r="AB3035" t="s">
        <v>20119</v>
      </c>
    </row>
    <row r="3036" spans="1:28" x14ac:dyDescent="0.25">
      <c r="A3036" t="s">
        <v>3040</v>
      </c>
      <c r="B3036">
        <v>0.99876560204751996</v>
      </c>
      <c r="C3036">
        <v>1.02775714538149</v>
      </c>
      <c r="D3036">
        <v>0.92197986391053099</v>
      </c>
      <c r="E3036">
        <v>0.81568618655001002</v>
      </c>
      <c r="F3036">
        <v>0.59371902363653395</v>
      </c>
      <c r="G3036">
        <v>0.35237397085468503</v>
      </c>
      <c r="H3036">
        <v>0.19944692752200299</v>
      </c>
      <c r="I3036">
        <v>0.119474874938088</v>
      </c>
      <c r="J3036">
        <v>0.10272194872625801</v>
      </c>
      <c r="K3036">
        <v>7.7414162563050004E-2</v>
      </c>
      <c r="L3036">
        <v>861.65281873721699</v>
      </c>
      <c r="M3036">
        <v>15.916814293732299</v>
      </c>
      <c r="N3036">
        <v>54.535962048864398</v>
      </c>
      <c r="O3036">
        <v>53.301863901154</v>
      </c>
      <c r="P3036">
        <v>-7.0535160068544905E-2</v>
      </c>
      <c r="Q3036">
        <v>5.5249490198995201E-2</v>
      </c>
      <c r="R3036">
        <v>0.99781912377392801</v>
      </c>
      <c r="S3036" t="s">
        <v>7332</v>
      </c>
      <c r="T3036" t="s">
        <v>8590</v>
      </c>
      <c r="U3036" t="s">
        <v>8590</v>
      </c>
      <c r="V3036" t="s">
        <v>8590</v>
      </c>
      <c r="W3036">
        <v>7</v>
      </c>
      <c r="X3036" t="s">
        <v>11626</v>
      </c>
      <c r="Y3036">
        <v>0.51823235272695534</v>
      </c>
      <c r="Z3036" t="str">
        <f>HYPERLINK("Melting_Curves/meltCurve_sp_Q9H3G5_CPVL_HUMAN_.pdf", "Melting_Curves/meltCurve_sp_Q9H3G5_CPVL_HUMAN_.pdf")</f>
        <v>Melting_Curves/meltCurve_sp_Q9H3G5_CPVL_HUMAN_.pdf</v>
      </c>
      <c r="AA3036" t="s">
        <v>15875</v>
      </c>
      <c r="AB3036" t="s">
        <v>20120</v>
      </c>
    </row>
    <row r="3037" spans="1:28" x14ac:dyDescent="0.25">
      <c r="A3037" t="s">
        <v>3041</v>
      </c>
      <c r="B3037">
        <v>0.99876560204751996</v>
      </c>
      <c r="C3037">
        <v>0.934622368579202</v>
      </c>
      <c r="D3037">
        <v>1.0327816003136101</v>
      </c>
      <c r="E3037">
        <v>0.83319084663479503</v>
      </c>
      <c r="F3037">
        <v>0.59526994229998498</v>
      </c>
      <c r="G3037">
        <v>0.147293674347618</v>
      </c>
      <c r="H3037">
        <v>6.1884179188797399E-2</v>
      </c>
      <c r="I3037">
        <v>3.2433985028306703E-2</v>
      </c>
      <c r="J3037">
        <v>3.3352903358494002E-2</v>
      </c>
      <c r="K3037">
        <v>3.45873153033113E-2</v>
      </c>
      <c r="L3037">
        <v>1472.3071586855699</v>
      </c>
      <c r="M3037">
        <v>27.557809269569699</v>
      </c>
      <c r="N3037">
        <v>53.528446316896897</v>
      </c>
      <c r="O3037">
        <v>53.147174353039603</v>
      </c>
      <c r="P3037">
        <v>-0.126305142162708</v>
      </c>
      <c r="Q3037">
        <v>2.56554221491774E-2</v>
      </c>
      <c r="R3037">
        <v>0.99492293820309896</v>
      </c>
      <c r="S3037" t="s">
        <v>7333</v>
      </c>
      <c r="T3037" t="s">
        <v>8590</v>
      </c>
      <c r="U3037" t="s">
        <v>8590</v>
      </c>
      <c r="V3037" t="s">
        <v>8590</v>
      </c>
      <c r="W3037">
        <v>3</v>
      </c>
      <c r="X3037" t="s">
        <v>11627</v>
      </c>
      <c r="Y3037">
        <v>0.46919812838783498</v>
      </c>
      <c r="Z3037" t="str">
        <f>HYPERLINK("Melting_Curves/meltCurve_sp_Q9H3H3_CK068_HUMAN_.pdf", "Melting_Curves/meltCurve_sp_Q9H3H3_CK068_HUMAN_.pdf")</f>
        <v>Melting_Curves/meltCurve_sp_Q9H3H3_CK068_HUMAN_.pdf</v>
      </c>
      <c r="AA3037" t="s">
        <v>15876</v>
      </c>
      <c r="AB3037" t="s">
        <v>20121</v>
      </c>
    </row>
    <row r="3038" spans="1:28" x14ac:dyDescent="0.25">
      <c r="A3038" t="s">
        <v>3042</v>
      </c>
      <c r="B3038">
        <v>0.99876560204751996</v>
      </c>
      <c r="C3038">
        <v>0.93495200661216304</v>
      </c>
      <c r="D3038">
        <v>1.05328383401494</v>
      </c>
      <c r="E3038">
        <v>0.89898209607964896</v>
      </c>
      <c r="F3038">
        <v>0.89468779204869497</v>
      </c>
      <c r="G3038">
        <v>0.67212441492104202</v>
      </c>
      <c r="H3038">
        <v>0.50382406713120398</v>
      </c>
      <c r="I3038">
        <v>0.46401475034981299</v>
      </c>
      <c r="J3038">
        <v>0.46190334685676598</v>
      </c>
      <c r="K3038">
        <v>0.47153815174324598</v>
      </c>
      <c r="L3038">
        <v>1233.3229942998901</v>
      </c>
      <c r="M3038">
        <v>22.071136412342899</v>
      </c>
      <c r="N3038">
        <v>62.138970944745601</v>
      </c>
      <c r="O3038">
        <v>55.426794619690099</v>
      </c>
      <c r="P3038">
        <v>-5.5164773864548301E-2</v>
      </c>
      <c r="Q3038">
        <v>0.44587555481046798</v>
      </c>
      <c r="R3038">
        <v>0.97605410249473801</v>
      </c>
      <c r="S3038" t="s">
        <v>7334</v>
      </c>
      <c r="T3038" t="s">
        <v>8590</v>
      </c>
      <c r="U3038" t="s">
        <v>8590</v>
      </c>
      <c r="V3038" t="s">
        <v>8590</v>
      </c>
      <c r="W3038">
        <v>4</v>
      </c>
      <c r="X3038" t="s">
        <v>11628</v>
      </c>
      <c r="Y3038">
        <v>0.74539937298163084</v>
      </c>
      <c r="Z3038" t="str">
        <f>HYPERLINK("Melting_Curves/meltCurve_sp_Q9H3K6_BOLA2_HUMAN_.pdf", "Melting_Curves/meltCurve_sp_Q9H3K6_BOLA2_HUMAN_.pdf")</f>
        <v>Melting_Curves/meltCurve_sp_Q9H3K6_BOLA2_HUMAN_.pdf</v>
      </c>
      <c r="AA3038" t="s">
        <v>15877</v>
      </c>
      <c r="AB3038" t="s">
        <v>20122</v>
      </c>
    </row>
    <row r="3039" spans="1:28" x14ac:dyDescent="0.25">
      <c r="A3039" t="s">
        <v>3043</v>
      </c>
      <c r="B3039">
        <v>0.99876560204751996</v>
      </c>
      <c r="C3039">
        <v>0.893996309800141</v>
      </c>
      <c r="D3039">
        <v>1.0060116625668101</v>
      </c>
      <c r="E3039">
        <v>0.80304594930124396</v>
      </c>
      <c r="F3039">
        <v>0.68408602474542501</v>
      </c>
      <c r="G3039">
        <v>0.52737696483770102</v>
      </c>
      <c r="H3039">
        <v>0.48776798310734498</v>
      </c>
      <c r="I3039">
        <v>0.39201764488456697</v>
      </c>
      <c r="J3039">
        <v>0.52818877698623301</v>
      </c>
      <c r="K3039">
        <v>0.49374309968394497</v>
      </c>
      <c r="L3039">
        <v>1090.76893515233</v>
      </c>
      <c r="M3039">
        <v>21.1108735946084</v>
      </c>
      <c r="N3039">
        <v>59.344855885417502</v>
      </c>
      <c r="O3039">
        <v>51.2116649826527</v>
      </c>
      <c r="P3039">
        <v>-5.48882322698677E-2</v>
      </c>
      <c r="Q3039">
        <v>0.467413077230104</v>
      </c>
      <c r="R3039">
        <v>0.95026919661910303</v>
      </c>
      <c r="S3039" t="s">
        <v>7335</v>
      </c>
      <c r="T3039" t="s">
        <v>8590</v>
      </c>
      <c r="U3039" t="s">
        <v>8590</v>
      </c>
      <c r="V3039" t="s">
        <v>8590</v>
      </c>
      <c r="W3039">
        <v>2</v>
      </c>
      <c r="X3039" t="s">
        <v>11629</v>
      </c>
      <c r="Y3039">
        <v>0.68124610278227515</v>
      </c>
      <c r="Z3039" t="str">
        <f>HYPERLINK("Melting_Curves/meltCurve_sp_Q9H3N1_TMX1_HUMAN_.pdf", "Melting_Curves/meltCurve_sp_Q9H3N1_TMX1_HUMAN_.pdf")</f>
        <v>Melting_Curves/meltCurve_sp_Q9H3N1_TMX1_HUMAN_.pdf</v>
      </c>
      <c r="AA3039" t="s">
        <v>15878</v>
      </c>
      <c r="AB3039" t="s">
        <v>20123</v>
      </c>
    </row>
    <row r="3040" spans="1:28" x14ac:dyDescent="0.25">
      <c r="A3040" t="s">
        <v>3044</v>
      </c>
      <c r="B3040">
        <v>0.99876560204751996</v>
      </c>
      <c r="C3040">
        <v>0.98736254476357299</v>
      </c>
      <c r="D3040">
        <v>1.06451235110624</v>
      </c>
      <c r="E3040">
        <v>0.89470790636872</v>
      </c>
      <c r="F3040">
        <v>0.85098318849986399</v>
      </c>
      <c r="G3040">
        <v>0.61639385927521495</v>
      </c>
      <c r="H3040">
        <v>0.52490867670991903</v>
      </c>
      <c r="I3040">
        <v>0.51483110569809298</v>
      </c>
      <c r="J3040">
        <v>0.64418302459596499</v>
      </c>
      <c r="K3040">
        <v>0.61645970198724598</v>
      </c>
      <c r="L3040">
        <v>1659.7070158482099</v>
      </c>
      <c r="M3040">
        <v>31.007594991108</v>
      </c>
      <c r="O3040">
        <v>53.304670951019602</v>
      </c>
      <c r="P3040">
        <v>-6.2294373454146901E-2</v>
      </c>
      <c r="Q3040">
        <v>0.57164531959647802</v>
      </c>
      <c r="R3040">
        <v>0.94070811663791698</v>
      </c>
      <c r="S3040" t="s">
        <v>7336</v>
      </c>
      <c r="T3040" t="s">
        <v>8590</v>
      </c>
      <c r="U3040" t="s">
        <v>8590</v>
      </c>
      <c r="V3040" t="s">
        <v>8590</v>
      </c>
      <c r="W3040">
        <v>6</v>
      </c>
      <c r="X3040" t="s">
        <v>11630</v>
      </c>
      <c r="Y3040">
        <v>0.7673966571940728</v>
      </c>
      <c r="Z3040" t="str">
        <f>HYPERLINK("Melting_Curves/meltCurve_sp_Q9H3P2_NELFA_HUMAN_.pdf", "Melting_Curves/meltCurve_sp_Q9H3P2_NELFA_HUMAN_.pdf")</f>
        <v>Melting_Curves/meltCurve_sp_Q9H3P2_NELFA_HUMAN_.pdf</v>
      </c>
      <c r="AA3040" t="s">
        <v>15879</v>
      </c>
      <c r="AB3040" t="s">
        <v>20124</v>
      </c>
    </row>
    <row r="3041" spans="1:28" x14ac:dyDescent="0.25">
      <c r="A3041" t="s">
        <v>3045</v>
      </c>
      <c r="B3041">
        <v>0.99876560204751996</v>
      </c>
      <c r="C3041">
        <v>0.96925288341293303</v>
      </c>
      <c r="D3041">
        <v>0.93876348477154503</v>
      </c>
      <c r="E3041">
        <v>0.79813157050984396</v>
      </c>
      <c r="F3041">
        <v>0.69286001004142195</v>
      </c>
      <c r="G3041">
        <v>0.476571916105402</v>
      </c>
      <c r="H3041">
        <v>0.41298147162865101</v>
      </c>
      <c r="I3041">
        <v>0.36256027785579598</v>
      </c>
      <c r="J3041">
        <v>0.38590463170120198</v>
      </c>
      <c r="K3041">
        <v>0.42828432095843</v>
      </c>
      <c r="L3041">
        <v>927.00927573721697</v>
      </c>
      <c r="M3041">
        <v>17.685191265637702</v>
      </c>
      <c r="N3041">
        <v>56.8542734688072</v>
      </c>
      <c r="O3041">
        <v>51.760836918790801</v>
      </c>
      <c r="P3041">
        <v>-5.3454393390110599E-2</v>
      </c>
      <c r="Q3041">
        <v>0.374234008112241</v>
      </c>
      <c r="R3041">
        <v>0.99032148446058199</v>
      </c>
      <c r="S3041" t="s">
        <v>7337</v>
      </c>
      <c r="T3041" t="s">
        <v>8590</v>
      </c>
      <c r="U3041" t="s">
        <v>8590</v>
      </c>
      <c r="V3041" t="s">
        <v>8590</v>
      </c>
      <c r="W3041">
        <v>4</v>
      </c>
      <c r="X3041" t="s">
        <v>11631</v>
      </c>
      <c r="Y3041">
        <v>0.64390042001935899</v>
      </c>
      <c r="Z3041" t="str">
        <f>HYPERLINK("Melting_Curves/meltCurve_sp_Q9H3P7_GCP60_HUMAN_.pdf", "Melting_Curves/meltCurve_sp_Q9H3P7_GCP60_HUMAN_.pdf")</f>
        <v>Melting_Curves/meltCurve_sp_Q9H3P7_GCP60_HUMAN_.pdf</v>
      </c>
      <c r="AA3041" t="s">
        <v>15880</v>
      </c>
      <c r="AB3041" t="s">
        <v>20125</v>
      </c>
    </row>
    <row r="3042" spans="1:28" x14ac:dyDescent="0.25">
      <c r="A3042" t="s">
        <v>3046</v>
      </c>
      <c r="B3042">
        <v>0.99876560204751996</v>
      </c>
      <c r="C3042">
        <v>0.99521011721672603</v>
      </c>
      <c r="D3042">
        <v>0.99982422372046997</v>
      </c>
      <c r="E3042">
        <v>0.990075153532187</v>
      </c>
      <c r="F3042">
        <v>0.82836095834901802</v>
      </c>
      <c r="G3042">
        <v>0.543379345313447</v>
      </c>
      <c r="H3042">
        <v>0.48883018255599497</v>
      </c>
      <c r="I3042">
        <v>0.44320514177168402</v>
      </c>
      <c r="J3042">
        <v>0.58672024627772701</v>
      </c>
      <c r="K3042">
        <v>0.53190103589239901</v>
      </c>
      <c r="L3042">
        <v>2655.4123528508098</v>
      </c>
      <c r="M3042">
        <v>49.486501370276997</v>
      </c>
      <c r="O3042">
        <v>53.571918862972304</v>
      </c>
      <c r="P3042">
        <v>-0.112382333242582</v>
      </c>
      <c r="Q3042">
        <v>0.51335966523059595</v>
      </c>
      <c r="R3042">
        <v>0.97837763106570697</v>
      </c>
      <c r="S3042" t="s">
        <v>7338</v>
      </c>
      <c r="T3042" t="s">
        <v>8590</v>
      </c>
      <c r="U3042" t="s">
        <v>8590</v>
      </c>
      <c r="V3042" t="s">
        <v>8590</v>
      </c>
      <c r="W3042">
        <v>3</v>
      </c>
      <c r="X3042" t="s">
        <v>11632</v>
      </c>
      <c r="Y3042">
        <v>0.73610802176066392</v>
      </c>
      <c r="Z3042" t="str">
        <f>HYPERLINK("Melting_Curves/meltCurve_sp_Q9H3Q1_BORG4_HUMAN_.pdf", "Melting_Curves/meltCurve_sp_Q9H3Q1_BORG4_HUMAN_.pdf")</f>
        <v>Melting_Curves/meltCurve_sp_Q9H3Q1_BORG4_HUMAN_.pdf</v>
      </c>
      <c r="AA3042" t="s">
        <v>15881</v>
      </c>
      <c r="AB3042" t="s">
        <v>20126</v>
      </c>
    </row>
    <row r="3043" spans="1:28" x14ac:dyDescent="0.25">
      <c r="A3043" t="s">
        <v>3047</v>
      </c>
      <c r="B3043">
        <v>0.99876560204751996</v>
      </c>
      <c r="C3043">
        <v>0.95386169412450506</v>
      </c>
      <c r="D3043">
        <v>0.90330430561479302</v>
      </c>
      <c r="E3043">
        <v>0.86175171460822197</v>
      </c>
      <c r="F3043">
        <v>0.50968555162580498</v>
      </c>
      <c r="G3043">
        <v>0.225917739124011</v>
      </c>
      <c r="H3043">
        <v>0.12646155053791</v>
      </c>
      <c r="I3043">
        <v>9.1034092513548007E-2</v>
      </c>
      <c r="J3043">
        <v>7.8735921743718296E-2</v>
      </c>
      <c r="K3043">
        <v>5.3127041214268797E-2</v>
      </c>
      <c r="L3043">
        <v>1221.31075144957</v>
      </c>
      <c r="M3043">
        <v>23.0366190070234</v>
      </c>
      <c r="N3043">
        <v>53.355812593203801</v>
      </c>
      <c r="O3043">
        <v>52.621425585203298</v>
      </c>
      <c r="P3043">
        <v>-0.101980257034822</v>
      </c>
      <c r="Q3043">
        <v>6.82236115321187E-2</v>
      </c>
      <c r="R3043">
        <v>0.99322654698116397</v>
      </c>
      <c r="S3043" t="s">
        <v>7339</v>
      </c>
      <c r="T3043" t="s">
        <v>8590</v>
      </c>
      <c r="U3043" t="s">
        <v>8590</v>
      </c>
      <c r="V3043" t="s">
        <v>8590</v>
      </c>
      <c r="W3043">
        <v>21</v>
      </c>
      <c r="X3043" t="s">
        <v>11633</v>
      </c>
      <c r="Y3043">
        <v>0.48247436015272882</v>
      </c>
      <c r="Z3043" t="str">
        <f>HYPERLINK("Melting_Curves/meltCurve_sp_Q9H3S7_PTN23_HUMAN_.pdf", "Melting_Curves/meltCurve_sp_Q9H3S7_PTN23_HUMAN_.pdf")</f>
        <v>Melting_Curves/meltCurve_sp_Q9H3S7_PTN23_HUMAN_.pdf</v>
      </c>
      <c r="AA3043" t="s">
        <v>15882</v>
      </c>
      <c r="AB3043" t="s">
        <v>20127</v>
      </c>
    </row>
    <row r="3044" spans="1:28" x14ac:dyDescent="0.25">
      <c r="A3044" t="s">
        <v>3048</v>
      </c>
      <c r="B3044">
        <v>0.99876560204751996</v>
      </c>
      <c r="C3044">
        <v>0.964526745183791</v>
      </c>
      <c r="D3044">
        <v>0.89357948228823303</v>
      </c>
      <c r="E3044">
        <v>0.43041518116209299</v>
      </c>
      <c r="F3044">
        <v>0.21817052124328301</v>
      </c>
      <c r="G3044">
        <v>0.13541295449965099</v>
      </c>
      <c r="H3044">
        <v>8.7578756168133307E-2</v>
      </c>
      <c r="I3044">
        <v>7.37022774144237E-2</v>
      </c>
      <c r="J3044">
        <v>7.46138055716392E-2</v>
      </c>
      <c r="K3044">
        <v>7.5679809530057707E-2</v>
      </c>
      <c r="L3044">
        <v>1286.5806695359099</v>
      </c>
      <c r="M3044">
        <v>26.143438974314499</v>
      </c>
      <c r="N3044">
        <v>49.556107250438501</v>
      </c>
      <c r="O3044">
        <v>48.927140298657697</v>
      </c>
      <c r="P3044">
        <v>-0.122507863463065</v>
      </c>
      <c r="Q3044">
        <v>8.2922192233442202E-2</v>
      </c>
      <c r="R3044">
        <v>0.99846697779104998</v>
      </c>
      <c r="S3044" t="s">
        <v>7340</v>
      </c>
      <c r="T3044" t="s">
        <v>8590</v>
      </c>
      <c r="U3044" t="s">
        <v>8590</v>
      </c>
      <c r="V3044" t="s">
        <v>8590</v>
      </c>
      <c r="W3044">
        <v>18</v>
      </c>
      <c r="X3044" t="s">
        <v>11634</v>
      </c>
      <c r="Y3044">
        <v>0.37196348371099869</v>
      </c>
      <c r="Z3044" t="str">
        <f>HYPERLINK("Melting_Curves/meltCurve_sp_Q9H3U1_2_UN45A_HUMAN_.pdf", "Melting_Curves/meltCurve_sp_Q9H3U1_2_UN45A_HUMAN_.pdf")</f>
        <v>Melting_Curves/meltCurve_sp_Q9H3U1_2_UN45A_HUMAN_.pdf</v>
      </c>
      <c r="AA3044" t="s">
        <v>15883</v>
      </c>
      <c r="AB3044" t="s">
        <v>20128</v>
      </c>
    </row>
    <row r="3045" spans="1:28" x14ac:dyDescent="0.25">
      <c r="A3045" t="s">
        <v>3049</v>
      </c>
      <c r="B3045">
        <v>0.99876560204751996</v>
      </c>
      <c r="C3045">
        <v>0.91831146876244796</v>
      </c>
      <c r="D3045">
        <v>1.0030530854108199</v>
      </c>
      <c r="E3045">
        <v>0.90434380644905399</v>
      </c>
      <c r="F3045">
        <v>0.956163160994423</v>
      </c>
      <c r="G3045">
        <v>0.82059119244573697</v>
      </c>
      <c r="H3045">
        <v>0.734519563131246</v>
      </c>
      <c r="I3045">
        <v>0.92235625373144203</v>
      </c>
      <c r="J3045">
        <v>1.1339124267810201</v>
      </c>
      <c r="K3045">
        <v>1.1820581779889501</v>
      </c>
      <c r="L3045">
        <v>15000</v>
      </c>
      <c r="M3045">
        <v>224.90224694153201</v>
      </c>
      <c r="O3045">
        <v>66.690379427926899</v>
      </c>
      <c r="P3045">
        <v>0.15350802790578999</v>
      </c>
      <c r="Q3045">
        <v>1.1820792316075299</v>
      </c>
      <c r="R3045">
        <v>0.206629718081831</v>
      </c>
      <c r="S3045" t="s">
        <v>7341</v>
      </c>
      <c r="T3045" t="s">
        <v>8590</v>
      </c>
      <c r="U3045" t="s">
        <v>8590</v>
      </c>
      <c r="V3045" t="s">
        <v>8590</v>
      </c>
      <c r="W3045">
        <v>9</v>
      </c>
      <c r="X3045" t="s">
        <v>11635</v>
      </c>
      <c r="Y3045">
        <v>1.020028871959368</v>
      </c>
      <c r="Z3045" t="str">
        <f>HYPERLINK("Melting_Curves/meltCurve_sp_Q9H444_CHM4B_HUMAN_.pdf", "Melting_Curves/meltCurve_sp_Q9H444_CHM4B_HUMAN_.pdf")</f>
        <v>Melting_Curves/meltCurve_sp_Q9H444_CHM4B_HUMAN_.pdf</v>
      </c>
      <c r="AA3045" t="s">
        <v>15884</v>
      </c>
      <c r="AB3045" t="s">
        <v>20129</v>
      </c>
    </row>
    <row r="3046" spans="1:28" x14ac:dyDescent="0.25">
      <c r="A3046" t="s">
        <v>3050</v>
      </c>
      <c r="B3046">
        <v>0.99876560204751996</v>
      </c>
      <c r="C3046">
        <v>0.96665833288081404</v>
      </c>
      <c r="D3046">
        <v>1.0175437505503999</v>
      </c>
      <c r="E3046">
        <v>1.0053857896210401</v>
      </c>
      <c r="F3046">
        <v>0.98195323421059499</v>
      </c>
      <c r="G3046">
        <v>0.85001860933769702</v>
      </c>
      <c r="H3046">
        <v>0.77297280677859503</v>
      </c>
      <c r="I3046">
        <v>0.81865137386527598</v>
      </c>
      <c r="J3046">
        <v>1.1227912368587301</v>
      </c>
      <c r="K3046">
        <v>1.05239312061265</v>
      </c>
      <c r="L3046">
        <v>13312.4105889232</v>
      </c>
      <c r="M3046">
        <v>250</v>
      </c>
      <c r="O3046">
        <v>53.246234747497503</v>
      </c>
      <c r="P3046">
        <v>-8.9953038334208701E-2</v>
      </c>
      <c r="Q3046">
        <v>0.92336543058614595</v>
      </c>
      <c r="R3046">
        <v>0.11549717443243</v>
      </c>
      <c r="S3046" t="s">
        <v>7342</v>
      </c>
      <c r="T3046" t="s">
        <v>8590</v>
      </c>
      <c r="U3046" t="s">
        <v>8590</v>
      </c>
      <c r="V3046" t="s">
        <v>8590</v>
      </c>
      <c r="W3046">
        <v>7</v>
      </c>
      <c r="X3046" t="s">
        <v>11636</v>
      </c>
      <c r="Y3046">
        <v>0.95721861348962833</v>
      </c>
      <c r="Z3046" t="str">
        <f>HYPERLINK("Melting_Curves/meltCurve_sp_Q9H477_RBSK_HUMAN_.pdf", "Melting_Curves/meltCurve_sp_Q9H477_RBSK_HUMAN_.pdf")</f>
        <v>Melting_Curves/meltCurve_sp_Q9H477_RBSK_HUMAN_.pdf</v>
      </c>
      <c r="AA3046" t="s">
        <v>15885</v>
      </c>
      <c r="AB3046" t="s">
        <v>20130</v>
      </c>
    </row>
    <row r="3047" spans="1:28" x14ac:dyDescent="0.25">
      <c r="A3047" t="s">
        <v>3051</v>
      </c>
      <c r="B3047">
        <v>0.99876560204751996</v>
      </c>
      <c r="C3047">
        <v>0.94730275573256395</v>
      </c>
      <c r="D3047">
        <v>1.01137748926584</v>
      </c>
      <c r="E3047">
        <v>0.85691197304654598</v>
      </c>
      <c r="F3047">
        <v>0.72128201440437101</v>
      </c>
      <c r="G3047">
        <v>0.28554147946069203</v>
      </c>
      <c r="H3047">
        <v>0.104289815351072</v>
      </c>
      <c r="I3047">
        <v>7.1556051028872802E-2</v>
      </c>
      <c r="J3047">
        <v>6.8105184000678803E-2</v>
      </c>
      <c r="K3047">
        <v>4.6533933194394798E-2</v>
      </c>
      <c r="L3047">
        <v>1310.77926936056</v>
      </c>
      <c r="M3047">
        <v>24.0051718998624</v>
      </c>
      <c r="N3047">
        <v>54.810238257055097</v>
      </c>
      <c r="O3047">
        <v>54.229333628594802</v>
      </c>
      <c r="P3047">
        <v>-0.105888661193029</v>
      </c>
      <c r="Q3047">
        <v>4.3176082418933698E-2</v>
      </c>
      <c r="R3047">
        <v>0.995761608128375</v>
      </c>
      <c r="S3047" t="s">
        <v>7343</v>
      </c>
      <c r="T3047" t="s">
        <v>8590</v>
      </c>
      <c r="U3047" t="s">
        <v>8590</v>
      </c>
      <c r="V3047" t="s">
        <v>8590</v>
      </c>
      <c r="W3047">
        <v>13</v>
      </c>
      <c r="X3047" t="s">
        <v>11637</v>
      </c>
      <c r="Y3047">
        <v>0.5184763444052406</v>
      </c>
      <c r="Z3047" t="str">
        <f>HYPERLINK("Melting_Curves/meltCurve_sp_Q9H479_FN3K_HUMAN_.pdf", "Melting_Curves/meltCurve_sp_Q9H479_FN3K_HUMAN_.pdf")</f>
        <v>Melting_Curves/meltCurve_sp_Q9H479_FN3K_HUMAN_.pdf</v>
      </c>
      <c r="AA3047" t="s">
        <v>15886</v>
      </c>
      <c r="AB3047" t="s">
        <v>20131</v>
      </c>
    </row>
    <row r="3048" spans="1:28" x14ac:dyDescent="0.25">
      <c r="A3048" t="s">
        <v>3052</v>
      </c>
      <c r="B3048">
        <v>0.99876560204751996</v>
      </c>
      <c r="C3048">
        <v>0.86884420845660104</v>
      </c>
      <c r="D3048">
        <v>0.93206125189114697</v>
      </c>
      <c r="E3048">
        <v>0.69382146243827403</v>
      </c>
      <c r="F3048">
        <v>0.35646310564396999</v>
      </c>
      <c r="G3048">
        <v>9.1954009379027202E-2</v>
      </c>
      <c r="H3048">
        <v>6.0068306104498197E-2</v>
      </c>
      <c r="I3048">
        <v>4.6210753346492398E-2</v>
      </c>
      <c r="J3048">
        <v>4.8775673764124103E-2</v>
      </c>
      <c r="K3048">
        <v>3.72179125545294E-2</v>
      </c>
      <c r="L3048">
        <v>1222.16706689222</v>
      </c>
      <c r="M3048">
        <v>23.7529380039119</v>
      </c>
      <c r="N3048">
        <v>51.602685482108299</v>
      </c>
      <c r="O3048">
        <v>51.092782892293798</v>
      </c>
      <c r="P3048">
        <v>-0.11236479958345801</v>
      </c>
      <c r="Q3048">
        <v>3.32254545044494E-2</v>
      </c>
      <c r="R3048">
        <v>0.98927183299613197</v>
      </c>
      <c r="S3048" t="s">
        <v>7344</v>
      </c>
      <c r="T3048" t="s">
        <v>8590</v>
      </c>
      <c r="U3048" t="s">
        <v>8590</v>
      </c>
      <c r="V3048" t="s">
        <v>8590</v>
      </c>
      <c r="W3048">
        <v>9</v>
      </c>
      <c r="X3048" t="s">
        <v>11638</v>
      </c>
      <c r="Y3048">
        <v>0.41200935483770518</v>
      </c>
      <c r="Z3048" t="str">
        <f>HYPERLINK("Melting_Curves/meltCurve_sp_Q9H488_OFUT1_HUMAN_.pdf", "Melting_Curves/meltCurve_sp_Q9H488_OFUT1_HUMAN_.pdf")</f>
        <v>Melting_Curves/meltCurve_sp_Q9H488_OFUT1_HUMAN_.pdf</v>
      </c>
      <c r="AA3048" t="s">
        <v>15887</v>
      </c>
      <c r="AB3048" t="s">
        <v>20132</v>
      </c>
    </row>
    <row r="3049" spans="1:28" x14ac:dyDescent="0.25">
      <c r="A3049" t="s">
        <v>3053</v>
      </c>
      <c r="B3049">
        <v>0.99876560204751996</v>
      </c>
      <c r="C3049">
        <v>0.93798023143228504</v>
      </c>
      <c r="D3049">
        <v>0.97765788616732296</v>
      </c>
      <c r="E3049">
        <v>0.85883769759093298</v>
      </c>
      <c r="F3049">
        <v>0.39950374501128499</v>
      </c>
      <c r="G3049">
        <v>0.114577635925419</v>
      </c>
      <c r="H3049">
        <v>7.3112092269364201E-2</v>
      </c>
      <c r="I3049">
        <v>5.9497319928932202E-2</v>
      </c>
      <c r="J3049">
        <v>6.0068498188086697E-2</v>
      </c>
      <c r="K3049">
        <v>4.7992058321817299E-2</v>
      </c>
      <c r="L3049">
        <v>1953.8819253627</v>
      </c>
      <c r="M3049">
        <v>37.409963284162899</v>
      </c>
      <c r="N3049">
        <v>52.412338479336199</v>
      </c>
      <c r="O3049">
        <v>52.0803273090199</v>
      </c>
      <c r="P3049">
        <v>-0.16856051489769</v>
      </c>
      <c r="Q3049">
        <v>6.1355244767624002E-2</v>
      </c>
      <c r="R3049">
        <v>0.99728948665207595</v>
      </c>
      <c r="S3049" t="s">
        <v>7345</v>
      </c>
      <c r="T3049" t="s">
        <v>8590</v>
      </c>
      <c r="U3049" t="s">
        <v>8590</v>
      </c>
      <c r="V3049" t="s">
        <v>8590</v>
      </c>
      <c r="W3049">
        <v>27</v>
      </c>
      <c r="X3049" t="s">
        <v>11639</v>
      </c>
      <c r="Y3049">
        <v>0.44784974641174929</v>
      </c>
      <c r="Z3049" t="str">
        <f>HYPERLINK("Melting_Curves/meltCurve_sp_Q9H4A4_AMPB_HUMAN_.pdf", "Melting_Curves/meltCurve_sp_Q9H4A4_AMPB_HUMAN_.pdf")</f>
        <v>Melting_Curves/meltCurve_sp_Q9H4A4_AMPB_HUMAN_.pdf</v>
      </c>
      <c r="AA3049" t="s">
        <v>15888</v>
      </c>
      <c r="AB3049" t="s">
        <v>20133</v>
      </c>
    </row>
    <row r="3050" spans="1:28" x14ac:dyDescent="0.25">
      <c r="A3050" t="s">
        <v>3054</v>
      </c>
      <c r="B3050">
        <v>0.99876560204751996</v>
      </c>
      <c r="C3050">
        <v>0.99919725420301098</v>
      </c>
      <c r="D3050">
        <v>1.0106810088297</v>
      </c>
      <c r="E3050">
        <v>0.84871208460611303</v>
      </c>
      <c r="F3050">
        <v>0.51816678662410698</v>
      </c>
      <c r="G3050">
        <v>0.199429157855048</v>
      </c>
      <c r="H3050">
        <v>0.13216160917934799</v>
      </c>
      <c r="I3050">
        <v>9.8249088543541599E-2</v>
      </c>
      <c r="J3050">
        <v>0.105344792358169</v>
      </c>
      <c r="K3050">
        <v>7.6345811618336396E-2</v>
      </c>
      <c r="L3050">
        <v>1500.5847183472499</v>
      </c>
      <c r="M3050">
        <v>28.4217820384406</v>
      </c>
      <c r="N3050">
        <v>53.196984245646597</v>
      </c>
      <c r="O3050">
        <v>52.537698238930297</v>
      </c>
      <c r="P3050">
        <v>-0.122234358804093</v>
      </c>
      <c r="Q3050">
        <v>9.6205888910378998E-2</v>
      </c>
      <c r="R3050">
        <v>0.99912718625640795</v>
      </c>
      <c r="S3050" t="s">
        <v>7346</v>
      </c>
      <c r="T3050" t="s">
        <v>8590</v>
      </c>
      <c r="U3050" t="s">
        <v>8590</v>
      </c>
      <c r="V3050" t="s">
        <v>8590</v>
      </c>
      <c r="W3050">
        <v>4</v>
      </c>
      <c r="X3050" t="s">
        <v>11640</v>
      </c>
      <c r="Y3050">
        <v>0.48822995170092548</v>
      </c>
      <c r="Z3050" t="str">
        <f>HYPERLINK("Melting_Curves/meltCurve_sp_Q9H4A6_GOLP3_HUMAN_.pdf", "Melting_Curves/meltCurve_sp_Q9H4A6_GOLP3_HUMAN_.pdf")</f>
        <v>Melting_Curves/meltCurve_sp_Q9H4A6_GOLP3_HUMAN_.pdf</v>
      </c>
      <c r="AA3050" t="s">
        <v>15889</v>
      </c>
      <c r="AB3050" t="s">
        <v>20134</v>
      </c>
    </row>
    <row r="3051" spans="1:28" x14ac:dyDescent="0.25">
      <c r="A3051" t="s">
        <v>3055</v>
      </c>
      <c r="B3051">
        <v>0.99876560204751996</v>
      </c>
      <c r="C3051">
        <v>0.94821149474470201</v>
      </c>
      <c r="D3051">
        <v>0.81896191643277305</v>
      </c>
      <c r="E3051">
        <v>0.56298763320491296</v>
      </c>
      <c r="F3051">
        <v>0.29353015324957799</v>
      </c>
      <c r="G3051">
        <v>0.233816080245352</v>
      </c>
      <c r="H3051">
        <v>0.11531952067135499</v>
      </c>
      <c r="I3051">
        <v>0.14220567736894901</v>
      </c>
      <c r="J3051">
        <v>0.103534292573665</v>
      </c>
      <c r="K3051">
        <v>0.1018557729756</v>
      </c>
      <c r="L3051">
        <v>868.54161648673596</v>
      </c>
      <c r="M3051">
        <v>17.4346765102643</v>
      </c>
      <c r="N3051">
        <v>50.483352203505603</v>
      </c>
      <c r="O3051">
        <v>49.175373875258899</v>
      </c>
      <c r="P3051">
        <v>-7.9528224329976499E-2</v>
      </c>
      <c r="Q3051">
        <v>0.102796921436919</v>
      </c>
      <c r="R3051">
        <v>0.99548288008855201</v>
      </c>
      <c r="S3051" t="s">
        <v>7347</v>
      </c>
      <c r="T3051" t="s">
        <v>8590</v>
      </c>
      <c r="U3051" t="s">
        <v>8590</v>
      </c>
      <c r="V3051" t="s">
        <v>8590</v>
      </c>
      <c r="W3051">
        <v>4</v>
      </c>
      <c r="X3051" t="s">
        <v>11641</v>
      </c>
      <c r="Y3051">
        <v>0.4126894133470837</v>
      </c>
      <c r="Z3051" t="str">
        <f>HYPERLINK("Melting_Curves/meltCurve_sp_Q9H4B0_OSGP2_HUMAN_.pdf", "Melting_Curves/meltCurve_sp_Q9H4B0_OSGP2_HUMAN_.pdf")</f>
        <v>Melting_Curves/meltCurve_sp_Q9H4B0_OSGP2_HUMAN_.pdf</v>
      </c>
      <c r="AA3051" t="s">
        <v>15890</v>
      </c>
      <c r="AB3051" t="s">
        <v>20135</v>
      </c>
    </row>
    <row r="3052" spans="1:28" x14ac:dyDescent="0.25">
      <c r="A3052" t="s">
        <v>3056</v>
      </c>
      <c r="B3052">
        <v>0.99876560204751996</v>
      </c>
      <c r="C3052">
        <v>0.946585018039524</v>
      </c>
      <c r="D3052">
        <v>0.85808146365664995</v>
      </c>
      <c r="E3052">
        <v>0.83622583418892704</v>
      </c>
      <c r="F3052">
        <v>0.81048693653455395</v>
      </c>
      <c r="G3052">
        <v>0.68082748940411597</v>
      </c>
      <c r="H3052">
        <v>0.56581712973842302</v>
      </c>
      <c r="I3052">
        <v>0.60497559970220505</v>
      </c>
      <c r="J3052">
        <v>0.63506073533187501</v>
      </c>
      <c r="K3052">
        <v>0.53801668593136798</v>
      </c>
      <c r="L3052">
        <v>464.50168265826198</v>
      </c>
      <c r="M3052">
        <v>8.6720769520049892</v>
      </c>
      <c r="O3052">
        <v>50.943274965038697</v>
      </c>
      <c r="P3052">
        <v>-2.11843197871158E-2</v>
      </c>
      <c r="Q3052">
        <v>0.50263448628394303</v>
      </c>
      <c r="R3052">
        <v>0.94527714065643298</v>
      </c>
      <c r="S3052" t="s">
        <v>7348</v>
      </c>
      <c r="T3052" t="s">
        <v>8590</v>
      </c>
      <c r="U3052" t="s">
        <v>8590</v>
      </c>
      <c r="V3052" t="s">
        <v>8590</v>
      </c>
      <c r="W3052">
        <v>5</v>
      </c>
      <c r="X3052" t="s">
        <v>11642</v>
      </c>
      <c r="Y3052">
        <v>0.74507045491231672</v>
      </c>
      <c r="Z3052" t="str">
        <f>HYPERLINK("Melting_Curves/meltCurve_sp_Q9H4I2_ZHX3_HUMAN_.pdf", "Melting_Curves/meltCurve_sp_Q9H4I2_ZHX3_HUMAN_.pdf")</f>
        <v>Melting_Curves/meltCurve_sp_Q9H4I2_ZHX3_HUMAN_.pdf</v>
      </c>
      <c r="AA3052" t="s">
        <v>15891</v>
      </c>
      <c r="AB3052" t="s">
        <v>20136</v>
      </c>
    </row>
    <row r="3053" spans="1:28" x14ac:dyDescent="0.25">
      <c r="A3053" t="s">
        <v>3057</v>
      </c>
      <c r="B3053">
        <v>0.99876560204751996</v>
      </c>
      <c r="C3053">
        <v>0.96887014154435702</v>
      </c>
      <c r="D3053">
        <v>0.83884783794061402</v>
      </c>
      <c r="E3053">
        <v>0.82164461644743803</v>
      </c>
      <c r="F3053">
        <v>0.74133264217225303</v>
      </c>
      <c r="G3053">
        <v>0.57860237810021498</v>
      </c>
      <c r="H3053">
        <v>0.47726091009896299</v>
      </c>
      <c r="I3053">
        <v>0.499195792778726</v>
      </c>
      <c r="J3053">
        <v>0.65186745605879204</v>
      </c>
      <c r="K3053">
        <v>0.48191392307231101</v>
      </c>
      <c r="L3053">
        <v>652.62201704846996</v>
      </c>
      <c r="M3053">
        <v>12.744230723984201</v>
      </c>
      <c r="O3053">
        <v>49.997459199433699</v>
      </c>
      <c r="P3053">
        <v>-3.1992763351564903E-2</v>
      </c>
      <c r="Q3053">
        <v>0.49804686486338401</v>
      </c>
      <c r="R3053">
        <v>0.90386195425307403</v>
      </c>
      <c r="S3053" t="s">
        <v>7349</v>
      </c>
      <c r="T3053" t="s">
        <v>8590</v>
      </c>
      <c r="U3053" t="s">
        <v>8590</v>
      </c>
      <c r="V3053" t="s">
        <v>8590</v>
      </c>
      <c r="W3053">
        <v>1</v>
      </c>
      <c r="X3053" t="s">
        <v>11643</v>
      </c>
      <c r="Y3053">
        <v>0.70042345058846156</v>
      </c>
      <c r="Z3053" t="str">
        <f>HYPERLINK("Melting_Curves/meltCurve_sp_Q9H4L7_SMRCD_HUMAN_.pdf", "Melting_Curves/meltCurve_sp_Q9H4L7_SMRCD_HUMAN_.pdf")</f>
        <v>Melting_Curves/meltCurve_sp_Q9H4L7_SMRCD_HUMAN_.pdf</v>
      </c>
      <c r="AA3053" t="s">
        <v>15892</v>
      </c>
      <c r="AB3053" t="s">
        <v>20137</v>
      </c>
    </row>
    <row r="3054" spans="1:28" x14ac:dyDescent="0.25">
      <c r="A3054" t="s">
        <v>3058</v>
      </c>
      <c r="B3054">
        <v>0.99876560204751996</v>
      </c>
      <c r="C3054">
        <v>0.95366068691734296</v>
      </c>
      <c r="D3054">
        <v>0.81143881705064302</v>
      </c>
      <c r="E3054">
        <v>0.63985623648725998</v>
      </c>
      <c r="F3054">
        <v>0.27224019445858499</v>
      </c>
      <c r="G3054">
        <v>0.19669258593959901</v>
      </c>
      <c r="H3054">
        <v>0.11919384663185401</v>
      </c>
      <c r="I3054">
        <v>8.1934063800866305E-2</v>
      </c>
      <c r="J3054">
        <v>6.0637693643774103E-2</v>
      </c>
      <c r="K3054">
        <v>5.4860094857704302E-2</v>
      </c>
      <c r="L3054">
        <v>864.97914699317596</v>
      </c>
      <c r="M3054">
        <v>17.126345472284701</v>
      </c>
      <c r="N3054">
        <v>50.849442040959197</v>
      </c>
      <c r="O3054">
        <v>49.832255992899597</v>
      </c>
      <c r="P3054">
        <v>-8.1229133892088898E-2</v>
      </c>
      <c r="Q3054">
        <v>5.4652296535000297E-2</v>
      </c>
      <c r="R3054">
        <v>0.99018226091317996</v>
      </c>
      <c r="S3054" t="s">
        <v>7350</v>
      </c>
      <c r="T3054" t="s">
        <v>8590</v>
      </c>
      <c r="U3054" t="s">
        <v>8590</v>
      </c>
      <c r="V3054" t="s">
        <v>8590</v>
      </c>
      <c r="W3054">
        <v>14</v>
      </c>
      <c r="X3054" t="s">
        <v>11644</v>
      </c>
      <c r="Y3054">
        <v>0.40325737261703548</v>
      </c>
      <c r="Z3054" t="str">
        <f>HYPERLINK("Melting_Curves/meltCurve_sp_Q9H4M9_EHD1_HUMAN_.pdf", "Melting_Curves/meltCurve_sp_Q9H4M9_EHD1_HUMAN_.pdf")</f>
        <v>Melting_Curves/meltCurve_sp_Q9H4M9_EHD1_HUMAN_.pdf</v>
      </c>
      <c r="AA3054" t="s">
        <v>15893</v>
      </c>
      <c r="AB3054" t="s">
        <v>20138</v>
      </c>
    </row>
    <row r="3055" spans="1:28" x14ac:dyDescent="0.25">
      <c r="A3055" t="s">
        <v>3059</v>
      </c>
      <c r="B3055">
        <v>0.99876560204751996</v>
      </c>
      <c r="C3055">
        <v>0.93581261402798099</v>
      </c>
      <c r="D3055">
        <v>0</v>
      </c>
      <c r="E3055">
        <v>0.66726284095385302</v>
      </c>
      <c r="F3055">
        <v>0.51869060703737602</v>
      </c>
      <c r="G3055">
        <v>0.336125650198418</v>
      </c>
      <c r="H3055">
        <v>0.31529604126980898</v>
      </c>
      <c r="I3055">
        <v>0.32204224209733801</v>
      </c>
      <c r="J3055">
        <v>0.37722057732811198</v>
      </c>
      <c r="K3055">
        <v>0.27081081011688701</v>
      </c>
      <c r="L3055">
        <v>10819.7909196319</v>
      </c>
      <c r="M3055">
        <v>250</v>
      </c>
      <c r="N3055">
        <v>43.489690193048403</v>
      </c>
      <c r="O3055">
        <v>43.276397190987701</v>
      </c>
      <c r="P3055">
        <v>-0.93738878220238497</v>
      </c>
      <c r="Q3055">
        <v>0.35093109890639901</v>
      </c>
      <c r="R3055">
        <v>0.70044387569099198</v>
      </c>
      <c r="S3055" t="s">
        <v>7351</v>
      </c>
      <c r="T3055" t="s">
        <v>8590</v>
      </c>
      <c r="U3055" t="s">
        <v>8590</v>
      </c>
      <c r="V3055" t="s">
        <v>8590</v>
      </c>
      <c r="W3055">
        <v>3</v>
      </c>
      <c r="X3055" t="s">
        <v>11645</v>
      </c>
      <c r="Y3055">
        <v>0.42192717063520591</v>
      </c>
      <c r="Z3055" t="str">
        <f>HYPERLINK("Melting_Curves/meltCurve_sp_Q9H4Z3_PCIF1_HUMAN_.pdf", "Melting_Curves/meltCurve_sp_Q9H4Z3_PCIF1_HUMAN_.pdf")</f>
        <v>Melting_Curves/meltCurve_sp_Q9H4Z3_PCIF1_HUMAN_.pdf</v>
      </c>
      <c r="AA3055" t="s">
        <v>15894</v>
      </c>
      <c r="AB3055" t="s">
        <v>20139</v>
      </c>
    </row>
    <row r="3056" spans="1:28" x14ac:dyDescent="0.25">
      <c r="A3056" t="s">
        <v>3060</v>
      </c>
      <c r="B3056">
        <v>0.99876560204751996</v>
      </c>
      <c r="C3056">
        <v>1.03985707684497</v>
      </c>
      <c r="D3056">
        <v>0.98058867112437098</v>
      </c>
      <c r="E3056">
        <v>0.84971629685596495</v>
      </c>
      <c r="F3056">
        <v>0.72570955005710502</v>
      </c>
      <c r="G3056">
        <v>0.50681890270678098</v>
      </c>
      <c r="H3056">
        <v>0.464225699773119</v>
      </c>
      <c r="I3056">
        <v>0.44804314633165898</v>
      </c>
      <c r="J3056">
        <v>0.54817890795344104</v>
      </c>
      <c r="K3056">
        <v>0.49356144183942002</v>
      </c>
      <c r="L3056">
        <v>1354.4338371935701</v>
      </c>
      <c r="M3056">
        <v>25.930922749203202</v>
      </c>
      <c r="N3056">
        <v>59.789455707138899</v>
      </c>
      <c r="O3056">
        <v>51.924711018424901</v>
      </c>
      <c r="P3056">
        <v>-6.4779808612516102E-2</v>
      </c>
      <c r="Q3056">
        <v>0.48113937399331402</v>
      </c>
      <c r="R3056">
        <v>0.97923454395627296</v>
      </c>
      <c r="S3056" t="s">
        <v>7352</v>
      </c>
      <c r="T3056" t="s">
        <v>8590</v>
      </c>
      <c r="U3056" t="s">
        <v>8590</v>
      </c>
      <c r="V3056" t="s">
        <v>8590</v>
      </c>
      <c r="W3056">
        <v>14</v>
      </c>
      <c r="X3056" t="s">
        <v>11646</v>
      </c>
      <c r="Y3056">
        <v>0.69712767765802897</v>
      </c>
      <c r="Z3056" t="str">
        <f>HYPERLINK("Melting_Curves/meltCurve_sp_Q9H5N1_RABE2_HUMAN_.pdf", "Melting_Curves/meltCurve_sp_Q9H5N1_RABE2_HUMAN_.pdf")</f>
        <v>Melting_Curves/meltCurve_sp_Q9H5N1_RABE2_HUMAN_.pdf</v>
      </c>
      <c r="AA3056" t="s">
        <v>15895</v>
      </c>
      <c r="AB3056" t="s">
        <v>20140</v>
      </c>
    </row>
    <row r="3057" spans="1:28" x14ac:dyDescent="0.25">
      <c r="A3057" t="s">
        <v>3061</v>
      </c>
      <c r="B3057">
        <v>0.99876560204751996</v>
      </c>
      <c r="C3057">
        <v>0.98767593448438296</v>
      </c>
      <c r="D3057">
        <v>0.90853469142299004</v>
      </c>
      <c r="E3057">
        <v>0.61467019782879595</v>
      </c>
      <c r="F3057">
        <v>0.27919789578857801</v>
      </c>
      <c r="G3057">
        <v>0.114482234841234</v>
      </c>
      <c r="H3057">
        <v>5.5876297748596301E-2</v>
      </c>
      <c r="I3057">
        <v>4.3972001251383598E-2</v>
      </c>
      <c r="J3057">
        <v>4.0173215083953197E-2</v>
      </c>
      <c r="K3057">
        <v>4.6170779616598302E-2</v>
      </c>
      <c r="L3057">
        <v>1207.50972749824</v>
      </c>
      <c r="M3057">
        <v>23.809360349552598</v>
      </c>
      <c r="N3057">
        <v>50.895032315863702</v>
      </c>
      <c r="O3057">
        <v>50.362049869505498</v>
      </c>
      <c r="P3057">
        <v>-0.113438792160342</v>
      </c>
      <c r="Q3057">
        <v>4.0223303142439902E-2</v>
      </c>
      <c r="R3057">
        <v>0.99954514030185304</v>
      </c>
      <c r="S3057" t="s">
        <v>7353</v>
      </c>
      <c r="T3057" t="s">
        <v>8590</v>
      </c>
      <c r="U3057" t="s">
        <v>8590</v>
      </c>
      <c r="V3057" t="s">
        <v>8590</v>
      </c>
      <c r="W3057">
        <v>3</v>
      </c>
      <c r="X3057" t="s">
        <v>11647</v>
      </c>
      <c r="Y3057">
        <v>0.39256506916895728</v>
      </c>
      <c r="Z3057" t="str">
        <f>HYPERLINK("Melting_Curves/meltCurve_sp_Q9H5Q4_TFB2M_HUMAN_.pdf", "Melting_Curves/meltCurve_sp_Q9H5Q4_TFB2M_HUMAN_.pdf")</f>
        <v>Melting_Curves/meltCurve_sp_Q9H5Q4_TFB2M_HUMAN_.pdf</v>
      </c>
      <c r="AA3057" t="s">
        <v>15896</v>
      </c>
      <c r="AB3057" t="s">
        <v>20141</v>
      </c>
    </row>
    <row r="3058" spans="1:28" x14ac:dyDescent="0.25">
      <c r="A3058" t="s">
        <v>3062</v>
      </c>
      <c r="B3058">
        <v>0.99876560204751996</v>
      </c>
      <c r="C3058">
        <v>1.11663478600341</v>
      </c>
      <c r="D3058">
        <v>1.4347127104928801</v>
      </c>
      <c r="E3058">
        <v>1.06429558118455</v>
      </c>
      <c r="F3058">
        <v>1.1726727781390001</v>
      </c>
      <c r="G3058">
        <v>0.69875428849617205</v>
      </c>
      <c r="H3058">
        <v>0.754112624730363</v>
      </c>
      <c r="I3058">
        <v>0.60577904459073495</v>
      </c>
      <c r="J3058">
        <v>0.87333238976176997</v>
      </c>
      <c r="K3058">
        <v>0.75064629601994404</v>
      </c>
      <c r="L3058">
        <v>5263.4523073446999</v>
      </c>
      <c r="M3058">
        <v>95.149434802150594</v>
      </c>
      <c r="O3058">
        <v>55.293301810997001</v>
      </c>
      <c r="P3058">
        <v>-0.11415985750167</v>
      </c>
      <c r="Q3058">
        <v>0.73463730725855803</v>
      </c>
      <c r="R3058">
        <v>0.53303231493261605</v>
      </c>
      <c r="S3058" t="s">
        <v>7354</v>
      </c>
      <c r="T3058" t="s">
        <v>8590</v>
      </c>
      <c r="U3058" t="s">
        <v>8590</v>
      </c>
      <c r="V3058" t="s">
        <v>8590</v>
      </c>
      <c r="W3058">
        <v>3</v>
      </c>
      <c r="X3058" t="s">
        <v>11648</v>
      </c>
      <c r="Y3058">
        <v>0.87030733465672805</v>
      </c>
      <c r="Z3058" t="str">
        <f>HYPERLINK("Melting_Curves/meltCurve_sp_Q9H5V9_2_CX056_HUMAN_.pdf", "Melting_Curves/meltCurve_sp_Q9H5V9_2_CX056_HUMAN_.pdf")</f>
        <v>Melting_Curves/meltCurve_sp_Q9H5V9_2_CX056_HUMAN_.pdf</v>
      </c>
      <c r="AA3058" t="s">
        <v>15897</v>
      </c>
      <c r="AB3058" t="s">
        <v>20142</v>
      </c>
    </row>
    <row r="3059" spans="1:28" x14ac:dyDescent="0.25">
      <c r="A3059" t="s">
        <v>3063</v>
      </c>
      <c r="B3059">
        <v>0.99876560204751996</v>
      </c>
      <c r="C3059">
        <v>0.99528156774653098</v>
      </c>
      <c r="D3059">
        <v>0.98374718541894401</v>
      </c>
      <c r="E3059">
        <v>0.64737289218082605</v>
      </c>
      <c r="F3059">
        <v>0.36680097523877297</v>
      </c>
      <c r="G3059">
        <v>0.25409196951400498</v>
      </c>
      <c r="H3059">
        <v>0.13676571131989501</v>
      </c>
      <c r="I3059">
        <v>0.13349845462274201</v>
      </c>
      <c r="J3059">
        <v>5.12711135105616E-2</v>
      </c>
      <c r="K3059">
        <v>0.115258480590121</v>
      </c>
      <c r="L3059">
        <v>1132.7766079738899</v>
      </c>
      <c r="M3059">
        <v>22.1473528011079</v>
      </c>
      <c r="N3059">
        <v>51.718114576446801</v>
      </c>
      <c r="O3059">
        <v>50.735740011554299</v>
      </c>
      <c r="P3059">
        <v>-9.7299515022137503E-2</v>
      </c>
      <c r="Q3059">
        <v>0.10843399307554701</v>
      </c>
      <c r="R3059">
        <v>0.99185855461204597</v>
      </c>
      <c r="S3059" t="s">
        <v>7355</v>
      </c>
      <c r="T3059" t="s">
        <v>8590</v>
      </c>
      <c r="U3059" t="s">
        <v>8590</v>
      </c>
      <c r="V3059" t="s">
        <v>8590</v>
      </c>
      <c r="W3059">
        <v>1</v>
      </c>
      <c r="X3059" t="s">
        <v>11649</v>
      </c>
      <c r="Y3059">
        <v>0.44992246831604682</v>
      </c>
      <c r="Z3059" t="str">
        <f>HYPERLINK("Melting_Curves/meltCurve_sp_Q9H6E5_STPAP_HUMAN_.pdf", "Melting_Curves/meltCurve_sp_Q9H6E5_STPAP_HUMAN_.pdf")</f>
        <v>Melting_Curves/meltCurve_sp_Q9H6E5_STPAP_HUMAN_.pdf</v>
      </c>
      <c r="AA3059" t="s">
        <v>15898</v>
      </c>
      <c r="AB3059" t="s">
        <v>20143</v>
      </c>
    </row>
    <row r="3060" spans="1:28" x14ac:dyDescent="0.25">
      <c r="A3060" t="s">
        <v>3064</v>
      </c>
      <c r="B3060">
        <v>0.99876560204751996</v>
      </c>
      <c r="C3060">
        <v>1.0540346404754899</v>
      </c>
      <c r="D3060">
        <v>0.94807423887490505</v>
      </c>
      <c r="E3060">
        <v>0.77933794331896</v>
      </c>
      <c r="F3060">
        <v>0.507361897026124</v>
      </c>
      <c r="G3060">
        <v>0.30386822977719502</v>
      </c>
      <c r="H3060">
        <v>0.13747518226355199</v>
      </c>
      <c r="I3060">
        <v>0.12893308908398199</v>
      </c>
      <c r="J3060">
        <v>0.105304336066149</v>
      </c>
      <c r="K3060">
        <v>7.1967832956494199E-2</v>
      </c>
      <c r="L3060">
        <v>992.51056315857102</v>
      </c>
      <c r="M3060">
        <v>18.7508892078909</v>
      </c>
      <c r="N3060">
        <v>53.4382903953979</v>
      </c>
      <c r="O3060">
        <v>52.3403770168431</v>
      </c>
      <c r="P3060">
        <v>-8.2268802779075501E-2</v>
      </c>
      <c r="Q3060">
        <v>8.1473046548876493E-2</v>
      </c>
      <c r="R3060">
        <v>0.99533724976675297</v>
      </c>
      <c r="S3060" t="s">
        <v>7356</v>
      </c>
      <c r="T3060" t="s">
        <v>8590</v>
      </c>
      <c r="U3060" t="s">
        <v>8590</v>
      </c>
      <c r="V3060" t="s">
        <v>8590</v>
      </c>
      <c r="W3060">
        <v>5</v>
      </c>
      <c r="X3060" t="s">
        <v>11650</v>
      </c>
      <c r="Y3060">
        <v>0.49148959371056927</v>
      </c>
      <c r="Z3060" t="str">
        <f>HYPERLINK("Melting_Curves/meltCurve_sp_Q9H6Q4_NARFL_HUMAN_.pdf", "Melting_Curves/meltCurve_sp_Q9H6Q4_NARFL_HUMAN_.pdf")</f>
        <v>Melting_Curves/meltCurve_sp_Q9H6Q4_NARFL_HUMAN_.pdf</v>
      </c>
      <c r="AA3060" t="s">
        <v>15899</v>
      </c>
      <c r="AB3060" t="s">
        <v>20144</v>
      </c>
    </row>
    <row r="3061" spans="1:28" x14ac:dyDescent="0.25">
      <c r="A3061" t="s">
        <v>3065</v>
      </c>
      <c r="B3061">
        <v>0.99876560204751996</v>
      </c>
      <c r="C3061">
        <v>0.96691316126343796</v>
      </c>
      <c r="D3061">
        <v>0.97416585652016197</v>
      </c>
      <c r="E3061">
        <v>0.88038596028234195</v>
      </c>
      <c r="F3061">
        <v>0.58341334511892895</v>
      </c>
      <c r="G3061">
        <v>0.169563283352091</v>
      </c>
      <c r="H3061">
        <v>8.7663436704211006E-2</v>
      </c>
      <c r="I3061">
        <v>5.6002980154830101E-2</v>
      </c>
      <c r="J3061">
        <v>4.9395604816870199E-2</v>
      </c>
      <c r="K3061">
        <v>4.0444384275836097E-2</v>
      </c>
      <c r="L3061">
        <v>1536.69150307564</v>
      </c>
      <c r="M3061">
        <v>28.766728718097301</v>
      </c>
      <c r="N3061">
        <v>53.602303900824701</v>
      </c>
      <c r="O3061">
        <v>53.162897211798999</v>
      </c>
      <c r="P3061">
        <v>-0.12894214124553699</v>
      </c>
      <c r="Q3061">
        <v>4.68313243530699E-2</v>
      </c>
      <c r="R3061">
        <v>0.99897247719626603</v>
      </c>
      <c r="S3061" t="s">
        <v>7357</v>
      </c>
      <c r="T3061" t="s">
        <v>8590</v>
      </c>
      <c r="U3061" t="s">
        <v>8590</v>
      </c>
      <c r="V3061" t="s">
        <v>8590</v>
      </c>
      <c r="W3061">
        <v>30</v>
      </c>
      <c r="X3061" t="s">
        <v>11651</v>
      </c>
      <c r="Y3061">
        <v>0.47992916333005231</v>
      </c>
      <c r="Z3061" t="str">
        <f>HYPERLINK("Melting_Curves/meltCurve_sp_Q9H6R3_ACSS3_HUMAN_.pdf", "Melting_Curves/meltCurve_sp_Q9H6R3_ACSS3_HUMAN_.pdf")</f>
        <v>Melting_Curves/meltCurve_sp_Q9H6R3_ACSS3_HUMAN_.pdf</v>
      </c>
      <c r="AA3061" t="s">
        <v>15900</v>
      </c>
      <c r="AB3061" t="s">
        <v>20145</v>
      </c>
    </row>
    <row r="3062" spans="1:28" x14ac:dyDescent="0.25">
      <c r="A3062" t="s">
        <v>3066</v>
      </c>
      <c r="B3062">
        <v>0.99876560204751996</v>
      </c>
      <c r="C3062">
        <v>1.0096217221429999</v>
      </c>
      <c r="D3062">
        <v>1.0995360430277601</v>
      </c>
      <c r="E3062">
        <v>1.1140520975780901</v>
      </c>
      <c r="F3062">
        <v>1.5556248463261</v>
      </c>
      <c r="G3062">
        <v>1.16557410953925</v>
      </c>
      <c r="H3062">
        <v>0.71452026238229305</v>
      </c>
      <c r="I3062">
        <v>0.65986533050919405</v>
      </c>
      <c r="J3062">
        <v>0.67761703676510998</v>
      </c>
      <c r="K3062">
        <v>0.71169449197488099</v>
      </c>
      <c r="L3062">
        <v>15000</v>
      </c>
      <c r="M3062">
        <v>248.107037506343</v>
      </c>
      <c r="O3062">
        <v>60.453849059343298</v>
      </c>
      <c r="P3062">
        <v>-0.32518750731572899</v>
      </c>
      <c r="Q3062">
        <v>0.68305878528084196</v>
      </c>
      <c r="R3062">
        <v>0.50934300350903905</v>
      </c>
      <c r="S3062" t="s">
        <v>7358</v>
      </c>
      <c r="T3062" t="s">
        <v>8590</v>
      </c>
      <c r="U3062" t="s">
        <v>8590</v>
      </c>
      <c r="V3062" t="s">
        <v>8590</v>
      </c>
      <c r="W3062">
        <v>1</v>
      </c>
      <c r="X3062" t="s">
        <v>11652</v>
      </c>
      <c r="Y3062">
        <v>0.89922335414455934</v>
      </c>
      <c r="Z3062" t="str">
        <f>HYPERLINK("Melting_Curves/meltCurve_sp_Q9H6S0_YTDC2_HUMAN_.pdf", "Melting_Curves/meltCurve_sp_Q9H6S0_YTDC2_HUMAN_.pdf")</f>
        <v>Melting_Curves/meltCurve_sp_Q9H6S0_YTDC2_HUMAN_.pdf</v>
      </c>
      <c r="AA3062" t="s">
        <v>15901</v>
      </c>
      <c r="AB3062" t="s">
        <v>20146</v>
      </c>
    </row>
    <row r="3063" spans="1:28" x14ac:dyDescent="0.25">
      <c r="A3063" t="s">
        <v>3067</v>
      </c>
      <c r="B3063">
        <v>0.99876560204751996</v>
      </c>
      <c r="C3063">
        <v>0.95402610720148495</v>
      </c>
      <c r="D3063">
        <v>0.93469806936120003</v>
      </c>
      <c r="E3063">
        <v>0.86440836259911202</v>
      </c>
      <c r="F3063">
        <v>0.66387995402073896</v>
      </c>
      <c r="G3063">
        <v>0.28535926530296701</v>
      </c>
      <c r="H3063">
        <v>0.17601265845946501</v>
      </c>
      <c r="I3063">
        <v>0.159421557842648</v>
      </c>
      <c r="J3063">
        <v>0.17103360946346399</v>
      </c>
      <c r="K3063">
        <v>0.16739759048047201</v>
      </c>
      <c r="L3063">
        <v>1362.1845811651999</v>
      </c>
      <c r="M3063">
        <v>25.4106616848606</v>
      </c>
      <c r="N3063">
        <v>54.382455775772897</v>
      </c>
      <c r="O3063">
        <v>53.2781152021713</v>
      </c>
      <c r="P3063">
        <v>-0.10111266355698301</v>
      </c>
      <c r="Q3063">
        <v>0.15200564421159399</v>
      </c>
      <c r="R3063">
        <v>0.99467447288851996</v>
      </c>
      <c r="S3063" t="s">
        <v>7359</v>
      </c>
      <c r="T3063" t="s">
        <v>8590</v>
      </c>
      <c r="U3063" t="s">
        <v>8590</v>
      </c>
      <c r="V3063" t="s">
        <v>8590</v>
      </c>
      <c r="W3063">
        <v>27</v>
      </c>
      <c r="X3063" t="s">
        <v>11653</v>
      </c>
      <c r="Y3063">
        <v>0.54422529049261381</v>
      </c>
      <c r="Z3063" t="str">
        <f>HYPERLINK("Melting_Curves/meltCurve_sp_Q9H6S3_ES8L2_HUMAN_.pdf", "Melting_Curves/meltCurve_sp_Q9H6S3_ES8L2_HUMAN_.pdf")</f>
        <v>Melting_Curves/meltCurve_sp_Q9H6S3_ES8L2_HUMAN_.pdf</v>
      </c>
      <c r="AA3063" t="s">
        <v>15902</v>
      </c>
      <c r="AB3063" t="s">
        <v>20147</v>
      </c>
    </row>
    <row r="3064" spans="1:28" x14ac:dyDescent="0.25">
      <c r="A3064" t="s">
        <v>3068</v>
      </c>
      <c r="B3064">
        <v>0.99876560204751996</v>
      </c>
      <c r="C3064">
        <v>0.94964335403396105</v>
      </c>
      <c r="D3064">
        <v>0.71703692642194095</v>
      </c>
      <c r="E3064">
        <v>0.42309593301614101</v>
      </c>
      <c r="F3064">
        <v>0.28806631368312402</v>
      </c>
      <c r="G3064">
        <v>0.28646352121051599</v>
      </c>
      <c r="H3064">
        <v>8.8560711879876394E-2</v>
      </c>
      <c r="I3064">
        <v>8.9789114447287696E-2</v>
      </c>
      <c r="J3064">
        <v>0.106146554423069</v>
      </c>
      <c r="K3064">
        <v>6.0908162969627602E-2</v>
      </c>
      <c r="L3064">
        <v>738.38639853309701</v>
      </c>
      <c r="M3064">
        <v>15.134349532560901</v>
      </c>
      <c r="N3064">
        <v>49.379462491414799</v>
      </c>
      <c r="O3064">
        <v>47.960758032465002</v>
      </c>
      <c r="P3064">
        <v>-7.23643654657143E-2</v>
      </c>
      <c r="Q3064">
        <v>8.2798899576277105E-2</v>
      </c>
      <c r="R3064">
        <v>0.98287073693778004</v>
      </c>
      <c r="S3064" t="s">
        <v>7360</v>
      </c>
      <c r="T3064" t="s">
        <v>8590</v>
      </c>
      <c r="U3064" t="s">
        <v>8590</v>
      </c>
      <c r="V3064" t="s">
        <v>8590</v>
      </c>
      <c r="W3064">
        <v>7</v>
      </c>
      <c r="X3064" t="s">
        <v>11654</v>
      </c>
      <c r="Y3064">
        <v>0.37393659891372621</v>
      </c>
      <c r="Z3064" t="str">
        <f>HYPERLINK("Melting_Curves/meltCurve_sp_Q9H6T0_2_ESRP2_HUMAN_.pdf", "Melting_Curves/meltCurve_sp_Q9H6T0_2_ESRP2_HUMAN_.pdf")</f>
        <v>Melting_Curves/meltCurve_sp_Q9H6T0_2_ESRP2_HUMAN_.pdf</v>
      </c>
      <c r="AA3064" t="s">
        <v>15903</v>
      </c>
      <c r="AB3064" t="s">
        <v>20148</v>
      </c>
    </row>
    <row r="3065" spans="1:28" x14ac:dyDescent="0.25">
      <c r="A3065" t="s">
        <v>3069</v>
      </c>
      <c r="B3065">
        <v>0.99876560204751996</v>
      </c>
      <c r="C3065">
        <v>1.0090816800989699</v>
      </c>
      <c r="D3065">
        <v>0.88172238447317697</v>
      </c>
      <c r="E3065">
        <v>0.86572382683725801</v>
      </c>
      <c r="F3065">
        <v>0.68425325103591605</v>
      </c>
      <c r="G3065">
        <v>0.39115198691799702</v>
      </c>
      <c r="H3065">
        <v>0.175745255610775</v>
      </c>
      <c r="I3065">
        <v>0.109681824230799</v>
      </c>
      <c r="J3065">
        <v>0.115177906343648</v>
      </c>
      <c r="K3065">
        <v>9.3810123570010007E-2</v>
      </c>
      <c r="L3065">
        <v>951.75250228585298</v>
      </c>
      <c r="M3065">
        <v>17.334530328874401</v>
      </c>
      <c r="N3065">
        <v>55.294840608469102</v>
      </c>
      <c r="O3065">
        <v>54.189936369445498</v>
      </c>
      <c r="P3065">
        <v>-7.5375642041131605E-2</v>
      </c>
      <c r="Q3065">
        <v>5.7518753650589803E-2</v>
      </c>
      <c r="R3065">
        <v>0.99305601420328604</v>
      </c>
      <c r="S3065" t="s">
        <v>7361</v>
      </c>
      <c r="T3065" t="s">
        <v>8590</v>
      </c>
      <c r="U3065" t="s">
        <v>8590</v>
      </c>
      <c r="V3065" t="s">
        <v>8590</v>
      </c>
      <c r="W3065">
        <v>5</v>
      </c>
      <c r="X3065" t="s">
        <v>11655</v>
      </c>
      <c r="Y3065">
        <v>0.54116520083664643</v>
      </c>
      <c r="Z3065" t="str">
        <f>HYPERLINK("Melting_Curves/meltCurve_sp_Q9H6U6_2_BCAS3_HUMAN_.pdf", "Melting_Curves/meltCurve_sp_Q9H6U6_2_BCAS3_HUMAN_.pdf")</f>
        <v>Melting_Curves/meltCurve_sp_Q9H6U6_2_BCAS3_HUMAN_.pdf</v>
      </c>
      <c r="AA3065" t="s">
        <v>15904</v>
      </c>
      <c r="AB3065" t="s">
        <v>20149</v>
      </c>
    </row>
    <row r="3066" spans="1:28" x14ac:dyDescent="0.25">
      <c r="A3066" t="s">
        <v>3070</v>
      </c>
      <c r="B3066">
        <v>0.99876560204751996</v>
      </c>
      <c r="C3066">
        <v>1.1277944263636099</v>
      </c>
      <c r="D3066">
        <v>0.87715463607496902</v>
      </c>
      <c r="E3066">
        <v>0.99378867516486602</v>
      </c>
      <c r="F3066">
        <v>0.66741270092087401</v>
      </c>
      <c r="G3066">
        <v>0.52956482858687903</v>
      </c>
      <c r="H3066">
        <v>0.236573398287693</v>
      </c>
      <c r="I3066">
        <v>0.23979848967773601</v>
      </c>
      <c r="J3066">
        <v>0.21278702904052099</v>
      </c>
      <c r="K3066">
        <v>0.155746418377392</v>
      </c>
      <c r="L3066">
        <v>1025.92834139917</v>
      </c>
      <c r="M3066">
        <v>18.511184942883201</v>
      </c>
      <c r="N3066">
        <v>56.567929271738898</v>
      </c>
      <c r="O3066">
        <v>54.787428783030499</v>
      </c>
      <c r="P3066">
        <v>-7.1265205176056903E-2</v>
      </c>
      <c r="Q3066">
        <v>0.156344609899014</v>
      </c>
      <c r="R3066">
        <v>0.96094090819799505</v>
      </c>
      <c r="S3066" t="s">
        <v>7362</v>
      </c>
      <c r="T3066" t="s">
        <v>8590</v>
      </c>
      <c r="U3066" t="s">
        <v>8590</v>
      </c>
      <c r="V3066" t="s">
        <v>8590</v>
      </c>
      <c r="W3066">
        <v>3</v>
      </c>
      <c r="X3066" t="s">
        <v>11656</v>
      </c>
      <c r="Y3066">
        <v>0.60239455081851001</v>
      </c>
      <c r="Z3066" t="str">
        <f>HYPERLINK("Melting_Curves/meltCurve_sp_Q9H773_DCTP1_HUMAN_.pdf", "Melting_Curves/meltCurve_sp_Q9H773_DCTP1_HUMAN_.pdf")</f>
        <v>Melting_Curves/meltCurve_sp_Q9H773_DCTP1_HUMAN_.pdf</v>
      </c>
      <c r="AA3066" t="s">
        <v>15905</v>
      </c>
      <c r="AB3066" t="s">
        <v>20150</v>
      </c>
    </row>
    <row r="3067" spans="1:28" x14ac:dyDescent="0.25">
      <c r="A3067" t="s">
        <v>3071</v>
      </c>
      <c r="B3067">
        <v>0.99876560204751996</v>
      </c>
      <c r="C3067">
        <v>1.0031485819230901</v>
      </c>
      <c r="D3067">
        <v>0.92442373806746203</v>
      </c>
      <c r="E3067">
        <v>0.95570190647068598</v>
      </c>
      <c r="F3067">
        <v>0.95059114036198</v>
      </c>
      <c r="G3067">
        <v>0.79908068648186903</v>
      </c>
      <c r="H3067">
        <v>0.614615523132373</v>
      </c>
      <c r="I3067">
        <v>0.58374464046962105</v>
      </c>
      <c r="J3067">
        <v>0.73025658083779299</v>
      </c>
      <c r="K3067">
        <v>0.41208727794390898</v>
      </c>
      <c r="L3067">
        <v>700.29078404572795</v>
      </c>
      <c r="M3067">
        <v>11.6535172074547</v>
      </c>
      <c r="O3067">
        <v>58.404933040223703</v>
      </c>
      <c r="P3067">
        <v>-2.8896324979632002E-2</v>
      </c>
      <c r="Q3067">
        <v>0.42086760107433502</v>
      </c>
      <c r="R3067">
        <v>0.85956736653601695</v>
      </c>
      <c r="S3067" t="s">
        <v>7363</v>
      </c>
      <c r="T3067" t="s">
        <v>8590</v>
      </c>
      <c r="U3067" t="s">
        <v>8590</v>
      </c>
      <c r="V3067" t="s">
        <v>8590</v>
      </c>
      <c r="W3067">
        <v>2</v>
      </c>
      <c r="X3067" t="s">
        <v>11657</v>
      </c>
      <c r="Y3067">
        <v>0.80928671920262718</v>
      </c>
      <c r="Z3067" t="str">
        <f>HYPERLINK("Melting_Curves/meltCurve_sp_Q9H777_RNZ1_HUMAN_.pdf", "Melting_Curves/meltCurve_sp_Q9H777_RNZ1_HUMAN_.pdf")</f>
        <v>Melting_Curves/meltCurve_sp_Q9H777_RNZ1_HUMAN_.pdf</v>
      </c>
      <c r="AA3067" t="s">
        <v>15906</v>
      </c>
      <c r="AB3067" t="s">
        <v>20151</v>
      </c>
    </row>
    <row r="3068" spans="1:28" x14ac:dyDescent="0.25">
      <c r="A3068" t="s">
        <v>3072</v>
      </c>
      <c r="B3068">
        <v>0.99876560204751996</v>
      </c>
      <c r="C3068">
        <v>0.97074517980917596</v>
      </c>
      <c r="D3068">
        <v>1.02698486425734</v>
      </c>
      <c r="E3068">
        <v>0.76681314122361699</v>
      </c>
      <c r="F3068">
        <v>0.50880424607991404</v>
      </c>
      <c r="G3068">
        <v>0.230150013210112</v>
      </c>
      <c r="H3068">
        <v>0.17463002769299399</v>
      </c>
      <c r="I3068">
        <v>0.152686041883175</v>
      </c>
      <c r="J3068">
        <v>0.17096794584783001</v>
      </c>
      <c r="K3068">
        <v>0.14914230482666099</v>
      </c>
      <c r="L3068">
        <v>1342.90620658994</v>
      </c>
      <c r="M3068">
        <v>25.740530706594601</v>
      </c>
      <c r="N3068">
        <v>52.923841255329698</v>
      </c>
      <c r="O3068">
        <v>51.859057061375204</v>
      </c>
      <c r="P3068">
        <v>-0.10506440081623999</v>
      </c>
      <c r="Q3068">
        <v>0.15332351656819099</v>
      </c>
      <c r="R3068">
        <v>0.99648166799152604</v>
      </c>
      <c r="S3068" t="s">
        <v>7364</v>
      </c>
      <c r="T3068" t="s">
        <v>8590</v>
      </c>
      <c r="U3068" t="s">
        <v>8590</v>
      </c>
      <c r="V3068" t="s">
        <v>8590</v>
      </c>
      <c r="W3068">
        <v>8</v>
      </c>
      <c r="X3068" t="s">
        <v>11658</v>
      </c>
      <c r="Y3068">
        <v>0.50413608195372817</v>
      </c>
      <c r="Z3068" t="str">
        <f>HYPERLINK("Melting_Curves/meltCurve_sp_Q9H788_SH24A_HUMAN_.pdf", "Melting_Curves/meltCurve_sp_Q9H788_SH24A_HUMAN_.pdf")</f>
        <v>Melting_Curves/meltCurve_sp_Q9H788_SH24A_HUMAN_.pdf</v>
      </c>
      <c r="AA3068" t="s">
        <v>15907</v>
      </c>
      <c r="AB3068" t="s">
        <v>20152</v>
      </c>
    </row>
    <row r="3069" spans="1:28" x14ac:dyDescent="0.25">
      <c r="A3069" t="s">
        <v>3073</v>
      </c>
      <c r="B3069">
        <v>0.99876560204751996</v>
      </c>
      <c r="C3069">
        <v>0.93182261348384698</v>
      </c>
      <c r="D3069">
        <v>1.02597375937225</v>
      </c>
      <c r="E3069">
        <v>0.88150939521969696</v>
      </c>
      <c r="F3069">
        <v>0.92338905370812296</v>
      </c>
      <c r="G3069">
        <v>0.82558256162175203</v>
      </c>
      <c r="H3069">
        <v>0.74952914545682603</v>
      </c>
      <c r="I3069">
        <v>0.74838532049358097</v>
      </c>
      <c r="J3069">
        <v>0.95525872562946701</v>
      </c>
      <c r="K3069">
        <v>0.92177177926016796</v>
      </c>
      <c r="L3069">
        <v>1346.1755111718701</v>
      </c>
      <c r="M3069">
        <v>27.088747167992501</v>
      </c>
      <c r="O3069">
        <v>49.426552682800398</v>
      </c>
      <c r="P3069">
        <v>-2.12111821302154E-2</v>
      </c>
      <c r="Q3069">
        <v>0.84519249240879402</v>
      </c>
      <c r="R3069">
        <v>0.42058066931989002</v>
      </c>
      <c r="S3069" t="s">
        <v>7365</v>
      </c>
      <c r="T3069" t="s">
        <v>8590</v>
      </c>
      <c r="U3069" t="s">
        <v>8590</v>
      </c>
      <c r="V3069" t="s">
        <v>8590</v>
      </c>
      <c r="W3069">
        <v>5</v>
      </c>
      <c r="X3069" t="s">
        <v>11659</v>
      </c>
      <c r="Y3069">
        <v>0.89639349769943333</v>
      </c>
      <c r="Z3069" t="str">
        <f>HYPERLINK("Melting_Curves/meltCurve_sp_Q9H7C9_AAMDC_HUMAN_.pdf", "Melting_Curves/meltCurve_sp_Q9H7C9_AAMDC_HUMAN_.pdf")</f>
        <v>Melting_Curves/meltCurve_sp_Q9H7C9_AAMDC_HUMAN_.pdf</v>
      </c>
      <c r="AA3069" t="s">
        <v>15908</v>
      </c>
      <c r="AB3069" t="s">
        <v>20153</v>
      </c>
    </row>
    <row r="3070" spans="1:28" x14ac:dyDescent="0.25">
      <c r="A3070" t="s">
        <v>3074</v>
      </c>
      <c r="B3070">
        <v>0.99876560204751996</v>
      </c>
      <c r="C3070">
        <v>1.0933830804928699</v>
      </c>
      <c r="D3070">
        <v>1.1850601762974899</v>
      </c>
      <c r="E3070">
        <v>0.94808526597158405</v>
      </c>
      <c r="F3070">
        <v>0.98164668278283396</v>
      </c>
      <c r="G3070">
        <v>0.60699015500934195</v>
      </c>
      <c r="H3070">
        <v>0.43975035638267101</v>
      </c>
      <c r="I3070">
        <v>0.52105823802670304</v>
      </c>
      <c r="J3070">
        <v>0.719844516994946</v>
      </c>
      <c r="K3070">
        <v>0.73151548725588</v>
      </c>
      <c r="L3070">
        <v>5775.5525913664196</v>
      </c>
      <c r="M3070">
        <v>105.95244019970499</v>
      </c>
      <c r="O3070">
        <v>54.491366575562203</v>
      </c>
      <c r="P3070">
        <v>-0.192950412428679</v>
      </c>
      <c r="Q3070">
        <v>0.60306205439337202</v>
      </c>
      <c r="R3070">
        <v>0.81160660755034297</v>
      </c>
      <c r="S3070" t="s">
        <v>7366</v>
      </c>
      <c r="T3070" t="s">
        <v>8590</v>
      </c>
      <c r="U3070" t="s">
        <v>8590</v>
      </c>
      <c r="V3070" t="s">
        <v>8590</v>
      </c>
      <c r="W3070">
        <v>1</v>
      </c>
      <c r="X3070" t="s">
        <v>11660</v>
      </c>
      <c r="Y3070">
        <v>0.79526996116554949</v>
      </c>
      <c r="Z3070" t="str">
        <f>HYPERLINK("Melting_Curves/meltCurve_sp_Q9H7D0_DOCK5_HUMAN_.pdf", "Melting_Curves/meltCurve_sp_Q9H7D0_DOCK5_HUMAN_.pdf")</f>
        <v>Melting_Curves/meltCurve_sp_Q9H7D0_DOCK5_HUMAN_.pdf</v>
      </c>
      <c r="AA3070" t="s">
        <v>15909</v>
      </c>
      <c r="AB3070" t="s">
        <v>20154</v>
      </c>
    </row>
    <row r="3071" spans="1:28" x14ac:dyDescent="0.25">
      <c r="A3071" t="s">
        <v>3075</v>
      </c>
      <c r="B3071">
        <v>0.99876560204751996</v>
      </c>
      <c r="C3071">
        <v>1.03743195024534</v>
      </c>
      <c r="D3071">
        <v>0.922133234786642</v>
      </c>
      <c r="E3071">
        <v>0.96917579311253998</v>
      </c>
      <c r="F3071">
        <v>0.90773172695480997</v>
      </c>
      <c r="G3071">
        <v>0.56005060352371006</v>
      </c>
      <c r="H3071">
        <v>0.13766300535808901</v>
      </c>
      <c r="I3071">
        <v>8.5672704075539993E-2</v>
      </c>
      <c r="J3071">
        <v>0.115692595048677</v>
      </c>
      <c r="K3071">
        <v>7.16218283745573E-2</v>
      </c>
      <c r="L3071">
        <v>1935.1562258266199</v>
      </c>
      <c r="M3071">
        <v>33.9317166938811</v>
      </c>
      <c r="N3071">
        <v>57.304212328663503</v>
      </c>
      <c r="O3071">
        <v>56.833902505656901</v>
      </c>
      <c r="P3071">
        <v>-0.13810686907474601</v>
      </c>
      <c r="Q3071">
        <v>7.4715720602302804E-2</v>
      </c>
      <c r="R3071">
        <v>0.99328849410907905</v>
      </c>
      <c r="S3071" t="s">
        <v>7367</v>
      </c>
      <c r="T3071" t="s">
        <v>8590</v>
      </c>
      <c r="U3071" t="s">
        <v>8590</v>
      </c>
      <c r="V3071" t="s">
        <v>8590</v>
      </c>
      <c r="W3071">
        <v>4</v>
      </c>
      <c r="X3071" t="s">
        <v>11661</v>
      </c>
      <c r="Y3071">
        <v>0.60492750904373616</v>
      </c>
      <c r="Z3071" t="str">
        <f>HYPERLINK("Melting_Curves/meltCurve_sp_Q9H7E2_3_TDRD3_HUMAN_.pdf", "Melting_Curves/meltCurve_sp_Q9H7E2_3_TDRD3_HUMAN_.pdf")</f>
        <v>Melting_Curves/meltCurve_sp_Q9H7E2_3_TDRD3_HUMAN_.pdf</v>
      </c>
      <c r="AA3071" t="s">
        <v>15910</v>
      </c>
      <c r="AB3071" t="s">
        <v>20155</v>
      </c>
    </row>
    <row r="3072" spans="1:28" x14ac:dyDescent="0.25">
      <c r="A3072" t="s">
        <v>3076</v>
      </c>
      <c r="B3072">
        <v>0.99876560204751996</v>
      </c>
      <c r="C3072">
        <v>1.14768207893633</v>
      </c>
      <c r="D3072">
        <v>1.2308235634756799</v>
      </c>
      <c r="E3072">
        <v>1.0566374554643501</v>
      </c>
      <c r="F3072">
        <v>1.0040143827838299</v>
      </c>
      <c r="G3072">
        <v>0.81558867792317502</v>
      </c>
      <c r="H3072">
        <v>0.62374835537331796</v>
      </c>
      <c r="I3072">
        <v>0.72665126510039102</v>
      </c>
      <c r="J3072">
        <v>0.84522518573874394</v>
      </c>
      <c r="K3072">
        <v>0.69068866366447501</v>
      </c>
      <c r="L3072">
        <v>14211.5954224827</v>
      </c>
      <c r="M3072">
        <v>250</v>
      </c>
      <c r="O3072">
        <v>56.8427437511099</v>
      </c>
      <c r="P3072">
        <v>-0.30613145677480502</v>
      </c>
      <c r="Q3072">
        <v>0.72157836837844003</v>
      </c>
      <c r="R3072">
        <v>0.72169612883854495</v>
      </c>
      <c r="S3072" t="s">
        <v>7368</v>
      </c>
      <c r="T3072" t="s">
        <v>8590</v>
      </c>
      <c r="U3072" t="s">
        <v>8590</v>
      </c>
      <c r="V3072" t="s">
        <v>8590</v>
      </c>
      <c r="W3072">
        <v>2</v>
      </c>
      <c r="X3072" t="s">
        <v>11662</v>
      </c>
      <c r="Y3072">
        <v>0.87795271421186027</v>
      </c>
      <c r="Z3072" t="str">
        <f>HYPERLINK("Melting_Curves/meltCurve_sp_Q9H7N4_SFR19_HUMAN_.pdf", "Melting_Curves/meltCurve_sp_Q9H7N4_SFR19_HUMAN_.pdf")</f>
        <v>Melting_Curves/meltCurve_sp_Q9H7N4_SFR19_HUMAN_.pdf</v>
      </c>
      <c r="AA3072" t="s">
        <v>15911</v>
      </c>
      <c r="AB3072" t="s">
        <v>20156</v>
      </c>
    </row>
    <row r="3073" spans="1:28" x14ac:dyDescent="0.25">
      <c r="A3073" t="s">
        <v>3077</v>
      </c>
      <c r="B3073">
        <v>0.99876560204751996</v>
      </c>
      <c r="C3073">
        <v>0.98267664335703298</v>
      </c>
      <c r="D3073">
        <v>1.0031861679143299</v>
      </c>
      <c r="E3073">
        <v>0.79612880119795404</v>
      </c>
      <c r="F3073">
        <v>0.71668393688314402</v>
      </c>
      <c r="G3073">
        <v>0.43271533764978498</v>
      </c>
      <c r="H3073">
        <v>0.36074932845276902</v>
      </c>
      <c r="I3073">
        <v>0.32649145294723098</v>
      </c>
      <c r="J3073">
        <v>0.36722100137512997</v>
      </c>
      <c r="K3073">
        <v>0.40461744776430603</v>
      </c>
      <c r="L3073">
        <v>1150.44674556102</v>
      </c>
      <c r="M3073">
        <v>21.792607527155699</v>
      </c>
      <c r="N3073">
        <v>55.879495194206399</v>
      </c>
      <c r="O3073">
        <v>52.352200232266703</v>
      </c>
      <c r="P3073">
        <v>-6.7635424586022605E-2</v>
      </c>
      <c r="Q3073">
        <v>0.35009498675328499</v>
      </c>
      <c r="R3073">
        <v>0.98355644611238602</v>
      </c>
      <c r="S3073" t="s">
        <v>7369</v>
      </c>
      <c r="T3073" t="s">
        <v>8590</v>
      </c>
      <c r="U3073" t="s">
        <v>8590</v>
      </c>
      <c r="V3073" t="s">
        <v>8590</v>
      </c>
      <c r="W3073">
        <v>4</v>
      </c>
      <c r="X3073" t="s">
        <v>11663</v>
      </c>
      <c r="Y3073">
        <v>0.63488295616795631</v>
      </c>
      <c r="Z3073" t="str">
        <f>HYPERLINK("Melting_Curves/meltCurve_sp_Q9H7Z6_KAT8_HUMAN_.pdf", "Melting_Curves/meltCurve_sp_Q9H7Z6_KAT8_HUMAN_.pdf")</f>
        <v>Melting_Curves/meltCurve_sp_Q9H7Z6_KAT8_HUMAN_.pdf</v>
      </c>
      <c r="AA3073" t="s">
        <v>15912</v>
      </c>
      <c r="AB3073" t="s">
        <v>20157</v>
      </c>
    </row>
    <row r="3074" spans="1:28" x14ac:dyDescent="0.25">
      <c r="A3074" t="s">
        <v>3078</v>
      </c>
      <c r="B3074">
        <v>0.99876560204751996</v>
      </c>
      <c r="C3074">
        <v>1.0523129657946499</v>
      </c>
      <c r="D3074">
        <v>0.85001264990451297</v>
      </c>
      <c r="E3074">
        <v>0.70526454315262599</v>
      </c>
      <c r="F3074">
        <v>0.43349757129248401</v>
      </c>
      <c r="G3074">
        <v>0.24060389972715601</v>
      </c>
      <c r="H3074">
        <v>0.142557433708</v>
      </c>
      <c r="I3074">
        <v>6.3935140571417803E-2</v>
      </c>
      <c r="J3074">
        <v>6.8287690918040503E-2</v>
      </c>
      <c r="K3074">
        <v>1.9741567187279801E-2</v>
      </c>
      <c r="L3074">
        <v>822.30837520217995</v>
      </c>
      <c r="M3074">
        <v>15.7300830153655</v>
      </c>
      <c r="N3074">
        <v>52.443187439678397</v>
      </c>
      <c r="O3074">
        <v>51.4531601916011</v>
      </c>
      <c r="P3074">
        <v>-7.4567944312422502E-2</v>
      </c>
      <c r="Q3074">
        <v>2.4433706942759901E-2</v>
      </c>
      <c r="R3074">
        <v>0.99199193445463296</v>
      </c>
      <c r="S3074" t="s">
        <v>7370</v>
      </c>
      <c r="T3074" t="s">
        <v>8590</v>
      </c>
      <c r="U3074" t="s">
        <v>8590</v>
      </c>
      <c r="V3074" t="s">
        <v>8590</v>
      </c>
      <c r="W3074">
        <v>3</v>
      </c>
      <c r="X3074" t="s">
        <v>11664</v>
      </c>
      <c r="Y3074">
        <v>0.4437346294007341</v>
      </c>
      <c r="Z3074" t="str">
        <f>HYPERLINK("Melting_Curves/meltCurve_sp_Q9H7Z7_PGES2_HUMAN_.pdf", "Melting_Curves/meltCurve_sp_Q9H7Z7_PGES2_HUMAN_.pdf")</f>
        <v>Melting_Curves/meltCurve_sp_Q9H7Z7_PGES2_HUMAN_.pdf</v>
      </c>
      <c r="AA3074" t="s">
        <v>15913</v>
      </c>
      <c r="AB3074" t="s">
        <v>20158</v>
      </c>
    </row>
    <row r="3075" spans="1:28" x14ac:dyDescent="0.25">
      <c r="A3075" t="s">
        <v>3079</v>
      </c>
      <c r="B3075">
        <v>0.99876560204751996</v>
      </c>
      <c r="C3075">
        <v>0.95363809192080295</v>
      </c>
      <c r="D3075">
        <v>0.96629137534493703</v>
      </c>
      <c r="E3075">
        <v>0.76969058575057403</v>
      </c>
      <c r="F3075">
        <v>0.48106156085718899</v>
      </c>
      <c r="G3075">
        <v>0.115958563827079</v>
      </c>
      <c r="H3075">
        <v>6.2837006507308502E-2</v>
      </c>
      <c r="I3075">
        <v>4.4145604633944201E-2</v>
      </c>
      <c r="J3075">
        <v>3.6543272706705703E-2</v>
      </c>
      <c r="K3075">
        <v>3.8206511626016799E-2</v>
      </c>
      <c r="L3075">
        <v>1313.08140727557</v>
      </c>
      <c r="M3075">
        <v>25.013806128957899</v>
      </c>
      <c r="N3075">
        <v>52.622333734245501</v>
      </c>
      <c r="O3075">
        <v>52.162207160033503</v>
      </c>
      <c r="P3075">
        <v>-0.116346069612926</v>
      </c>
      <c r="Q3075">
        <v>2.9530133489577198E-2</v>
      </c>
      <c r="R3075">
        <v>0.99780130375794396</v>
      </c>
      <c r="S3075" t="s">
        <v>7371</v>
      </c>
      <c r="T3075" t="s">
        <v>8590</v>
      </c>
      <c r="U3075" t="s">
        <v>8590</v>
      </c>
      <c r="V3075" t="s">
        <v>8590</v>
      </c>
      <c r="W3075">
        <v>3</v>
      </c>
      <c r="X3075" t="s">
        <v>11665</v>
      </c>
      <c r="Y3075">
        <v>0.44259762120730117</v>
      </c>
      <c r="Z3075" t="str">
        <f>HYPERLINK("Melting_Curves/meltCurve_sp_Q9H832_UBE2Z_HUMAN_.pdf", "Melting_Curves/meltCurve_sp_Q9H832_UBE2Z_HUMAN_.pdf")</f>
        <v>Melting_Curves/meltCurve_sp_Q9H832_UBE2Z_HUMAN_.pdf</v>
      </c>
      <c r="AA3075" t="s">
        <v>15914</v>
      </c>
      <c r="AB3075" t="s">
        <v>20159</v>
      </c>
    </row>
    <row r="3076" spans="1:28" x14ac:dyDescent="0.25">
      <c r="A3076" t="s">
        <v>3080</v>
      </c>
      <c r="B3076">
        <v>0.99876560204751996</v>
      </c>
      <c r="C3076">
        <v>1.07034650794504</v>
      </c>
      <c r="D3076">
        <v>1.00780547374639</v>
      </c>
      <c r="E3076">
        <v>0.83375242055896903</v>
      </c>
      <c r="F3076">
        <v>0.50289797034066397</v>
      </c>
      <c r="G3076">
        <v>0.29192179902065202</v>
      </c>
      <c r="H3076">
        <v>0.15898461069680001</v>
      </c>
      <c r="I3076">
        <v>0.138770052858883</v>
      </c>
      <c r="J3076">
        <v>9.7011509157396703E-2</v>
      </c>
      <c r="K3076">
        <v>8.5477009578771398E-2</v>
      </c>
      <c r="L3076">
        <v>1213.06611482925</v>
      </c>
      <c r="M3076">
        <v>22.9257535819076</v>
      </c>
      <c r="N3076">
        <v>53.476669967001101</v>
      </c>
      <c r="O3076">
        <v>52.515154965658397</v>
      </c>
      <c r="P3076">
        <v>-9.7422903003639497E-2</v>
      </c>
      <c r="Q3076">
        <v>0.107365117212427</v>
      </c>
      <c r="R3076">
        <v>0.99240869765327</v>
      </c>
      <c r="S3076" t="s">
        <v>7372</v>
      </c>
      <c r="T3076" t="s">
        <v>8590</v>
      </c>
      <c r="U3076" t="s">
        <v>8590</v>
      </c>
      <c r="V3076" t="s">
        <v>8590</v>
      </c>
      <c r="W3076">
        <v>23</v>
      </c>
      <c r="X3076" t="s">
        <v>11666</v>
      </c>
      <c r="Y3076">
        <v>0.50122446748280658</v>
      </c>
      <c r="Z3076" t="str">
        <f>HYPERLINK("Melting_Curves/meltCurve_sp_Q9H845_ACAD9_HUMAN_.pdf", "Melting_Curves/meltCurve_sp_Q9H845_ACAD9_HUMAN_.pdf")</f>
        <v>Melting_Curves/meltCurve_sp_Q9H845_ACAD9_HUMAN_.pdf</v>
      </c>
      <c r="AA3076" t="s">
        <v>15915</v>
      </c>
      <c r="AB3076" t="s">
        <v>20160</v>
      </c>
    </row>
    <row r="3077" spans="1:28" x14ac:dyDescent="0.25">
      <c r="A3077" t="s">
        <v>3081</v>
      </c>
      <c r="B3077">
        <v>0.99876560204751996</v>
      </c>
      <c r="C3077">
        <v>0.99991093712768797</v>
      </c>
      <c r="D3077">
        <v>1.0290622560626701</v>
      </c>
      <c r="E3077">
        <v>0.97726466815032198</v>
      </c>
      <c r="F3077">
        <v>0.77593789022175497</v>
      </c>
      <c r="G3077">
        <v>0.174020308434787</v>
      </c>
      <c r="H3077">
        <v>0.1112791670405</v>
      </c>
      <c r="I3077">
        <v>3.1350110393324297E-2</v>
      </c>
      <c r="J3077">
        <v>4.2062564338818997E-2</v>
      </c>
      <c r="K3077">
        <v>0</v>
      </c>
      <c r="L3077">
        <v>2190.9981652924498</v>
      </c>
      <c r="M3077">
        <v>40.166811083335297</v>
      </c>
      <c r="N3077">
        <v>54.660171669303303</v>
      </c>
      <c r="O3077">
        <v>54.412803548808697</v>
      </c>
      <c r="P3077">
        <v>-0.17721341434708901</v>
      </c>
      <c r="Q3077">
        <v>3.9738821085576102E-2</v>
      </c>
      <c r="R3077">
        <v>0.99698651249450099</v>
      </c>
      <c r="S3077" t="s">
        <v>7373</v>
      </c>
      <c r="T3077" t="s">
        <v>8590</v>
      </c>
      <c r="U3077" t="s">
        <v>8590</v>
      </c>
      <c r="V3077" t="s">
        <v>8590</v>
      </c>
      <c r="W3077">
        <v>1</v>
      </c>
      <c r="X3077" t="s">
        <v>11667</v>
      </c>
      <c r="Y3077">
        <v>0.50896530970204401</v>
      </c>
      <c r="Z3077" t="str">
        <f>HYPERLINK("Melting_Curves/meltCurve_sp_Q9H8M7_F188A_HUMAN_.pdf", "Melting_Curves/meltCurve_sp_Q9H8M7_F188A_HUMAN_.pdf")</f>
        <v>Melting_Curves/meltCurve_sp_Q9H8M7_F188A_HUMAN_.pdf</v>
      </c>
      <c r="AA3077" t="s">
        <v>15916</v>
      </c>
      <c r="AB3077" t="s">
        <v>20161</v>
      </c>
    </row>
    <row r="3078" spans="1:28" x14ac:dyDescent="0.25">
      <c r="A3078" t="s">
        <v>3082</v>
      </c>
      <c r="B3078">
        <v>0.99876560204751996</v>
      </c>
      <c r="C3078">
        <v>0.87117732944974602</v>
      </c>
      <c r="D3078">
        <v>0.87570262879611205</v>
      </c>
      <c r="E3078">
        <v>0.841417679041501</v>
      </c>
      <c r="F3078">
        <v>0.86072253966337098</v>
      </c>
      <c r="G3078">
        <v>0.63730709601020796</v>
      </c>
      <c r="H3078">
        <v>0.373597848691751</v>
      </c>
      <c r="I3078">
        <v>0.14169154916423099</v>
      </c>
      <c r="J3078">
        <v>0.11775615211400001</v>
      </c>
      <c r="K3078">
        <v>0.100459822810329</v>
      </c>
      <c r="L3078">
        <v>867.84845816102802</v>
      </c>
      <c r="M3078">
        <v>14.842262341961201</v>
      </c>
      <c r="N3078">
        <v>58.471440676624397</v>
      </c>
      <c r="O3078">
        <v>57.440786582736202</v>
      </c>
      <c r="P3078">
        <v>-6.4604900952990096E-2</v>
      </c>
      <c r="Q3078">
        <v>0</v>
      </c>
      <c r="R3078">
        <v>0.962622309243926</v>
      </c>
      <c r="S3078" t="s">
        <v>7374</v>
      </c>
      <c r="T3078" t="s">
        <v>8590</v>
      </c>
      <c r="U3078" t="s">
        <v>8590</v>
      </c>
      <c r="V3078" t="s">
        <v>8590</v>
      </c>
      <c r="W3078">
        <v>4</v>
      </c>
      <c r="X3078" t="s">
        <v>11668</v>
      </c>
      <c r="Y3078">
        <v>0.62781902955366198</v>
      </c>
      <c r="Z3078" t="str">
        <f>HYPERLINK("Melting_Curves/meltCurve_sp_Q9H8S9_MOB1A_HUMAN_.pdf", "Melting_Curves/meltCurve_sp_Q9H8S9_MOB1A_HUMAN_.pdf")</f>
        <v>Melting_Curves/meltCurve_sp_Q9H8S9_MOB1A_HUMAN_.pdf</v>
      </c>
      <c r="AA3078" t="s">
        <v>15917</v>
      </c>
      <c r="AB3078" t="s">
        <v>20162</v>
      </c>
    </row>
    <row r="3079" spans="1:28" x14ac:dyDescent="0.25">
      <c r="A3079" t="s">
        <v>3083</v>
      </c>
      <c r="B3079">
        <v>0.99876560204751996</v>
      </c>
      <c r="C3079">
        <v>1.06690171134121</v>
      </c>
      <c r="D3079">
        <v>0.89286951597826403</v>
      </c>
      <c r="E3079">
        <v>0.756053082808407</v>
      </c>
      <c r="F3079">
        <v>0.247247857739572</v>
      </c>
      <c r="G3079">
        <v>0.120812498563542</v>
      </c>
      <c r="H3079">
        <v>9.2091729242452805E-2</v>
      </c>
      <c r="I3079">
        <v>2.2517188659700201E-2</v>
      </c>
      <c r="J3079">
        <v>0</v>
      </c>
      <c r="K3079">
        <v>3.4177682605869897E-2</v>
      </c>
      <c r="L3079">
        <v>1828.30626674579</v>
      </c>
      <c r="M3079">
        <v>35.633544095697502</v>
      </c>
      <c r="N3079">
        <v>51.442233110982698</v>
      </c>
      <c r="O3079">
        <v>51.147781849610503</v>
      </c>
      <c r="P3079">
        <v>-0.16646867058371001</v>
      </c>
      <c r="Q3079">
        <v>4.4217966189706498E-2</v>
      </c>
      <c r="R3079">
        <v>0.98799316484501698</v>
      </c>
      <c r="S3079" t="s">
        <v>7375</v>
      </c>
      <c r="T3079" t="s">
        <v>8590</v>
      </c>
      <c r="U3079" t="s">
        <v>8590</v>
      </c>
      <c r="V3079" t="s">
        <v>8590</v>
      </c>
      <c r="W3079">
        <v>1</v>
      </c>
      <c r="X3079" t="s">
        <v>11669</v>
      </c>
      <c r="Y3079">
        <v>0.40877919741684532</v>
      </c>
      <c r="Z3079" t="str">
        <f>HYPERLINK("Melting_Curves/meltCurve_sp_Q9H8T0_AKTIP_HUMAN_.pdf", "Melting_Curves/meltCurve_sp_Q9H8T0_AKTIP_HUMAN_.pdf")</f>
        <v>Melting_Curves/meltCurve_sp_Q9H8T0_AKTIP_HUMAN_.pdf</v>
      </c>
      <c r="AA3079" t="s">
        <v>15918</v>
      </c>
      <c r="AB3079" t="s">
        <v>20163</v>
      </c>
    </row>
    <row r="3080" spans="1:28" x14ac:dyDescent="0.25">
      <c r="A3080" t="s">
        <v>3084</v>
      </c>
      <c r="B3080">
        <v>0.99876560204751996</v>
      </c>
      <c r="C3080">
        <v>0.91581861167402201</v>
      </c>
      <c r="D3080">
        <v>0.91061294255476599</v>
      </c>
      <c r="E3080">
        <v>0.77269779460236698</v>
      </c>
      <c r="F3080">
        <v>0.54836887116239896</v>
      </c>
      <c r="G3080">
        <v>0.195321935973684</v>
      </c>
      <c r="H3080">
        <v>0.10259136444833</v>
      </c>
      <c r="I3080">
        <v>9.1662352769104699E-2</v>
      </c>
      <c r="J3080">
        <v>9.1523266081680404E-2</v>
      </c>
      <c r="K3080">
        <v>8.7598731638867E-2</v>
      </c>
      <c r="L3080">
        <v>1076.34331523079</v>
      </c>
      <c r="M3080">
        <v>20.394126952341999</v>
      </c>
      <c r="N3080">
        <v>53.138103668127101</v>
      </c>
      <c r="O3080">
        <v>52.277544601844198</v>
      </c>
      <c r="P3080">
        <v>-9.1222412159630201E-2</v>
      </c>
      <c r="Q3080">
        <v>6.4683740140817805E-2</v>
      </c>
      <c r="R3080">
        <v>0.99193791891465</v>
      </c>
      <c r="S3080" t="s">
        <v>7376</v>
      </c>
      <c r="T3080" t="s">
        <v>8590</v>
      </c>
      <c r="U3080" t="s">
        <v>8590</v>
      </c>
      <c r="V3080" t="s">
        <v>8590</v>
      </c>
      <c r="W3080">
        <v>2</v>
      </c>
      <c r="X3080" t="s">
        <v>11670</v>
      </c>
      <c r="Y3080">
        <v>0.47549668111241961</v>
      </c>
      <c r="Z3080" t="str">
        <f>HYPERLINK("Melting_Curves/meltCurve_sp_Q9H8W4_PKHF2_HUMAN_.pdf", "Melting_Curves/meltCurve_sp_Q9H8W4_PKHF2_HUMAN_.pdf")</f>
        <v>Melting_Curves/meltCurve_sp_Q9H8W4_PKHF2_HUMAN_.pdf</v>
      </c>
      <c r="AA3080" t="s">
        <v>15919</v>
      </c>
      <c r="AB3080" t="s">
        <v>20164</v>
      </c>
    </row>
    <row r="3081" spans="1:28" x14ac:dyDescent="0.25">
      <c r="A3081" t="s">
        <v>3085</v>
      </c>
      <c r="B3081">
        <v>0.99876560204751996</v>
      </c>
      <c r="C3081">
        <v>0.91670900624224205</v>
      </c>
      <c r="D3081">
        <v>0.92617912825159299</v>
      </c>
      <c r="E3081">
        <v>0.72787589117101104</v>
      </c>
      <c r="F3081">
        <v>0.45467062500920602</v>
      </c>
      <c r="G3081">
        <v>0.28402168892049601</v>
      </c>
      <c r="H3081">
        <v>0.22588856907304</v>
      </c>
      <c r="I3081">
        <v>0.206972340814504</v>
      </c>
      <c r="J3081">
        <v>0.226257865762933</v>
      </c>
      <c r="K3081">
        <v>0.19884838803989999</v>
      </c>
      <c r="L3081">
        <v>1072.44047157767</v>
      </c>
      <c r="M3081">
        <v>20.9148092608688</v>
      </c>
      <c r="N3081">
        <v>52.566588820845801</v>
      </c>
      <c r="O3081">
        <v>50.814735345057201</v>
      </c>
      <c r="P3081">
        <v>-8.2245392875264098E-2</v>
      </c>
      <c r="Q3081">
        <v>0.20072629042118501</v>
      </c>
      <c r="R3081">
        <v>0.99398165586058795</v>
      </c>
      <c r="S3081" t="s">
        <v>7377</v>
      </c>
      <c r="T3081" t="s">
        <v>8590</v>
      </c>
      <c r="U3081" t="s">
        <v>8590</v>
      </c>
      <c r="V3081" t="s">
        <v>8590</v>
      </c>
      <c r="W3081">
        <v>5</v>
      </c>
      <c r="X3081" t="s">
        <v>11671</v>
      </c>
      <c r="Y3081">
        <v>0.51136354800033146</v>
      </c>
      <c r="Z3081" t="str">
        <f>HYPERLINK("Melting_Curves/meltCurve_sp_Q9H8Y8_GORS2_HUMAN_.pdf", "Melting_Curves/meltCurve_sp_Q9H8Y8_GORS2_HUMAN_.pdf")</f>
        <v>Melting_Curves/meltCurve_sp_Q9H8Y8_GORS2_HUMAN_.pdf</v>
      </c>
      <c r="AA3081" t="s">
        <v>15920</v>
      </c>
      <c r="AB3081" t="s">
        <v>20165</v>
      </c>
    </row>
    <row r="3082" spans="1:28" x14ac:dyDescent="0.25">
      <c r="A3082" t="s">
        <v>3086</v>
      </c>
      <c r="B3082">
        <v>0.99876560204751996</v>
      </c>
      <c r="C3082">
        <v>0.83119841217332102</v>
      </c>
      <c r="D3082">
        <v>0.69212807232056495</v>
      </c>
      <c r="E3082">
        <v>0.56776769393709903</v>
      </c>
      <c r="F3082">
        <v>0.37028621801922501</v>
      </c>
      <c r="G3082">
        <v>0.163675574911786</v>
      </c>
      <c r="H3082">
        <v>0.18289944154303001</v>
      </c>
      <c r="I3082">
        <v>0.11715326169017599</v>
      </c>
      <c r="J3082">
        <v>0.19554702301191901</v>
      </c>
      <c r="K3082">
        <v>0.15548906512882099</v>
      </c>
      <c r="L3082">
        <v>621.89297755284099</v>
      </c>
      <c r="M3082">
        <v>12.709131438252699</v>
      </c>
      <c r="N3082">
        <v>49.968399641241398</v>
      </c>
      <c r="O3082">
        <v>47.7687277864922</v>
      </c>
      <c r="P3082">
        <v>-5.8823899479426102E-2</v>
      </c>
      <c r="Q3082">
        <v>0.115785090897742</v>
      </c>
      <c r="R3082">
        <v>0.97742582463182104</v>
      </c>
      <c r="S3082" t="s">
        <v>7378</v>
      </c>
      <c r="T3082" t="s">
        <v>8590</v>
      </c>
      <c r="U3082" t="s">
        <v>8590</v>
      </c>
      <c r="V3082" t="s">
        <v>8590</v>
      </c>
      <c r="W3082">
        <v>3</v>
      </c>
      <c r="X3082" t="s">
        <v>11672</v>
      </c>
      <c r="Y3082">
        <v>0.40863407747280472</v>
      </c>
      <c r="Z3082" t="str">
        <f>HYPERLINK("Melting_Curves/meltCurve_sp_Q9H939_PPIP2_HUMAN_.pdf", "Melting_Curves/meltCurve_sp_Q9H939_PPIP2_HUMAN_.pdf")</f>
        <v>Melting_Curves/meltCurve_sp_Q9H939_PPIP2_HUMAN_.pdf</v>
      </c>
      <c r="AA3082" t="s">
        <v>15921</v>
      </c>
      <c r="AB3082" t="s">
        <v>20166</v>
      </c>
    </row>
    <row r="3083" spans="1:28" x14ac:dyDescent="0.25">
      <c r="A3083" t="s">
        <v>3087</v>
      </c>
      <c r="B3083">
        <v>0.99876560204751996</v>
      </c>
      <c r="C3083">
        <v>0.99547214676346496</v>
      </c>
      <c r="D3083">
        <v>0.90145719425655602</v>
      </c>
      <c r="E3083">
        <v>0.85156814718691298</v>
      </c>
      <c r="F3083">
        <v>0.58283250187742897</v>
      </c>
      <c r="G3083">
        <v>0.39202189030156398</v>
      </c>
      <c r="H3083">
        <v>0.28524916362357799</v>
      </c>
      <c r="I3083">
        <v>0.25298100226539799</v>
      </c>
      <c r="J3083">
        <v>0.242879313681297</v>
      </c>
      <c r="K3083">
        <v>6.1078193957824198E-2</v>
      </c>
      <c r="L3083">
        <v>740.05787751598098</v>
      </c>
      <c r="M3083">
        <v>13.642346441405</v>
      </c>
      <c r="N3083">
        <v>55.291485959193103</v>
      </c>
      <c r="O3083">
        <v>53.121330428165102</v>
      </c>
      <c r="P3083">
        <v>-5.6919688031452802E-2</v>
      </c>
      <c r="Q3083">
        <v>0.113581530421117</v>
      </c>
      <c r="R3083">
        <v>0.98007381504285296</v>
      </c>
      <c r="S3083" t="s">
        <v>7379</v>
      </c>
      <c r="T3083" t="s">
        <v>8590</v>
      </c>
      <c r="U3083" t="s">
        <v>8590</v>
      </c>
      <c r="V3083" t="s">
        <v>8590</v>
      </c>
      <c r="W3083">
        <v>7</v>
      </c>
      <c r="X3083" t="s">
        <v>11673</v>
      </c>
      <c r="Y3083">
        <v>0.55451144800236241</v>
      </c>
      <c r="Z3083" t="str">
        <f>HYPERLINK("Melting_Curves/meltCurve_sp_Q9H974_QTRD1_HUMAN_.pdf", "Melting_Curves/meltCurve_sp_Q9H974_QTRD1_HUMAN_.pdf")</f>
        <v>Melting_Curves/meltCurve_sp_Q9H974_QTRD1_HUMAN_.pdf</v>
      </c>
      <c r="AA3083" t="s">
        <v>15922</v>
      </c>
      <c r="AB3083" t="s">
        <v>20167</v>
      </c>
    </row>
    <row r="3084" spans="1:28" x14ac:dyDescent="0.25">
      <c r="A3084" t="s">
        <v>3088</v>
      </c>
      <c r="B3084">
        <v>0.99876560204751996</v>
      </c>
      <c r="C3084">
        <v>0.87703387071525896</v>
      </c>
      <c r="D3084">
        <v>0.85001757241138998</v>
      </c>
      <c r="E3084">
        <v>0.307242764387538</v>
      </c>
      <c r="F3084">
        <v>0.14319517236929699</v>
      </c>
      <c r="G3084">
        <v>0.102072551874856</v>
      </c>
      <c r="H3084">
        <v>7.2825611346514205E-2</v>
      </c>
      <c r="I3084">
        <v>6.5020265807491498E-2</v>
      </c>
      <c r="J3084">
        <v>5.6797309656165598E-2</v>
      </c>
      <c r="K3084">
        <v>4.8770548842820997E-2</v>
      </c>
      <c r="L3084">
        <v>1340.0101726753301</v>
      </c>
      <c r="M3084">
        <v>27.743700867012201</v>
      </c>
      <c r="N3084">
        <v>48.541333071011202</v>
      </c>
      <c r="O3084">
        <v>48.050779870449098</v>
      </c>
      <c r="P3084">
        <v>-0.135034268699084</v>
      </c>
      <c r="Q3084">
        <v>6.45165908968173E-2</v>
      </c>
      <c r="R3084">
        <v>0.99150920445549595</v>
      </c>
      <c r="S3084" t="s">
        <v>7380</v>
      </c>
      <c r="T3084" t="s">
        <v>8590</v>
      </c>
      <c r="U3084" t="s">
        <v>8590</v>
      </c>
      <c r="V3084" t="s">
        <v>8590</v>
      </c>
      <c r="W3084">
        <v>9</v>
      </c>
      <c r="X3084" t="s">
        <v>11674</v>
      </c>
      <c r="Y3084">
        <v>0.32996725824376849</v>
      </c>
      <c r="Z3084" t="str">
        <f>HYPERLINK("Melting_Curves/meltCurve_sp_Q9H993_CF211_HUMAN_.pdf", "Melting_Curves/meltCurve_sp_Q9H993_CF211_HUMAN_.pdf")</f>
        <v>Melting_Curves/meltCurve_sp_Q9H993_CF211_HUMAN_.pdf</v>
      </c>
      <c r="AA3084" t="s">
        <v>15923</v>
      </c>
      <c r="AB3084" t="s">
        <v>20168</v>
      </c>
    </row>
    <row r="3085" spans="1:28" x14ac:dyDescent="0.25">
      <c r="A3085" t="s">
        <v>3089</v>
      </c>
      <c r="B3085">
        <v>0.99876560204751996</v>
      </c>
      <c r="C3085">
        <v>1.1095679270110601</v>
      </c>
      <c r="D3085">
        <v>0.96968264639907398</v>
      </c>
      <c r="E3085">
        <v>0.96553795375324103</v>
      </c>
      <c r="F3085">
        <v>0.56080396227923801</v>
      </c>
      <c r="G3085">
        <v>0.21617393539027699</v>
      </c>
      <c r="H3085">
        <v>0.16932717035549399</v>
      </c>
      <c r="I3085">
        <v>0.123819381651163</v>
      </c>
      <c r="J3085">
        <v>0.142844844581551</v>
      </c>
      <c r="K3085">
        <v>0.11783438845107</v>
      </c>
      <c r="L3085">
        <v>2231.4585805439501</v>
      </c>
      <c r="M3085">
        <v>42.090644353412102</v>
      </c>
      <c r="N3085">
        <v>53.444413554880299</v>
      </c>
      <c r="O3085">
        <v>52.896278476352798</v>
      </c>
      <c r="P3085">
        <v>-0.17042049319385699</v>
      </c>
      <c r="Q3085">
        <v>0.143315769687684</v>
      </c>
      <c r="R3085">
        <v>0.99013930071938905</v>
      </c>
      <c r="S3085" t="s">
        <v>7381</v>
      </c>
      <c r="T3085" t="s">
        <v>8590</v>
      </c>
      <c r="U3085" t="s">
        <v>8590</v>
      </c>
      <c r="V3085" t="s">
        <v>8590</v>
      </c>
      <c r="W3085">
        <v>3</v>
      </c>
      <c r="X3085" t="s">
        <v>11675</v>
      </c>
      <c r="Y3085">
        <v>0.51782080231533711</v>
      </c>
      <c r="Z3085" t="str">
        <f>HYPERLINK("Melting_Curves/meltCurve_sp_Q9H9A5_2_CNO10_HUMAN_.pdf", "Melting_Curves/meltCurve_sp_Q9H9A5_2_CNO10_HUMAN_.pdf")</f>
        <v>Melting_Curves/meltCurve_sp_Q9H9A5_2_CNO10_HUMAN_.pdf</v>
      </c>
      <c r="AA3085" t="s">
        <v>15924</v>
      </c>
      <c r="AB3085" t="s">
        <v>20169</v>
      </c>
    </row>
    <row r="3086" spans="1:28" x14ac:dyDescent="0.25">
      <c r="A3086" t="s">
        <v>3090</v>
      </c>
      <c r="B3086">
        <v>0.99876560204751996</v>
      </c>
      <c r="C3086">
        <v>0.94108125194250702</v>
      </c>
      <c r="D3086">
        <v>0.91574435747622795</v>
      </c>
      <c r="E3086">
        <v>0.66996377734462798</v>
      </c>
      <c r="F3086">
        <v>0.25682707280816502</v>
      </c>
      <c r="G3086">
        <v>0.14857861783978199</v>
      </c>
      <c r="H3086">
        <v>9.9920567440342695E-2</v>
      </c>
      <c r="I3086">
        <v>8.8515282402759493E-2</v>
      </c>
      <c r="J3086">
        <v>8.9144501399722895E-2</v>
      </c>
      <c r="K3086">
        <v>7.2809502444679E-2</v>
      </c>
      <c r="L3086">
        <v>1487.54971584447</v>
      </c>
      <c r="M3086">
        <v>29.317661175200101</v>
      </c>
      <c r="N3086">
        <v>51.073128956504902</v>
      </c>
      <c r="O3086">
        <v>50.504704135257697</v>
      </c>
      <c r="P3086">
        <v>-0.132461271485314</v>
      </c>
      <c r="Q3086">
        <v>8.7257109159471394E-2</v>
      </c>
      <c r="R3086">
        <v>0.99475029153415895</v>
      </c>
      <c r="S3086" t="s">
        <v>7382</v>
      </c>
      <c r="T3086" t="s">
        <v>8590</v>
      </c>
      <c r="U3086" t="s">
        <v>8590</v>
      </c>
      <c r="V3086" t="s">
        <v>8590</v>
      </c>
      <c r="W3086">
        <v>17</v>
      </c>
      <c r="X3086" t="s">
        <v>11676</v>
      </c>
      <c r="Y3086">
        <v>0.41997387747787679</v>
      </c>
      <c r="Z3086" t="str">
        <f>HYPERLINK("Melting_Curves/meltCurve_sp_Q9H9A6_LRC40_HUMAN_.pdf", "Melting_Curves/meltCurve_sp_Q9H9A6_LRC40_HUMAN_.pdf")</f>
        <v>Melting_Curves/meltCurve_sp_Q9H9A6_LRC40_HUMAN_.pdf</v>
      </c>
      <c r="AA3086" t="s">
        <v>15925</v>
      </c>
      <c r="AB3086" t="s">
        <v>20170</v>
      </c>
    </row>
    <row r="3087" spans="1:28" x14ac:dyDescent="0.25">
      <c r="A3087" t="s">
        <v>3091</v>
      </c>
      <c r="B3087">
        <v>0.99876560204751996</v>
      </c>
      <c r="C3087">
        <v>0.94826710222466504</v>
      </c>
      <c r="D3087">
        <v>0.98827867579265505</v>
      </c>
      <c r="E3087">
        <v>0.84274836869298697</v>
      </c>
      <c r="F3087">
        <v>0.78231319472483096</v>
      </c>
      <c r="G3087">
        <v>0.56743922743946995</v>
      </c>
      <c r="H3087">
        <v>0.48077652330593801</v>
      </c>
      <c r="I3087">
        <v>0.50401300193865095</v>
      </c>
      <c r="J3087">
        <v>0.59774149256714004</v>
      </c>
      <c r="K3087">
        <v>0.60656242225004298</v>
      </c>
      <c r="L3087">
        <v>1254.63351652246</v>
      </c>
      <c r="M3087">
        <v>24.0319446906298</v>
      </c>
      <c r="O3087">
        <v>51.849441969553197</v>
      </c>
      <c r="P3087">
        <v>-5.3151014335984098E-2</v>
      </c>
      <c r="Q3087">
        <v>0.54130934837966305</v>
      </c>
      <c r="R3087">
        <v>0.94139302472448905</v>
      </c>
      <c r="S3087" t="s">
        <v>7383</v>
      </c>
      <c r="T3087" t="s">
        <v>8590</v>
      </c>
      <c r="U3087" t="s">
        <v>8590</v>
      </c>
      <c r="V3087" t="s">
        <v>8590</v>
      </c>
      <c r="W3087">
        <v>4</v>
      </c>
      <c r="X3087" t="s">
        <v>11677</v>
      </c>
      <c r="Y3087">
        <v>0.73247281542409481</v>
      </c>
      <c r="Z3087" t="str">
        <f>HYPERLINK("Melting_Curves/meltCurve_sp_Q9H9B1_3_EHMT1_HUMAN_.pdf", "Melting_Curves/meltCurve_sp_Q9H9B1_3_EHMT1_HUMAN_.pdf")</f>
        <v>Melting_Curves/meltCurve_sp_Q9H9B1_3_EHMT1_HUMAN_.pdf</v>
      </c>
      <c r="AA3087" t="s">
        <v>15926</v>
      </c>
      <c r="AB3087" t="s">
        <v>20171</v>
      </c>
    </row>
    <row r="3088" spans="1:28" x14ac:dyDescent="0.25">
      <c r="A3088" t="s">
        <v>3092</v>
      </c>
      <c r="B3088">
        <v>0.99876560204751996</v>
      </c>
      <c r="C3088">
        <v>1.0867695196131399</v>
      </c>
      <c r="D3088">
        <v>0.65428967155585405</v>
      </c>
      <c r="E3088">
        <v>0.53492190082888802</v>
      </c>
      <c r="F3088">
        <v>0.34894377318915099</v>
      </c>
      <c r="G3088">
        <v>0.16093278424660701</v>
      </c>
      <c r="H3088">
        <v>0.17241697083101001</v>
      </c>
      <c r="I3088">
        <v>0.127687351103136</v>
      </c>
      <c r="J3088">
        <v>0.126713727051913</v>
      </c>
      <c r="K3088">
        <v>9.3951941398975197E-2</v>
      </c>
      <c r="L3088">
        <v>800.26687680298198</v>
      </c>
      <c r="M3088">
        <v>16.250179737336001</v>
      </c>
      <c r="N3088">
        <v>49.997136544308603</v>
      </c>
      <c r="O3088">
        <v>48.518988276010901</v>
      </c>
      <c r="P3088">
        <v>-7.4674601680249794E-2</v>
      </c>
      <c r="Q3088">
        <v>0.108226914903056</v>
      </c>
      <c r="R3088">
        <v>0.96208792304830704</v>
      </c>
      <c r="S3088" t="s">
        <v>7384</v>
      </c>
      <c r="T3088" t="s">
        <v>8590</v>
      </c>
      <c r="U3088" t="s">
        <v>8590</v>
      </c>
      <c r="V3088" t="s">
        <v>8590</v>
      </c>
      <c r="W3088">
        <v>1</v>
      </c>
      <c r="X3088" t="s">
        <v>11678</v>
      </c>
      <c r="Y3088">
        <v>0.40184902239143871</v>
      </c>
      <c r="Z3088" t="str">
        <f>HYPERLINK("Melting_Curves/meltCurve_sp_Q9H9B4_SFXN1_HUMAN_.pdf", "Melting_Curves/meltCurve_sp_Q9H9B4_SFXN1_HUMAN_.pdf")</f>
        <v>Melting_Curves/meltCurve_sp_Q9H9B4_SFXN1_HUMAN_.pdf</v>
      </c>
      <c r="AA3088" t="s">
        <v>15927</v>
      </c>
      <c r="AB3088" t="s">
        <v>20172</v>
      </c>
    </row>
    <row r="3089" spans="1:28" x14ac:dyDescent="0.25">
      <c r="A3089" t="s">
        <v>3093</v>
      </c>
      <c r="B3089">
        <v>0.99876560204751996</v>
      </c>
      <c r="C3089">
        <v>1.06756456443562</v>
      </c>
      <c r="D3089">
        <v>0.91490703442481502</v>
      </c>
      <c r="E3089">
        <v>0.66570377285280602</v>
      </c>
      <c r="F3089">
        <v>0.41294543920095</v>
      </c>
      <c r="G3089">
        <v>0.31541633670399</v>
      </c>
      <c r="H3089">
        <v>0.21769690170174599</v>
      </c>
      <c r="I3089">
        <v>0.19563559973418099</v>
      </c>
      <c r="J3089">
        <v>0.210150812681733</v>
      </c>
      <c r="K3089">
        <v>0.192596763169257</v>
      </c>
      <c r="L3089">
        <v>1106.50726965544</v>
      </c>
      <c r="M3089">
        <v>21.7969919881238</v>
      </c>
      <c r="N3089">
        <v>52.004917099290303</v>
      </c>
      <c r="O3089">
        <v>50.342741008626597</v>
      </c>
      <c r="P3089">
        <v>-8.6299267016680503E-2</v>
      </c>
      <c r="Q3089">
        <v>0.20274501749966001</v>
      </c>
      <c r="R3089">
        <v>0.99171779739547095</v>
      </c>
      <c r="S3089" t="s">
        <v>7385</v>
      </c>
      <c r="T3089" t="s">
        <v>8590</v>
      </c>
      <c r="U3089" t="s">
        <v>8590</v>
      </c>
      <c r="V3089" t="s">
        <v>8590</v>
      </c>
      <c r="W3089">
        <v>5</v>
      </c>
      <c r="X3089" t="s">
        <v>11679</v>
      </c>
      <c r="Y3089">
        <v>0.49819991564283078</v>
      </c>
      <c r="Z3089" t="str">
        <f>HYPERLINK("Melting_Curves/meltCurve_sp_Q9H9C1_2_SPE39_HUMAN_.pdf", "Melting_Curves/meltCurve_sp_Q9H9C1_2_SPE39_HUMAN_.pdf")</f>
        <v>Melting_Curves/meltCurve_sp_Q9H9C1_2_SPE39_HUMAN_.pdf</v>
      </c>
      <c r="AA3089" t="s">
        <v>15928</v>
      </c>
      <c r="AB3089" t="s">
        <v>20173</v>
      </c>
    </row>
    <row r="3090" spans="1:28" x14ac:dyDescent="0.25">
      <c r="A3090" t="s">
        <v>3094</v>
      </c>
      <c r="B3090">
        <v>0.99876560204751996</v>
      </c>
      <c r="C3090">
        <v>1.01214369233443</v>
      </c>
      <c r="D3090">
        <v>0.79487058334091798</v>
      </c>
      <c r="E3090">
        <v>0.41209374570476498</v>
      </c>
      <c r="F3090">
        <v>0.25474102613078797</v>
      </c>
      <c r="G3090">
        <v>0.14959767943769101</v>
      </c>
      <c r="H3090">
        <v>9.6949943444132505E-2</v>
      </c>
      <c r="I3090">
        <v>8.4674869294353194E-2</v>
      </c>
      <c r="J3090">
        <v>7.5768667196846995E-2</v>
      </c>
      <c r="K3090">
        <v>6.2970142366568699E-2</v>
      </c>
      <c r="L3090">
        <v>1032.15945812942</v>
      </c>
      <c r="M3090">
        <v>21.116826639201399</v>
      </c>
      <c r="N3090">
        <v>49.294904950002703</v>
      </c>
      <c r="O3090">
        <v>48.446530834103797</v>
      </c>
      <c r="P3090">
        <v>-0.100071578435912</v>
      </c>
      <c r="Q3090">
        <v>8.1681556545964498E-2</v>
      </c>
      <c r="R3090">
        <v>0.99584171511007802</v>
      </c>
      <c r="S3090" t="s">
        <v>7386</v>
      </c>
      <c r="T3090" t="s">
        <v>8590</v>
      </c>
      <c r="U3090" t="s">
        <v>8590</v>
      </c>
      <c r="V3090" t="s">
        <v>8590</v>
      </c>
      <c r="W3090">
        <v>7</v>
      </c>
      <c r="X3090" t="s">
        <v>11680</v>
      </c>
      <c r="Y3090">
        <v>0.36498036386852012</v>
      </c>
      <c r="Z3090" t="str">
        <f>HYPERLINK("Melting_Curves/meltCurve_sp_Q9H9E3_COG4_HUMAN_.pdf", "Melting_Curves/meltCurve_sp_Q9H9E3_COG4_HUMAN_.pdf")</f>
        <v>Melting_Curves/meltCurve_sp_Q9H9E3_COG4_HUMAN_.pdf</v>
      </c>
      <c r="AA3090" t="s">
        <v>15929</v>
      </c>
      <c r="AB3090" t="s">
        <v>20174</v>
      </c>
    </row>
    <row r="3091" spans="1:28" x14ac:dyDescent="0.25">
      <c r="A3091" t="s">
        <v>3095</v>
      </c>
      <c r="B3091">
        <v>0.99876560204751996</v>
      </c>
      <c r="C3091">
        <v>1.0497650403412999</v>
      </c>
      <c r="D3091">
        <v>0.93642432608140402</v>
      </c>
      <c r="E3091">
        <v>0.89913598861258004</v>
      </c>
      <c r="F3091">
        <v>1.0574362508141899</v>
      </c>
      <c r="G3091">
        <v>0.97618789515832105</v>
      </c>
      <c r="H3091">
        <v>0.66586303529401403</v>
      </c>
      <c r="I3091">
        <v>0.67294208954044898</v>
      </c>
      <c r="J3091">
        <v>0.60000448043690402</v>
      </c>
      <c r="K3091">
        <v>0.28396126290982998</v>
      </c>
      <c r="L3091">
        <v>910.64799312236198</v>
      </c>
      <c r="M3091">
        <v>13.6053636170596</v>
      </c>
      <c r="N3091">
        <v>66.933025059521697</v>
      </c>
      <c r="O3091">
        <v>65.536663899332495</v>
      </c>
      <c r="P3091">
        <v>-5.1907496611029197E-2</v>
      </c>
      <c r="Q3091">
        <v>0</v>
      </c>
      <c r="R3091">
        <v>0.89905099894738105</v>
      </c>
      <c r="S3091" t="s">
        <v>7387</v>
      </c>
      <c r="T3091" t="s">
        <v>8590</v>
      </c>
      <c r="U3091" t="s">
        <v>8590</v>
      </c>
      <c r="V3091" t="s">
        <v>8590</v>
      </c>
      <c r="W3091">
        <v>12</v>
      </c>
      <c r="X3091" t="s">
        <v>11681</v>
      </c>
      <c r="Y3091">
        <v>0.84372699872661527</v>
      </c>
      <c r="Z3091" t="str">
        <f>HYPERLINK("Melting_Curves/meltCurve_sp_Q9H9G7_AGO3_HUMAN_.pdf", "Melting_Curves/meltCurve_sp_Q9H9G7_AGO3_HUMAN_.pdf")</f>
        <v>Melting_Curves/meltCurve_sp_Q9H9G7_AGO3_HUMAN_.pdf</v>
      </c>
      <c r="AA3091" t="s">
        <v>15930</v>
      </c>
      <c r="AB3091" t="s">
        <v>20175</v>
      </c>
    </row>
    <row r="3092" spans="1:28" x14ac:dyDescent="0.25">
      <c r="A3092" t="s">
        <v>3096</v>
      </c>
      <c r="B3092">
        <v>0.99876560204751996</v>
      </c>
      <c r="C3092">
        <v>1.2518108979782501</v>
      </c>
      <c r="D3092">
        <v>0.918100467352441</v>
      </c>
      <c r="E3092">
        <v>1.4667294798456301</v>
      </c>
      <c r="F3092">
        <v>0.97386910889701095</v>
      </c>
      <c r="G3092">
        <v>0.70240694551651495</v>
      </c>
      <c r="H3092">
        <v>0.30747483714735502</v>
      </c>
      <c r="I3092">
        <v>0.113121380838206</v>
      </c>
      <c r="J3092">
        <v>3.46962958453811E-2</v>
      </c>
      <c r="K3092">
        <v>1.6792982693019001E-2</v>
      </c>
      <c r="L3092">
        <v>1750.0056993271701</v>
      </c>
      <c r="M3092">
        <v>29.672161730031799</v>
      </c>
      <c r="N3092">
        <v>59.044838481318003</v>
      </c>
      <c r="O3092">
        <v>58.7120981692876</v>
      </c>
      <c r="P3092">
        <v>-0.124261209067417</v>
      </c>
      <c r="Q3092">
        <v>1.6507628127552399E-2</v>
      </c>
      <c r="R3092">
        <v>0.88245758603709901</v>
      </c>
      <c r="S3092" t="s">
        <v>7388</v>
      </c>
      <c r="T3092" t="s">
        <v>8590</v>
      </c>
      <c r="U3092" t="s">
        <v>8590</v>
      </c>
      <c r="V3092" t="s">
        <v>8590</v>
      </c>
      <c r="W3092">
        <v>1</v>
      </c>
      <c r="X3092" t="s">
        <v>11682</v>
      </c>
      <c r="Y3092">
        <v>0.64507541828300097</v>
      </c>
      <c r="Z3092" t="str">
        <f>HYPERLINK("Melting_Curves/meltCurve_sp_Q9H9J2_RM44_HUMAN_.pdf", "Melting_Curves/meltCurve_sp_Q9H9J2_RM44_HUMAN_.pdf")</f>
        <v>Melting_Curves/meltCurve_sp_Q9H9J2_RM44_HUMAN_.pdf</v>
      </c>
      <c r="AA3092" t="s">
        <v>15931</v>
      </c>
      <c r="AB3092" t="s">
        <v>20176</v>
      </c>
    </row>
    <row r="3093" spans="1:28" x14ac:dyDescent="0.25">
      <c r="A3093" t="s">
        <v>3097</v>
      </c>
      <c r="B3093">
        <v>0.99876560204751996</v>
      </c>
      <c r="C3093">
        <v>0.88677593603458504</v>
      </c>
      <c r="D3093">
        <v>1.03948218447915</v>
      </c>
      <c r="E3093">
        <v>0.90674546083741803</v>
      </c>
      <c r="F3093">
        <v>1.00015437097698</v>
      </c>
      <c r="G3093">
        <v>0.68306127061503297</v>
      </c>
      <c r="H3093">
        <v>0.60426843008778697</v>
      </c>
      <c r="I3093">
        <v>0.55697424711720001</v>
      </c>
      <c r="J3093">
        <v>0.68140317228593505</v>
      </c>
      <c r="K3093">
        <v>0.759849398583753</v>
      </c>
      <c r="L3093">
        <v>14120.074499361301</v>
      </c>
      <c r="M3093">
        <v>250</v>
      </c>
      <c r="O3093">
        <v>56.4766837468269</v>
      </c>
      <c r="P3093">
        <v>-0.38663764150267099</v>
      </c>
      <c r="Q3093">
        <v>0.65062381225341503</v>
      </c>
      <c r="R3093">
        <v>0.83330439068725803</v>
      </c>
      <c r="S3093" t="s">
        <v>7389</v>
      </c>
      <c r="T3093" t="s">
        <v>8590</v>
      </c>
      <c r="U3093" t="s">
        <v>8590</v>
      </c>
      <c r="V3093" t="s">
        <v>8590</v>
      </c>
      <c r="W3093">
        <v>1</v>
      </c>
      <c r="X3093" t="s">
        <v>11683</v>
      </c>
      <c r="Y3093">
        <v>0.84258589937775885</v>
      </c>
      <c r="Z3093" t="str">
        <f>HYPERLINK("Melting_Curves/meltCurve_sp_Q9H9L3_I20L2_HUMAN_.pdf", "Melting_Curves/meltCurve_sp_Q9H9L3_I20L2_HUMAN_.pdf")</f>
        <v>Melting_Curves/meltCurve_sp_Q9H9L3_I20L2_HUMAN_.pdf</v>
      </c>
      <c r="AA3093" t="s">
        <v>15932</v>
      </c>
      <c r="AB3093" t="s">
        <v>20177</v>
      </c>
    </row>
    <row r="3094" spans="1:28" x14ac:dyDescent="0.25">
      <c r="A3094" t="s">
        <v>3098</v>
      </c>
      <c r="B3094">
        <v>0.99876560204751996</v>
      </c>
      <c r="C3094">
        <v>1.08384615040014</v>
      </c>
      <c r="D3094">
        <v>0.93413808920298402</v>
      </c>
      <c r="E3094">
        <v>0.80049492327643101</v>
      </c>
      <c r="F3094">
        <v>0.539705680325829</v>
      </c>
      <c r="G3094">
        <v>0.20370089543248401</v>
      </c>
      <c r="H3094">
        <v>0.106293915737183</v>
      </c>
      <c r="I3094">
        <v>6.8957675020394404E-2</v>
      </c>
      <c r="J3094">
        <v>6.0459397821594103E-2</v>
      </c>
      <c r="K3094">
        <v>2.1073643692282901E-2</v>
      </c>
      <c r="L3094">
        <v>1140.8450395575401</v>
      </c>
      <c r="M3094">
        <v>21.472626740530401</v>
      </c>
      <c r="N3094">
        <v>53.322499207996998</v>
      </c>
      <c r="O3094">
        <v>52.675833633720202</v>
      </c>
      <c r="P3094">
        <v>-9.8114875879364502E-2</v>
      </c>
      <c r="Q3094">
        <v>3.7256889711508E-2</v>
      </c>
      <c r="R3094">
        <v>0.99406204917170604</v>
      </c>
      <c r="S3094" t="s">
        <v>7390</v>
      </c>
      <c r="T3094" t="s">
        <v>8590</v>
      </c>
      <c r="U3094" t="s">
        <v>8590</v>
      </c>
      <c r="V3094" t="s">
        <v>8590</v>
      </c>
      <c r="W3094">
        <v>5</v>
      </c>
      <c r="X3094" t="s">
        <v>11684</v>
      </c>
      <c r="Y3094">
        <v>0.4703222297659222</v>
      </c>
      <c r="Z3094" t="str">
        <f>HYPERLINK("Melting_Curves/meltCurve_sp_Q9H9T3_2_ELP3_HUMAN_.pdf", "Melting_Curves/meltCurve_sp_Q9H9T3_2_ELP3_HUMAN_.pdf")</f>
        <v>Melting_Curves/meltCurve_sp_Q9H9T3_2_ELP3_HUMAN_.pdf</v>
      </c>
      <c r="AA3094" t="s">
        <v>15933</v>
      </c>
      <c r="AB3094" t="s">
        <v>20178</v>
      </c>
    </row>
    <row r="3095" spans="1:28" x14ac:dyDescent="0.25">
      <c r="A3095" t="s">
        <v>3099</v>
      </c>
      <c r="B3095">
        <v>0.99876560204751996</v>
      </c>
      <c r="C3095">
        <v>0.93973473068850499</v>
      </c>
      <c r="D3095">
        <v>0.91536494754476305</v>
      </c>
      <c r="E3095">
        <v>0.70197870773073101</v>
      </c>
      <c r="F3095">
        <v>0.54791213908204195</v>
      </c>
      <c r="G3095">
        <v>0.39669708058050801</v>
      </c>
      <c r="H3095">
        <v>0.26627640595133301</v>
      </c>
      <c r="I3095">
        <v>0.182641337855733</v>
      </c>
      <c r="J3095">
        <v>0.20300409565571101</v>
      </c>
      <c r="K3095">
        <v>0.15416650321235201</v>
      </c>
      <c r="L3095">
        <v>671.72997417527904</v>
      </c>
      <c r="M3095">
        <v>12.6906611739642</v>
      </c>
      <c r="N3095">
        <v>54.141400518425002</v>
      </c>
      <c r="O3095">
        <v>51.668369680073603</v>
      </c>
      <c r="P3095">
        <v>-5.3831055130348901E-2</v>
      </c>
      <c r="Q3095">
        <v>0.12350560811325199</v>
      </c>
      <c r="R3095">
        <v>0.99661521112666995</v>
      </c>
      <c r="S3095" t="s">
        <v>7391</v>
      </c>
      <c r="T3095" t="s">
        <v>8590</v>
      </c>
      <c r="U3095" t="s">
        <v>8590</v>
      </c>
      <c r="V3095" t="s">
        <v>8590</v>
      </c>
      <c r="W3095">
        <v>1</v>
      </c>
      <c r="X3095" t="s">
        <v>11685</v>
      </c>
      <c r="Y3095">
        <v>0.52481294119850164</v>
      </c>
      <c r="Z3095" t="str">
        <f>HYPERLINK("Melting_Curves/meltCurve_sp_Q9HA47_3_UCK1_HUMAN_.pdf", "Melting_Curves/meltCurve_sp_Q9HA47_3_UCK1_HUMAN_.pdf")</f>
        <v>Melting_Curves/meltCurve_sp_Q9HA47_3_UCK1_HUMAN_.pdf</v>
      </c>
      <c r="AA3095" t="s">
        <v>15934</v>
      </c>
      <c r="AB3095" t="s">
        <v>20179</v>
      </c>
    </row>
    <row r="3096" spans="1:28" x14ac:dyDescent="0.25">
      <c r="A3096" t="s">
        <v>3100</v>
      </c>
      <c r="B3096">
        <v>0.99876560204751996</v>
      </c>
      <c r="C3096">
        <v>0.98426185305464198</v>
      </c>
      <c r="D3096">
        <v>1.0519363278795899</v>
      </c>
      <c r="E3096">
        <v>0.88917788037031298</v>
      </c>
      <c r="F3096">
        <v>0.96220831859996503</v>
      </c>
      <c r="G3096">
        <v>0.75183620506081905</v>
      </c>
      <c r="H3096">
        <v>0.42716841039025399</v>
      </c>
      <c r="I3096">
        <v>0.162593834391796</v>
      </c>
      <c r="J3096">
        <v>7.6003071998700503E-2</v>
      </c>
      <c r="K3096">
        <v>8.1095755834713901E-2</v>
      </c>
      <c r="L3096">
        <v>1372.9085256072999</v>
      </c>
      <c r="M3096">
        <v>22.967986685841701</v>
      </c>
      <c r="N3096">
        <v>59.874074973301497</v>
      </c>
      <c r="O3096">
        <v>59.327297249888503</v>
      </c>
      <c r="P3096">
        <v>-9.4980027598348796E-2</v>
      </c>
      <c r="Q3096">
        <v>1.8668845370140599E-2</v>
      </c>
      <c r="R3096">
        <v>0.98910103451406906</v>
      </c>
      <c r="S3096" t="s">
        <v>7392</v>
      </c>
      <c r="T3096" t="s">
        <v>8590</v>
      </c>
      <c r="U3096" t="s">
        <v>8590</v>
      </c>
      <c r="V3096" t="s">
        <v>8590</v>
      </c>
      <c r="W3096">
        <v>8</v>
      </c>
      <c r="X3096" t="s">
        <v>11686</v>
      </c>
      <c r="Y3096">
        <v>0.67356148084365663</v>
      </c>
      <c r="Z3096" t="str">
        <f>HYPERLINK("Melting_Curves/meltCurve_sp_Q9HA64_KT3K_HUMAN_.pdf", "Melting_Curves/meltCurve_sp_Q9HA64_KT3K_HUMAN_.pdf")</f>
        <v>Melting_Curves/meltCurve_sp_Q9HA64_KT3K_HUMAN_.pdf</v>
      </c>
      <c r="AA3096" t="s">
        <v>15935</v>
      </c>
      <c r="AB3096" t="s">
        <v>20180</v>
      </c>
    </row>
    <row r="3097" spans="1:28" x14ac:dyDescent="0.25">
      <c r="A3097" t="s">
        <v>3101</v>
      </c>
      <c r="B3097">
        <v>0.99876560204751996</v>
      </c>
      <c r="C3097">
        <v>0.98872638846078997</v>
      </c>
      <c r="D3097">
        <v>0.85322506251033703</v>
      </c>
      <c r="E3097">
        <v>0.66425736538622904</v>
      </c>
      <c r="F3097">
        <v>0.44701859766519197</v>
      </c>
      <c r="G3097">
        <v>0.26719608718230198</v>
      </c>
      <c r="H3097">
        <v>0.17173464544864001</v>
      </c>
      <c r="I3097">
        <v>6.2691507970471405E-2</v>
      </c>
      <c r="J3097">
        <v>0.103221684404639</v>
      </c>
      <c r="K3097">
        <v>6.4421824520424303E-2</v>
      </c>
      <c r="L3097">
        <v>745.86417884656498</v>
      </c>
      <c r="M3097">
        <v>14.337662149154999</v>
      </c>
      <c r="N3097">
        <v>52.363476199775903</v>
      </c>
      <c r="O3097">
        <v>51.040729889186203</v>
      </c>
      <c r="P3097">
        <v>-6.7094477333113994E-2</v>
      </c>
      <c r="Q3097">
        <v>4.4715033522380501E-2</v>
      </c>
      <c r="R3097">
        <v>0.99642144447723202</v>
      </c>
      <c r="S3097" t="s">
        <v>7393</v>
      </c>
      <c r="T3097" t="s">
        <v>8590</v>
      </c>
      <c r="U3097" t="s">
        <v>8590</v>
      </c>
      <c r="V3097" t="s">
        <v>8590</v>
      </c>
      <c r="W3097">
        <v>4</v>
      </c>
      <c r="X3097" t="s">
        <v>11687</v>
      </c>
      <c r="Y3097">
        <v>0.45034619808888998</v>
      </c>
      <c r="Z3097" t="str">
        <f>HYPERLINK("Melting_Curves/meltCurve_sp_Q9HA65_TBC17_HUMAN_.pdf", "Melting_Curves/meltCurve_sp_Q9HA65_TBC17_HUMAN_.pdf")</f>
        <v>Melting_Curves/meltCurve_sp_Q9HA65_TBC17_HUMAN_.pdf</v>
      </c>
      <c r="AA3097" t="s">
        <v>15936</v>
      </c>
      <c r="AB3097" t="s">
        <v>20181</v>
      </c>
    </row>
    <row r="3098" spans="1:28" x14ac:dyDescent="0.25">
      <c r="A3098" t="s">
        <v>3102</v>
      </c>
      <c r="B3098">
        <v>0.99876560204751996</v>
      </c>
      <c r="C3098">
        <v>0.94685802481831105</v>
      </c>
      <c r="D3098">
        <v>0.87886542347567798</v>
      </c>
      <c r="E3098">
        <v>0.96050194752344498</v>
      </c>
      <c r="F3098">
        <v>0.82786145278505097</v>
      </c>
      <c r="G3098">
        <v>0.60980224204538003</v>
      </c>
      <c r="H3098">
        <v>0.27439386963147899</v>
      </c>
      <c r="I3098">
        <v>0.115262168572065</v>
      </c>
      <c r="J3098">
        <v>6.0679364706130202E-2</v>
      </c>
      <c r="K3098">
        <v>4.8352650733732599E-2</v>
      </c>
      <c r="L3098">
        <v>1100.8481988456599</v>
      </c>
      <c r="M3098">
        <v>19.002318089789402</v>
      </c>
      <c r="N3098">
        <v>57.932312735050601</v>
      </c>
      <c r="O3098">
        <v>57.302160331485702</v>
      </c>
      <c r="P3098">
        <v>-8.2907324579097802E-2</v>
      </c>
      <c r="Q3098">
        <v>0</v>
      </c>
      <c r="R3098">
        <v>0.98742512702905305</v>
      </c>
      <c r="S3098" t="s">
        <v>7394</v>
      </c>
      <c r="T3098" t="s">
        <v>8590</v>
      </c>
      <c r="U3098" t="s">
        <v>8590</v>
      </c>
      <c r="V3098" t="s">
        <v>8590</v>
      </c>
      <c r="W3098">
        <v>20</v>
      </c>
      <c r="X3098" t="s">
        <v>11688</v>
      </c>
      <c r="Y3098">
        <v>0.60969301427276801</v>
      </c>
      <c r="Z3098" t="str">
        <f>HYPERLINK("Melting_Curves/meltCurve_sp_Q9HA77_SYCM_HUMAN_.pdf", "Melting_Curves/meltCurve_sp_Q9HA77_SYCM_HUMAN_.pdf")</f>
        <v>Melting_Curves/meltCurve_sp_Q9HA77_SYCM_HUMAN_.pdf</v>
      </c>
      <c r="AA3098" t="s">
        <v>15937</v>
      </c>
      <c r="AB3098" t="s">
        <v>20182</v>
      </c>
    </row>
    <row r="3099" spans="1:28" x14ac:dyDescent="0.25">
      <c r="A3099" t="s">
        <v>3103</v>
      </c>
      <c r="B3099">
        <v>0.99876560204751996</v>
      </c>
      <c r="C3099">
        <v>0.93420812605280701</v>
      </c>
      <c r="D3099">
        <v>0.97403540074445605</v>
      </c>
      <c r="E3099">
        <v>0.80535081740852799</v>
      </c>
      <c r="F3099">
        <v>0.45196719245651201</v>
      </c>
      <c r="G3099">
        <v>0.124682635017498</v>
      </c>
      <c r="H3099">
        <v>6.8222803069749594E-2</v>
      </c>
      <c r="I3099">
        <v>4.8155016836855198E-2</v>
      </c>
      <c r="J3099">
        <v>4.0369670887694997E-2</v>
      </c>
      <c r="K3099">
        <v>3.2596266742484101E-2</v>
      </c>
      <c r="L3099">
        <v>1450.81768437708</v>
      </c>
      <c r="M3099">
        <v>27.661917463399799</v>
      </c>
      <c r="N3099">
        <v>52.599669481860097</v>
      </c>
      <c r="O3099">
        <v>52.1763649845091</v>
      </c>
      <c r="P3099">
        <v>-0.12746732301403299</v>
      </c>
      <c r="Q3099">
        <v>3.82843630858632E-2</v>
      </c>
      <c r="R3099">
        <v>0.99742324003757998</v>
      </c>
      <c r="S3099" t="s">
        <v>7395</v>
      </c>
      <c r="T3099" t="s">
        <v>8590</v>
      </c>
      <c r="U3099" t="s">
        <v>8590</v>
      </c>
      <c r="V3099" t="s">
        <v>8590</v>
      </c>
      <c r="W3099">
        <v>10</v>
      </c>
      <c r="X3099" t="s">
        <v>11689</v>
      </c>
      <c r="Y3099">
        <v>0.4445926213655661</v>
      </c>
      <c r="Z3099" t="str">
        <f>HYPERLINK("Melting_Curves/meltCurve_sp_Q9HAB8_PPCS_HUMAN_.pdf", "Melting_Curves/meltCurve_sp_Q9HAB8_PPCS_HUMAN_.pdf")</f>
        <v>Melting_Curves/meltCurve_sp_Q9HAB8_PPCS_HUMAN_.pdf</v>
      </c>
      <c r="AA3099" t="s">
        <v>15938</v>
      </c>
      <c r="AB3099" t="s">
        <v>20183</v>
      </c>
    </row>
    <row r="3100" spans="1:28" x14ac:dyDescent="0.25">
      <c r="A3100" t="s">
        <v>3104</v>
      </c>
      <c r="B3100">
        <v>0.99876560204751996</v>
      </c>
      <c r="C3100">
        <v>1.0052531769080699</v>
      </c>
      <c r="D3100">
        <v>0.96793737716113104</v>
      </c>
      <c r="E3100">
        <v>0.77243973723551995</v>
      </c>
      <c r="F3100">
        <v>0.28268929938543302</v>
      </c>
      <c r="G3100">
        <v>0.11787752125010099</v>
      </c>
      <c r="H3100">
        <v>7.4296602737341802E-2</v>
      </c>
      <c r="I3100">
        <v>5.6652181583117002E-2</v>
      </c>
      <c r="J3100">
        <v>5.4223760629477903E-2</v>
      </c>
      <c r="K3100">
        <v>3.7647740593886099E-2</v>
      </c>
      <c r="L3100">
        <v>1942.9563146323601</v>
      </c>
      <c r="M3100">
        <v>37.767788423238201</v>
      </c>
      <c r="N3100">
        <v>51.6236592569661</v>
      </c>
      <c r="O3100">
        <v>51.301206495712897</v>
      </c>
      <c r="P3100">
        <v>-0.17276252758274499</v>
      </c>
      <c r="Q3100">
        <v>6.1326769122910997E-2</v>
      </c>
      <c r="R3100">
        <v>0.99852232912349104</v>
      </c>
      <c r="S3100" t="s">
        <v>7396</v>
      </c>
      <c r="T3100" t="s">
        <v>8590</v>
      </c>
      <c r="U3100" t="s">
        <v>8590</v>
      </c>
      <c r="V3100" t="s">
        <v>8590</v>
      </c>
      <c r="W3100">
        <v>6</v>
      </c>
      <c r="X3100" t="s">
        <v>11690</v>
      </c>
      <c r="Y3100">
        <v>0.42317032909288721</v>
      </c>
      <c r="Z3100" t="str">
        <f>HYPERLINK("Melting_Curves/meltCurve_sp_Q9HAC7_4_CG010_HUMAN_.pdf", "Melting_Curves/meltCurve_sp_Q9HAC7_4_CG010_HUMAN_.pdf")</f>
        <v>Melting_Curves/meltCurve_sp_Q9HAC7_4_CG010_HUMAN_.pdf</v>
      </c>
      <c r="AA3100" t="s">
        <v>15939</v>
      </c>
      <c r="AB3100" t="s">
        <v>20184</v>
      </c>
    </row>
    <row r="3101" spans="1:28" x14ac:dyDescent="0.25">
      <c r="A3101" t="s">
        <v>3105</v>
      </c>
      <c r="B3101">
        <v>0.99876560204751996</v>
      </c>
      <c r="C3101">
        <v>0.93611849055046104</v>
      </c>
      <c r="D3101">
        <v>1.00174456388808</v>
      </c>
      <c r="E3101">
        <v>0.81538901193532998</v>
      </c>
      <c r="F3101">
        <v>0.44616101551331599</v>
      </c>
      <c r="G3101">
        <v>0.34885797770485999</v>
      </c>
      <c r="H3101">
        <v>0.19367377540259001</v>
      </c>
      <c r="I3101">
        <v>0.17444943951280301</v>
      </c>
      <c r="J3101">
        <v>0.20458757308644099</v>
      </c>
      <c r="K3101">
        <v>0.175857817781093</v>
      </c>
      <c r="L3101">
        <v>1346.4503632644801</v>
      </c>
      <c r="M3101">
        <v>25.898791287651701</v>
      </c>
      <c r="N3101">
        <v>52.985243858949303</v>
      </c>
      <c r="O3101">
        <v>51.681935393598003</v>
      </c>
      <c r="P3101">
        <v>-0.10113186445653601</v>
      </c>
      <c r="Q3101">
        <v>0.19276084119317499</v>
      </c>
      <c r="R3101">
        <v>0.986792768977931</v>
      </c>
      <c r="S3101" t="s">
        <v>7397</v>
      </c>
      <c r="T3101" t="s">
        <v>8590</v>
      </c>
      <c r="U3101" t="s">
        <v>8590</v>
      </c>
      <c r="V3101" t="s">
        <v>8590</v>
      </c>
      <c r="W3101">
        <v>1</v>
      </c>
      <c r="X3101" t="s">
        <v>11691</v>
      </c>
      <c r="Y3101">
        <v>0.52224084836334317</v>
      </c>
      <c r="Z3101" t="str">
        <f>HYPERLINK("Melting_Curves/meltCurve_sp_Q9HAJ7_2_SP30L_HUMAN_.pdf", "Melting_Curves/meltCurve_sp_Q9HAJ7_2_SP30L_HUMAN_.pdf")</f>
        <v>Melting_Curves/meltCurve_sp_Q9HAJ7_2_SP30L_HUMAN_.pdf</v>
      </c>
      <c r="AA3101" t="s">
        <v>15940</v>
      </c>
      <c r="AB3101" t="s">
        <v>20185</v>
      </c>
    </row>
    <row r="3102" spans="1:28" x14ac:dyDescent="0.25">
      <c r="A3102" t="s">
        <v>3106</v>
      </c>
      <c r="B3102">
        <v>0.99876560204751996</v>
      </c>
      <c r="C3102">
        <v>1.57945613384822</v>
      </c>
      <c r="D3102">
        <v>0.804661235322775</v>
      </c>
      <c r="E3102">
        <v>0.77299333344310395</v>
      </c>
      <c r="F3102">
        <v>1.2387481474201301</v>
      </c>
      <c r="G3102">
        <v>1.1882618734503601</v>
      </c>
      <c r="H3102">
        <v>0.39273071101277102</v>
      </c>
      <c r="I3102">
        <v>0.781740537278096</v>
      </c>
      <c r="J3102">
        <v>0</v>
      </c>
      <c r="K3102">
        <v>0</v>
      </c>
      <c r="L3102">
        <v>1691.1119880122901</v>
      </c>
      <c r="M3102">
        <v>26.720139215871299</v>
      </c>
      <c r="N3102">
        <v>63.289789636083498</v>
      </c>
      <c r="O3102">
        <v>62.938498799927899</v>
      </c>
      <c r="P3102">
        <v>-0.10613703063223399</v>
      </c>
      <c r="Q3102">
        <v>0</v>
      </c>
      <c r="R3102">
        <v>0.661878669123802</v>
      </c>
      <c r="S3102" t="s">
        <v>7398</v>
      </c>
      <c r="T3102" t="s">
        <v>8590</v>
      </c>
      <c r="U3102" t="s">
        <v>8590</v>
      </c>
      <c r="V3102" t="s">
        <v>8590</v>
      </c>
      <c r="W3102">
        <v>2</v>
      </c>
      <c r="X3102" t="s">
        <v>11692</v>
      </c>
      <c r="Y3102">
        <v>0.77836449877615521</v>
      </c>
      <c r="Z3102" t="str">
        <f>HYPERLINK("Melting_Curves/meltCurve_sp_Q9HAN9_NMNA1_HUMAN_.pdf", "Melting_Curves/meltCurve_sp_Q9HAN9_NMNA1_HUMAN_.pdf")</f>
        <v>Melting_Curves/meltCurve_sp_Q9HAN9_NMNA1_HUMAN_.pdf</v>
      </c>
      <c r="AA3102" t="s">
        <v>15941</v>
      </c>
      <c r="AB3102" t="s">
        <v>20186</v>
      </c>
    </row>
    <row r="3103" spans="1:28" x14ac:dyDescent="0.25">
      <c r="A3103" t="s">
        <v>3107</v>
      </c>
      <c r="B3103">
        <v>0.99876560204751996</v>
      </c>
      <c r="C3103">
        <v>0.85874829893772997</v>
      </c>
      <c r="D3103">
        <v>0.83889665105159394</v>
      </c>
      <c r="E3103">
        <v>0.865740041061971</v>
      </c>
      <c r="F3103">
        <v>0.81808084972567396</v>
      </c>
      <c r="G3103">
        <v>0.72535454442361502</v>
      </c>
      <c r="H3103">
        <v>0.58481774750732196</v>
      </c>
      <c r="I3103">
        <v>0.32812049700053603</v>
      </c>
      <c r="J3103">
        <v>0.137439299739855</v>
      </c>
      <c r="K3103">
        <v>7.3327193781250494E-2</v>
      </c>
      <c r="L3103">
        <v>804.55727059512901</v>
      </c>
      <c r="M3103">
        <v>13.293434536925499</v>
      </c>
      <c r="N3103">
        <v>60.522904730522903</v>
      </c>
      <c r="O3103">
        <v>59.202488213475903</v>
      </c>
      <c r="P3103">
        <v>-5.6144547086971502E-2</v>
      </c>
      <c r="Q3103">
        <v>0</v>
      </c>
      <c r="R3103">
        <v>0.92549162341235802</v>
      </c>
      <c r="S3103" t="s">
        <v>7399</v>
      </c>
      <c r="T3103" t="s">
        <v>8590</v>
      </c>
      <c r="U3103" t="s">
        <v>8590</v>
      </c>
      <c r="V3103" t="s">
        <v>8590</v>
      </c>
      <c r="W3103">
        <v>6</v>
      </c>
      <c r="X3103" t="s">
        <v>11693</v>
      </c>
      <c r="Y3103">
        <v>0.6862218432023558</v>
      </c>
      <c r="Z3103" t="str">
        <f>HYPERLINK("Melting_Curves/meltCurve_sp_Q9HAT2_2_SIAE_HUMAN_.pdf", "Melting_Curves/meltCurve_sp_Q9HAT2_2_SIAE_HUMAN_.pdf")</f>
        <v>Melting_Curves/meltCurve_sp_Q9HAT2_2_SIAE_HUMAN_.pdf</v>
      </c>
      <c r="AA3103" t="s">
        <v>15942</v>
      </c>
      <c r="AB3103" t="s">
        <v>20187</v>
      </c>
    </row>
    <row r="3104" spans="1:28" x14ac:dyDescent="0.25">
      <c r="A3104" t="s">
        <v>3108</v>
      </c>
      <c r="B3104">
        <v>0.99876560204751996</v>
      </c>
      <c r="C3104">
        <v>1.1791761850659701</v>
      </c>
      <c r="D3104">
        <v>1.50630063109393</v>
      </c>
      <c r="E3104">
        <v>0.77112693220490602</v>
      </c>
      <c r="F3104">
        <v>0.791758447864508</v>
      </c>
      <c r="G3104">
        <v>0.46104865179580901</v>
      </c>
      <c r="H3104">
        <v>0.39848964963823802</v>
      </c>
      <c r="I3104">
        <v>0.34634713109529902</v>
      </c>
      <c r="J3104">
        <v>0.46066777550893201</v>
      </c>
      <c r="K3104">
        <v>0.47974368653528898</v>
      </c>
      <c r="L3104">
        <v>1599.5715062698901</v>
      </c>
      <c r="M3104">
        <v>30.0467806268787</v>
      </c>
      <c r="N3104">
        <v>56.581690852131601</v>
      </c>
      <c r="O3104">
        <v>53.001892619319698</v>
      </c>
      <c r="P3104">
        <v>-8.2853239326473593E-2</v>
      </c>
      <c r="Q3104">
        <v>0.41539823338699899</v>
      </c>
      <c r="R3104">
        <v>0.75105808818063502</v>
      </c>
      <c r="S3104" t="s">
        <v>7400</v>
      </c>
      <c r="T3104" t="s">
        <v>8590</v>
      </c>
      <c r="U3104" t="s">
        <v>8590</v>
      </c>
      <c r="V3104" t="s">
        <v>8590</v>
      </c>
      <c r="W3104">
        <v>6</v>
      </c>
      <c r="X3104" t="s">
        <v>11694</v>
      </c>
      <c r="Y3104">
        <v>0.67711715413053697</v>
      </c>
      <c r="Z3104" t="str">
        <f>HYPERLINK("Melting_Curves/meltCurve_sp_Q9HAU0_PKHA5_HUMAN_.pdf", "Melting_Curves/meltCurve_sp_Q9HAU0_PKHA5_HUMAN_.pdf")</f>
        <v>Melting_Curves/meltCurve_sp_Q9HAU0_PKHA5_HUMAN_.pdf</v>
      </c>
      <c r="AA3104" t="s">
        <v>15943</v>
      </c>
      <c r="AB3104" t="s">
        <v>20188</v>
      </c>
    </row>
    <row r="3105" spans="1:28" x14ac:dyDescent="0.25">
      <c r="A3105" t="s">
        <v>3109</v>
      </c>
      <c r="B3105">
        <v>0.99876560204751996</v>
      </c>
      <c r="C3105">
        <v>1.1199921464698399</v>
      </c>
      <c r="D3105">
        <v>0.98896163099670698</v>
      </c>
      <c r="E3105">
        <v>0.81397911289517699</v>
      </c>
      <c r="F3105">
        <v>0.40510699342519202</v>
      </c>
      <c r="G3105">
        <v>0.17694811948151001</v>
      </c>
      <c r="H3105">
        <v>8.7081919672177904E-2</v>
      </c>
      <c r="I3105">
        <v>6.41519791143257E-2</v>
      </c>
      <c r="J3105">
        <v>5.0263222496990903E-2</v>
      </c>
      <c r="K3105">
        <v>5.6471102582124198E-2</v>
      </c>
      <c r="L3105">
        <v>1553.8801161456599</v>
      </c>
      <c r="M3105">
        <v>29.7770839342468</v>
      </c>
      <c r="N3105">
        <v>52.435627619137797</v>
      </c>
      <c r="O3105">
        <v>51.950078737201601</v>
      </c>
      <c r="P3105">
        <v>-0.13374869238412099</v>
      </c>
      <c r="Q3105">
        <v>6.6636457907123497E-2</v>
      </c>
      <c r="R3105">
        <v>0.99037860150892099</v>
      </c>
      <c r="S3105" t="s">
        <v>7401</v>
      </c>
      <c r="T3105" t="s">
        <v>8590</v>
      </c>
      <c r="U3105" t="s">
        <v>8590</v>
      </c>
      <c r="V3105" t="s">
        <v>8590</v>
      </c>
      <c r="W3105">
        <v>9</v>
      </c>
      <c r="X3105" t="s">
        <v>11695</v>
      </c>
      <c r="Y3105">
        <v>0.45176838042831352</v>
      </c>
      <c r="Z3105" t="str">
        <f>HYPERLINK("Melting_Curves/meltCurve_sp_Q9HAU5_RENT2_HUMAN_.pdf", "Melting_Curves/meltCurve_sp_Q9HAU5_RENT2_HUMAN_.pdf")</f>
        <v>Melting_Curves/meltCurve_sp_Q9HAU5_RENT2_HUMAN_.pdf</v>
      </c>
      <c r="AA3105" t="s">
        <v>15944</v>
      </c>
      <c r="AB3105" t="s">
        <v>20189</v>
      </c>
    </row>
    <row r="3106" spans="1:28" x14ac:dyDescent="0.25">
      <c r="A3106" t="s">
        <v>3110</v>
      </c>
      <c r="B3106">
        <v>0.99876560204751996</v>
      </c>
      <c r="C3106">
        <v>0.99098348874025699</v>
      </c>
      <c r="D3106">
        <v>0.82479779729851199</v>
      </c>
      <c r="E3106">
        <v>0.58813289713354899</v>
      </c>
      <c r="F3106">
        <v>0.26650274378369398</v>
      </c>
      <c r="G3106">
        <v>0.15697474661539701</v>
      </c>
      <c r="H3106">
        <v>0.12178775619316499</v>
      </c>
      <c r="I3106">
        <v>9.1078045723257894E-2</v>
      </c>
      <c r="J3106">
        <v>0.104382175572443</v>
      </c>
      <c r="K3106">
        <v>9.6361580047985798E-2</v>
      </c>
      <c r="L3106">
        <v>1029.63463469054</v>
      </c>
      <c r="M3106">
        <v>20.605921843107801</v>
      </c>
      <c r="N3106">
        <v>50.458410835767999</v>
      </c>
      <c r="O3106">
        <v>49.504434640577401</v>
      </c>
      <c r="P3106">
        <v>-9.4618940618207803E-2</v>
      </c>
      <c r="Q3106">
        <v>9.0762024677695799E-2</v>
      </c>
      <c r="R3106">
        <v>0.99542125562725403</v>
      </c>
      <c r="S3106" t="s">
        <v>7402</v>
      </c>
      <c r="T3106" t="s">
        <v>8590</v>
      </c>
      <c r="U3106" t="s">
        <v>8590</v>
      </c>
      <c r="V3106" t="s">
        <v>8590</v>
      </c>
      <c r="W3106">
        <v>3</v>
      </c>
      <c r="X3106" t="s">
        <v>11696</v>
      </c>
      <c r="Y3106">
        <v>0.40480880615450571</v>
      </c>
      <c r="Z3106" t="str">
        <f>HYPERLINK("Melting_Curves/meltCurve_sp_Q9HAV4_XPO5_HUMAN_.pdf", "Melting_Curves/meltCurve_sp_Q9HAV4_XPO5_HUMAN_.pdf")</f>
        <v>Melting_Curves/meltCurve_sp_Q9HAV4_XPO5_HUMAN_.pdf</v>
      </c>
      <c r="AA3106" t="s">
        <v>15945</v>
      </c>
      <c r="AB3106" t="s">
        <v>20190</v>
      </c>
    </row>
    <row r="3107" spans="1:28" x14ac:dyDescent="0.25">
      <c r="A3107" t="s">
        <v>3111</v>
      </c>
      <c r="B3107">
        <v>0.99876560204751996</v>
      </c>
      <c r="C3107">
        <v>1.03417604763856</v>
      </c>
      <c r="D3107">
        <v>0.99082012125902796</v>
      </c>
      <c r="E3107">
        <v>1.0178577872257599</v>
      </c>
      <c r="F3107">
        <v>0.814595881236023</v>
      </c>
      <c r="G3107">
        <v>0.438760121502761</v>
      </c>
      <c r="H3107">
        <v>0.33994852764828898</v>
      </c>
      <c r="I3107">
        <v>0.33601594850253103</v>
      </c>
      <c r="J3107">
        <v>0.43971881276427999</v>
      </c>
      <c r="K3107">
        <v>0.49813021989159301</v>
      </c>
      <c r="L3107">
        <v>3129.8145985792899</v>
      </c>
      <c r="M3107">
        <v>58.239035308779002</v>
      </c>
      <c r="N3107">
        <v>55.329554014554098</v>
      </c>
      <c r="O3107">
        <v>53.677586249298599</v>
      </c>
      <c r="P3107">
        <v>-0.161095332544551</v>
      </c>
      <c r="Q3107">
        <v>0.406088757677114</v>
      </c>
      <c r="R3107">
        <v>0.97490175027722303</v>
      </c>
      <c r="S3107" t="s">
        <v>7403</v>
      </c>
      <c r="T3107" t="s">
        <v>8590</v>
      </c>
      <c r="U3107" t="s">
        <v>8590</v>
      </c>
      <c r="V3107" t="s">
        <v>8590</v>
      </c>
      <c r="W3107">
        <v>17</v>
      </c>
      <c r="X3107" t="s">
        <v>11697</v>
      </c>
      <c r="Y3107">
        <v>0.67915285007200843</v>
      </c>
      <c r="Z3107" t="str">
        <f>HYPERLINK("Melting_Curves/meltCurve_sp_Q9HAV7_GRPE1_HUMAN_.pdf", "Melting_Curves/meltCurve_sp_Q9HAV7_GRPE1_HUMAN_.pdf")</f>
        <v>Melting_Curves/meltCurve_sp_Q9HAV7_GRPE1_HUMAN_.pdf</v>
      </c>
      <c r="AA3107" t="s">
        <v>15946</v>
      </c>
      <c r="AB3107" t="s">
        <v>20191</v>
      </c>
    </row>
    <row r="3108" spans="1:28" x14ac:dyDescent="0.25">
      <c r="A3108" t="s">
        <v>3112</v>
      </c>
      <c r="B3108">
        <v>0.99876560204751996</v>
      </c>
      <c r="C3108">
        <v>0.94980490740938395</v>
      </c>
      <c r="D3108">
        <v>0.91818490682210196</v>
      </c>
      <c r="E3108">
        <v>0.73199960464804104</v>
      </c>
      <c r="F3108">
        <v>0.479092801492354</v>
      </c>
      <c r="G3108">
        <v>0.25440083753364201</v>
      </c>
      <c r="H3108">
        <v>0.152547531091098</v>
      </c>
      <c r="I3108">
        <v>0.10403012618624</v>
      </c>
      <c r="J3108">
        <v>0.100186703124891</v>
      </c>
      <c r="K3108">
        <v>8.0483091933534701E-2</v>
      </c>
      <c r="L3108">
        <v>901.229782454825</v>
      </c>
      <c r="M3108">
        <v>17.205467577280999</v>
      </c>
      <c r="N3108">
        <v>52.855345001372399</v>
      </c>
      <c r="O3108">
        <v>51.688190081299297</v>
      </c>
      <c r="P3108">
        <v>-7.7262216891198707E-2</v>
      </c>
      <c r="Q3108">
        <v>7.1618657147175593E-2</v>
      </c>
      <c r="R3108">
        <v>0.99894196349730502</v>
      </c>
      <c r="S3108" t="s">
        <v>7404</v>
      </c>
      <c r="T3108" t="s">
        <v>8590</v>
      </c>
      <c r="U3108" t="s">
        <v>8590</v>
      </c>
      <c r="V3108" t="s">
        <v>8590</v>
      </c>
      <c r="W3108">
        <v>8</v>
      </c>
      <c r="X3108" t="s">
        <v>11698</v>
      </c>
      <c r="Y3108">
        <v>0.47129215115112699</v>
      </c>
      <c r="Z3108" t="str">
        <f>HYPERLINK("Melting_Curves/meltCurve_sp_Q9HB07_MYG1_HUMAN_.pdf", "Melting_Curves/meltCurve_sp_Q9HB07_MYG1_HUMAN_.pdf")</f>
        <v>Melting_Curves/meltCurve_sp_Q9HB07_MYG1_HUMAN_.pdf</v>
      </c>
      <c r="AA3108" t="s">
        <v>15947</v>
      </c>
      <c r="AB3108" t="s">
        <v>20192</v>
      </c>
    </row>
    <row r="3109" spans="1:28" x14ac:dyDescent="0.25">
      <c r="A3109" t="s">
        <v>3113</v>
      </c>
      <c r="B3109">
        <v>0.99876560204751996</v>
      </c>
      <c r="C3109">
        <v>1.0204159837023701</v>
      </c>
      <c r="D3109">
        <v>0.78496094893961899</v>
      </c>
      <c r="E3109">
        <v>0.48567605217790299</v>
      </c>
      <c r="F3109">
        <v>0.236156014592422</v>
      </c>
      <c r="G3109">
        <v>8.0861879651468696E-2</v>
      </c>
      <c r="H3109">
        <v>6.2609627228224399E-2</v>
      </c>
      <c r="I3109">
        <v>5.3707771551733001E-2</v>
      </c>
      <c r="J3109">
        <v>1.7081842247755299E-2</v>
      </c>
      <c r="K3109">
        <v>4.5402793390619901E-2</v>
      </c>
      <c r="L3109">
        <v>990.25880925689705</v>
      </c>
      <c r="M3109">
        <v>20.0024654277567</v>
      </c>
      <c r="N3109">
        <v>49.671015063965001</v>
      </c>
      <c r="O3109">
        <v>49.019982300549202</v>
      </c>
      <c r="P3109">
        <v>-9.8751858214490201E-2</v>
      </c>
      <c r="Q3109">
        <v>3.1987938592008103E-2</v>
      </c>
      <c r="R3109">
        <v>0.99538223924055902</v>
      </c>
      <c r="S3109" t="s">
        <v>7405</v>
      </c>
      <c r="T3109" t="s">
        <v>8590</v>
      </c>
      <c r="U3109" t="s">
        <v>8590</v>
      </c>
      <c r="V3109" t="s">
        <v>8590</v>
      </c>
      <c r="W3109">
        <v>3</v>
      </c>
      <c r="X3109" t="s">
        <v>11699</v>
      </c>
      <c r="Y3109">
        <v>0.35225038478441412</v>
      </c>
      <c r="Z3109" t="str">
        <f>HYPERLINK("Melting_Curves/meltCurve_sp_Q9HB21_PKHA1_HUMAN_.pdf", "Melting_Curves/meltCurve_sp_Q9HB21_PKHA1_HUMAN_.pdf")</f>
        <v>Melting_Curves/meltCurve_sp_Q9HB21_PKHA1_HUMAN_.pdf</v>
      </c>
      <c r="AA3109" t="s">
        <v>15948</v>
      </c>
      <c r="AB3109" t="s">
        <v>20193</v>
      </c>
    </row>
    <row r="3110" spans="1:28" x14ac:dyDescent="0.25">
      <c r="A3110" t="s">
        <v>3114</v>
      </c>
      <c r="B3110">
        <v>0.99876560204751996</v>
      </c>
      <c r="C3110">
        <v>0.91860414809494495</v>
      </c>
      <c r="D3110">
        <v>1.04660784006486</v>
      </c>
      <c r="E3110">
        <v>0.95322088738032096</v>
      </c>
      <c r="F3110">
        <v>1.0140635562544</v>
      </c>
      <c r="G3110">
        <v>0.59066107148160296</v>
      </c>
      <c r="H3110">
        <v>0.22705991631184899</v>
      </c>
      <c r="I3110">
        <v>0.15650198684217101</v>
      </c>
      <c r="J3110">
        <v>0.15027249634539699</v>
      </c>
      <c r="K3110">
        <v>0.13190214340492301</v>
      </c>
      <c r="L3110">
        <v>2442.7526550019002</v>
      </c>
      <c r="M3110">
        <v>42.728027608397703</v>
      </c>
      <c r="N3110">
        <v>57.646466466312297</v>
      </c>
      <c r="O3110">
        <v>57.044994138798202</v>
      </c>
      <c r="P3110">
        <v>-0.15938851385910899</v>
      </c>
      <c r="Q3110">
        <v>0.14882075296723901</v>
      </c>
      <c r="R3110">
        <v>0.99098315587758101</v>
      </c>
      <c r="S3110" t="s">
        <v>7406</v>
      </c>
      <c r="T3110" t="s">
        <v>8590</v>
      </c>
      <c r="U3110" t="s">
        <v>8590</v>
      </c>
      <c r="V3110" t="s">
        <v>8590</v>
      </c>
      <c r="W3110">
        <v>8</v>
      </c>
      <c r="X3110" t="s">
        <v>11700</v>
      </c>
      <c r="Y3110">
        <v>0.63889467910202868</v>
      </c>
      <c r="Z3110" t="str">
        <f>HYPERLINK("Melting_Curves/meltCurve_sp_Q9HB71_CYBP_HUMAN_.pdf", "Melting_Curves/meltCurve_sp_Q9HB71_CYBP_HUMAN_.pdf")</f>
        <v>Melting_Curves/meltCurve_sp_Q9HB71_CYBP_HUMAN_.pdf</v>
      </c>
      <c r="AA3110" t="s">
        <v>15949</v>
      </c>
      <c r="AB3110" t="s">
        <v>20194</v>
      </c>
    </row>
    <row r="3111" spans="1:28" x14ac:dyDescent="0.25">
      <c r="A3111" t="s">
        <v>3115</v>
      </c>
      <c r="B3111">
        <v>0.99876560204751996</v>
      </c>
      <c r="C3111">
        <v>1.00939248406989</v>
      </c>
      <c r="D3111">
        <v>0.896642224760409</v>
      </c>
      <c r="E3111">
        <v>0.89797074909038199</v>
      </c>
      <c r="F3111">
        <v>0.73681856218570796</v>
      </c>
      <c r="G3111">
        <v>0.51887418118539697</v>
      </c>
      <c r="H3111">
        <v>0.26659656024630202</v>
      </c>
      <c r="I3111">
        <v>0.190197929225395</v>
      </c>
      <c r="J3111">
        <v>0.136646551761613</v>
      </c>
      <c r="K3111">
        <v>8.7134348770398898E-2</v>
      </c>
      <c r="L3111">
        <v>798.44228826826395</v>
      </c>
      <c r="M3111">
        <v>14.0479146062866</v>
      </c>
      <c r="N3111">
        <v>57.018518736550398</v>
      </c>
      <c r="O3111">
        <v>55.722491815244403</v>
      </c>
      <c r="P3111">
        <v>-6.1656437541484602E-2</v>
      </c>
      <c r="Q3111">
        <v>2.18614300369997E-2</v>
      </c>
      <c r="R3111">
        <v>0.99468698423666202</v>
      </c>
      <c r="S3111" t="s">
        <v>7407</v>
      </c>
      <c r="T3111" t="s">
        <v>8590</v>
      </c>
      <c r="U3111" t="s">
        <v>8590</v>
      </c>
      <c r="V3111" t="s">
        <v>8590</v>
      </c>
      <c r="W3111">
        <v>4</v>
      </c>
      <c r="X3111" t="s">
        <v>11701</v>
      </c>
      <c r="Y3111">
        <v>0.5872098985858839</v>
      </c>
      <c r="Z3111" t="str">
        <f>HYPERLINK("Melting_Curves/meltCurve_sp_Q9HB90_RRAGC_HUMAN_.pdf", "Melting_Curves/meltCurve_sp_Q9HB90_RRAGC_HUMAN_.pdf")</f>
        <v>Melting_Curves/meltCurve_sp_Q9HB90_RRAGC_HUMAN_.pdf</v>
      </c>
      <c r="AA3111" t="s">
        <v>15950</v>
      </c>
      <c r="AB3111" t="s">
        <v>20195</v>
      </c>
    </row>
    <row r="3112" spans="1:28" x14ac:dyDescent="0.25">
      <c r="A3112" t="s">
        <v>3116</v>
      </c>
      <c r="B3112">
        <v>0.99876560204751996</v>
      </c>
      <c r="C3112">
        <v>0.93578291793887403</v>
      </c>
      <c r="D3112">
        <v>0.71884564947027596</v>
      </c>
      <c r="E3112">
        <v>1.2242754025215401</v>
      </c>
      <c r="F3112">
        <v>1.0952971519591399</v>
      </c>
      <c r="G3112">
        <v>0.63734231441322298</v>
      </c>
      <c r="H3112">
        <v>0.50225822844088897</v>
      </c>
      <c r="I3112">
        <v>0.33421864679303898</v>
      </c>
      <c r="J3112">
        <v>0.17691232321200001</v>
      </c>
      <c r="K3112">
        <v>0.185720888163836</v>
      </c>
      <c r="L3112">
        <v>1389.9971419656599</v>
      </c>
      <c r="M3112">
        <v>23.473994616348001</v>
      </c>
      <c r="N3112">
        <v>60.2826338617297</v>
      </c>
      <c r="O3112">
        <v>58.789614032404103</v>
      </c>
      <c r="P3112">
        <v>-8.2838012919166995E-2</v>
      </c>
      <c r="Q3112">
        <v>0.17015715185461699</v>
      </c>
      <c r="R3112">
        <v>0.85928248180682698</v>
      </c>
      <c r="S3112" t="s">
        <v>7408</v>
      </c>
      <c r="T3112" t="s">
        <v>8590</v>
      </c>
      <c r="U3112" t="s">
        <v>8590</v>
      </c>
      <c r="V3112" t="s">
        <v>8590</v>
      </c>
      <c r="W3112">
        <v>5</v>
      </c>
      <c r="X3112" t="s">
        <v>11702</v>
      </c>
      <c r="Y3112">
        <v>0.70879574112288624</v>
      </c>
      <c r="Z3112" t="str">
        <f>HYPERLINK("Melting_Curves/meltCurve_sp_Q9HBF4_2_ZFYV1_HUMAN_.pdf", "Melting_Curves/meltCurve_sp_Q9HBF4_2_ZFYV1_HUMAN_.pdf")</f>
        <v>Melting_Curves/meltCurve_sp_Q9HBF4_2_ZFYV1_HUMAN_.pdf</v>
      </c>
      <c r="AA3112" t="s">
        <v>15951</v>
      </c>
      <c r="AB3112" t="s">
        <v>20196</v>
      </c>
    </row>
    <row r="3113" spans="1:28" x14ac:dyDescent="0.25">
      <c r="A3113" t="s">
        <v>3117</v>
      </c>
      <c r="B3113">
        <v>0.99876560204751996</v>
      </c>
      <c r="C3113">
        <v>0.99197053560937698</v>
      </c>
      <c r="D3113">
        <v>1.01588196021723</v>
      </c>
      <c r="E3113">
        <v>0.91252904593737005</v>
      </c>
      <c r="F3113">
        <v>0.87777487523650499</v>
      </c>
      <c r="G3113">
        <v>0.66101497836091805</v>
      </c>
      <c r="H3113">
        <v>0.34071264249024802</v>
      </c>
      <c r="I3113">
        <v>0.18660691398745899</v>
      </c>
      <c r="J3113">
        <v>7.5681994500492802E-2</v>
      </c>
      <c r="K3113">
        <v>3.3794367627322297E-2</v>
      </c>
      <c r="L3113">
        <v>1092.4366542893299</v>
      </c>
      <c r="M3113">
        <v>18.5717905834323</v>
      </c>
      <c r="N3113">
        <v>58.822366319665001</v>
      </c>
      <c r="O3113">
        <v>58.153091695889898</v>
      </c>
      <c r="P3113">
        <v>-7.98435663746557E-2</v>
      </c>
      <c r="Q3113">
        <v>0</v>
      </c>
      <c r="R3113">
        <v>0.99729978395744301</v>
      </c>
      <c r="S3113" t="s">
        <v>7409</v>
      </c>
      <c r="T3113" t="s">
        <v>8590</v>
      </c>
      <c r="U3113" t="s">
        <v>8590</v>
      </c>
      <c r="V3113" t="s">
        <v>8590</v>
      </c>
      <c r="W3113">
        <v>7</v>
      </c>
      <c r="X3113" t="s">
        <v>11703</v>
      </c>
      <c r="Y3113">
        <v>0.6382021689811016</v>
      </c>
      <c r="Z3113" t="str">
        <f>HYPERLINK("Melting_Curves/meltCurve_sp_Q9HBH1_DEFM_HUMAN_.pdf", "Melting_Curves/meltCurve_sp_Q9HBH1_DEFM_HUMAN_.pdf")</f>
        <v>Melting_Curves/meltCurve_sp_Q9HBH1_DEFM_HUMAN_.pdf</v>
      </c>
      <c r="AA3113" t="s">
        <v>15952</v>
      </c>
      <c r="AB3113" t="s">
        <v>20197</v>
      </c>
    </row>
    <row r="3114" spans="1:28" x14ac:dyDescent="0.25">
      <c r="A3114" t="s">
        <v>3118</v>
      </c>
      <c r="B3114">
        <v>0.99876560204751996</v>
      </c>
      <c r="C3114">
        <v>0.90368696448839403</v>
      </c>
      <c r="D3114">
        <v>0.88177101236965805</v>
      </c>
      <c r="E3114">
        <v>0.61405995247878897</v>
      </c>
      <c r="F3114">
        <v>0.30260504672524202</v>
      </c>
      <c r="G3114">
        <v>0.161067851259074</v>
      </c>
      <c r="H3114">
        <v>0.110984149069667</v>
      </c>
      <c r="I3114">
        <v>9.8348153275850406E-2</v>
      </c>
      <c r="J3114">
        <v>9.5936100992988493E-2</v>
      </c>
      <c r="K3114">
        <v>8.0451929780070902E-2</v>
      </c>
      <c r="L3114">
        <v>1011.3714207138499</v>
      </c>
      <c r="M3114">
        <v>20.052939291444599</v>
      </c>
      <c r="N3114">
        <v>50.8825884007776</v>
      </c>
      <c r="O3114">
        <v>49.941541534038301</v>
      </c>
      <c r="P3114">
        <v>-9.2269646817609893E-2</v>
      </c>
      <c r="Q3114">
        <v>8.0844975383684098E-2</v>
      </c>
      <c r="R3114">
        <v>0.99460807810886098</v>
      </c>
      <c r="S3114" t="s">
        <v>7410</v>
      </c>
      <c r="T3114" t="s">
        <v>8590</v>
      </c>
      <c r="U3114" t="s">
        <v>8590</v>
      </c>
      <c r="V3114" t="s">
        <v>8590</v>
      </c>
      <c r="W3114">
        <v>13</v>
      </c>
      <c r="X3114" t="s">
        <v>11704</v>
      </c>
      <c r="Y3114">
        <v>0.41327301137193828</v>
      </c>
      <c r="Z3114" t="str">
        <f>HYPERLINK("Melting_Curves/meltCurve_sp_Q9HBK9_AS3MT_HUMAN_.pdf", "Melting_Curves/meltCurve_sp_Q9HBK9_AS3MT_HUMAN_.pdf")</f>
        <v>Melting_Curves/meltCurve_sp_Q9HBK9_AS3MT_HUMAN_.pdf</v>
      </c>
      <c r="AA3114" t="s">
        <v>15953</v>
      </c>
      <c r="AB3114" t="s">
        <v>20198</v>
      </c>
    </row>
    <row r="3115" spans="1:28" x14ac:dyDescent="0.25">
      <c r="A3115" t="s">
        <v>3119</v>
      </c>
      <c r="B3115">
        <v>0.99876560204751996</v>
      </c>
      <c r="C3115">
        <v>0.83966169948741798</v>
      </c>
      <c r="D3115">
        <v>0.75769689231018</v>
      </c>
      <c r="E3115">
        <v>0.56582285600708004</v>
      </c>
      <c r="F3115">
        <v>0.475093401292011</v>
      </c>
      <c r="G3115">
        <v>0.39348539807008198</v>
      </c>
      <c r="H3115">
        <v>0.22356521573267199</v>
      </c>
      <c r="I3115">
        <v>9.2868522790637606E-2</v>
      </c>
      <c r="J3115">
        <v>7.5451210235021396E-2</v>
      </c>
      <c r="K3115">
        <v>5.6327702524771997E-2</v>
      </c>
      <c r="L3115">
        <v>484.36379614265297</v>
      </c>
      <c r="M3115">
        <v>9.2983331084429892</v>
      </c>
      <c r="N3115">
        <v>52.0914606577077</v>
      </c>
      <c r="O3115">
        <v>49.852218790796599</v>
      </c>
      <c r="P3115">
        <v>-4.6659409767439403E-2</v>
      </c>
      <c r="Q3115">
        <v>0</v>
      </c>
      <c r="R3115">
        <v>0.98176442146308895</v>
      </c>
      <c r="S3115" t="s">
        <v>7411</v>
      </c>
      <c r="T3115" t="s">
        <v>8590</v>
      </c>
      <c r="U3115" t="s">
        <v>8590</v>
      </c>
      <c r="V3115" t="s">
        <v>8590</v>
      </c>
      <c r="W3115">
        <v>15</v>
      </c>
      <c r="X3115" t="s">
        <v>11705</v>
      </c>
      <c r="Y3115">
        <v>0.44360305466842448</v>
      </c>
      <c r="Z3115" t="str">
        <f>HYPERLINK("Melting_Curves/meltCurve_sp_Q9HBL8_NMRL1_HUMAN_.pdf", "Melting_Curves/meltCurve_sp_Q9HBL8_NMRL1_HUMAN_.pdf")</f>
        <v>Melting_Curves/meltCurve_sp_Q9HBL8_NMRL1_HUMAN_.pdf</v>
      </c>
      <c r="AA3115" t="s">
        <v>15954</v>
      </c>
      <c r="AB3115" t="s">
        <v>20199</v>
      </c>
    </row>
    <row r="3116" spans="1:28" x14ac:dyDescent="0.25">
      <c r="A3116" t="s">
        <v>3120</v>
      </c>
      <c r="B3116">
        <v>0.99876560204751996</v>
      </c>
      <c r="C3116">
        <v>0.77937668762843204</v>
      </c>
      <c r="D3116">
        <v>0.61944989360743197</v>
      </c>
      <c r="E3116">
        <v>0.41302716811036799</v>
      </c>
      <c r="F3116">
        <v>0.26879391548734199</v>
      </c>
      <c r="G3116">
        <v>0.191387658670121</v>
      </c>
      <c r="H3116">
        <v>5.5351083226331602E-2</v>
      </c>
      <c r="I3116">
        <v>3.6634094780911203E-2</v>
      </c>
      <c r="J3116">
        <v>1.8952676159944899E-2</v>
      </c>
      <c r="K3116">
        <v>2.64545451141419E-2</v>
      </c>
      <c r="L3116">
        <v>565.35590946280399</v>
      </c>
      <c r="M3116">
        <v>11.694212993537001</v>
      </c>
      <c r="N3116">
        <v>48.344930170751603</v>
      </c>
      <c r="O3116">
        <v>46.996148338351503</v>
      </c>
      <c r="P3116">
        <v>-6.2224930883194002E-2</v>
      </c>
      <c r="Q3116">
        <v>0</v>
      </c>
      <c r="R3116">
        <v>0.98944933871852503</v>
      </c>
      <c r="S3116" t="s">
        <v>7412</v>
      </c>
      <c r="T3116" t="s">
        <v>8590</v>
      </c>
      <c r="U3116" t="s">
        <v>8590</v>
      </c>
      <c r="V3116" t="s">
        <v>8590</v>
      </c>
      <c r="W3116">
        <v>2</v>
      </c>
      <c r="X3116" t="s">
        <v>11706</v>
      </c>
      <c r="Y3116">
        <v>0.31816919455395209</v>
      </c>
      <c r="Z3116" t="str">
        <f>HYPERLINK("Melting_Curves/meltCurve_sp_Q9HBY8_2_SGK2_HUMAN_.pdf", "Melting_Curves/meltCurve_sp_Q9HBY8_2_SGK2_HUMAN_.pdf")</f>
        <v>Melting_Curves/meltCurve_sp_Q9HBY8_2_SGK2_HUMAN_.pdf</v>
      </c>
      <c r="AA3116" t="s">
        <v>15955</v>
      </c>
      <c r="AB3116" t="s">
        <v>20200</v>
      </c>
    </row>
    <row r="3117" spans="1:28" x14ac:dyDescent="0.25">
      <c r="A3117" t="s">
        <v>3121</v>
      </c>
      <c r="B3117">
        <v>0.99876560204751996</v>
      </c>
      <c r="C3117">
        <v>0.96907757475869905</v>
      </c>
      <c r="D3117">
        <v>0.94613351177205895</v>
      </c>
      <c r="E3117">
        <v>0.65812545530981803</v>
      </c>
      <c r="F3117">
        <v>0.30674427727731601</v>
      </c>
      <c r="G3117">
        <v>0.15907407253898001</v>
      </c>
      <c r="H3117">
        <v>0.109892125859385</v>
      </c>
      <c r="I3117">
        <v>9.8076702226545603E-2</v>
      </c>
      <c r="J3117">
        <v>0.105519096047285</v>
      </c>
      <c r="K3117">
        <v>9.6809293491926504E-2</v>
      </c>
      <c r="L3117">
        <v>1398.6192244813899</v>
      </c>
      <c r="M3117">
        <v>27.526097168512798</v>
      </c>
      <c r="N3117">
        <v>51.2309555167543</v>
      </c>
      <c r="O3117">
        <v>50.544741688157202</v>
      </c>
      <c r="P3117">
        <v>-0.122387968542537</v>
      </c>
      <c r="Q3117">
        <v>0.101069302022635</v>
      </c>
      <c r="R3117">
        <v>0.99916340726062802</v>
      </c>
      <c r="S3117" t="s">
        <v>7413</v>
      </c>
      <c r="T3117" t="s">
        <v>8590</v>
      </c>
      <c r="U3117" t="s">
        <v>8590</v>
      </c>
      <c r="V3117" t="s">
        <v>8590</v>
      </c>
      <c r="W3117">
        <v>36</v>
      </c>
      <c r="X3117" t="s">
        <v>11707</v>
      </c>
      <c r="Y3117">
        <v>0.43169752612530771</v>
      </c>
      <c r="Z3117" t="str">
        <f>HYPERLINK("Melting_Curves/meltCurve_sp_Q9HC35_EMAL4_HUMAN_.pdf", "Melting_Curves/meltCurve_sp_Q9HC35_EMAL4_HUMAN_.pdf")</f>
        <v>Melting_Curves/meltCurve_sp_Q9HC35_EMAL4_HUMAN_.pdf</v>
      </c>
      <c r="AA3117" t="s">
        <v>15956</v>
      </c>
      <c r="AB3117" t="s">
        <v>20201</v>
      </c>
    </row>
    <row r="3118" spans="1:28" x14ac:dyDescent="0.25">
      <c r="A3118" t="s">
        <v>3122</v>
      </c>
      <c r="B3118">
        <v>0.99876560204751996</v>
      </c>
      <c r="C3118">
        <v>0.90960051638119199</v>
      </c>
      <c r="D3118">
        <v>1.0420610740782901</v>
      </c>
      <c r="E3118">
        <v>0.87693960530625104</v>
      </c>
      <c r="F3118">
        <v>0.57733949534792905</v>
      </c>
      <c r="G3118">
        <v>0.18850458284229801</v>
      </c>
      <c r="H3118">
        <v>0.106417856392877</v>
      </c>
      <c r="I3118">
        <v>8.5078257074256203E-2</v>
      </c>
      <c r="J3118">
        <v>8.1289504786263705E-2</v>
      </c>
      <c r="K3118">
        <v>7.3302455135850805E-2</v>
      </c>
      <c r="L3118">
        <v>1595.2044381835999</v>
      </c>
      <c r="M3118">
        <v>29.947571189658699</v>
      </c>
      <c r="N3118">
        <v>53.5726499451496</v>
      </c>
      <c r="O3118">
        <v>53.030742795688397</v>
      </c>
      <c r="P3118">
        <v>-0.130079828695157</v>
      </c>
      <c r="Q3118">
        <v>7.8631667835830699E-2</v>
      </c>
      <c r="R3118">
        <v>0.99343375771261899</v>
      </c>
      <c r="S3118" t="s">
        <v>7414</v>
      </c>
      <c r="T3118" t="s">
        <v>8590</v>
      </c>
      <c r="U3118" t="s">
        <v>8590</v>
      </c>
      <c r="V3118" t="s">
        <v>8590</v>
      </c>
      <c r="W3118">
        <v>24</v>
      </c>
      <c r="X3118" t="s">
        <v>11708</v>
      </c>
      <c r="Y3118">
        <v>0.49209575945481798</v>
      </c>
      <c r="Z3118" t="str">
        <f>HYPERLINK("Melting_Curves/meltCurve_sp_Q9HC38_2_GLOD4_HUMAN_.pdf", "Melting_Curves/meltCurve_sp_Q9HC38_2_GLOD4_HUMAN_.pdf")</f>
        <v>Melting_Curves/meltCurve_sp_Q9HC38_2_GLOD4_HUMAN_.pdf</v>
      </c>
      <c r="AA3118" t="s">
        <v>15957</v>
      </c>
      <c r="AB3118" t="s">
        <v>20202</v>
      </c>
    </row>
    <row r="3119" spans="1:28" x14ac:dyDescent="0.25">
      <c r="A3119" t="s">
        <v>3123</v>
      </c>
      <c r="B3119">
        <v>0.99876560204751996</v>
      </c>
      <c r="C3119">
        <v>1.0515694019463999</v>
      </c>
      <c r="D3119">
        <v>0.99878536110824601</v>
      </c>
      <c r="E3119">
        <v>0.95924773752190595</v>
      </c>
      <c r="F3119">
        <v>0.84477867147462105</v>
      </c>
      <c r="G3119">
        <v>0.567989555177706</v>
      </c>
      <c r="H3119">
        <v>0.46166889677119599</v>
      </c>
      <c r="I3119">
        <v>0.430058393973206</v>
      </c>
      <c r="J3119">
        <v>0.56392162403632995</v>
      </c>
      <c r="K3119">
        <v>0.48391169657807898</v>
      </c>
      <c r="L3119">
        <v>1918.52201398802</v>
      </c>
      <c r="M3119">
        <v>35.380797028510202</v>
      </c>
      <c r="N3119">
        <v>59.979979109776799</v>
      </c>
      <c r="O3119">
        <v>54.052601498006098</v>
      </c>
      <c r="P3119">
        <v>-8.4565547019804996E-2</v>
      </c>
      <c r="Q3119">
        <v>0.48322564494206499</v>
      </c>
      <c r="R3119">
        <v>0.97717347813973099</v>
      </c>
      <c r="S3119" t="s">
        <v>7415</v>
      </c>
      <c r="T3119" t="s">
        <v>8590</v>
      </c>
      <c r="U3119" t="s">
        <v>8590</v>
      </c>
      <c r="V3119" t="s">
        <v>8590</v>
      </c>
      <c r="W3119">
        <v>2</v>
      </c>
      <c r="X3119" t="s">
        <v>11709</v>
      </c>
      <c r="Y3119">
        <v>0.73072827114491157</v>
      </c>
      <c r="Z3119" t="str">
        <f>HYPERLINK("Melting_Curves/meltCurve_sp_Q9HC52_CBX8_HUMAN_.pdf", "Melting_Curves/meltCurve_sp_Q9HC52_CBX8_HUMAN_.pdf")</f>
        <v>Melting_Curves/meltCurve_sp_Q9HC52_CBX8_HUMAN_.pdf</v>
      </c>
      <c r="AA3119" t="s">
        <v>15958</v>
      </c>
      <c r="AB3119" t="s">
        <v>20203</v>
      </c>
    </row>
    <row r="3120" spans="1:28" x14ac:dyDescent="0.25">
      <c r="A3120" t="s">
        <v>3124</v>
      </c>
      <c r="B3120">
        <v>0.99876560204751996</v>
      </c>
      <c r="C3120">
        <v>1.2726998950901001</v>
      </c>
      <c r="D3120">
        <v>0.58804490415881505</v>
      </c>
      <c r="E3120">
        <v>0.99680360505368304</v>
      </c>
      <c r="F3120">
        <v>0.49263418281694699</v>
      </c>
      <c r="G3120">
        <v>9.8342945064384499E-2</v>
      </c>
      <c r="H3120">
        <v>1.9716365126011499E-2</v>
      </c>
      <c r="I3120">
        <v>0</v>
      </c>
      <c r="J3120">
        <v>6.7013856539307097E-3</v>
      </c>
      <c r="K3120">
        <v>0</v>
      </c>
      <c r="L3120">
        <v>2521.5745799617998</v>
      </c>
      <c r="M3120">
        <v>47.576726134058397</v>
      </c>
      <c r="N3120">
        <v>53.037247569063702</v>
      </c>
      <c r="O3120">
        <v>52.906787529882401</v>
      </c>
      <c r="P3120">
        <v>-0.221135815834959</v>
      </c>
      <c r="Q3120">
        <v>1.63616383885699E-2</v>
      </c>
      <c r="R3120">
        <v>0.88712016148628403</v>
      </c>
      <c r="S3120" t="s">
        <v>7416</v>
      </c>
      <c r="T3120" t="s">
        <v>8590</v>
      </c>
      <c r="U3120" t="s">
        <v>8590</v>
      </c>
      <c r="V3120" t="s">
        <v>8590</v>
      </c>
      <c r="W3120">
        <v>1</v>
      </c>
      <c r="X3120" t="s">
        <v>11710</v>
      </c>
      <c r="Y3120">
        <v>0.44515119302760531</v>
      </c>
      <c r="Z3120" t="str">
        <f>HYPERLINK("Melting_Curves/meltCurve_sp_Q9HCB6_SPON1_HUMAN_.pdf", "Melting_Curves/meltCurve_sp_Q9HCB6_SPON1_HUMAN_.pdf")</f>
        <v>Melting_Curves/meltCurve_sp_Q9HCB6_SPON1_HUMAN_.pdf</v>
      </c>
      <c r="AA3120" t="s">
        <v>15959</v>
      </c>
      <c r="AB3120" t="s">
        <v>20204</v>
      </c>
    </row>
    <row r="3121" spans="1:28" x14ac:dyDescent="0.25">
      <c r="A3121" t="s">
        <v>3125</v>
      </c>
      <c r="B3121">
        <v>0.99876560204751996</v>
      </c>
      <c r="C3121">
        <v>0.97357003218873905</v>
      </c>
      <c r="D3121">
        <v>0.75761790120024297</v>
      </c>
      <c r="E3121">
        <v>0.74199075942925896</v>
      </c>
      <c r="F3121">
        <v>0.60793169681196502</v>
      </c>
      <c r="G3121">
        <v>0.52451693277731803</v>
      </c>
      <c r="H3121">
        <v>0.40583994041452098</v>
      </c>
      <c r="I3121">
        <v>0.39201379103625</v>
      </c>
      <c r="J3121">
        <v>0.22832186915880201</v>
      </c>
      <c r="K3121">
        <v>5.9000320445146297E-2</v>
      </c>
      <c r="L3121">
        <v>433.096335788533</v>
      </c>
      <c r="M3121">
        <v>7.6225615174234003</v>
      </c>
      <c r="N3121">
        <v>56.817689800914501</v>
      </c>
      <c r="O3121">
        <v>53.302991146012999</v>
      </c>
      <c r="P3121">
        <v>-3.5799501198329101E-2</v>
      </c>
      <c r="Q3121">
        <v>0</v>
      </c>
      <c r="R3121">
        <v>0.94904165901792903</v>
      </c>
      <c r="S3121" t="s">
        <v>7417</v>
      </c>
      <c r="T3121" t="s">
        <v>8590</v>
      </c>
      <c r="U3121" t="s">
        <v>8590</v>
      </c>
      <c r="V3121" t="s">
        <v>8590</v>
      </c>
      <c r="W3121">
        <v>27</v>
      </c>
      <c r="X3121" t="s">
        <v>11711</v>
      </c>
      <c r="Y3121">
        <v>0.5729611061909986</v>
      </c>
      <c r="Z3121" t="str">
        <f>HYPERLINK("Melting_Curves/meltCurve_sp_Q9HCC0_MCCB_HUMAN_.pdf", "Melting_Curves/meltCurve_sp_Q9HCC0_MCCB_HUMAN_.pdf")</f>
        <v>Melting_Curves/meltCurve_sp_Q9HCC0_MCCB_HUMAN_.pdf</v>
      </c>
      <c r="AA3121" t="s">
        <v>15960</v>
      </c>
      <c r="AB3121" t="s">
        <v>20205</v>
      </c>
    </row>
    <row r="3122" spans="1:28" x14ac:dyDescent="0.25">
      <c r="A3122" t="s">
        <v>3126</v>
      </c>
      <c r="B3122">
        <v>0.99876560204751996</v>
      </c>
      <c r="C3122">
        <v>1.08849580177634</v>
      </c>
      <c r="D3122">
        <v>0.89171251601739598</v>
      </c>
      <c r="E3122">
        <v>1.1236023839714899</v>
      </c>
      <c r="F3122">
        <v>0.99758636253948796</v>
      </c>
      <c r="G3122">
        <v>0.44426447117388401</v>
      </c>
      <c r="H3122">
        <v>2.53236071289644E-2</v>
      </c>
      <c r="I3122">
        <v>5.2895659862328796E-3</v>
      </c>
      <c r="J3122">
        <v>0</v>
      </c>
      <c r="K3122">
        <v>0</v>
      </c>
      <c r="L3122">
        <v>3716.02270499418</v>
      </c>
      <c r="M3122">
        <v>65.424771384702893</v>
      </c>
      <c r="N3122">
        <v>56.8065379607905</v>
      </c>
      <c r="O3122">
        <v>56.7454105332368</v>
      </c>
      <c r="P3122">
        <v>-0.28689642348702099</v>
      </c>
      <c r="Q3122">
        <v>4.6552548768288597E-3</v>
      </c>
      <c r="R3122">
        <v>0.98492315394941699</v>
      </c>
      <c r="S3122" t="s">
        <v>7418</v>
      </c>
      <c r="T3122" t="s">
        <v>8590</v>
      </c>
      <c r="U3122" t="s">
        <v>8590</v>
      </c>
      <c r="V3122" t="s">
        <v>8590</v>
      </c>
      <c r="W3122">
        <v>1</v>
      </c>
      <c r="X3122" t="s">
        <v>11712</v>
      </c>
      <c r="Y3122">
        <v>0.56344830539991519</v>
      </c>
      <c r="Z3122" t="str">
        <f>HYPERLINK("Melting_Curves/meltCurve_sp_Q9HCC9_5_LST2_HUMAN_.pdf", "Melting_Curves/meltCurve_sp_Q9HCC9_5_LST2_HUMAN_.pdf")</f>
        <v>Melting_Curves/meltCurve_sp_Q9HCC9_5_LST2_HUMAN_.pdf</v>
      </c>
      <c r="AA3122" t="s">
        <v>15961</v>
      </c>
      <c r="AB3122" t="s">
        <v>20206</v>
      </c>
    </row>
    <row r="3123" spans="1:28" x14ac:dyDescent="0.25">
      <c r="A3123" t="s">
        <v>3127</v>
      </c>
      <c r="B3123">
        <v>0.99876560204751996</v>
      </c>
      <c r="C3123">
        <v>1.0521641568068301</v>
      </c>
      <c r="D3123">
        <v>0.99055747059428201</v>
      </c>
      <c r="E3123">
        <v>0.95135937252633995</v>
      </c>
      <c r="F3123">
        <v>0.81486886869198905</v>
      </c>
      <c r="G3123">
        <v>0.51126227524915002</v>
      </c>
      <c r="H3123">
        <v>0.17183848337400101</v>
      </c>
      <c r="I3123">
        <v>0.12769492379783301</v>
      </c>
      <c r="J3123">
        <v>0.124971652991182</v>
      </c>
      <c r="K3123">
        <v>0.129696954750817</v>
      </c>
      <c r="L3123">
        <v>1392.80596445321</v>
      </c>
      <c r="M3123">
        <v>24.764010083366198</v>
      </c>
      <c r="N3123">
        <v>56.747941662315199</v>
      </c>
      <c r="O3123">
        <v>55.880240644594203</v>
      </c>
      <c r="P3123">
        <v>-9.9839815937424498E-2</v>
      </c>
      <c r="Q3123">
        <v>9.8854341296397599E-2</v>
      </c>
      <c r="R3123">
        <v>0.99534082319882</v>
      </c>
      <c r="S3123" t="s">
        <v>7419</v>
      </c>
      <c r="T3123" t="s">
        <v>8590</v>
      </c>
      <c r="U3123" t="s">
        <v>8590</v>
      </c>
      <c r="V3123" t="s">
        <v>8590</v>
      </c>
      <c r="W3123">
        <v>10</v>
      </c>
      <c r="X3123" t="s">
        <v>11713</v>
      </c>
      <c r="Y3123">
        <v>0.59514176475233416</v>
      </c>
      <c r="Z3123" t="str">
        <f>HYPERLINK("Melting_Curves/meltCurve_sp_Q9HCE1_MOV10_HUMAN_.pdf", "Melting_Curves/meltCurve_sp_Q9HCE1_MOV10_HUMAN_.pdf")</f>
        <v>Melting_Curves/meltCurve_sp_Q9HCE1_MOV10_HUMAN_.pdf</v>
      </c>
      <c r="AA3123" t="s">
        <v>15962</v>
      </c>
      <c r="AB3123" t="s">
        <v>20207</v>
      </c>
    </row>
    <row r="3124" spans="1:28" x14ac:dyDescent="0.25">
      <c r="A3124" t="s">
        <v>3128</v>
      </c>
      <c r="B3124">
        <v>0.99876560204751996</v>
      </c>
      <c r="C3124">
        <v>0.96732599910457395</v>
      </c>
      <c r="D3124">
        <v>0.937050714394285</v>
      </c>
      <c r="E3124">
        <v>0.91402178973527104</v>
      </c>
      <c r="F3124">
        <v>0.56262917423210002</v>
      </c>
      <c r="G3124">
        <v>0.21653106577961601</v>
      </c>
      <c r="H3124">
        <v>0.163912900884536</v>
      </c>
      <c r="I3124">
        <v>0.148756603019113</v>
      </c>
      <c r="J3124">
        <v>0.137033222548507</v>
      </c>
      <c r="K3124">
        <v>0.12973322610378901</v>
      </c>
      <c r="L3124">
        <v>1798.0845760713401</v>
      </c>
      <c r="M3124">
        <v>33.937040294164198</v>
      </c>
      <c r="N3124">
        <v>53.508600455456801</v>
      </c>
      <c r="O3124">
        <v>52.799976646208101</v>
      </c>
      <c r="P3124">
        <v>-0.137909507384882</v>
      </c>
      <c r="Q3124">
        <v>0.14175278636653399</v>
      </c>
      <c r="R3124">
        <v>0.99646178401276397</v>
      </c>
      <c r="S3124" t="s">
        <v>7420</v>
      </c>
      <c r="T3124" t="s">
        <v>8590</v>
      </c>
      <c r="U3124" t="s">
        <v>8590</v>
      </c>
      <c r="V3124" t="s">
        <v>8590</v>
      </c>
      <c r="W3124">
        <v>3</v>
      </c>
      <c r="X3124" t="s">
        <v>11714</v>
      </c>
      <c r="Y3124">
        <v>0.51753355790753497</v>
      </c>
      <c r="Z3124" t="str">
        <f>HYPERLINK("Melting_Curves/meltCurve_sp_Q9HCE5_MET14_HUMAN_.pdf", "Melting_Curves/meltCurve_sp_Q9HCE5_MET14_HUMAN_.pdf")</f>
        <v>Melting_Curves/meltCurve_sp_Q9HCE5_MET14_HUMAN_.pdf</v>
      </c>
      <c r="AA3124" t="s">
        <v>15963</v>
      </c>
      <c r="AB3124" t="s">
        <v>20208</v>
      </c>
    </row>
    <row r="3125" spans="1:28" x14ac:dyDescent="0.25">
      <c r="A3125" t="s">
        <v>3129</v>
      </c>
      <c r="B3125">
        <v>0.99876560204751996</v>
      </c>
      <c r="C3125">
        <v>1.02085623786826</v>
      </c>
      <c r="D3125">
        <v>0.87313039724253605</v>
      </c>
      <c r="E3125">
        <v>0.68605888509607704</v>
      </c>
      <c r="F3125">
        <v>0.46015729217530099</v>
      </c>
      <c r="G3125">
        <v>0.29220285380284</v>
      </c>
      <c r="H3125">
        <v>0.201154503231258</v>
      </c>
      <c r="I3125">
        <v>0.23165842713699999</v>
      </c>
      <c r="J3125">
        <v>0.23095023431606099</v>
      </c>
      <c r="K3125">
        <v>0.22874798336824401</v>
      </c>
      <c r="L3125">
        <v>1000.0182908535</v>
      </c>
      <c r="M3125">
        <v>19.660345509716901</v>
      </c>
      <c r="N3125">
        <v>52.3200218984746</v>
      </c>
      <c r="O3125">
        <v>50.347272113860697</v>
      </c>
      <c r="P3125">
        <v>-7.7065261925654105E-2</v>
      </c>
      <c r="Q3125">
        <v>0.21061611730709301</v>
      </c>
      <c r="R3125">
        <v>0.99485253644846505</v>
      </c>
      <c r="S3125" t="s">
        <v>7421</v>
      </c>
      <c r="T3125" t="s">
        <v>8590</v>
      </c>
      <c r="U3125" t="s">
        <v>8590</v>
      </c>
      <c r="V3125" t="s">
        <v>8590</v>
      </c>
      <c r="W3125">
        <v>10</v>
      </c>
      <c r="X3125" t="s">
        <v>11715</v>
      </c>
      <c r="Y3125">
        <v>0.50781748158812912</v>
      </c>
      <c r="Z3125" t="str">
        <f>HYPERLINK("Melting_Curves/meltCurve_sp_Q9HCE6_3_ARGAL_HUMAN_.pdf", "Melting_Curves/meltCurve_sp_Q9HCE6_3_ARGAL_HUMAN_.pdf")</f>
        <v>Melting_Curves/meltCurve_sp_Q9HCE6_3_ARGAL_HUMAN_.pdf</v>
      </c>
      <c r="AA3125" t="s">
        <v>15964</v>
      </c>
      <c r="AB3125" t="s">
        <v>20209</v>
      </c>
    </row>
    <row r="3126" spans="1:28" x14ac:dyDescent="0.25">
      <c r="A3126" t="s">
        <v>3130</v>
      </c>
      <c r="B3126">
        <v>0.99876560204751996</v>
      </c>
      <c r="C3126">
        <v>1.0244192501431</v>
      </c>
      <c r="D3126">
        <v>0.95881869183301205</v>
      </c>
      <c r="E3126">
        <v>0.97029416035924099</v>
      </c>
      <c r="F3126">
        <v>1.06501331224836</v>
      </c>
      <c r="G3126">
        <v>0.80516552822109</v>
      </c>
      <c r="H3126">
        <v>0.54678700474558894</v>
      </c>
      <c r="I3126">
        <v>0.448149840270817</v>
      </c>
      <c r="J3126">
        <v>0.72127430787259095</v>
      </c>
      <c r="K3126">
        <v>0.76577146732472401</v>
      </c>
      <c r="L3126">
        <v>14246.9458974023</v>
      </c>
      <c r="M3126">
        <v>250</v>
      </c>
      <c r="O3126">
        <v>56.984137081117503</v>
      </c>
      <c r="P3126">
        <v>-0.41623902946705499</v>
      </c>
      <c r="Q3126">
        <v>0.62049565203489199</v>
      </c>
      <c r="R3126">
        <v>0.81566925481507302</v>
      </c>
      <c r="S3126" t="s">
        <v>7422</v>
      </c>
      <c r="T3126" t="s">
        <v>8590</v>
      </c>
      <c r="U3126" t="s">
        <v>8590</v>
      </c>
      <c r="V3126" t="s">
        <v>8590</v>
      </c>
      <c r="W3126">
        <v>1</v>
      </c>
      <c r="X3126" t="s">
        <v>11716</v>
      </c>
      <c r="Y3126">
        <v>0.83543153176415097</v>
      </c>
      <c r="Z3126" t="str">
        <f>HYPERLINK("Melting_Curves/meltCurve_sp_Q9HCL3_ZFP14_HUMAN_.pdf", "Melting_Curves/meltCurve_sp_Q9HCL3_ZFP14_HUMAN_.pdf")</f>
        <v>Melting_Curves/meltCurve_sp_Q9HCL3_ZFP14_HUMAN_.pdf</v>
      </c>
      <c r="AA3126" t="s">
        <v>15965</v>
      </c>
      <c r="AB3126" t="s">
        <v>20210</v>
      </c>
    </row>
    <row r="3127" spans="1:28" x14ac:dyDescent="0.25">
      <c r="A3127" t="s">
        <v>3131</v>
      </c>
      <c r="B3127">
        <v>0.99876560204751996</v>
      </c>
      <c r="C3127">
        <v>0.94767658964648804</v>
      </c>
      <c r="D3127">
        <v>0.86444451152950796</v>
      </c>
      <c r="E3127">
        <v>0.80556048872171004</v>
      </c>
      <c r="F3127">
        <v>0.54962593028303897</v>
      </c>
      <c r="G3127">
        <v>0.52023651703780305</v>
      </c>
      <c r="H3127">
        <v>0.45593299429873402</v>
      </c>
      <c r="I3127">
        <v>0.41692061590257201</v>
      </c>
      <c r="J3127">
        <v>0.52744876264312102</v>
      </c>
      <c r="K3127">
        <v>0.45248134214484798</v>
      </c>
      <c r="L3127">
        <v>869.28985699601196</v>
      </c>
      <c r="M3127">
        <v>17.334049727715801</v>
      </c>
      <c r="N3127">
        <v>57.8604299336371</v>
      </c>
      <c r="O3127">
        <v>49.496095041438899</v>
      </c>
      <c r="P3127">
        <v>-4.8123740342487897E-2</v>
      </c>
      <c r="Q3127">
        <v>0.45037633846354003</v>
      </c>
      <c r="R3127">
        <v>0.95977697178432297</v>
      </c>
      <c r="S3127" t="s">
        <v>7423</v>
      </c>
      <c r="T3127" t="s">
        <v>8590</v>
      </c>
      <c r="U3127" t="s">
        <v>8590</v>
      </c>
      <c r="V3127" t="s">
        <v>8590</v>
      </c>
      <c r="W3127">
        <v>2</v>
      </c>
      <c r="X3127" t="s">
        <v>11717</v>
      </c>
      <c r="Y3127">
        <v>0.64635850412145834</v>
      </c>
      <c r="Z3127" t="str">
        <f>HYPERLINK("Melting_Curves/meltCurve_sp_Q9HCM4_2_E41L5_HUMAN_.pdf", "Melting_Curves/meltCurve_sp_Q9HCM4_2_E41L5_HUMAN_.pdf")</f>
        <v>Melting_Curves/meltCurve_sp_Q9HCM4_2_E41L5_HUMAN_.pdf</v>
      </c>
      <c r="AA3127" t="s">
        <v>15966</v>
      </c>
      <c r="AB3127" t="s">
        <v>20211</v>
      </c>
    </row>
    <row r="3128" spans="1:28" x14ac:dyDescent="0.25">
      <c r="A3128" t="s">
        <v>3132</v>
      </c>
      <c r="B3128">
        <v>0.99876560204751996</v>
      </c>
      <c r="C3128">
        <v>0.81117564813472898</v>
      </c>
      <c r="D3128">
        <v>0.881064661018092</v>
      </c>
      <c r="E3128">
        <v>0.54578179808433103</v>
      </c>
      <c r="F3128">
        <v>0.71680739697919305</v>
      </c>
      <c r="G3128">
        <v>0.31462021572290499</v>
      </c>
      <c r="H3128">
        <v>0</v>
      </c>
      <c r="I3128">
        <v>0.11214524693670901</v>
      </c>
      <c r="J3128">
        <v>0</v>
      </c>
      <c r="K3128">
        <v>0.11196748281848599</v>
      </c>
      <c r="L3128">
        <v>651.83775666164001</v>
      </c>
      <c r="M3128">
        <v>12.298129682666801</v>
      </c>
      <c r="N3128">
        <v>53.003005215710601</v>
      </c>
      <c r="O3128">
        <v>51.660024158389703</v>
      </c>
      <c r="P3128">
        <v>-5.9527775666506098E-2</v>
      </c>
      <c r="Q3128">
        <v>0</v>
      </c>
      <c r="R3128">
        <v>0.910846791579625</v>
      </c>
      <c r="S3128" t="s">
        <v>7424</v>
      </c>
      <c r="T3128" t="s">
        <v>8590</v>
      </c>
      <c r="U3128" t="s">
        <v>8590</v>
      </c>
      <c r="V3128" t="s">
        <v>8590</v>
      </c>
      <c r="W3128">
        <v>1</v>
      </c>
      <c r="X3128" t="s">
        <v>11718</v>
      </c>
      <c r="Y3128">
        <v>0.46111817701147628</v>
      </c>
      <c r="Z3128" t="str">
        <f>HYPERLINK("Melting_Curves/meltCurve_sp_Q9HCN4_3_GPN1_HUMAN_.pdf", "Melting_Curves/meltCurve_sp_Q9HCN4_3_GPN1_HUMAN_.pdf")</f>
        <v>Melting_Curves/meltCurve_sp_Q9HCN4_3_GPN1_HUMAN_.pdf</v>
      </c>
      <c r="AA3128" t="s">
        <v>15967</v>
      </c>
      <c r="AB3128" t="s">
        <v>20212</v>
      </c>
    </row>
    <row r="3129" spans="1:28" x14ac:dyDescent="0.25">
      <c r="A3129" t="s">
        <v>3133</v>
      </c>
      <c r="B3129">
        <v>0.99876560204751996</v>
      </c>
      <c r="C3129">
        <v>0.96096495848128405</v>
      </c>
      <c r="D3129">
        <v>0.94211863215411196</v>
      </c>
      <c r="E3129">
        <v>0.96981570320774102</v>
      </c>
      <c r="F3129">
        <v>0.96424670342866303</v>
      </c>
      <c r="G3129">
        <v>0.73196977234604199</v>
      </c>
      <c r="H3129">
        <v>0.67358312846066004</v>
      </c>
      <c r="I3129">
        <v>0.61464609626799105</v>
      </c>
      <c r="J3129">
        <v>0.74429284080259805</v>
      </c>
      <c r="K3129">
        <v>0.703481185295596</v>
      </c>
      <c r="L3129">
        <v>2833.35042372834</v>
      </c>
      <c r="M3129">
        <v>51.445567496739699</v>
      </c>
      <c r="O3129">
        <v>54.991699095630402</v>
      </c>
      <c r="P3129">
        <v>-7.3988066520288207E-2</v>
      </c>
      <c r="Q3129">
        <v>0.68364806785325105</v>
      </c>
      <c r="R3129">
        <v>0.92635075534040001</v>
      </c>
      <c r="S3129" t="s">
        <v>7425</v>
      </c>
      <c r="T3129" t="s">
        <v>8590</v>
      </c>
      <c r="U3129" t="s">
        <v>8590</v>
      </c>
      <c r="V3129" t="s">
        <v>8590</v>
      </c>
      <c r="W3129">
        <v>3</v>
      </c>
      <c r="X3129" t="s">
        <v>11719</v>
      </c>
      <c r="Y3129">
        <v>0.84333739707856015</v>
      </c>
      <c r="Z3129" t="str">
        <f>HYPERLINK("Melting_Curves/meltCurve_sp_Q9HCN8_SDF2L_HUMAN_.pdf", "Melting_Curves/meltCurve_sp_Q9HCN8_SDF2L_HUMAN_.pdf")</f>
        <v>Melting_Curves/meltCurve_sp_Q9HCN8_SDF2L_HUMAN_.pdf</v>
      </c>
      <c r="AA3129" t="s">
        <v>15968</v>
      </c>
      <c r="AB3129" t="s">
        <v>20213</v>
      </c>
    </row>
    <row r="3130" spans="1:28" x14ac:dyDescent="0.25">
      <c r="A3130" t="s">
        <v>3134</v>
      </c>
      <c r="B3130">
        <v>0.99876560204751996</v>
      </c>
      <c r="C3130">
        <v>0.88125026865269995</v>
      </c>
      <c r="D3130">
        <v>1.0027283459945</v>
      </c>
      <c r="E3130">
        <v>0.87359722720571498</v>
      </c>
      <c r="F3130">
        <v>1.0556643822599501</v>
      </c>
      <c r="G3130">
        <v>0.76785275470839298</v>
      </c>
      <c r="H3130">
        <v>0.74091452137997105</v>
      </c>
      <c r="I3130">
        <v>0.73034321996317497</v>
      </c>
      <c r="J3130">
        <v>0.86224964552234395</v>
      </c>
      <c r="K3130">
        <v>0.88502742408797896</v>
      </c>
      <c r="L3130">
        <v>5269.2771357008696</v>
      </c>
      <c r="M3130">
        <v>95.645997469031698</v>
      </c>
      <c r="O3130">
        <v>55.067367189156997</v>
      </c>
      <c r="P3130">
        <v>-8.8504273896244504E-2</v>
      </c>
      <c r="Q3130">
        <v>0.79617762885461696</v>
      </c>
      <c r="R3130">
        <v>0.523384819887458</v>
      </c>
      <c r="S3130" t="s">
        <v>7426</v>
      </c>
      <c r="T3130" t="s">
        <v>8590</v>
      </c>
      <c r="U3130" t="s">
        <v>8590</v>
      </c>
      <c r="V3130" t="s">
        <v>8590</v>
      </c>
      <c r="W3130">
        <v>9</v>
      </c>
      <c r="X3130" t="s">
        <v>11720</v>
      </c>
      <c r="Y3130">
        <v>0.898844973350995</v>
      </c>
      <c r="Z3130" t="str">
        <f>HYPERLINK("Melting_Curves/meltCurve_sp_Q9HD15_SRA1_HUMAN_.pdf", "Melting_Curves/meltCurve_sp_Q9HD15_SRA1_HUMAN_.pdf")</f>
        <v>Melting_Curves/meltCurve_sp_Q9HD15_SRA1_HUMAN_.pdf</v>
      </c>
      <c r="AA3130" t="s">
        <v>15969</v>
      </c>
      <c r="AB3130" t="s">
        <v>20214</v>
      </c>
    </row>
    <row r="3131" spans="1:28" x14ac:dyDescent="0.25">
      <c r="A3131" t="s">
        <v>3135</v>
      </c>
      <c r="B3131">
        <v>0.99876560204751996</v>
      </c>
      <c r="C3131">
        <v>0.93572785715516305</v>
      </c>
      <c r="D3131">
        <v>0.78082988130147302</v>
      </c>
      <c r="E3131">
        <v>0.41569633183185101</v>
      </c>
      <c r="F3131">
        <v>0.18975214430645401</v>
      </c>
      <c r="G3131">
        <v>0.124500878374617</v>
      </c>
      <c r="H3131">
        <v>6.5475034591760697E-2</v>
      </c>
      <c r="I3131">
        <v>6.6008063762425101E-2</v>
      </c>
      <c r="J3131">
        <v>6.1807565345449601E-2</v>
      </c>
      <c r="K3131">
        <v>5.7855852882320299E-2</v>
      </c>
      <c r="L3131">
        <v>993.44417632655302</v>
      </c>
      <c r="M3131">
        <v>20.4014815364622</v>
      </c>
      <c r="N3131">
        <v>48.991312769944599</v>
      </c>
      <c r="O3131">
        <v>48.234106030084803</v>
      </c>
      <c r="P3131">
        <v>-9.9601818932984199E-2</v>
      </c>
      <c r="Q3131">
        <v>5.8096004062173703E-2</v>
      </c>
      <c r="R3131">
        <v>0.99918954014943095</v>
      </c>
      <c r="S3131" t="s">
        <v>7427</v>
      </c>
      <c r="T3131" t="s">
        <v>8590</v>
      </c>
      <c r="U3131" t="s">
        <v>8590</v>
      </c>
      <c r="V3131" t="s">
        <v>8590</v>
      </c>
      <c r="W3131">
        <v>3</v>
      </c>
      <c r="X3131" t="s">
        <v>11721</v>
      </c>
      <c r="Y3131">
        <v>0.34378757606742799</v>
      </c>
      <c r="Z3131" t="str">
        <f>HYPERLINK("Melting_Curves/meltCurve_sp_Q9HD26_2_GOPC_HUMAN_.pdf", "Melting_Curves/meltCurve_sp_Q9HD26_2_GOPC_HUMAN_.pdf")</f>
        <v>Melting_Curves/meltCurve_sp_Q9HD26_2_GOPC_HUMAN_.pdf</v>
      </c>
      <c r="AA3131" t="s">
        <v>15970</v>
      </c>
      <c r="AB3131" t="s">
        <v>20215</v>
      </c>
    </row>
    <row r="3132" spans="1:28" x14ac:dyDescent="0.25">
      <c r="A3132" t="s">
        <v>3136</v>
      </c>
      <c r="B3132">
        <v>0.99876560204751996</v>
      </c>
      <c r="C3132">
        <v>0.93654344351265895</v>
      </c>
      <c r="D3132">
        <v>0.90830862646100397</v>
      </c>
      <c r="E3132">
        <v>0.84727684679297899</v>
      </c>
      <c r="F3132">
        <v>0.53184381350621801</v>
      </c>
      <c r="G3132">
        <v>0.26809136689430202</v>
      </c>
      <c r="H3132">
        <v>0.17966899800151601</v>
      </c>
      <c r="I3132">
        <v>0.11293547808448599</v>
      </c>
      <c r="J3132">
        <v>0.11142653693697201</v>
      </c>
      <c r="K3132">
        <v>0.122365038405294</v>
      </c>
      <c r="L3132">
        <v>1121.4954816454001</v>
      </c>
      <c r="M3132">
        <v>21.165062956092001</v>
      </c>
      <c r="N3132">
        <v>53.599300533629503</v>
      </c>
      <c r="O3132">
        <v>52.521830302942199</v>
      </c>
      <c r="P3132">
        <v>-8.9944372071498704E-2</v>
      </c>
      <c r="Q3132">
        <v>0.10722311125400499</v>
      </c>
      <c r="R3132">
        <v>0.99264232532792995</v>
      </c>
      <c r="S3132" t="s">
        <v>7428</v>
      </c>
      <c r="T3132" t="s">
        <v>8590</v>
      </c>
      <c r="U3132" t="s">
        <v>8590</v>
      </c>
      <c r="V3132" t="s">
        <v>8590</v>
      </c>
      <c r="W3132">
        <v>2</v>
      </c>
      <c r="X3132" t="s">
        <v>11722</v>
      </c>
      <c r="Y3132">
        <v>0.50486995335865281</v>
      </c>
      <c r="Z3132" t="str">
        <f>HYPERLINK("Melting_Curves/meltCurve_sp_Q9HD34_LYRM4_HUMAN_.pdf", "Melting_Curves/meltCurve_sp_Q9HD34_LYRM4_HUMAN_.pdf")</f>
        <v>Melting_Curves/meltCurve_sp_Q9HD34_LYRM4_HUMAN_.pdf</v>
      </c>
      <c r="AA3132" t="s">
        <v>15971</v>
      </c>
      <c r="AB3132" t="s">
        <v>20216</v>
      </c>
    </row>
    <row r="3133" spans="1:28" x14ac:dyDescent="0.25">
      <c r="A3133" t="s">
        <v>3137</v>
      </c>
      <c r="B3133">
        <v>0.99876560204751996</v>
      </c>
      <c r="C3133">
        <v>1.00118726329375</v>
      </c>
      <c r="D3133">
        <v>0.86291382612133305</v>
      </c>
      <c r="E3133">
        <v>0.90226826828111995</v>
      </c>
      <c r="F3133">
        <v>0.86180540003346195</v>
      </c>
      <c r="G3133">
        <v>0.780381230174228</v>
      </c>
      <c r="H3133">
        <v>0.473805735020083</v>
      </c>
      <c r="I3133">
        <v>0.308970819548954</v>
      </c>
      <c r="J3133">
        <v>6.0850031683805601E-2</v>
      </c>
      <c r="K3133">
        <v>3.8757846984633401E-2</v>
      </c>
      <c r="L3133">
        <v>1112.3270283639099</v>
      </c>
      <c r="M3133">
        <v>18.409243448911901</v>
      </c>
      <c r="N3133">
        <v>60.422202872766498</v>
      </c>
      <c r="O3133">
        <v>59.722764541716501</v>
      </c>
      <c r="P3133">
        <v>-7.7064729491372594E-2</v>
      </c>
      <c r="Q3133">
        <v>0</v>
      </c>
      <c r="R3133">
        <v>0.96925336541012197</v>
      </c>
      <c r="S3133" t="s">
        <v>7429</v>
      </c>
      <c r="T3133" t="s">
        <v>8590</v>
      </c>
      <c r="U3133" t="s">
        <v>8590</v>
      </c>
      <c r="V3133" t="s">
        <v>8590</v>
      </c>
      <c r="W3133">
        <v>16</v>
      </c>
      <c r="X3133" t="s">
        <v>11723</v>
      </c>
      <c r="Y3133">
        <v>0.68796034254349381</v>
      </c>
      <c r="Z3133" t="str">
        <f>HYPERLINK("Melting_Curves/meltCurve_sp_Q9HD40_SPCS_HUMAN_.pdf", "Melting_Curves/meltCurve_sp_Q9HD40_SPCS_HUMAN_.pdf")</f>
        <v>Melting_Curves/meltCurve_sp_Q9HD40_SPCS_HUMAN_.pdf</v>
      </c>
      <c r="AA3133" t="s">
        <v>15972</v>
      </c>
      <c r="AB3133" t="s">
        <v>20217</v>
      </c>
    </row>
    <row r="3134" spans="1:28" x14ac:dyDescent="0.25">
      <c r="A3134" t="s">
        <v>3138</v>
      </c>
      <c r="B3134">
        <v>0.99876560204751996</v>
      </c>
      <c r="C3134">
        <v>0.88566359270012895</v>
      </c>
      <c r="D3134">
        <v>0.94173594960791396</v>
      </c>
      <c r="E3134">
        <v>0.75715955982411698</v>
      </c>
      <c r="F3134">
        <v>0.69186728472469095</v>
      </c>
      <c r="G3134">
        <v>0.67223466628532902</v>
      </c>
      <c r="H3134">
        <v>0.51202816406948504</v>
      </c>
      <c r="I3134">
        <v>0.62715277603352204</v>
      </c>
      <c r="J3134">
        <v>0.59353304332882895</v>
      </c>
      <c r="K3134">
        <v>0.57142559547285199</v>
      </c>
      <c r="L3134">
        <v>655.10601804684597</v>
      </c>
      <c r="M3134">
        <v>13.1741483731939</v>
      </c>
      <c r="O3134">
        <v>48.622745590881699</v>
      </c>
      <c r="P3134">
        <v>-2.9543519159765799E-2</v>
      </c>
      <c r="Q3134">
        <v>0.56391990106956702</v>
      </c>
      <c r="R3134">
        <v>0.92366533162410902</v>
      </c>
      <c r="S3134" t="s">
        <v>7430</v>
      </c>
      <c r="T3134" t="s">
        <v>8590</v>
      </c>
      <c r="U3134" t="s">
        <v>8590</v>
      </c>
      <c r="V3134" t="s">
        <v>8590</v>
      </c>
      <c r="W3134">
        <v>3</v>
      </c>
      <c r="X3134" t="s">
        <v>11724</v>
      </c>
      <c r="Y3134">
        <v>0.71846778542440104</v>
      </c>
      <c r="Z3134" t="str">
        <f>HYPERLINK("Melting_Curves/meltCurve_sp_Q9HD42_CHM1A_HUMAN_.pdf", "Melting_Curves/meltCurve_sp_Q9HD42_CHM1A_HUMAN_.pdf")</f>
        <v>Melting_Curves/meltCurve_sp_Q9HD42_CHM1A_HUMAN_.pdf</v>
      </c>
      <c r="AA3134" t="s">
        <v>15973</v>
      </c>
      <c r="AB3134" t="s">
        <v>20218</v>
      </c>
    </row>
    <row r="3135" spans="1:28" x14ac:dyDescent="0.25">
      <c r="A3135" t="s">
        <v>3139</v>
      </c>
      <c r="B3135">
        <v>0.99876560204751996</v>
      </c>
      <c r="C3135">
        <v>1.0447605823096899</v>
      </c>
      <c r="D3135">
        <v>0.81942228876676704</v>
      </c>
      <c r="E3135">
        <v>1.2029581708420301</v>
      </c>
      <c r="F3135">
        <v>0.78665368493588095</v>
      </c>
      <c r="G3135">
        <v>0.36458472783618401</v>
      </c>
      <c r="H3135">
        <v>0.23046799221669301</v>
      </c>
      <c r="I3135">
        <v>0.14569660822792199</v>
      </c>
      <c r="J3135">
        <v>0.128025244245837</v>
      </c>
      <c r="K3135">
        <v>0.14628100433927699</v>
      </c>
      <c r="L3135">
        <v>1985.4169060025099</v>
      </c>
      <c r="M3135">
        <v>36.003139132115201</v>
      </c>
      <c r="N3135">
        <v>55.7179726073553</v>
      </c>
      <c r="O3135">
        <v>54.9763499786892</v>
      </c>
      <c r="P3135">
        <v>-0.138415015990632</v>
      </c>
      <c r="Q3135">
        <v>0.154570441025772</v>
      </c>
      <c r="R3135">
        <v>0.94426014908350298</v>
      </c>
      <c r="S3135" t="s">
        <v>7431</v>
      </c>
      <c r="T3135" t="s">
        <v>8590</v>
      </c>
      <c r="U3135" t="s">
        <v>8590</v>
      </c>
      <c r="V3135" t="s">
        <v>8590</v>
      </c>
      <c r="W3135">
        <v>1</v>
      </c>
      <c r="X3135" t="s">
        <v>11725</v>
      </c>
      <c r="Y3135">
        <v>0.5853413976148405</v>
      </c>
      <c r="Z3135" t="str">
        <f>HYPERLINK("Melting_Curves/meltCurve_sp_Q9HD47_4_MOG1_HUMAN_.pdf", "Melting_Curves/meltCurve_sp_Q9HD47_4_MOG1_HUMAN_.pdf")</f>
        <v>Melting_Curves/meltCurve_sp_Q9HD47_4_MOG1_HUMAN_.pdf</v>
      </c>
      <c r="AA3135" t="s">
        <v>15974</v>
      </c>
      <c r="AB3135" t="s">
        <v>20219</v>
      </c>
    </row>
    <row r="3136" spans="1:28" x14ac:dyDescent="0.25">
      <c r="A3136" t="s">
        <v>3140</v>
      </c>
      <c r="B3136">
        <v>0.99876560204751996</v>
      </c>
      <c r="C3136">
        <v>0.917968316831138</v>
      </c>
      <c r="D3136">
        <v>0.883843184558603</v>
      </c>
      <c r="E3136">
        <v>0.96852520357829197</v>
      </c>
      <c r="F3136">
        <v>1.04855825241819</v>
      </c>
      <c r="G3136">
        <v>0.92590186667340801</v>
      </c>
      <c r="H3136">
        <v>0.851924014207456</v>
      </c>
      <c r="I3136">
        <v>0.84588690643407805</v>
      </c>
      <c r="J3136">
        <v>1.04145799737189</v>
      </c>
      <c r="K3136">
        <v>1.01007272170199</v>
      </c>
      <c r="L3136">
        <v>10151.7915821807</v>
      </c>
      <c r="M3136">
        <v>250</v>
      </c>
      <c r="O3136">
        <v>40.604567832815803</v>
      </c>
      <c r="P3136">
        <v>-8.6515571972251196E-2</v>
      </c>
      <c r="Q3136">
        <v>0.94379316162328797</v>
      </c>
      <c r="R3136">
        <v>5.3491173356178097E-2</v>
      </c>
      <c r="S3136" t="s">
        <v>7432</v>
      </c>
      <c r="T3136" t="s">
        <v>8590</v>
      </c>
      <c r="U3136" t="s">
        <v>8590</v>
      </c>
      <c r="V3136" t="s">
        <v>8590</v>
      </c>
      <c r="W3136">
        <v>4</v>
      </c>
      <c r="X3136" t="s">
        <v>11726</v>
      </c>
      <c r="Y3136">
        <v>0.94494124585288575</v>
      </c>
      <c r="Z3136" t="str">
        <f>HYPERLINK("Melting_Curves/meltCurve_sp_Q9HD89_RETN_HUMAN_.pdf", "Melting_Curves/meltCurve_sp_Q9HD89_RETN_HUMAN_.pdf")</f>
        <v>Melting_Curves/meltCurve_sp_Q9HD89_RETN_HUMAN_.pdf</v>
      </c>
      <c r="AA3136" t="s">
        <v>15975</v>
      </c>
      <c r="AB3136" t="s">
        <v>20220</v>
      </c>
    </row>
    <row r="3137" spans="1:28" x14ac:dyDescent="0.25">
      <c r="A3137" t="s">
        <v>3141</v>
      </c>
      <c r="B3137">
        <v>0.99876560204751996</v>
      </c>
      <c r="C3137">
        <v>1.1182579973882001</v>
      </c>
      <c r="D3137">
        <v>0.858764833741266</v>
      </c>
      <c r="E3137">
        <v>0.56064252859219399</v>
      </c>
      <c r="F3137">
        <v>0.31564438522204302</v>
      </c>
      <c r="G3137">
        <v>0.20274266317081699</v>
      </c>
      <c r="H3137">
        <v>0.11215407628757899</v>
      </c>
      <c r="I3137">
        <v>8.1309487192699995E-2</v>
      </c>
      <c r="J3137">
        <v>9.8455619041381004E-2</v>
      </c>
      <c r="K3137">
        <v>4.2399907296398101E-2</v>
      </c>
      <c r="L3137">
        <v>1044.25723899324</v>
      </c>
      <c r="M3137">
        <v>20.742793401742201</v>
      </c>
      <c r="N3137">
        <v>50.777107633728797</v>
      </c>
      <c r="O3137">
        <v>49.882237475308798</v>
      </c>
      <c r="P3137">
        <v>-9.5517178272550601E-2</v>
      </c>
      <c r="Q3137">
        <v>8.1227635060644801E-2</v>
      </c>
      <c r="R3137">
        <v>0.98346454690896501</v>
      </c>
      <c r="S3137" t="s">
        <v>7433</v>
      </c>
      <c r="T3137" t="s">
        <v>8590</v>
      </c>
      <c r="U3137" t="s">
        <v>8590</v>
      </c>
      <c r="V3137" t="s">
        <v>8590</v>
      </c>
      <c r="W3137">
        <v>2</v>
      </c>
      <c r="X3137" t="s">
        <v>11727</v>
      </c>
      <c r="Y3137">
        <v>0.40990060718913413</v>
      </c>
      <c r="Z3137" t="str">
        <f>HYPERLINK("Melting_Curves/meltCurve_sp_Q9HDC9_2_APMAP_HUMAN_.pdf", "Melting_Curves/meltCurve_sp_Q9HDC9_2_APMAP_HUMAN_.pdf")</f>
        <v>Melting_Curves/meltCurve_sp_Q9HDC9_2_APMAP_HUMAN_.pdf</v>
      </c>
      <c r="AA3137" t="s">
        <v>15976</v>
      </c>
      <c r="AB3137" t="s">
        <v>20221</v>
      </c>
    </row>
    <row r="3138" spans="1:28" x14ac:dyDescent="0.25">
      <c r="A3138" t="s">
        <v>3142</v>
      </c>
      <c r="B3138">
        <v>0.99876560204751996</v>
      </c>
      <c r="C3138">
        <v>0.95261455687251295</v>
      </c>
      <c r="D3138">
        <v>1.05515033267643</v>
      </c>
      <c r="E3138">
        <v>0.912898536160758</v>
      </c>
      <c r="F3138">
        <v>0.89853815894867195</v>
      </c>
      <c r="G3138">
        <v>0.62741838832791197</v>
      </c>
      <c r="H3138">
        <v>0.43502377718594498</v>
      </c>
      <c r="I3138">
        <v>0.407389684743453</v>
      </c>
      <c r="J3138">
        <v>0.50409991149913003</v>
      </c>
      <c r="K3138">
        <v>0.479762517735498</v>
      </c>
      <c r="L3138">
        <v>1713.6262034631</v>
      </c>
      <c r="M3138">
        <v>30.9500350669725</v>
      </c>
      <c r="N3138">
        <v>59.809243611148197</v>
      </c>
      <c r="O3138">
        <v>55.137898171231299</v>
      </c>
      <c r="P3138">
        <v>-7.7210689458192899E-2</v>
      </c>
      <c r="Q3138">
        <v>0.44979569509880202</v>
      </c>
      <c r="R3138">
        <v>0.96943956728953395</v>
      </c>
      <c r="S3138" t="s">
        <v>7434</v>
      </c>
      <c r="T3138" t="s">
        <v>8590</v>
      </c>
      <c r="U3138" t="s">
        <v>8590</v>
      </c>
      <c r="V3138" t="s">
        <v>8590</v>
      </c>
      <c r="W3138">
        <v>16</v>
      </c>
      <c r="X3138" t="s">
        <v>11728</v>
      </c>
      <c r="Y3138">
        <v>0.73508876379665056</v>
      </c>
      <c r="Z3138" t="str">
        <f>HYPERLINK("Melting_Curves/meltCurve_sp_Q9NP61_ARFG3_HUMAN_.pdf", "Melting_Curves/meltCurve_sp_Q9NP61_ARFG3_HUMAN_.pdf")</f>
        <v>Melting_Curves/meltCurve_sp_Q9NP61_ARFG3_HUMAN_.pdf</v>
      </c>
      <c r="AA3138" t="s">
        <v>15977</v>
      </c>
      <c r="AB3138" t="s">
        <v>20222</v>
      </c>
    </row>
    <row r="3139" spans="1:28" x14ac:dyDescent="0.25">
      <c r="A3139" t="s">
        <v>3143</v>
      </c>
      <c r="B3139">
        <v>0.99876560204751996</v>
      </c>
      <c r="C3139">
        <v>0.85309304438872402</v>
      </c>
      <c r="D3139">
        <v>0.89428241583332901</v>
      </c>
      <c r="E3139">
        <v>0.75840008240470402</v>
      </c>
      <c r="F3139">
        <v>0.634570726445712</v>
      </c>
      <c r="G3139">
        <v>0.38336926787994802</v>
      </c>
      <c r="H3139">
        <v>0.230728764660729</v>
      </c>
      <c r="I3139">
        <v>0.260760987492764</v>
      </c>
      <c r="J3139">
        <v>0.222650240686735</v>
      </c>
      <c r="K3139">
        <v>0.173775027270404</v>
      </c>
      <c r="L3139">
        <v>634.51599627916403</v>
      </c>
      <c r="M3139">
        <v>11.836450016412901</v>
      </c>
      <c r="N3139">
        <v>54.906224529104897</v>
      </c>
      <c r="O3139">
        <v>52.145491232345996</v>
      </c>
      <c r="P3139">
        <v>-4.98286324104001E-2</v>
      </c>
      <c r="Q3139">
        <v>0.122142834206127</v>
      </c>
      <c r="R3139">
        <v>0.97935038379350603</v>
      </c>
      <c r="S3139" t="s">
        <v>7435</v>
      </c>
      <c r="T3139" t="s">
        <v>8590</v>
      </c>
      <c r="U3139" t="s">
        <v>8590</v>
      </c>
      <c r="V3139" t="s">
        <v>8590</v>
      </c>
      <c r="W3139">
        <v>5</v>
      </c>
      <c r="X3139" t="s">
        <v>11729</v>
      </c>
      <c r="Y3139">
        <v>0.54440251507257897</v>
      </c>
      <c r="Z3139" t="str">
        <f>HYPERLINK("Melting_Curves/meltCurve_sp_Q9NP71_4_MLXPL_HUMAN_.pdf", "Melting_Curves/meltCurve_sp_Q9NP71_4_MLXPL_HUMAN_.pdf")</f>
        <v>Melting_Curves/meltCurve_sp_Q9NP71_4_MLXPL_HUMAN_.pdf</v>
      </c>
      <c r="AA3139" t="s">
        <v>15978</v>
      </c>
      <c r="AB3139" t="s">
        <v>20223</v>
      </c>
    </row>
    <row r="3140" spans="1:28" x14ac:dyDescent="0.25">
      <c r="A3140" t="s">
        <v>3144</v>
      </c>
      <c r="B3140">
        <v>0.99876560204751996</v>
      </c>
      <c r="C3140">
        <v>1.0002163232008801</v>
      </c>
      <c r="D3140">
        <v>0.87320116568780004</v>
      </c>
      <c r="E3140">
        <v>0.83823483266521903</v>
      </c>
      <c r="F3140">
        <v>0.54879875869433803</v>
      </c>
      <c r="G3140">
        <v>0.35771925286637202</v>
      </c>
      <c r="H3140">
        <v>0.19002175822313999</v>
      </c>
      <c r="I3140">
        <v>0.15580347645121401</v>
      </c>
      <c r="J3140">
        <v>7.8635057229894598E-2</v>
      </c>
      <c r="K3140">
        <v>4.0920071393542298E-2</v>
      </c>
      <c r="L3140">
        <v>752.83826133917603</v>
      </c>
      <c r="M3140">
        <v>13.8529067253733</v>
      </c>
      <c r="N3140">
        <v>54.471528366168897</v>
      </c>
      <c r="O3140">
        <v>53.250235119849698</v>
      </c>
      <c r="P3140">
        <v>-6.4017133827201506E-2</v>
      </c>
      <c r="Q3140">
        <v>1.5814686502404401E-2</v>
      </c>
      <c r="R3140">
        <v>0.99198248254691301</v>
      </c>
      <c r="S3140" t="s">
        <v>7436</v>
      </c>
      <c r="T3140" t="s">
        <v>8590</v>
      </c>
      <c r="U3140" t="s">
        <v>8590</v>
      </c>
      <c r="V3140" t="s">
        <v>8590</v>
      </c>
      <c r="W3140">
        <v>7</v>
      </c>
      <c r="X3140" t="s">
        <v>11730</v>
      </c>
      <c r="Y3140">
        <v>0.50807750268658247</v>
      </c>
      <c r="Z3140" t="str">
        <f>HYPERLINK("Melting_Curves/meltCurve_sp_Q9NP72_RAB18_HUMAN_.pdf", "Melting_Curves/meltCurve_sp_Q9NP72_RAB18_HUMAN_.pdf")</f>
        <v>Melting_Curves/meltCurve_sp_Q9NP72_RAB18_HUMAN_.pdf</v>
      </c>
      <c r="AA3140" t="s">
        <v>15979</v>
      </c>
      <c r="AB3140" t="s">
        <v>20224</v>
      </c>
    </row>
    <row r="3141" spans="1:28" x14ac:dyDescent="0.25">
      <c r="A3141" t="s">
        <v>3145</v>
      </c>
      <c r="B3141">
        <v>0.99876560204751996</v>
      </c>
      <c r="C3141">
        <v>0.84634067265371504</v>
      </c>
      <c r="D3141">
        <v>0.982380715807745</v>
      </c>
      <c r="E3141">
        <v>0.77576465075846401</v>
      </c>
      <c r="F3141">
        <v>0.67291072116314499</v>
      </c>
      <c r="G3141">
        <v>0.34907778275411999</v>
      </c>
      <c r="H3141">
        <v>0.22707985238651399</v>
      </c>
      <c r="I3141">
        <v>0.117873202769383</v>
      </c>
      <c r="J3141">
        <v>0.10088081803059901</v>
      </c>
      <c r="K3141">
        <v>5.7257995760777003E-2</v>
      </c>
      <c r="L3141">
        <v>748.42685384824199</v>
      </c>
      <c r="M3141">
        <v>13.6088022164978</v>
      </c>
      <c r="N3141">
        <v>55.0489381569325</v>
      </c>
      <c r="O3141">
        <v>53.849034851078699</v>
      </c>
      <c r="P3141">
        <v>-6.2777403451860295E-2</v>
      </c>
      <c r="Q3141">
        <v>6.5244774790731604E-3</v>
      </c>
      <c r="R3141">
        <v>0.98126093744949505</v>
      </c>
      <c r="S3141" t="s">
        <v>7437</v>
      </c>
      <c r="T3141" t="s">
        <v>8590</v>
      </c>
      <c r="U3141" t="s">
        <v>8590</v>
      </c>
      <c r="V3141" t="s">
        <v>8590</v>
      </c>
      <c r="W3141">
        <v>1</v>
      </c>
      <c r="X3141" t="s">
        <v>11731</v>
      </c>
      <c r="Y3141">
        <v>0.52421009551508124</v>
      </c>
      <c r="Z3141" t="str">
        <f>HYPERLINK("Melting_Curves/meltCurve_sp_Q9NP73_2_ALG13_HUMAN_.pdf", "Melting_Curves/meltCurve_sp_Q9NP73_2_ALG13_HUMAN_.pdf")</f>
        <v>Melting_Curves/meltCurve_sp_Q9NP73_2_ALG13_HUMAN_.pdf</v>
      </c>
      <c r="AA3141" t="s">
        <v>15980</v>
      </c>
      <c r="AB3141" t="s">
        <v>20225</v>
      </c>
    </row>
    <row r="3142" spans="1:28" x14ac:dyDescent="0.25">
      <c r="A3142" t="s">
        <v>3146</v>
      </c>
      <c r="B3142">
        <v>0.99876560204751996</v>
      </c>
      <c r="C3142">
        <v>0.97838591100550198</v>
      </c>
      <c r="D3142">
        <v>1.05017306869992</v>
      </c>
      <c r="E3142">
        <v>0.94695969822438197</v>
      </c>
      <c r="F3142">
        <v>1.0114674164005699</v>
      </c>
      <c r="G3142">
        <v>0.78064282209971003</v>
      </c>
      <c r="H3142">
        <v>0.72441904606985197</v>
      </c>
      <c r="I3142">
        <v>0.73392899598300199</v>
      </c>
      <c r="J3142">
        <v>0.90403739765646096</v>
      </c>
      <c r="K3142">
        <v>0.82765966439239702</v>
      </c>
      <c r="L3142">
        <v>7740.9030343372197</v>
      </c>
      <c r="M3142">
        <v>140.95816148003701</v>
      </c>
      <c r="O3142">
        <v>54.905264825853102</v>
      </c>
      <c r="P3142">
        <v>-0.13225954680798099</v>
      </c>
      <c r="Q3142">
        <v>0.79393189387686003</v>
      </c>
      <c r="R3142">
        <v>0.78696639234597099</v>
      </c>
      <c r="S3142" t="s">
        <v>7438</v>
      </c>
      <c r="T3142" t="s">
        <v>8590</v>
      </c>
      <c r="U3142" t="s">
        <v>8590</v>
      </c>
      <c r="V3142" t="s">
        <v>8590</v>
      </c>
      <c r="W3142">
        <v>19</v>
      </c>
      <c r="X3142" t="s">
        <v>11732</v>
      </c>
      <c r="Y3142">
        <v>0.89645363312089354</v>
      </c>
      <c r="Z3142" t="str">
        <f>HYPERLINK("Melting_Curves/meltCurve_sp_Q9NP74_PALMD_HUMAN_.pdf", "Melting_Curves/meltCurve_sp_Q9NP74_PALMD_HUMAN_.pdf")</f>
        <v>Melting_Curves/meltCurve_sp_Q9NP74_PALMD_HUMAN_.pdf</v>
      </c>
      <c r="AA3142" t="s">
        <v>15981</v>
      </c>
      <c r="AB3142" t="s">
        <v>20226</v>
      </c>
    </row>
    <row r="3143" spans="1:28" x14ac:dyDescent="0.25">
      <c r="A3143" t="s">
        <v>3147</v>
      </c>
      <c r="B3143">
        <v>0.99876560204751996</v>
      </c>
      <c r="C3143">
        <v>0.91963895578018395</v>
      </c>
      <c r="D3143">
        <v>0.97562499087511401</v>
      </c>
      <c r="E3143">
        <v>0.67328464259423404</v>
      </c>
      <c r="F3143">
        <v>0.309684951355015</v>
      </c>
      <c r="G3143">
        <v>0.16670123181948401</v>
      </c>
      <c r="H3143">
        <v>9.7012318321684998E-2</v>
      </c>
      <c r="I3143">
        <v>7.7984912048690194E-2</v>
      </c>
      <c r="J3143">
        <v>7.2462526533810107E-2</v>
      </c>
      <c r="K3143">
        <v>7.6197638845470497E-2</v>
      </c>
      <c r="L3143">
        <v>1387.3961842461999</v>
      </c>
      <c r="M3143">
        <v>27.182451740786401</v>
      </c>
      <c r="N3143">
        <v>51.379346333721301</v>
      </c>
      <c r="O3143">
        <v>50.766300874313302</v>
      </c>
      <c r="P3143">
        <v>-0.122866860283317</v>
      </c>
      <c r="Q3143">
        <v>8.21378699959259E-2</v>
      </c>
      <c r="R3143">
        <v>0.99475851463447096</v>
      </c>
      <c r="S3143" t="s">
        <v>7439</v>
      </c>
      <c r="T3143" t="s">
        <v>8590</v>
      </c>
      <c r="U3143" t="s">
        <v>8590</v>
      </c>
      <c r="V3143" t="s">
        <v>8590</v>
      </c>
      <c r="W3143">
        <v>4</v>
      </c>
      <c r="X3143" t="s">
        <v>11733</v>
      </c>
      <c r="Y3143">
        <v>0.42694603728463942</v>
      </c>
      <c r="Z3143" t="str">
        <f>HYPERLINK("Melting_Curves/meltCurve_sp_Q9NP77_SSU72_HUMAN_.pdf", "Melting_Curves/meltCurve_sp_Q9NP77_SSU72_HUMAN_.pdf")</f>
        <v>Melting_Curves/meltCurve_sp_Q9NP77_SSU72_HUMAN_.pdf</v>
      </c>
      <c r="AA3143" t="s">
        <v>15982</v>
      </c>
      <c r="AB3143" t="s">
        <v>20227</v>
      </c>
    </row>
    <row r="3144" spans="1:28" x14ac:dyDescent="0.25">
      <c r="A3144" t="s">
        <v>3148</v>
      </c>
      <c r="B3144">
        <v>0.99876560204751996</v>
      </c>
      <c r="C3144">
        <v>0.95601718810964997</v>
      </c>
      <c r="D3144">
        <v>0.96317369702026001</v>
      </c>
      <c r="E3144">
        <v>0.872321714252976</v>
      </c>
      <c r="F3144">
        <v>0.68525191551357401</v>
      </c>
      <c r="G3144">
        <v>0.32187211718827602</v>
      </c>
      <c r="H3144">
        <v>0.17588775970561699</v>
      </c>
      <c r="I3144">
        <v>0.147458982907687</v>
      </c>
      <c r="J3144">
        <v>0.147700211259158</v>
      </c>
      <c r="K3144">
        <v>0.11031287718027701</v>
      </c>
      <c r="L3144">
        <v>1226.76373261345</v>
      </c>
      <c r="M3144">
        <v>22.644301698016498</v>
      </c>
      <c r="N3144">
        <v>54.8223810358311</v>
      </c>
      <c r="O3144">
        <v>53.758185587333799</v>
      </c>
      <c r="P3144">
        <v>-9.2960375038684401E-2</v>
      </c>
      <c r="Q3144">
        <v>0.117255825282111</v>
      </c>
      <c r="R3144">
        <v>0.99753062732490605</v>
      </c>
      <c r="S3144" t="s">
        <v>7440</v>
      </c>
      <c r="T3144" t="s">
        <v>8590</v>
      </c>
      <c r="U3144" t="s">
        <v>8590</v>
      </c>
      <c r="V3144" t="s">
        <v>8590</v>
      </c>
      <c r="W3144">
        <v>8</v>
      </c>
      <c r="X3144" t="s">
        <v>11734</v>
      </c>
      <c r="Y3144">
        <v>0.54409859609306177</v>
      </c>
      <c r="Z3144" t="str">
        <f>HYPERLINK("Melting_Curves/meltCurve_sp_Q9NP79_VTA1_HUMAN_.pdf", "Melting_Curves/meltCurve_sp_Q9NP79_VTA1_HUMAN_.pdf")</f>
        <v>Melting_Curves/meltCurve_sp_Q9NP79_VTA1_HUMAN_.pdf</v>
      </c>
      <c r="AA3144" t="s">
        <v>15983</v>
      </c>
      <c r="AB3144" t="s">
        <v>20228</v>
      </c>
    </row>
    <row r="3145" spans="1:28" x14ac:dyDescent="0.25">
      <c r="A3145" t="s">
        <v>3149</v>
      </c>
      <c r="B3145">
        <v>0.99876560204751996</v>
      </c>
      <c r="C3145">
        <v>0.98147299479529304</v>
      </c>
      <c r="D3145">
        <v>0.92013401089815405</v>
      </c>
      <c r="E3145">
        <v>0.78819866693707796</v>
      </c>
      <c r="F3145">
        <v>0.72089444159757698</v>
      </c>
      <c r="G3145">
        <v>0.54014386746120302</v>
      </c>
      <c r="H3145">
        <v>0.42976063344702697</v>
      </c>
      <c r="I3145">
        <v>0.37055593157599198</v>
      </c>
      <c r="J3145">
        <v>0.42018666634971902</v>
      </c>
      <c r="K3145">
        <v>0.346167937137492</v>
      </c>
      <c r="L3145">
        <v>687.00762838802405</v>
      </c>
      <c r="M3145">
        <v>12.8010153741076</v>
      </c>
      <c r="N3145">
        <v>58.460925592016103</v>
      </c>
      <c r="O3145">
        <v>52.409081443755603</v>
      </c>
      <c r="P3145">
        <v>-4.12292548938374E-2</v>
      </c>
      <c r="Q3145">
        <v>0.32493414618886002</v>
      </c>
      <c r="R3145">
        <v>0.99178147308676401</v>
      </c>
      <c r="S3145" t="s">
        <v>7441</v>
      </c>
      <c r="T3145" t="s">
        <v>8590</v>
      </c>
      <c r="U3145" t="s">
        <v>8590</v>
      </c>
      <c r="V3145" t="s">
        <v>8590</v>
      </c>
      <c r="W3145">
        <v>1</v>
      </c>
      <c r="X3145" t="s">
        <v>11735</v>
      </c>
      <c r="Y3145">
        <v>0.64950207488972345</v>
      </c>
      <c r="Z3145" t="str">
        <f>HYPERLINK("Melting_Curves/meltCurve_sp_Q9NP97_DLRB1_HUMAN_.pdf", "Melting_Curves/meltCurve_sp_Q9NP97_DLRB1_HUMAN_.pdf")</f>
        <v>Melting_Curves/meltCurve_sp_Q9NP97_DLRB1_HUMAN_.pdf</v>
      </c>
      <c r="AA3145" t="s">
        <v>15984</v>
      </c>
      <c r="AB3145" t="s">
        <v>20229</v>
      </c>
    </row>
    <row r="3146" spans="1:28" x14ac:dyDescent="0.25">
      <c r="A3146" t="s">
        <v>3150</v>
      </c>
      <c r="B3146">
        <v>0.99876560204751996</v>
      </c>
      <c r="C3146">
        <v>1.0816754344908499</v>
      </c>
      <c r="D3146">
        <v>1.0208691848282101</v>
      </c>
      <c r="E3146">
        <v>0.96419323564569204</v>
      </c>
      <c r="F3146">
        <v>0.63505482976896099</v>
      </c>
      <c r="G3146">
        <v>0.34215599746810399</v>
      </c>
      <c r="H3146">
        <v>0.270937790460137</v>
      </c>
      <c r="I3146">
        <v>0.297019314406752</v>
      </c>
      <c r="J3146">
        <v>0.33741515017964702</v>
      </c>
      <c r="K3146">
        <v>0.25597293149603001</v>
      </c>
      <c r="L3146">
        <v>2367.2125684007101</v>
      </c>
      <c r="M3146">
        <v>44.700039073162202</v>
      </c>
      <c r="N3146">
        <v>54.029364719879197</v>
      </c>
      <c r="O3146">
        <v>52.852065194334003</v>
      </c>
      <c r="P3146">
        <v>-0.14928198465270201</v>
      </c>
      <c r="Q3146">
        <v>0.29397370997702499</v>
      </c>
      <c r="R3146">
        <v>0.98988752606454</v>
      </c>
      <c r="S3146" t="s">
        <v>7442</v>
      </c>
      <c r="T3146" t="s">
        <v>8590</v>
      </c>
      <c r="U3146" t="s">
        <v>8590</v>
      </c>
      <c r="V3146" t="s">
        <v>8590</v>
      </c>
      <c r="W3146">
        <v>3</v>
      </c>
      <c r="X3146" t="s">
        <v>11736</v>
      </c>
      <c r="Y3146">
        <v>0.60098914793383884</v>
      </c>
      <c r="Z3146" t="str">
        <f>HYPERLINK("Melting_Curves/meltCurve_sp_Q9NPA8_2_ENY2_HUMAN_.pdf", "Melting_Curves/meltCurve_sp_Q9NPA8_2_ENY2_HUMAN_.pdf")</f>
        <v>Melting_Curves/meltCurve_sp_Q9NPA8_2_ENY2_HUMAN_.pdf</v>
      </c>
      <c r="AA3146" t="s">
        <v>15985</v>
      </c>
      <c r="AB3146" t="s">
        <v>20230</v>
      </c>
    </row>
    <row r="3147" spans="1:28" x14ac:dyDescent="0.25">
      <c r="A3147" t="s">
        <v>3151</v>
      </c>
      <c r="B3147">
        <v>0.99876560204751996</v>
      </c>
      <c r="C3147">
        <v>0.92077416301637005</v>
      </c>
      <c r="D3147">
        <v>0.84219922939740799</v>
      </c>
      <c r="E3147">
        <v>0.82124915627799</v>
      </c>
      <c r="F3147">
        <v>0.70524939977260603</v>
      </c>
      <c r="G3147">
        <v>0.55446997969710399</v>
      </c>
      <c r="H3147">
        <v>0.288085777745482</v>
      </c>
      <c r="I3147">
        <v>0.185934979394898</v>
      </c>
      <c r="J3147">
        <v>0.18452250844510901</v>
      </c>
      <c r="K3147">
        <v>9.1470668115108594E-2</v>
      </c>
      <c r="L3147">
        <v>614.49375854437994</v>
      </c>
      <c r="M3147">
        <v>10.8169573056097</v>
      </c>
      <c r="N3147">
        <v>56.808375747180598</v>
      </c>
      <c r="O3147">
        <v>54.970183936545901</v>
      </c>
      <c r="P3147">
        <v>-4.92123642227454E-2</v>
      </c>
      <c r="Q3147">
        <v>0</v>
      </c>
      <c r="R3147">
        <v>0.98275844004302304</v>
      </c>
      <c r="S3147" t="s">
        <v>7443</v>
      </c>
      <c r="T3147" t="s">
        <v>8590</v>
      </c>
      <c r="U3147" t="s">
        <v>8590</v>
      </c>
      <c r="V3147" t="s">
        <v>8590</v>
      </c>
      <c r="W3147">
        <v>4</v>
      </c>
      <c r="X3147" t="s">
        <v>11737</v>
      </c>
      <c r="Y3147">
        <v>0.57766126978372112</v>
      </c>
      <c r="Z3147" t="str">
        <f>HYPERLINK("Melting_Curves/meltCurve_sp_Q9NPD3_EXOS4_HUMAN_.pdf", "Melting_Curves/meltCurve_sp_Q9NPD3_EXOS4_HUMAN_.pdf")</f>
        <v>Melting_Curves/meltCurve_sp_Q9NPD3_EXOS4_HUMAN_.pdf</v>
      </c>
      <c r="AA3147" t="s">
        <v>15986</v>
      </c>
      <c r="AB3147" t="s">
        <v>20231</v>
      </c>
    </row>
    <row r="3148" spans="1:28" x14ac:dyDescent="0.25">
      <c r="A3148" t="s">
        <v>3152</v>
      </c>
      <c r="B3148">
        <v>0.99876560204751996</v>
      </c>
      <c r="C3148">
        <v>1.1567419671271499</v>
      </c>
      <c r="D3148">
        <v>1.1632795191254699</v>
      </c>
      <c r="E3148">
        <v>1.1314986681750501</v>
      </c>
      <c r="F3148">
        <v>1.1558851869487801</v>
      </c>
      <c r="G3148">
        <v>0.99460423791416697</v>
      </c>
      <c r="H3148">
        <v>0.64243602229238195</v>
      </c>
      <c r="I3148">
        <v>0.402265803849787</v>
      </c>
      <c r="J3148">
        <v>0.32901131237446801</v>
      </c>
      <c r="K3148">
        <v>0.15785327797695201</v>
      </c>
      <c r="L3148">
        <v>1997.6390212372501</v>
      </c>
      <c r="M3148">
        <v>32.360376851317397</v>
      </c>
      <c r="N3148">
        <v>62.733365872480398</v>
      </c>
      <c r="O3148">
        <v>61.496734698914501</v>
      </c>
      <c r="P3148">
        <v>-0.10499790960410101</v>
      </c>
      <c r="Q3148">
        <v>0.20186403280703999</v>
      </c>
      <c r="R3148">
        <v>0.92366101897283703</v>
      </c>
      <c r="S3148" t="s">
        <v>7444</v>
      </c>
      <c r="T3148" t="s">
        <v>8590</v>
      </c>
      <c r="U3148" t="s">
        <v>8590</v>
      </c>
      <c r="V3148" t="s">
        <v>8590</v>
      </c>
      <c r="W3148">
        <v>1</v>
      </c>
      <c r="X3148" t="s">
        <v>11738</v>
      </c>
      <c r="Y3148">
        <v>0.78371385073269195</v>
      </c>
      <c r="Z3148" t="str">
        <f>HYPERLINK("Melting_Curves/meltCurve_sp_Q9NPE3_NOP10_HUMAN_.pdf", "Melting_Curves/meltCurve_sp_Q9NPE3_NOP10_HUMAN_.pdf")</f>
        <v>Melting_Curves/meltCurve_sp_Q9NPE3_NOP10_HUMAN_.pdf</v>
      </c>
      <c r="AA3148" t="s">
        <v>15987</v>
      </c>
      <c r="AB3148" t="s">
        <v>20232</v>
      </c>
    </row>
    <row r="3149" spans="1:28" x14ac:dyDescent="0.25">
      <c r="A3149" t="s">
        <v>3153</v>
      </c>
      <c r="B3149">
        <v>0.99876560204751996</v>
      </c>
      <c r="C3149">
        <v>0.93342104469778497</v>
      </c>
      <c r="D3149">
        <v>0.87588300001627195</v>
      </c>
      <c r="E3149">
        <v>0.74202546010395198</v>
      </c>
      <c r="F3149">
        <v>0.43254917844847901</v>
      </c>
      <c r="G3149">
        <v>0.22573150825246899</v>
      </c>
      <c r="H3149">
        <v>0.13456100294513801</v>
      </c>
      <c r="I3149">
        <v>7.5243005732194695E-2</v>
      </c>
      <c r="J3149">
        <v>5.3214859534430198E-2</v>
      </c>
      <c r="K3149">
        <v>3.6402865670747103E-2</v>
      </c>
      <c r="L3149">
        <v>836.00767129330404</v>
      </c>
      <c r="M3149">
        <v>15.9638269815717</v>
      </c>
      <c r="N3149">
        <v>52.532937879531602</v>
      </c>
      <c r="O3149">
        <v>51.567772040182803</v>
      </c>
      <c r="P3149">
        <v>-7.5516233949188993E-2</v>
      </c>
      <c r="Q3149">
        <v>2.43201724929944E-2</v>
      </c>
      <c r="R3149">
        <v>0.99528196757954102</v>
      </c>
      <c r="S3149" t="s">
        <v>7445</v>
      </c>
      <c r="T3149" t="s">
        <v>8590</v>
      </c>
      <c r="U3149" t="s">
        <v>8590</v>
      </c>
      <c r="V3149" t="s">
        <v>8590</v>
      </c>
      <c r="W3149">
        <v>8</v>
      </c>
      <c r="X3149" t="s">
        <v>11739</v>
      </c>
      <c r="Y3149">
        <v>0.44617841010016052</v>
      </c>
      <c r="Z3149" t="str">
        <f>HYPERLINK("Melting_Curves/meltCurve_sp_Q9NPF4_OSGEP_HUMAN_.pdf", "Melting_Curves/meltCurve_sp_Q9NPF4_OSGEP_HUMAN_.pdf")</f>
        <v>Melting_Curves/meltCurve_sp_Q9NPF4_OSGEP_HUMAN_.pdf</v>
      </c>
      <c r="AA3149" t="s">
        <v>15988</v>
      </c>
      <c r="AB3149" t="s">
        <v>20135</v>
      </c>
    </row>
    <row r="3150" spans="1:28" x14ac:dyDescent="0.25">
      <c r="A3150" t="s">
        <v>3154</v>
      </c>
      <c r="B3150">
        <v>0.99876560204751996</v>
      </c>
      <c r="C3150">
        <v>0.92266186645290904</v>
      </c>
      <c r="D3150">
        <v>1.1001720059092699</v>
      </c>
      <c r="E3150">
        <v>0.91616434134406299</v>
      </c>
      <c r="F3150">
        <v>0.98788023723450502</v>
      </c>
      <c r="G3150">
        <v>0.72394512978227199</v>
      </c>
      <c r="H3150">
        <v>0.68119282742016296</v>
      </c>
      <c r="I3150">
        <v>0.67724527371461996</v>
      </c>
      <c r="J3150">
        <v>0.80885901683181305</v>
      </c>
      <c r="K3150">
        <v>0.791843496776241</v>
      </c>
      <c r="L3150">
        <v>13410.6775415629</v>
      </c>
      <c r="M3150">
        <v>250</v>
      </c>
      <c r="O3150">
        <v>53.639277423080301</v>
      </c>
      <c r="P3150">
        <v>-0.30689133430179399</v>
      </c>
      <c r="Q3150">
        <v>0.73661712976835003</v>
      </c>
      <c r="R3150">
        <v>0.80119976879187804</v>
      </c>
      <c r="S3150" t="s">
        <v>7446</v>
      </c>
      <c r="T3150" t="s">
        <v>8590</v>
      </c>
      <c r="U3150" t="s">
        <v>8590</v>
      </c>
      <c r="V3150" t="s">
        <v>8590</v>
      </c>
      <c r="W3150">
        <v>1</v>
      </c>
      <c r="X3150" t="s">
        <v>11740</v>
      </c>
      <c r="Y3150">
        <v>0.85641713056804269</v>
      </c>
      <c r="Z3150" t="str">
        <f>HYPERLINK("Melting_Curves/meltCurve_sp_Q9NPG3_2_UBN1_HUMAN_.pdf", "Melting_Curves/meltCurve_sp_Q9NPG3_2_UBN1_HUMAN_.pdf")</f>
        <v>Melting_Curves/meltCurve_sp_Q9NPG3_2_UBN1_HUMAN_.pdf</v>
      </c>
      <c r="AA3150" t="s">
        <v>15989</v>
      </c>
      <c r="AB3150" t="s">
        <v>20233</v>
      </c>
    </row>
    <row r="3151" spans="1:28" x14ac:dyDescent="0.25">
      <c r="A3151" t="s">
        <v>3155</v>
      </c>
      <c r="B3151">
        <v>0.99876560204751996</v>
      </c>
      <c r="C3151">
        <v>0.93064815143955404</v>
      </c>
      <c r="D3151">
        <v>0.91858808540788806</v>
      </c>
      <c r="E3151">
        <v>0.84793342394073201</v>
      </c>
      <c r="F3151">
        <v>0.83529271488517998</v>
      </c>
      <c r="G3151">
        <v>0.58564662718407201</v>
      </c>
      <c r="H3151">
        <v>0.22505367300263401</v>
      </c>
      <c r="I3151">
        <v>0.101415959780762</v>
      </c>
      <c r="J3151">
        <v>0.10369978484437101</v>
      </c>
      <c r="K3151">
        <v>8.3585811807152494E-2</v>
      </c>
      <c r="L3151">
        <v>1005.71317621582</v>
      </c>
      <c r="M3151">
        <v>17.5436371330035</v>
      </c>
      <c r="N3151">
        <v>57.407284898845298</v>
      </c>
      <c r="O3151">
        <v>56.597104362294303</v>
      </c>
      <c r="P3151">
        <v>-7.6551461613143704E-2</v>
      </c>
      <c r="Q3151">
        <v>1.2210867109041601E-2</v>
      </c>
      <c r="R3151">
        <v>0.98192020559284299</v>
      </c>
      <c r="S3151" t="s">
        <v>7447</v>
      </c>
      <c r="T3151" t="s">
        <v>8590</v>
      </c>
      <c r="U3151" t="s">
        <v>8590</v>
      </c>
      <c r="V3151" t="s">
        <v>8590</v>
      </c>
      <c r="W3151">
        <v>5</v>
      </c>
      <c r="X3151" t="s">
        <v>11741</v>
      </c>
      <c r="Y3151">
        <v>0.596161620915025</v>
      </c>
      <c r="Z3151" t="str">
        <f>HYPERLINK("Melting_Curves/meltCurve_sp_Q9NPH0_PPA6_HUMAN_.pdf", "Melting_Curves/meltCurve_sp_Q9NPH0_PPA6_HUMAN_.pdf")</f>
        <v>Melting_Curves/meltCurve_sp_Q9NPH0_PPA6_HUMAN_.pdf</v>
      </c>
      <c r="AA3151" t="s">
        <v>15990</v>
      </c>
      <c r="AB3151" t="s">
        <v>20234</v>
      </c>
    </row>
    <row r="3152" spans="1:28" x14ac:dyDescent="0.25">
      <c r="A3152" t="s">
        <v>3156</v>
      </c>
      <c r="B3152">
        <v>0.99876560204751996</v>
      </c>
      <c r="C3152">
        <v>0.99763897228366705</v>
      </c>
      <c r="D3152">
        <v>1.10579636575059</v>
      </c>
      <c r="E3152">
        <v>0.96508716657447402</v>
      </c>
      <c r="F3152">
        <v>0.92554808503813002</v>
      </c>
      <c r="G3152">
        <v>0.75106134758181298</v>
      </c>
      <c r="H3152">
        <v>0.46858490831677402</v>
      </c>
      <c r="I3152">
        <v>0.26071042173680498</v>
      </c>
      <c r="J3152">
        <v>9.41448236119133E-2</v>
      </c>
      <c r="K3152">
        <v>5.5504108125948998E-2</v>
      </c>
      <c r="L3152">
        <v>1186.5106027740901</v>
      </c>
      <c r="M3152">
        <v>19.649154832240399</v>
      </c>
      <c r="N3152">
        <v>60.384818926289199</v>
      </c>
      <c r="O3152">
        <v>59.769803638147003</v>
      </c>
      <c r="P3152">
        <v>-8.2189666084598503E-2</v>
      </c>
      <c r="Q3152">
        <v>0</v>
      </c>
      <c r="R3152">
        <v>0.99065070175407599</v>
      </c>
      <c r="S3152" t="s">
        <v>7448</v>
      </c>
      <c r="T3152" t="s">
        <v>8590</v>
      </c>
      <c r="U3152" t="s">
        <v>8590</v>
      </c>
      <c r="V3152" t="s">
        <v>8590</v>
      </c>
      <c r="W3152">
        <v>6</v>
      </c>
      <c r="X3152" t="s">
        <v>11742</v>
      </c>
      <c r="Y3152">
        <v>0.68702360562690823</v>
      </c>
      <c r="Z3152" t="str">
        <f>HYPERLINK("Melting_Curves/meltCurve_sp_Q9NPJ3_ACO13_HUMAN_.pdf", "Melting_Curves/meltCurve_sp_Q9NPJ3_ACO13_HUMAN_.pdf")</f>
        <v>Melting_Curves/meltCurve_sp_Q9NPJ3_ACO13_HUMAN_.pdf</v>
      </c>
      <c r="AA3152" t="s">
        <v>15991</v>
      </c>
      <c r="AB3152" t="s">
        <v>20235</v>
      </c>
    </row>
    <row r="3153" spans="1:28" x14ac:dyDescent="0.25">
      <c r="A3153" t="s">
        <v>3157</v>
      </c>
      <c r="B3153">
        <v>0.99876560204751996</v>
      </c>
      <c r="C3153">
        <v>0.86538982461159497</v>
      </c>
      <c r="D3153">
        <v>0.83839475350492398</v>
      </c>
      <c r="E3153">
        <v>0.71896535737327905</v>
      </c>
      <c r="F3153">
        <v>0.27997864618067397</v>
      </c>
      <c r="G3153">
        <v>0.12815956578654</v>
      </c>
      <c r="H3153">
        <v>7.8703870857755098E-2</v>
      </c>
      <c r="I3153">
        <v>5.5798955924128403E-2</v>
      </c>
      <c r="J3153">
        <v>4.8263324409407199E-2</v>
      </c>
      <c r="K3153">
        <v>2.74282993503564E-2</v>
      </c>
      <c r="L3153">
        <v>994.48553108840997</v>
      </c>
      <c r="M3153">
        <v>19.4613789866332</v>
      </c>
      <c r="N3153">
        <v>51.247863762440097</v>
      </c>
      <c r="O3153">
        <v>50.570095070540198</v>
      </c>
      <c r="P3153">
        <v>-9.3594658954121696E-2</v>
      </c>
      <c r="Q3153">
        <v>2.72181237297172E-2</v>
      </c>
      <c r="R3153">
        <v>0.97760890984942095</v>
      </c>
      <c r="S3153" t="s">
        <v>7449</v>
      </c>
      <c r="T3153" t="s">
        <v>8590</v>
      </c>
      <c r="U3153" t="s">
        <v>8590</v>
      </c>
      <c r="V3153" t="s">
        <v>8590</v>
      </c>
      <c r="W3153">
        <v>7</v>
      </c>
      <c r="X3153" t="s">
        <v>11743</v>
      </c>
      <c r="Y3153">
        <v>0.40136442686183738</v>
      </c>
      <c r="Z3153" t="str">
        <f>HYPERLINK("Melting_Curves/meltCurve_sp_Q9NPQ8_4_RIC8A_HUMAN_.pdf", "Melting_Curves/meltCurve_sp_Q9NPQ8_4_RIC8A_HUMAN_.pdf")</f>
        <v>Melting_Curves/meltCurve_sp_Q9NPQ8_4_RIC8A_HUMAN_.pdf</v>
      </c>
      <c r="AA3153" t="s">
        <v>15992</v>
      </c>
      <c r="AB3153" t="s">
        <v>20236</v>
      </c>
    </row>
    <row r="3154" spans="1:28" x14ac:dyDescent="0.25">
      <c r="A3154" t="s">
        <v>3158</v>
      </c>
      <c r="B3154">
        <v>0.99876560204751996</v>
      </c>
      <c r="C3154">
        <v>0.98532688463810103</v>
      </c>
      <c r="D3154">
        <v>1.0656913529133301</v>
      </c>
      <c r="E3154">
        <v>0.74831034154354403</v>
      </c>
      <c r="F3154">
        <v>0.25972799256784901</v>
      </c>
      <c r="G3154">
        <v>0.14108840318301999</v>
      </c>
      <c r="H3154">
        <v>8.5348364359328993E-2</v>
      </c>
      <c r="I3154">
        <v>9.4685297111581204E-2</v>
      </c>
      <c r="J3154">
        <v>7.90744166517965E-2</v>
      </c>
      <c r="K3154">
        <v>6.0660230690739801E-2</v>
      </c>
      <c r="L3154">
        <v>2164.2842551253402</v>
      </c>
      <c r="M3154">
        <v>42.295764362855998</v>
      </c>
      <c r="N3154">
        <v>51.408897816490501</v>
      </c>
      <c r="O3154">
        <v>51.0562464092149</v>
      </c>
      <c r="P3154">
        <v>-0.18864451249998501</v>
      </c>
      <c r="Q3154">
        <v>8.9131997257534498E-2</v>
      </c>
      <c r="R3154">
        <v>0.99527395998471702</v>
      </c>
      <c r="S3154" t="s">
        <v>7450</v>
      </c>
      <c r="T3154" t="s">
        <v>8590</v>
      </c>
      <c r="U3154" t="s">
        <v>8590</v>
      </c>
      <c r="V3154" t="s">
        <v>8590</v>
      </c>
      <c r="W3154">
        <v>4</v>
      </c>
      <c r="X3154" t="s">
        <v>11744</v>
      </c>
      <c r="Y3154">
        <v>0.43116464528906839</v>
      </c>
      <c r="Z3154" t="str">
        <f>HYPERLINK("Melting_Curves/meltCurve_sp_Q9NQ88_TIGAR_HUMAN_.pdf", "Melting_Curves/meltCurve_sp_Q9NQ88_TIGAR_HUMAN_.pdf")</f>
        <v>Melting_Curves/meltCurve_sp_Q9NQ88_TIGAR_HUMAN_.pdf</v>
      </c>
      <c r="AA3154" t="s">
        <v>15993</v>
      </c>
      <c r="AB3154" t="s">
        <v>20237</v>
      </c>
    </row>
    <row r="3155" spans="1:28" x14ac:dyDescent="0.25">
      <c r="A3155" t="s">
        <v>3159</v>
      </c>
      <c r="B3155">
        <v>0.99876560204751996</v>
      </c>
      <c r="C3155">
        <v>0.98651102229026</v>
      </c>
      <c r="D3155">
        <v>1.00148285951067</v>
      </c>
      <c r="E3155">
        <v>0.68583985429445005</v>
      </c>
      <c r="F3155">
        <v>0.37033244170890101</v>
      </c>
      <c r="G3155">
        <v>0.22563116642553899</v>
      </c>
      <c r="H3155">
        <v>0.17109149967065901</v>
      </c>
      <c r="I3155">
        <v>0.14257860159469099</v>
      </c>
      <c r="J3155">
        <v>0.148845052127273</v>
      </c>
      <c r="K3155">
        <v>0.121722343150621</v>
      </c>
      <c r="L3155">
        <v>1408.7191956680299</v>
      </c>
      <c r="M3155">
        <v>27.587296235293699</v>
      </c>
      <c r="N3155">
        <v>51.724445210401001</v>
      </c>
      <c r="O3155">
        <v>50.797997771881498</v>
      </c>
      <c r="P3155">
        <v>-0.115617373789419</v>
      </c>
      <c r="Q3155">
        <v>0.14843736357780299</v>
      </c>
      <c r="R3155">
        <v>0.997176400300534</v>
      </c>
      <c r="S3155" t="s">
        <v>7451</v>
      </c>
      <c r="T3155" t="s">
        <v>8590</v>
      </c>
      <c r="U3155" t="s">
        <v>8590</v>
      </c>
      <c r="V3155" t="s">
        <v>8590</v>
      </c>
      <c r="W3155">
        <v>18</v>
      </c>
      <c r="X3155" t="s">
        <v>11745</v>
      </c>
      <c r="Y3155">
        <v>0.46883120538112338</v>
      </c>
      <c r="Z3155" t="str">
        <f>HYPERLINK("Melting_Curves/meltCurve_sp_Q9NQ94_2_A1CF_HUMAN_.pdf", "Melting_Curves/meltCurve_sp_Q9NQ94_2_A1CF_HUMAN_.pdf")</f>
        <v>Melting_Curves/meltCurve_sp_Q9NQ94_2_A1CF_HUMAN_.pdf</v>
      </c>
      <c r="AA3155" t="s">
        <v>15994</v>
      </c>
      <c r="AB3155" t="s">
        <v>20238</v>
      </c>
    </row>
    <row r="3156" spans="1:28" x14ac:dyDescent="0.25">
      <c r="A3156" t="s">
        <v>3160</v>
      </c>
      <c r="B3156">
        <v>0.99876560204751996</v>
      </c>
      <c r="C3156">
        <v>0.93876908234506995</v>
      </c>
      <c r="D3156">
        <v>1.0068007571708799</v>
      </c>
      <c r="E3156">
        <v>0.87436254920644796</v>
      </c>
      <c r="F3156">
        <v>0.81661227724782104</v>
      </c>
      <c r="G3156">
        <v>0.42802321125391202</v>
      </c>
      <c r="H3156">
        <v>0.252236600092279</v>
      </c>
      <c r="I3156">
        <v>0.21558341221871899</v>
      </c>
      <c r="J3156">
        <v>0.24459172945722901</v>
      </c>
      <c r="K3156">
        <v>0.22161598194964399</v>
      </c>
      <c r="L3156">
        <v>1411.3452861199401</v>
      </c>
      <c r="M3156">
        <v>25.682588163478801</v>
      </c>
      <c r="N3156">
        <v>56.156978343094501</v>
      </c>
      <c r="O3156">
        <v>54.623464494499899</v>
      </c>
      <c r="P3156">
        <v>-9.2666564113413993E-2</v>
      </c>
      <c r="Q3156">
        <v>0.211651476753241</v>
      </c>
      <c r="R3156">
        <v>0.99012734225689403</v>
      </c>
      <c r="S3156" t="s">
        <v>7452</v>
      </c>
      <c r="T3156" t="s">
        <v>8590</v>
      </c>
      <c r="U3156" t="s">
        <v>8590</v>
      </c>
      <c r="V3156" t="s">
        <v>8590</v>
      </c>
      <c r="W3156">
        <v>10</v>
      </c>
      <c r="X3156" t="s">
        <v>11746</v>
      </c>
      <c r="Y3156">
        <v>0.61155661304650266</v>
      </c>
      <c r="Z3156" t="str">
        <f>HYPERLINK("Melting_Curves/meltCurve_sp_Q9NQG5_RPR1B_HUMAN_.pdf", "Melting_Curves/meltCurve_sp_Q9NQG5_RPR1B_HUMAN_.pdf")</f>
        <v>Melting_Curves/meltCurve_sp_Q9NQG5_RPR1B_HUMAN_.pdf</v>
      </c>
      <c r="AA3156" t="s">
        <v>15995</v>
      </c>
      <c r="AB3156" t="s">
        <v>20239</v>
      </c>
    </row>
    <row r="3157" spans="1:28" x14ac:dyDescent="0.25">
      <c r="A3157" t="s">
        <v>3161</v>
      </c>
      <c r="B3157">
        <v>0.99876560204751996</v>
      </c>
      <c r="C3157">
        <v>1.07709588041624</v>
      </c>
      <c r="D3157">
        <v>1.0554408806267099</v>
      </c>
      <c r="E3157">
        <v>1.00903749914662</v>
      </c>
      <c r="F3157">
        <v>0.83073094219731802</v>
      </c>
      <c r="G3157">
        <v>0.42214871299455498</v>
      </c>
      <c r="H3157">
        <v>0.164923445421057</v>
      </c>
      <c r="I3157">
        <v>0.10626466367220801</v>
      </c>
      <c r="J3157">
        <v>8.3027182822928106E-2</v>
      </c>
      <c r="K3157">
        <v>4.5169875155841699E-2</v>
      </c>
      <c r="L3157">
        <v>1559.70045235414</v>
      </c>
      <c r="M3157">
        <v>27.829648839245198</v>
      </c>
      <c r="N3157">
        <v>56.332267776110903</v>
      </c>
      <c r="O3157">
        <v>55.757572184603198</v>
      </c>
      <c r="P3157">
        <v>-0.116513729520756</v>
      </c>
      <c r="Q3157">
        <v>6.6252540484627004E-2</v>
      </c>
      <c r="R3157">
        <v>0.99352556630913902</v>
      </c>
      <c r="S3157" t="s">
        <v>7453</v>
      </c>
      <c r="T3157" t="s">
        <v>8590</v>
      </c>
      <c r="U3157" t="s">
        <v>8590</v>
      </c>
      <c r="V3157" t="s">
        <v>8590</v>
      </c>
      <c r="W3157">
        <v>10</v>
      </c>
      <c r="X3157" t="s">
        <v>11747</v>
      </c>
      <c r="Y3157">
        <v>0.57276641168044884</v>
      </c>
      <c r="Z3157" t="str">
        <f>HYPERLINK("Melting_Curves/meltCurve_sp_Q9NQH7_2_XPP3_HUMAN_.pdf", "Melting_Curves/meltCurve_sp_Q9NQH7_2_XPP3_HUMAN_.pdf")</f>
        <v>Melting_Curves/meltCurve_sp_Q9NQH7_2_XPP3_HUMAN_.pdf</v>
      </c>
      <c r="AA3157" t="s">
        <v>15996</v>
      </c>
      <c r="AB3157" t="s">
        <v>20240</v>
      </c>
    </row>
    <row r="3158" spans="1:28" x14ac:dyDescent="0.25">
      <c r="A3158" t="s">
        <v>3162</v>
      </c>
      <c r="B3158">
        <v>0.99876560204751996</v>
      </c>
      <c r="C3158">
        <v>0.87550614084202605</v>
      </c>
      <c r="D3158">
        <v>0.86253749401581103</v>
      </c>
      <c r="E3158">
        <v>0.80072525704875697</v>
      </c>
      <c r="F3158">
        <v>0.65523220200583399</v>
      </c>
      <c r="G3158">
        <v>0.447468396956262</v>
      </c>
      <c r="H3158">
        <v>0.35531844573650301</v>
      </c>
      <c r="I3158">
        <v>0.35562781547252198</v>
      </c>
      <c r="J3158">
        <v>0.45076293697824998</v>
      </c>
      <c r="K3158">
        <v>0.41015234052705102</v>
      </c>
      <c r="L3158">
        <v>717.09731288851799</v>
      </c>
      <c r="M3158">
        <v>13.9125336553256</v>
      </c>
      <c r="N3158">
        <v>56.643192968871297</v>
      </c>
      <c r="O3158">
        <v>50.513377750000103</v>
      </c>
      <c r="P3158">
        <v>-4.4271677256124603E-2</v>
      </c>
      <c r="Q3158">
        <v>0.35712393337903697</v>
      </c>
      <c r="R3158">
        <v>0.94871829845755196</v>
      </c>
      <c r="S3158" t="s">
        <v>7454</v>
      </c>
      <c r="T3158" t="s">
        <v>8590</v>
      </c>
      <c r="U3158" t="s">
        <v>8590</v>
      </c>
      <c r="V3158" t="s">
        <v>8590</v>
      </c>
      <c r="W3158">
        <v>3</v>
      </c>
      <c r="X3158" t="s">
        <v>11748</v>
      </c>
      <c r="Y3158">
        <v>0.62088761108533019</v>
      </c>
      <c r="Z3158" t="str">
        <f>HYPERLINK("Melting_Curves/meltCurve_sp_Q9NQP4_PFD4_HUMAN_.pdf", "Melting_Curves/meltCurve_sp_Q9NQP4_PFD4_HUMAN_.pdf")</f>
        <v>Melting_Curves/meltCurve_sp_Q9NQP4_PFD4_HUMAN_.pdf</v>
      </c>
      <c r="AA3158" t="s">
        <v>15997</v>
      </c>
      <c r="AB3158" t="s">
        <v>20241</v>
      </c>
    </row>
    <row r="3159" spans="1:28" x14ac:dyDescent="0.25">
      <c r="A3159" t="s">
        <v>3163</v>
      </c>
      <c r="B3159">
        <v>0.99876560204751996</v>
      </c>
      <c r="C3159">
        <v>0.96204999934495405</v>
      </c>
      <c r="D3159">
        <v>1.0315568284135901</v>
      </c>
      <c r="E3159">
        <v>0.96795840472980998</v>
      </c>
      <c r="F3159">
        <v>0.88034402824072899</v>
      </c>
      <c r="G3159">
        <v>0.57084970673219604</v>
      </c>
      <c r="H3159">
        <v>0.359910585753006</v>
      </c>
      <c r="I3159">
        <v>0.285029631919131</v>
      </c>
      <c r="J3159">
        <v>0.26572023314930998</v>
      </c>
      <c r="K3159">
        <v>0.22674432039849199</v>
      </c>
      <c r="L3159">
        <v>1357.8112599271701</v>
      </c>
      <c r="M3159">
        <v>24.014727476059502</v>
      </c>
      <c r="N3159">
        <v>58.099372098938403</v>
      </c>
      <c r="O3159">
        <v>56.153083300203797</v>
      </c>
      <c r="P3159">
        <v>-8.1528699248755193E-2</v>
      </c>
      <c r="Q3159">
        <v>0.23746530756892301</v>
      </c>
      <c r="R3159">
        <v>0.99685357350224302</v>
      </c>
      <c r="S3159" t="s">
        <v>7455</v>
      </c>
      <c r="T3159" t="s">
        <v>8590</v>
      </c>
      <c r="U3159" t="s">
        <v>8590</v>
      </c>
      <c r="V3159" t="s">
        <v>8590</v>
      </c>
      <c r="W3159">
        <v>23</v>
      </c>
      <c r="X3159" t="s">
        <v>11749</v>
      </c>
      <c r="Y3159">
        <v>0.66529032941348554</v>
      </c>
      <c r="Z3159" t="str">
        <f>HYPERLINK("Melting_Curves/meltCurve_sp_Q9NQR4_NIT2_HUMAN_.pdf", "Melting_Curves/meltCurve_sp_Q9NQR4_NIT2_HUMAN_.pdf")</f>
        <v>Melting_Curves/meltCurve_sp_Q9NQR4_NIT2_HUMAN_.pdf</v>
      </c>
      <c r="AA3159" t="s">
        <v>15998</v>
      </c>
      <c r="AB3159" t="s">
        <v>20242</v>
      </c>
    </row>
    <row r="3160" spans="1:28" x14ac:dyDescent="0.25">
      <c r="A3160" t="s">
        <v>3164</v>
      </c>
      <c r="B3160">
        <v>0.99876560204751996</v>
      </c>
      <c r="C3160">
        <v>0.82447433866212805</v>
      </c>
      <c r="D3160">
        <v>1.10556495060427</v>
      </c>
      <c r="E3160">
        <v>0.91619086925961701</v>
      </c>
      <c r="F3160">
        <v>0.94648353371916005</v>
      </c>
      <c r="G3160">
        <v>0.76578844968752002</v>
      </c>
      <c r="H3160">
        <v>0.71148834695136698</v>
      </c>
      <c r="I3160">
        <v>0.80299967152962703</v>
      </c>
      <c r="J3160">
        <v>0.89863440852482102</v>
      </c>
      <c r="K3160">
        <v>0.93994969848230803</v>
      </c>
      <c r="L3160">
        <v>7537.4330160774398</v>
      </c>
      <c r="M3160">
        <v>141.38758065121101</v>
      </c>
      <c r="O3160">
        <v>53.299768465552802</v>
      </c>
      <c r="P3160">
        <v>-0.11686938876287301</v>
      </c>
      <c r="Q3160">
        <v>0.82377203855033898</v>
      </c>
      <c r="R3160">
        <v>0.31810062726080601</v>
      </c>
      <c r="S3160" t="s">
        <v>7456</v>
      </c>
      <c r="T3160" t="s">
        <v>8590</v>
      </c>
      <c r="U3160" t="s">
        <v>8590</v>
      </c>
      <c r="V3160" t="s">
        <v>8590</v>
      </c>
      <c r="W3160">
        <v>2</v>
      </c>
      <c r="X3160" t="s">
        <v>11750</v>
      </c>
      <c r="Y3160">
        <v>0.90201262195312559</v>
      </c>
      <c r="Z3160" t="str">
        <f>HYPERLINK("Melting_Curves/meltCurve_sp_Q9NQS1_AVEN_HUMAN_.pdf", "Melting_Curves/meltCurve_sp_Q9NQS1_AVEN_HUMAN_.pdf")</f>
        <v>Melting_Curves/meltCurve_sp_Q9NQS1_AVEN_HUMAN_.pdf</v>
      </c>
      <c r="AA3160" t="s">
        <v>15999</v>
      </c>
      <c r="AB3160" t="s">
        <v>20243</v>
      </c>
    </row>
    <row r="3161" spans="1:28" x14ac:dyDescent="0.25">
      <c r="A3161" t="s">
        <v>3165</v>
      </c>
      <c r="B3161">
        <v>0.99876560204751996</v>
      </c>
      <c r="C3161">
        <v>0.94514170612477799</v>
      </c>
      <c r="D3161">
        <v>0.81167281037028005</v>
      </c>
      <c r="E3161">
        <v>0.81356875682407304</v>
      </c>
      <c r="F3161">
        <v>0.51506174738182697</v>
      </c>
      <c r="G3161">
        <v>0.35709731668781203</v>
      </c>
      <c r="H3161">
        <v>0.150892419821891</v>
      </c>
      <c r="I3161">
        <v>0.13760044428879301</v>
      </c>
      <c r="J3161">
        <v>7.4083455244111904E-2</v>
      </c>
      <c r="K3161">
        <v>6.23099437157092E-2</v>
      </c>
      <c r="L3161">
        <v>670.34103163241605</v>
      </c>
      <c r="M3161">
        <v>12.436880960801499</v>
      </c>
      <c r="N3161">
        <v>53.899448678619798</v>
      </c>
      <c r="O3161">
        <v>52.562825601000803</v>
      </c>
      <c r="P3161">
        <v>-5.91648690428664E-2</v>
      </c>
      <c r="Q3161">
        <v>0</v>
      </c>
      <c r="R3161">
        <v>0.985460638891548</v>
      </c>
      <c r="S3161" t="s">
        <v>7457</v>
      </c>
      <c r="T3161" t="s">
        <v>8590</v>
      </c>
      <c r="U3161" t="s">
        <v>8590</v>
      </c>
      <c r="V3161" t="s">
        <v>8590</v>
      </c>
      <c r="W3161">
        <v>2</v>
      </c>
      <c r="X3161" t="s">
        <v>11751</v>
      </c>
      <c r="Y3161">
        <v>0.48878370215754852</v>
      </c>
      <c r="Z3161" t="str">
        <f>HYPERLINK("Melting_Curves/meltCurve_sp_Q9NQT4_EXOS5_HUMAN_.pdf", "Melting_Curves/meltCurve_sp_Q9NQT4_EXOS5_HUMAN_.pdf")</f>
        <v>Melting_Curves/meltCurve_sp_Q9NQT4_EXOS5_HUMAN_.pdf</v>
      </c>
      <c r="AA3161" t="s">
        <v>16000</v>
      </c>
      <c r="AB3161" t="s">
        <v>20244</v>
      </c>
    </row>
    <row r="3162" spans="1:28" x14ac:dyDescent="0.25">
      <c r="A3162" t="s">
        <v>3166</v>
      </c>
      <c r="B3162">
        <v>0.99876560204751996</v>
      </c>
      <c r="C3162">
        <v>0.89570653316195603</v>
      </c>
      <c r="D3162">
        <v>0.71999637828405005</v>
      </c>
      <c r="E3162">
        <v>0.56082467356294097</v>
      </c>
      <c r="F3162">
        <v>0.39199804995201099</v>
      </c>
      <c r="G3162">
        <v>0.26626893151611802</v>
      </c>
      <c r="H3162">
        <v>0.21408918530999499</v>
      </c>
      <c r="I3162">
        <v>0.19009386275388299</v>
      </c>
      <c r="J3162">
        <v>0.20958033708736801</v>
      </c>
      <c r="K3162">
        <v>0.20505042116802599</v>
      </c>
      <c r="L3162">
        <v>669.44675026451</v>
      </c>
      <c r="M3162">
        <v>13.6795682465195</v>
      </c>
      <c r="N3162">
        <v>50.536049951591302</v>
      </c>
      <c r="O3162">
        <v>47.927464577172401</v>
      </c>
      <c r="P3162">
        <v>-5.8833568680681202E-2</v>
      </c>
      <c r="Q3162">
        <v>0.175607215297932</v>
      </c>
      <c r="R3162">
        <v>0.99438431375653602</v>
      </c>
      <c r="S3162" t="s">
        <v>7458</v>
      </c>
      <c r="T3162" t="s">
        <v>8590</v>
      </c>
      <c r="U3162" t="s">
        <v>8590</v>
      </c>
      <c r="V3162" t="s">
        <v>8590</v>
      </c>
      <c r="W3162">
        <v>22</v>
      </c>
      <c r="X3162" t="s">
        <v>11752</v>
      </c>
      <c r="Y3162">
        <v>0.4453971018601906</v>
      </c>
      <c r="Z3162" t="str">
        <f>HYPERLINK("Melting_Curves/meltCurve_sp_Q9NQT8_KI13B_HUMAN_.pdf", "Melting_Curves/meltCurve_sp_Q9NQT8_KI13B_HUMAN_.pdf")</f>
        <v>Melting_Curves/meltCurve_sp_Q9NQT8_KI13B_HUMAN_.pdf</v>
      </c>
      <c r="AA3162" t="s">
        <v>16001</v>
      </c>
      <c r="AB3162" t="s">
        <v>20245</v>
      </c>
    </row>
    <row r="3163" spans="1:28" x14ac:dyDescent="0.25">
      <c r="A3163" t="s">
        <v>3167</v>
      </c>
      <c r="B3163">
        <v>0.99876560204751996</v>
      </c>
      <c r="C3163">
        <v>0.99105726430463204</v>
      </c>
      <c r="D3163">
        <v>0.82081047281737496</v>
      </c>
      <c r="E3163">
        <v>0.68054600296655099</v>
      </c>
      <c r="F3163">
        <v>0.28374202402896898</v>
      </c>
      <c r="G3163">
        <v>0.147087390416339</v>
      </c>
      <c r="H3163">
        <v>9.2195269736210894E-2</v>
      </c>
      <c r="I3163">
        <v>8.3407553913523294E-2</v>
      </c>
      <c r="J3163">
        <v>8.4554149088616207E-2</v>
      </c>
      <c r="K3163">
        <v>6.9159019450154402E-2</v>
      </c>
      <c r="L3163">
        <v>1063.95849334018</v>
      </c>
      <c r="M3163">
        <v>20.9705800853902</v>
      </c>
      <c r="N3163">
        <v>51.081538157462397</v>
      </c>
      <c r="O3163">
        <v>50.281144281504098</v>
      </c>
      <c r="P3163">
        <v>-9.7369987446878095E-2</v>
      </c>
      <c r="Q3163">
        <v>6.6169053725001301E-2</v>
      </c>
      <c r="R3163">
        <v>0.98906192522307701</v>
      </c>
      <c r="S3163" t="s">
        <v>7459</v>
      </c>
      <c r="T3163" t="s">
        <v>8590</v>
      </c>
      <c r="U3163" t="s">
        <v>8590</v>
      </c>
      <c r="V3163" t="s">
        <v>8590</v>
      </c>
      <c r="W3163">
        <v>18</v>
      </c>
      <c r="X3163" t="s">
        <v>11753</v>
      </c>
      <c r="Y3163">
        <v>0.41220075380652532</v>
      </c>
      <c r="Z3163" t="str">
        <f>HYPERLINK("Melting_Curves/meltCurve_sp_Q9NQW7_3_XPP1_HUMAN_.pdf", "Melting_Curves/meltCurve_sp_Q9NQW7_3_XPP1_HUMAN_.pdf")</f>
        <v>Melting_Curves/meltCurve_sp_Q9NQW7_3_XPP1_HUMAN_.pdf</v>
      </c>
      <c r="AA3163" t="s">
        <v>16002</v>
      </c>
      <c r="AB3163" t="s">
        <v>20246</v>
      </c>
    </row>
    <row r="3164" spans="1:28" x14ac:dyDescent="0.25">
      <c r="A3164" t="s">
        <v>3168</v>
      </c>
      <c r="B3164">
        <v>0.99876560204751996</v>
      </c>
      <c r="C3164">
        <v>1.0962830480219099</v>
      </c>
      <c r="D3164">
        <v>0.93417394405154697</v>
      </c>
      <c r="E3164">
        <v>1.07665493098725</v>
      </c>
      <c r="F3164">
        <v>1.0180778990782</v>
      </c>
      <c r="G3164">
        <v>0.89146491679001105</v>
      </c>
      <c r="H3164">
        <v>0.53733915603127902</v>
      </c>
      <c r="I3164">
        <v>0.175517908076149</v>
      </c>
      <c r="J3164">
        <v>0.11885382358936999</v>
      </c>
      <c r="K3164">
        <v>0.10677533816635</v>
      </c>
      <c r="L3164">
        <v>2233.4966766747698</v>
      </c>
      <c r="M3164">
        <v>36.746672653093903</v>
      </c>
      <c r="N3164">
        <v>61.090954659519703</v>
      </c>
      <c r="O3164">
        <v>60.601761665093797</v>
      </c>
      <c r="P3164">
        <v>-0.13869517250720301</v>
      </c>
      <c r="Q3164">
        <v>8.5071251270044695E-2</v>
      </c>
      <c r="R3164">
        <v>0.98519943663200904</v>
      </c>
      <c r="S3164" t="s">
        <v>7460</v>
      </c>
      <c r="T3164" t="s">
        <v>8590</v>
      </c>
      <c r="U3164" t="s">
        <v>8590</v>
      </c>
      <c r="V3164" t="s">
        <v>8590</v>
      </c>
      <c r="W3164">
        <v>20</v>
      </c>
      <c r="X3164" t="s">
        <v>11754</v>
      </c>
      <c r="Y3164">
        <v>0.72283972227159832</v>
      </c>
      <c r="Z3164" t="str">
        <f>HYPERLINK("Melting_Curves/meltCurve_sp_Q9NQX3_GEPH_HUMAN_.pdf", "Melting_Curves/meltCurve_sp_Q9NQX3_GEPH_HUMAN_.pdf")</f>
        <v>Melting_Curves/meltCurve_sp_Q9NQX3_GEPH_HUMAN_.pdf</v>
      </c>
      <c r="AA3164" t="s">
        <v>16003</v>
      </c>
      <c r="AB3164" t="s">
        <v>20247</v>
      </c>
    </row>
    <row r="3165" spans="1:28" x14ac:dyDescent="0.25">
      <c r="A3165" t="s">
        <v>3169</v>
      </c>
      <c r="B3165">
        <v>0.99876560204751996</v>
      </c>
      <c r="C3165">
        <v>1.06109482492867</v>
      </c>
      <c r="D3165">
        <v>0.76498379939210803</v>
      </c>
      <c r="E3165">
        <v>0.79767314932392697</v>
      </c>
      <c r="F3165">
        <v>0.70627575172986501</v>
      </c>
      <c r="G3165">
        <v>0.33653324703585702</v>
      </c>
      <c r="H3165">
        <v>0.25339965527034403</v>
      </c>
      <c r="I3165">
        <v>0.229345414489567</v>
      </c>
      <c r="J3165">
        <v>0.21285010682590499</v>
      </c>
      <c r="K3165">
        <v>0.22869702676692399</v>
      </c>
      <c r="L3165">
        <v>785.14719369492798</v>
      </c>
      <c r="M3165">
        <v>14.681302362252801</v>
      </c>
      <c r="N3165">
        <v>54.990207775991003</v>
      </c>
      <c r="O3165">
        <v>52.5165902168632</v>
      </c>
      <c r="P3165">
        <v>-5.82963588684959E-2</v>
      </c>
      <c r="Q3165">
        <v>0.16596270580643999</v>
      </c>
      <c r="R3165">
        <v>0.95157594691260705</v>
      </c>
      <c r="S3165" t="s">
        <v>7461</v>
      </c>
      <c r="T3165" t="s">
        <v>8590</v>
      </c>
      <c r="U3165" t="s">
        <v>8590</v>
      </c>
      <c r="V3165" t="s">
        <v>8590</v>
      </c>
      <c r="W3165">
        <v>1</v>
      </c>
      <c r="X3165" t="s">
        <v>11755</v>
      </c>
      <c r="Y3165">
        <v>0.55877463988336085</v>
      </c>
      <c r="Z3165" t="str">
        <f>HYPERLINK("Melting_Curves/meltCurve_sp_Q9NQZ2_SAS10_HUMAN_.pdf", "Melting_Curves/meltCurve_sp_Q9NQZ2_SAS10_HUMAN_.pdf")</f>
        <v>Melting_Curves/meltCurve_sp_Q9NQZ2_SAS10_HUMAN_.pdf</v>
      </c>
      <c r="AA3165" t="s">
        <v>16004</v>
      </c>
      <c r="AB3165" t="s">
        <v>20248</v>
      </c>
    </row>
    <row r="3166" spans="1:28" x14ac:dyDescent="0.25">
      <c r="A3166" t="s">
        <v>3170</v>
      </c>
      <c r="B3166">
        <v>0.99876560204751996</v>
      </c>
      <c r="C3166">
        <v>1.0311472427164801</v>
      </c>
      <c r="D3166">
        <v>0.99445732127745501</v>
      </c>
      <c r="E3166">
        <v>1.1475622794409499</v>
      </c>
      <c r="F3166">
        <v>0.75041333137643695</v>
      </c>
      <c r="G3166">
        <v>0.70615151616025096</v>
      </c>
      <c r="H3166">
        <v>0.570703228436517</v>
      </c>
      <c r="I3166">
        <v>0.59540818211603297</v>
      </c>
      <c r="J3166">
        <v>0.72377451488199596</v>
      </c>
      <c r="K3166">
        <v>0.53623676097376205</v>
      </c>
      <c r="L3166">
        <v>13212.907759474399</v>
      </c>
      <c r="M3166">
        <v>250</v>
      </c>
      <c r="O3166">
        <v>52.848267161343998</v>
      </c>
      <c r="P3166">
        <v>-0.44176629595017602</v>
      </c>
      <c r="Q3166">
        <v>0.62645479722893904</v>
      </c>
      <c r="R3166">
        <v>0.88247238733223698</v>
      </c>
      <c r="S3166" t="s">
        <v>7462</v>
      </c>
      <c r="T3166" t="s">
        <v>8590</v>
      </c>
      <c r="U3166" t="s">
        <v>8590</v>
      </c>
      <c r="V3166" t="s">
        <v>8590</v>
      </c>
      <c r="W3166">
        <v>1</v>
      </c>
      <c r="X3166" t="s">
        <v>11756</v>
      </c>
      <c r="Y3166">
        <v>0.786511615695211</v>
      </c>
      <c r="Z3166" t="str">
        <f>HYPERLINK("Melting_Curves/meltCurve_sp_Q9NR12_3_PDLI7_HUMAN_.pdf", "Melting_Curves/meltCurve_sp_Q9NR12_3_PDLI7_HUMAN_.pdf")</f>
        <v>Melting_Curves/meltCurve_sp_Q9NR12_3_PDLI7_HUMAN_.pdf</v>
      </c>
      <c r="AA3166" t="s">
        <v>16005</v>
      </c>
      <c r="AB3166" t="s">
        <v>20249</v>
      </c>
    </row>
    <row r="3167" spans="1:28" x14ac:dyDescent="0.25">
      <c r="A3167" t="s">
        <v>3171</v>
      </c>
      <c r="B3167">
        <v>0.99876560204751996</v>
      </c>
      <c r="C3167">
        <v>0.95413849900182501</v>
      </c>
      <c r="D3167">
        <v>0.90002123817817103</v>
      </c>
      <c r="E3167">
        <v>0.710202976674009</v>
      </c>
      <c r="F3167">
        <v>0.25073288565062801</v>
      </c>
      <c r="G3167">
        <v>0.112838650913897</v>
      </c>
      <c r="H3167">
        <v>6.3205204417210004E-2</v>
      </c>
      <c r="I3167">
        <v>4.7300322281854497E-2</v>
      </c>
      <c r="J3167">
        <v>4.7495180256652399E-2</v>
      </c>
      <c r="K3167">
        <v>3.78448925133004E-2</v>
      </c>
      <c r="L3167">
        <v>1585.9628772393801</v>
      </c>
      <c r="M3167">
        <v>31.048004515428399</v>
      </c>
      <c r="N3167">
        <v>51.252700280244099</v>
      </c>
      <c r="O3167">
        <v>50.870488075443703</v>
      </c>
      <c r="P3167">
        <v>-0.14504748282792401</v>
      </c>
      <c r="Q3167">
        <v>4.9395367870601399E-2</v>
      </c>
      <c r="R3167">
        <v>0.99392794079630398</v>
      </c>
      <c r="S3167" t="s">
        <v>7463</v>
      </c>
      <c r="T3167" t="s">
        <v>8590</v>
      </c>
      <c r="U3167" t="s">
        <v>8590</v>
      </c>
      <c r="V3167" t="s">
        <v>8590</v>
      </c>
      <c r="W3167">
        <v>18</v>
      </c>
      <c r="X3167" t="s">
        <v>11757</v>
      </c>
      <c r="Y3167">
        <v>0.4061037587054544</v>
      </c>
      <c r="Z3167" t="str">
        <f>HYPERLINK("Melting_Curves/meltCurve_sp_Q9NR19_ACSA_HUMAN_.pdf", "Melting_Curves/meltCurve_sp_Q9NR19_ACSA_HUMAN_.pdf")</f>
        <v>Melting_Curves/meltCurve_sp_Q9NR19_ACSA_HUMAN_.pdf</v>
      </c>
      <c r="AA3167" t="s">
        <v>16006</v>
      </c>
      <c r="AB3167" t="s">
        <v>20250</v>
      </c>
    </row>
    <row r="3168" spans="1:28" x14ac:dyDescent="0.25">
      <c r="A3168" t="s">
        <v>3172</v>
      </c>
      <c r="B3168">
        <v>0.99876560204751996</v>
      </c>
      <c r="C3168">
        <v>0.92065469270276001</v>
      </c>
      <c r="D3168">
        <v>0.86890807773255896</v>
      </c>
      <c r="E3168">
        <v>0.84462423692190403</v>
      </c>
      <c r="F3168">
        <v>0.76818523028124897</v>
      </c>
      <c r="G3168">
        <v>0.621585903125081</v>
      </c>
      <c r="H3168">
        <v>0.41761069375905602</v>
      </c>
      <c r="I3168">
        <v>0.28060478807864703</v>
      </c>
      <c r="J3168">
        <v>0.18324037151630501</v>
      </c>
      <c r="K3168">
        <v>0.12213406861435</v>
      </c>
      <c r="L3168">
        <v>619.97966404689703</v>
      </c>
      <c r="M3168">
        <v>10.571753391681</v>
      </c>
      <c r="N3168">
        <v>58.644912510665101</v>
      </c>
      <c r="O3168">
        <v>56.663186396108401</v>
      </c>
      <c r="P3168">
        <v>-4.6661286339487899E-2</v>
      </c>
      <c r="Q3168">
        <v>0</v>
      </c>
      <c r="R3168">
        <v>0.98485428828726895</v>
      </c>
      <c r="S3168" t="s">
        <v>7464</v>
      </c>
      <c r="T3168" t="s">
        <v>8590</v>
      </c>
      <c r="U3168" t="s">
        <v>8590</v>
      </c>
      <c r="V3168" t="s">
        <v>8590</v>
      </c>
      <c r="W3168">
        <v>7</v>
      </c>
      <c r="X3168" t="s">
        <v>11758</v>
      </c>
      <c r="Y3168">
        <v>0.62869767690799405</v>
      </c>
      <c r="Z3168" t="str">
        <f>HYPERLINK("Melting_Curves/meltCurve_sp_Q9NR28_2_DBLOH_HUMAN_.pdf", "Melting_Curves/meltCurve_sp_Q9NR28_2_DBLOH_HUMAN_.pdf")</f>
        <v>Melting_Curves/meltCurve_sp_Q9NR28_2_DBLOH_HUMAN_.pdf</v>
      </c>
      <c r="AA3168" t="s">
        <v>16007</v>
      </c>
      <c r="AB3168" t="s">
        <v>20251</v>
      </c>
    </row>
    <row r="3169" spans="1:28" x14ac:dyDescent="0.25">
      <c r="A3169" t="s">
        <v>3173</v>
      </c>
      <c r="B3169">
        <v>0.99876560204751996</v>
      </c>
      <c r="C3169">
        <v>0.94558122288189395</v>
      </c>
      <c r="D3169">
        <v>1.05882450152797</v>
      </c>
      <c r="E3169">
        <v>0.899264293354752</v>
      </c>
      <c r="F3169">
        <v>0.86870454517164697</v>
      </c>
      <c r="G3169">
        <v>0.54860129671279101</v>
      </c>
      <c r="H3169">
        <v>0.468399849115334</v>
      </c>
      <c r="I3169">
        <v>0.49487368233715401</v>
      </c>
      <c r="J3169">
        <v>0.63039548587222605</v>
      </c>
      <c r="K3169">
        <v>0.55439856252217801</v>
      </c>
      <c r="L3169">
        <v>2444.6261977296899</v>
      </c>
      <c r="M3169">
        <v>45.379975703762398</v>
      </c>
      <c r="O3169">
        <v>53.765848309039299</v>
      </c>
      <c r="P3169">
        <v>-9.8594369310690405E-2</v>
      </c>
      <c r="Q3169">
        <v>0.53274511500884003</v>
      </c>
      <c r="R3169">
        <v>0.93456861407204805</v>
      </c>
      <c r="S3169" t="s">
        <v>7465</v>
      </c>
      <c r="T3169" t="s">
        <v>8590</v>
      </c>
      <c r="U3169" t="s">
        <v>8590</v>
      </c>
      <c r="V3169" t="s">
        <v>8590</v>
      </c>
      <c r="W3169">
        <v>3</v>
      </c>
      <c r="X3169" t="s">
        <v>11759</v>
      </c>
      <c r="Y3169">
        <v>0.75012356387466406</v>
      </c>
      <c r="Z3169" t="str">
        <f>HYPERLINK("Melting_Curves/meltCurve_sp_Q9NR30_DDX21_HUMAN_.pdf", "Melting_Curves/meltCurve_sp_Q9NR30_DDX21_HUMAN_.pdf")</f>
        <v>Melting_Curves/meltCurve_sp_Q9NR30_DDX21_HUMAN_.pdf</v>
      </c>
      <c r="AA3169" t="s">
        <v>16008</v>
      </c>
      <c r="AB3169" t="s">
        <v>20252</v>
      </c>
    </row>
    <row r="3170" spans="1:28" x14ac:dyDescent="0.25">
      <c r="A3170" t="s">
        <v>3174</v>
      </c>
      <c r="B3170">
        <v>0.99876560204751996</v>
      </c>
      <c r="C3170">
        <v>1.07326355506226</v>
      </c>
      <c r="D3170">
        <v>0.99816750038517099</v>
      </c>
      <c r="E3170">
        <v>0.84950231686883104</v>
      </c>
      <c r="F3170">
        <v>0.47998311086929801</v>
      </c>
      <c r="G3170">
        <v>0.25996378411737597</v>
      </c>
      <c r="H3170">
        <v>0.155147618847463</v>
      </c>
      <c r="I3170">
        <v>9.9356667852765798E-2</v>
      </c>
      <c r="J3170">
        <v>0.11815985414435</v>
      </c>
      <c r="K3170">
        <v>0.10845447603686501</v>
      </c>
      <c r="L3170">
        <v>1419.5872794608499</v>
      </c>
      <c r="M3170">
        <v>26.9871571858463</v>
      </c>
      <c r="N3170">
        <v>53.134855880590599</v>
      </c>
      <c r="O3170">
        <v>52.316032216628003</v>
      </c>
      <c r="P3170">
        <v>-0.113682229034402</v>
      </c>
      <c r="Q3170">
        <v>0.11849251218522699</v>
      </c>
      <c r="R3170">
        <v>0.99326575723260202</v>
      </c>
      <c r="S3170" t="s">
        <v>7466</v>
      </c>
      <c r="T3170" t="s">
        <v>8590</v>
      </c>
      <c r="U3170" t="s">
        <v>8590</v>
      </c>
      <c r="V3170" t="s">
        <v>8590</v>
      </c>
      <c r="W3170">
        <v>6</v>
      </c>
      <c r="X3170" t="s">
        <v>11760</v>
      </c>
      <c r="Y3170">
        <v>0.49578260321355849</v>
      </c>
      <c r="Z3170" t="str">
        <f>HYPERLINK("Melting_Curves/meltCurve_sp_Q9NR31_SAR1A_HUMAN_.pdf", "Melting_Curves/meltCurve_sp_Q9NR31_SAR1A_HUMAN_.pdf")</f>
        <v>Melting_Curves/meltCurve_sp_Q9NR31_SAR1A_HUMAN_.pdf</v>
      </c>
      <c r="AA3170" t="s">
        <v>16009</v>
      </c>
      <c r="AB3170" t="s">
        <v>20253</v>
      </c>
    </row>
    <row r="3171" spans="1:28" x14ac:dyDescent="0.25">
      <c r="A3171" t="s">
        <v>3175</v>
      </c>
      <c r="B3171">
        <v>0.99876560204751996</v>
      </c>
      <c r="C3171">
        <v>0.98806885360488195</v>
      </c>
      <c r="D3171">
        <v>0.98770187049526903</v>
      </c>
      <c r="E3171">
        <v>0.99165633223518102</v>
      </c>
      <c r="F3171">
        <v>0.62428096058829696</v>
      </c>
      <c r="G3171">
        <v>0.25032465382024299</v>
      </c>
      <c r="H3171">
        <v>0.13218136444419601</v>
      </c>
      <c r="I3171">
        <v>6.0738343904451701E-2</v>
      </c>
      <c r="J3171">
        <v>5.2611948683853597E-2</v>
      </c>
      <c r="K3171">
        <v>4.0080085026387102E-2</v>
      </c>
      <c r="L3171">
        <v>1577.8607908489701</v>
      </c>
      <c r="M3171">
        <v>29.1811771628428</v>
      </c>
      <c r="N3171">
        <v>54.312483195909401</v>
      </c>
      <c r="O3171">
        <v>53.819162441974903</v>
      </c>
      <c r="P3171">
        <v>-0.12731175231331299</v>
      </c>
      <c r="Q3171">
        <v>6.0797035193543403E-2</v>
      </c>
      <c r="R3171">
        <v>0.99468678603992899</v>
      </c>
      <c r="S3171" t="s">
        <v>7467</v>
      </c>
      <c r="T3171" t="s">
        <v>8590</v>
      </c>
      <c r="U3171" t="s">
        <v>8590</v>
      </c>
      <c r="V3171" t="s">
        <v>8590</v>
      </c>
      <c r="W3171">
        <v>21</v>
      </c>
      <c r="X3171" t="s">
        <v>11761</v>
      </c>
      <c r="Y3171">
        <v>0.50783156099825377</v>
      </c>
      <c r="Z3171" t="str">
        <f>HYPERLINK("Melting_Curves/meltCurve_sp_Q9NR45_SIAS_HUMAN_.pdf", "Melting_Curves/meltCurve_sp_Q9NR45_SIAS_HUMAN_.pdf")</f>
        <v>Melting_Curves/meltCurve_sp_Q9NR45_SIAS_HUMAN_.pdf</v>
      </c>
      <c r="AA3171" t="s">
        <v>16010</v>
      </c>
      <c r="AB3171" t="s">
        <v>20254</v>
      </c>
    </row>
    <row r="3172" spans="1:28" x14ac:dyDescent="0.25">
      <c r="A3172" t="s">
        <v>3176</v>
      </c>
      <c r="B3172">
        <v>0.99876560204751996</v>
      </c>
      <c r="C3172">
        <v>1.02010307574778</v>
      </c>
      <c r="D3172">
        <v>0.89237750997836396</v>
      </c>
      <c r="E3172">
        <v>0.64761964749676704</v>
      </c>
      <c r="F3172">
        <v>0.29002269353761301</v>
      </c>
      <c r="G3172">
        <v>0.14323707921178799</v>
      </c>
      <c r="H3172">
        <v>9.75162857430905E-2</v>
      </c>
      <c r="I3172">
        <v>6.7573422150579598E-2</v>
      </c>
      <c r="J3172">
        <v>7.5259674086390504E-2</v>
      </c>
      <c r="K3172">
        <v>6.9524412419552095E-2</v>
      </c>
      <c r="L3172">
        <v>1238.42453338475</v>
      </c>
      <c r="M3172">
        <v>24.3970838826387</v>
      </c>
      <c r="N3172">
        <v>51.083656597763799</v>
      </c>
      <c r="O3172">
        <v>50.423818376434198</v>
      </c>
      <c r="P3172">
        <v>-0.112328743662133</v>
      </c>
      <c r="Q3172">
        <v>7.1370988609354702E-2</v>
      </c>
      <c r="R3172">
        <v>0.99727862098710496</v>
      </c>
      <c r="S3172" t="s">
        <v>7468</v>
      </c>
      <c r="T3172" t="s">
        <v>8590</v>
      </c>
      <c r="U3172" t="s">
        <v>8590</v>
      </c>
      <c r="V3172" t="s">
        <v>8590</v>
      </c>
      <c r="W3172">
        <v>9</v>
      </c>
      <c r="X3172" t="s">
        <v>11762</v>
      </c>
      <c r="Y3172">
        <v>0.41325601354733538</v>
      </c>
      <c r="Z3172" t="str">
        <f>HYPERLINK("Melting_Curves/meltCurve_sp_Q9NR50_3_EI2BG_HUMAN_.pdf", "Melting_Curves/meltCurve_sp_Q9NR50_3_EI2BG_HUMAN_.pdf")</f>
        <v>Melting_Curves/meltCurve_sp_Q9NR50_3_EI2BG_HUMAN_.pdf</v>
      </c>
      <c r="AA3172" t="s">
        <v>16011</v>
      </c>
      <c r="AB3172" t="s">
        <v>20255</v>
      </c>
    </row>
    <row r="3173" spans="1:28" x14ac:dyDescent="0.25">
      <c r="A3173" t="s">
        <v>3177</v>
      </c>
      <c r="B3173">
        <v>0.99876560204751996</v>
      </c>
      <c r="C3173">
        <v>0.94834083176156403</v>
      </c>
      <c r="D3173">
        <v>0.83755749919053002</v>
      </c>
      <c r="E3173">
        <v>0.80989479169797096</v>
      </c>
      <c r="F3173">
        <v>0.64730190397777598</v>
      </c>
      <c r="G3173">
        <v>0.44043833282149603</v>
      </c>
      <c r="H3173">
        <v>0.19333795621587199</v>
      </c>
      <c r="I3173">
        <v>8.6498452924595196E-2</v>
      </c>
      <c r="J3173">
        <v>6.6163795565490902E-2</v>
      </c>
      <c r="K3173">
        <v>5.5433277329378E-2</v>
      </c>
      <c r="L3173">
        <v>739.56250818760304</v>
      </c>
      <c r="M3173">
        <v>13.416229312818601</v>
      </c>
      <c r="N3173">
        <v>55.124468352661403</v>
      </c>
      <c r="O3173">
        <v>53.942985250383103</v>
      </c>
      <c r="P3173">
        <v>-6.2187557225880902E-2</v>
      </c>
      <c r="Q3173">
        <v>0</v>
      </c>
      <c r="R3173">
        <v>0.98776690809516998</v>
      </c>
      <c r="S3173" t="s">
        <v>7469</v>
      </c>
      <c r="T3173" t="s">
        <v>8590</v>
      </c>
      <c r="U3173" t="s">
        <v>8590</v>
      </c>
      <c r="V3173" t="s">
        <v>8590</v>
      </c>
      <c r="W3173">
        <v>12</v>
      </c>
      <c r="X3173" t="s">
        <v>11763</v>
      </c>
      <c r="Y3173">
        <v>0.52538136675600766</v>
      </c>
      <c r="Z3173" t="str">
        <f>HYPERLINK("Melting_Curves/meltCurve_sp_Q9NRF8_PYRG2_HUMAN_.pdf", "Melting_Curves/meltCurve_sp_Q9NRF8_PYRG2_HUMAN_.pdf")</f>
        <v>Melting_Curves/meltCurve_sp_Q9NRF8_PYRG2_HUMAN_.pdf</v>
      </c>
      <c r="AA3173" t="s">
        <v>16012</v>
      </c>
      <c r="AB3173" t="s">
        <v>20256</v>
      </c>
    </row>
    <row r="3174" spans="1:28" x14ac:dyDescent="0.25">
      <c r="A3174" t="s">
        <v>3178</v>
      </c>
      <c r="B3174">
        <v>0.99876560204751996</v>
      </c>
      <c r="C3174">
        <v>0.87951927269382701</v>
      </c>
      <c r="D3174">
        <v>0.62131263341771303</v>
      </c>
      <c r="E3174">
        <v>0.38894534746272802</v>
      </c>
      <c r="F3174">
        <v>0.171120147690281</v>
      </c>
      <c r="G3174">
        <v>0.10152687368982601</v>
      </c>
      <c r="H3174">
        <v>6.6741085307632897E-2</v>
      </c>
      <c r="I3174">
        <v>5.7286118658402503E-2</v>
      </c>
      <c r="J3174">
        <v>4.7963076746863599E-2</v>
      </c>
      <c r="K3174">
        <v>6.1563634230921198E-2</v>
      </c>
      <c r="L3174">
        <v>791.77319698077099</v>
      </c>
      <c r="M3174">
        <v>16.6194743307396</v>
      </c>
      <c r="N3174">
        <v>47.914251595074703</v>
      </c>
      <c r="O3174">
        <v>46.967559884655799</v>
      </c>
      <c r="P3174">
        <v>-8.4472574514250401E-2</v>
      </c>
      <c r="Q3174">
        <v>4.5167770032472E-2</v>
      </c>
      <c r="R3174">
        <v>0.99526412276787402</v>
      </c>
      <c r="S3174" t="s">
        <v>7470</v>
      </c>
      <c r="T3174" t="s">
        <v>8590</v>
      </c>
      <c r="U3174" t="s">
        <v>8590</v>
      </c>
      <c r="V3174" t="s">
        <v>8590</v>
      </c>
      <c r="W3174">
        <v>2</v>
      </c>
      <c r="X3174" t="s">
        <v>11764</v>
      </c>
      <c r="Y3174">
        <v>0.3086482076754426</v>
      </c>
      <c r="Z3174" t="str">
        <f>HYPERLINK("Melting_Curves/meltCurve_sp_Q9NRG7_2_D39U1_HUMAN_.pdf", "Melting_Curves/meltCurve_sp_Q9NRG7_2_D39U1_HUMAN_.pdf")</f>
        <v>Melting_Curves/meltCurve_sp_Q9NRG7_2_D39U1_HUMAN_.pdf</v>
      </c>
      <c r="AA3174" t="s">
        <v>16013</v>
      </c>
      <c r="AB3174" t="s">
        <v>20257</v>
      </c>
    </row>
    <row r="3175" spans="1:28" x14ac:dyDescent="0.25">
      <c r="A3175" t="s">
        <v>3179</v>
      </c>
      <c r="B3175">
        <v>0.99876560204751996</v>
      </c>
      <c r="C3175">
        <v>0.83886164676893704</v>
      </c>
      <c r="D3175">
        <v>0.82509992464358295</v>
      </c>
      <c r="E3175">
        <v>0.76026242943764899</v>
      </c>
      <c r="F3175">
        <v>0.50585806860940397</v>
      </c>
      <c r="G3175">
        <v>0.24019878412611501</v>
      </c>
      <c r="H3175">
        <v>0.15023977230511401</v>
      </c>
      <c r="I3175">
        <v>0.113025180094235</v>
      </c>
      <c r="J3175">
        <v>9.0460941598837594E-2</v>
      </c>
      <c r="K3175">
        <v>8.20381198848186E-2</v>
      </c>
      <c r="L3175">
        <v>659.09452592733703</v>
      </c>
      <c r="M3175">
        <v>12.483788268211701</v>
      </c>
      <c r="N3175">
        <v>52.9201861559729</v>
      </c>
      <c r="O3175">
        <v>51.496197472282802</v>
      </c>
      <c r="P3175">
        <v>-5.9743247620794498E-2</v>
      </c>
      <c r="Q3175">
        <v>1.4429304259555799E-2</v>
      </c>
      <c r="R3175">
        <v>0.97873012717346397</v>
      </c>
      <c r="S3175" t="s">
        <v>7471</v>
      </c>
      <c r="T3175" t="s">
        <v>8590</v>
      </c>
      <c r="U3175" t="s">
        <v>8590</v>
      </c>
      <c r="V3175" t="s">
        <v>8590</v>
      </c>
      <c r="W3175">
        <v>4</v>
      </c>
      <c r="X3175" t="s">
        <v>11765</v>
      </c>
      <c r="Y3175">
        <v>0.462017642621804</v>
      </c>
      <c r="Z3175" t="str">
        <f>HYPERLINK("Melting_Curves/meltCurve_sp_Q9NRN7_ADPPT_HUMAN_.pdf", "Melting_Curves/meltCurve_sp_Q9NRN7_ADPPT_HUMAN_.pdf")</f>
        <v>Melting_Curves/meltCurve_sp_Q9NRN7_ADPPT_HUMAN_.pdf</v>
      </c>
      <c r="AA3175" t="s">
        <v>16014</v>
      </c>
      <c r="AB3175" t="s">
        <v>20258</v>
      </c>
    </row>
    <row r="3176" spans="1:28" x14ac:dyDescent="0.25">
      <c r="A3176" t="s">
        <v>3180</v>
      </c>
      <c r="B3176">
        <v>0.99876560204751996</v>
      </c>
      <c r="C3176">
        <v>0.90645870143543095</v>
      </c>
      <c r="D3176">
        <v>1.0259375612730199</v>
      </c>
      <c r="E3176">
        <v>0.85841103269906605</v>
      </c>
      <c r="F3176">
        <v>0.796902598031904</v>
      </c>
      <c r="G3176">
        <v>0.49888859741967101</v>
      </c>
      <c r="H3176">
        <v>0.253099536113158</v>
      </c>
      <c r="I3176">
        <v>0.15133263975158301</v>
      </c>
      <c r="J3176">
        <v>0.116186961659428</v>
      </c>
      <c r="K3176">
        <v>0.103361507278427</v>
      </c>
      <c r="L3176">
        <v>973.68235221950295</v>
      </c>
      <c r="M3176">
        <v>17.235278629844</v>
      </c>
      <c r="N3176">
        <v>56.885695455682601</v>
      </c>
      <c r="O3176">
        <v>55.7494933794951</v>
      </c>
      <c r="P3176">
        <v>-7.2964208375619594E-2</v>
      </c>
      <c r="Q3176">
        <v>5.6010731770974001E-2</v>
      </c>
      <c r="R3176">
        <v>0.98973468127741604</v>
      </c>
      <c r="S3176" t="s">
        <v>7472</v>
      </c>
      <c r="T3176" t="s">
        <v>8590</v>
      </c>
      <c r="U3176" t="s">
        <v>8590</v>
      </c>
      <c r="V3176" t="s">
        <v>8590</v>
      </c>
      <c r="W3176">
        <v>4</v>
      </c>
      <c r="X3176" t="s">
        <v>11766</v>
      </c>
      <c r="Y3176">
        <v>0.58910175294323963</v>
      </c>
      <c r="Z3176" t="str">
        <f>HYPERLINK("Melting_Curves/meltCurve_sp_Q9NRP4_ACN9_HUMAN_.pdf", "Melting_Curves/meltCurve_sp_Q9NRP4_ACN9_HUMAN_.pdf")</f>
        <v>Melting_Curves/meltCurve_sp_Q9NRP4_ACN9_HUMAN_.pdf</v>
      </c>
      <c r="AA3176" t="s">
        <v>16015</v>
      </c>
      <c r="AB3176" t="s">
        <v>20259</v>
      </c>
    </row>
    <row r="3177" spans="1:28" x14ac:dyDescent="0.25">
      <c r="A3177" t="s">
        <v>3181</v>
      </c>
      <c r="B3177">
        <v>0.99876560204751996</v>
      </c>
      <c r="C3177">
        <v>0.91534410452346204</v>
      </c>
      <c r="D3177">
        <v>0.92443708377461198</v>
      </c>
      <c r="E3177">
        <v>0.82151533254895404</v>
      </c>
      <c r="F3177">
        <v>0.83370599855538596</v>
      </c>
      <c r="G3177">
        <v>0.66558736970996502</v>
      </c>
      <c r="H3177">
        <v>0.60474506471538003</v>
      </c>
      <c r="I3177">
        <v>0.50240350671871103</v>
      </c>
      <c r="J3177">
        <v>0.63760027990273804</v>
      </c>
      <c r="K3177">
        <v>0.56128241353326702</v>
      </c>
      <c r="L3177">
        <v>551.20256283593096</v>
      </c>
      <c r="M3177">
        <v>10.305895737687701</v>
      </c>
      <c r="O3177">
        <v>51.587886514067399</v>
      </c>
      <c r="P3177">
        <v>-2.4360614223221898E-2</v>
      </c>
      <c r="Q3177">
        <v>0.51244676712885195</v>
      </c>
      <c r="R3177">
        <v>0.92487740812296004</v>
      </c>
      <c r="S3177" t="s">
        <v>7473</v>
      </c>
      <c r="T3177" t="s">
        <v>8590</v>
      </c>
      <c r="U3177" t="s">
        <v>8590</v>
      </c>
      <c r="V3177" t="s">
        <v>8590</v>
      </c>
      <c r="W3177">
        <v>8</v>
      </c>
      <c r="X3177" t="s">
        <v>11767</v>
      </c>
      <c r="Y3177">
        <v>0.74695881808924092</v>
      </c>
      <c r="Z3177" t="str">
        <f>HYPERLINK("Melting_Curves/meltCurve_sp_Q9NRR5_UBQL4_HUMAN_.pdf", "Melting_Curves/meltCurve_sp_Q9NRR5_UBQL4_HUMAN_.pdf")</f>
        <v>Melting_Curves/meltCurve_sp_Q9NRR5_UBQL4_HUMAN_.pdf</v>
      </c>
      <c r="AA3177" t="s">
        <v>16016</v>
      </c>
      <c r="AB3177" t="s">
        <v>20260</v>
      </c>
    </row>
    <row r="3178" spans="1:28" x14ac:dyDescent="0.25">
      <c r="A3178" t="s">
        <v>3182</v>
      </c>
      <c r="B3178">
        <v>0.99876560204751996</v>
      </c>
      <c r="C3178">
        <v>0.91651968443917298</v>
      </c>
      <c r="D3178">
        <v>1.0149783525496301</v>
      </c>
      <c r="E3178">
        <v>0.29072826371472099</v>
      </c>
      <c r="F3178">
        <v>0.37749142800515501</v>
      </c>
      <c r="G3178">
        <v>0</v>
      </c>
      <c r="H3178">
        <v>0.171127297831104</v>
      </c>
      <c r="I3178">
        <v>0</v>
      </c>
      <c r="J3178">
        <v>0</v>
      </c>
      <c r="K3178">
        <v>0</v>
      </c>
      <c r="L3178">
        <v>1272.5573084392399</v>
      </c>
      <c r="M3178">
        <v>25.7814557545247</v>
      </c>
      <c r="N3178">
        <v>49.541227382522401</v>
      </c>
      <c r="O3178">
        <v>49.065313533586803</v>
      </c>
      <c r="P3178">
        <v>-0.12543457160816601</v>
      </c>
      <c r="Q3178">
        <v>4.5141135433154803E-2</v>
      </c>
      <c r="R3178">
        <v>0.93465119629972904</v>
      </c>
      <c r="S3178" t="s">
        <v>7474</v>
      </c>
      <c r="T3178" t="s">
        <v>8590</v>
      </c>
      <c r="U3178" t="s">
        <v>8590</v>
      </c>
      <c r="V3178" t="s">
        <v>8590</v>
      </c>
      <c r="W3178">
        <v>2</v>
      </c>
      <c r="X3178" t="s">
        <v>11768</v>
      </c>
      <c r="Y3178">
        <v>0.35100506444009399</v>
      </c>
      <c r="Z3178" t="str">
        <f>HYPERLINK("Melting_Curves/meltCurve_sp_Q9NRS6_2_SNX15_HUMAN_.pdf", "Melting_Curves/meltCurve_sp_Q9NRS6_2_SNX15_HUMAN_.pdf")</f>
        <v>Melting_Curves/meltCurve_sp_Q9NRS6_2_SNX15_HUMAN_.pdf</v>
      </c>
      <c r="AA3178" t="s">
        <v>16017</v>
      </c>
      <c r="AB3178" t="s">
        <v>20261</v>
      </c>
    </row>
    <row r="3179" spans="1:28" x14ac:dyDescent="0.25">
      <c r="A3179" t="s">
        <v>3183</v>
      </c>
      <c r="B3179">
        <v>0.99876560204751996</v>
      </c>
      <c r="C3179">
        <v>0.97592830779848605</v>
      </c>
      <c r="D3179">
        <v>1.0024358851216</v>
      </c>
      <c r="E3179">
        <v>0.89711908379457295</v>
      </c>
      <c r="F3179">
        <v>0.71999343514997005</v>
      </c>
      <c r="G3179">
        <v>0.35689646696121002</v>
      </c>
      <c r="H3179">
        <v>0.15730822616027801</v>
      </c>
      <c r="I3179">
        <v>0.115401872036014</v>
      </c>
      <c r="J3179">
        <v>0.116569094692466</v>
      </c>
      <c r="K3179">
        <v>0.115919094475678</v>
      </c>
      <c r="L3179">
        <v>1294.82681249301</v>
      </c>
      <c r="M3179">
        <v>23.662098442596498</v>
      </c>
      <c r="N3179">
        <v>55.233340619035403</v>
      </c>
      <c r="O3179">
        <v>54.335205161311201</v>
      </c>
      <c r="P3179">
        <v>-9.8155469148083596E-2</v>
      </c>
      <c r="Q3179">
        <v>9.8438652997389395E-2</v>
      </c>
      <c r="R3179">
        <v>0.99899419908582598</v>
      </c>
      <c r="S3179" t="s">
        <v>7475</v>
      </c>
      <c r="T3179" t="s">
        <v>8590</v>
      </c>
      <c r="U3179" t="s">
        <v>8590</v>
      </c>
      <c r="V3179" t="s">
        <v>8590</v>
      </c>
      <c r="W3179">
        <v>15</v>
      </c>
      <c r="X3179" t="s">
        <v>11769</v>
      </c>
      <c r="Y3179">
        <v>0.55004027175900205</v>
      </c>
      <c r="Z3179" t="str">
        <f>HYPERLINK("Melting_Curves/meltCurve_sp_Q9NRV9_HEBP1_HUMAN_.pdf", "Melting_Curves/meltCurve_sp_Q9NRV9_HEBP1_HUMAN_.pdf")</f>
        <v>Melting_Curves/meltCurve_sp_Q9NRV9_HEBP1_HUMAN_.pdf</v>
      </c>
      <c r="AA3179" t="s">
        <v>16018</v>
      </c>
      <c r="AB3179" t="s">
        <v>20262</v>
      </c>
    </row>
    <row r="3180" spans="1:28" x14ac:dyDescent="0.25">
      <c r="A3180" t="s">
        <v>3184</v>
      </c>
      <c r="B3180">
        <v>0.99876560204751996</v>
      </c>
      <c r="C3180">
        <v>1.0106369308636001</v>
      </c>
      <c r="D3180">
        <v>0.83034390844601402</v>
      </c>
      <c r="E3180">
        <v>0.55833481680109998</v>
      </c>
      <c r="F3180">
        <v>0.21832671917159999</v>
      </c>
      <c r="G3180">
        <v>0.15888332646730999</v>
      </c>
      <c r="H3180">
        <v>0.114037487383543</v>
      </c>
      <c r="I3180">
        <v>9.1378262121507195E-2</v>
      </c>
      <c r="J3180">
        <v>9.9767013188915898E-2</v>
      </c>
      <c r="K3180">
        <v>9.2228643755979195E-2</v>
      </c>
      <c r="L3180">
        <v>1135.28396777493</v>
      </c>
      <c r="M3180">
        <v>22.851242337756801</v>
      </c>
      <c r="N3180">
        <v>50.134065162524401</v>
      </c>
      <c r="O3180">
        <v>49.305716772073097</v>
      </c>
      <c r="P3180">
        <v>-0.10506882268029499</v>
      </c>
      <c r="Q3180">
        <v>9.3196941439546904E-2</v>
      </c>
      <c r="R3180">
        <v>0.99413629360041</v>
      </c>
      <c r="S3180" t="s">
        <v>7476</v>
      </c>
      <c r="T3180" t="s">
        <v>8590</v>
      </c>
      <c r="U3180" t="s">
        <v>8590</v>
      </c>
      <c r="V3180" t="s">
        <v>8590</v>
      </c>
      <c r="W3180">
        <v>4</v>
      </c>
      <c r="X3180" t="s">
        <v>11770</v>
      </c>
      <c r="Y3180">
        <v>0.39552539239844459</v>
      </c>
      <c r="Z3180" t="str">
        <f>HYPERLINK("Melting_Curves/meltCurve_sp_Q9NRW7_VPS45_HUMAN_.pdf", "Melting_Curves/meltCurve_sp_Q9NRW7_VPS45_HUMAN_.pdf")</f>
        <v>Melting_Curves/meltCurve_sp_Q9NRW7_VPS45_HUMAN_.pdf</v>
      </c>
      <c r="AA3180" t="s">
        <v>16019</v>
      </c>
      <c r="AB3180" t="s">
        <v>20263</v>
      </c>
    </row>
    <row r="3181" spans="1:28" x14ac:dyDescent="0.25">
      <c r="A3181" t="s">
        <v>3185</v>
      </c>
      <c r="B3181">
        <v>0.99876560204751996</v>
      </c>
      <c r="C3181">
        <v>0.98308656357900603</v>
      </c>
      <c r="D3181">
        <v>1.01523139737838</v>
      </c>
      <c r="E3181">
        <v>1.10199528428729</v>
      </c>
      <c r="F3181">
        <v>1.16241264529731</v>
      </c>
      <c r="G3181">
        <v>0.93622706166563296</v>
      </c>
      <c r="H3181">
        <v>0.75710031925072796</v>
      </c>
      <c r="I3181">
        <v>0.63529375332944404</v>
      </c>
      <c r="J3181">
        <v>0.89183526073627195</v>
      </c>
      <c r="K3181">
        <v>0.83397572384121998</v>
      </c>
      <c r="L3181">
        <v>14301.2344184105</v>
      </c>
      <c r="M3181">
        <v>250</v>
      </c>
      <c r="O3181">
        <v>57.201254149271499</v>
      </c>
      <c r="P3181">
        <v>-0.24086956046673599</v>
      </c>
      <c r="Q3181">
        <v>0.77955125676766901</v>
      </c>
      <c r="R3181">
        <v>0.67152624617420797</v>
      </c>
      <c r="S3181" t="s">
        <v>7477</v>
      </c>
      <c r="T3181" t="s">
        <v>8590</v>
      </c>
      <c r="U3181" t="s">
        <v>8590</v>
      </c>
      <c r="V3181" t="s">
        <v>8590</v>
      </c>
      <c r="W3181">
        <v>2</v>
      </c>
      <c r="X3181" t="s">
        <v>11771</v>
      </c>
      <c r="Y3181">
        <v>0.90600028470076388</v>
      </c>
      <c r="Z3181" t="str">
        <f>HYPERLINK("Melting_Curves/meltCurve_sp_Q9NRX4_PHP14_HUMAN_.pdf", "Melting_Curves/meltCurve_sp_Q9NRX4_PHP14_HUMAN_.pdf")</f>
        <v>Melting_Curves/meltCurve_sp_Q9NRX4_PHP14_HUMAN_.pdf</v>
      </c>
      <c r="AA3181" t="s">
        <v>16020</v>
      </c>
      <c r="AB3181" t="s">
        <v>20264</v>
      </c>
    </row>
    <row r="3182" spans="1:28" x14ac:dyDescent="0.25">
      <c r="A3182" t="s">
        <v>3186</v>
      </c>
      <c r="B3182">
        <v>0.99876560204751996</v>
      </c>
      <c r="C3182">
        <v>1.1755012885398299</v>
      </c>
      <c r="D3182">
        <v>0.74276797801317096</v>
      </c>
      <c r="E3182">
        <v>0.86957585907623702</v>
      </c>
      <c r="F3182">
        <v>0.81977632384764298</v>
      </c>
      <c r="G3182">
        <v>0.36217287582525198</v>
      </c>
      <c r="H3182">
        <v>0.64253216249589096</v>
      </c>
      <c r="I3182">
        <v>0.65531790074865803</v>
      </c>
      <c r="J3182">
        <v>0.83257373398516998</v>
      </c>
      <c r="K3182">
        <v>1.2568334268730099</v>
      </c>
      <c r="L3182">
        <v>11139.693816872999</v>
      </c>
      <c r="M3182">
        <v>250</v>
      </c>
      <c r="O3182">
        <v>44.555923915443501</v>
      </c>
      <c r="P3182">
        <v>-0.31886136529569498</v>
      </c>
      <c r="Q3182">
        <v>0.77268539714108198</v>
      </c>
      <c r="R3182">
        <v>0.22933867962953799</v>
      </c>
      <c r="S3182" t="s">
        <v>7478</v>
      </c>
      <c r="T3182" t="s">
        <v>8590</v>
      </c>
      <c r="U3182" t="s">
        <v>8590</v>
      </c>
      <c r="V3182" t="s">
        <v>8590</v>
      </c>
      <c r="W3182">
        <v>1</v>
      </c>
      <c r="X3182" t="s">
        <v>11772</v>
      </c>
      <c r="Y3182">
        <v>0.80724571278170909</v>
      </c>
      <c r="Z3182" t="str">
        <f>HYPERLINK("Melting_Curves/meltCurve_sp_Q9NRY2_SOSSC_HUMAN_.pdf", "Melting_Curves/meltCurve_sp_Q9NRY2_SOSSC_HUMAN_.pdf")</f>
        <v>Melting_Curves/meltCurve_sp_Q9NRY2_SOSSC_HUMAN_.pdf</v>
      </c>
      <c r="AA3182" t="s">
        <v>16021</v>
      </c>
      <c r="AB3182" t="s">
        <v>20265</v>
      </c>
    </row>
    <row r="3183" spans="1:28" x14ac:dyDescent="0.25">
      <c r="A3183" t="s">
        <v>3187</v>
      </c>
      <c r="B3183">
        <v>0.99876560204751996</v>
      </c>
      <c r="C3183">
        <v>0.987497684606364</v>
      </c>
      <c r="D3183">
        <v>0.84985048610158997</v>
      </c>
      <c r="E3183">
        <v>0.53005265020876502</v>
      </c>
      <c r="F3183">
        <v>0.25901606004683497</v>
      </c>
      <c r="G3183">
        <v>0.159922639222877</v>
      </c>
      <c r="H3183">
        <v>0.115983861353932</v>
      </c>
      <c r="I3183">
        <v>0.101993563968625</v>
      </c>
      <c r="J3183">
        <v>0.10550670734177001</v>
      </c>
      <c r="K3183">
        <v>9.6956448839376E-2</v>
      </c>
      <c r="L3183">
        <v>1093.0588266791401</v>
      </c>
      <c r="M3183">
        <v>22.0197279159201</v>
      </c>
      <c r="N3183">
        <v>50.143781857161798</v>
      </c>
      <c r="O3183">
        <v>49.236003950370502</v>
      </c>
      <c r="P3183">
        <v>-0.100714054230269</v>
      </c>
      <c r="Q3183">
        <v>9.9235419686634893E-2</v>
      </c>
      <c r="R3183">
        <v>0.99905354769366905</v>
      </c>
      <c r="S3183" t="s">
        <v>7479</v>
      </c>
      <c r="T3183" t="s">
        <v>8590</v>
      </c>
      <c r="U3183" t="s">
        <v>8590</v>
      </c>
      <c r="V3183" t="s">
        <v>8590</v>
      </c>
      <c r="W3183">
        <v>14</v>
      </c>
      <c r="X3183" t="s">
        <v>11773</v>
      </c>
      <c r="Y3183">
        <v>0.39904724339577169</v>
      </c>
      <c r="Z3183" t="str">
        <f>HYPERLINK("Melting_Curves/meltCurve_sp_Q9NRY4_RHG35_HUMAN_.pdf", "Melting_Curves/meltCurve_sp_Q9NRY4_RHG35_HUMAN_.pdf")</f>
        <v>Melting_Curves/meltCurve_sp_Q9NRY4_RHG35_HUMAN_.pdf</v>
      </c>
      <c r="AA3183" t="s">
        <v>16022</v>
      </c>
      <c r="AB3183" t="s">
        <v>20266</v>
      </c>
    </row>
    <row r="3184" spans="1:28" x14ac:dyDescent="0.25">
      <c r="A3184" t="s">
        <v>3188</v>
      </c>
      <c r="B3184">
        <v>0.99876560204751996</v>
      </c>
      <c r="C3184">
        <v>0.91709826655158699</v>
      </c>
      <c r="D3184">
        <v>1.0120552297073999</v>
      </c>
      <c r="E3184">
        <v>0.86844064942497601</v>
      </c>
      <c r="F3184">
        <v>0.84258072721410004</v>
      </c>
      <c r="G3184">
        <v>0.55442277042090105</v>
      </c>
      <c r="H3184">
        <v>0.34258542227188898</v>
      </c>
      <c r="I3184">
        <v>0.32617641639197398</v>
      </c>
      <c r="J3184">
        <v>0.41046819318910899</v>
      </c>
      <c r="K3184">
        <v>0.40006632551649302</v>
      </c>
      <c r="L3184">
        <v>1376.36029267341</v>
      </c>
      <c r="M3184">
        <v>25.101818801734598</v>
      </c>
      <c r="N3184">
        <v>57.707401738140199</v>
      </c>
      <c r="O3184">
        <v>54.486658332845103</v>
      </c>
      <c r="P3184">
        <v>-7.4068106334583897E-2</v>
      </c>
      <c r="Q3184">
        <v>0.35691190093433101</v>
      </c>
      <c r="R3184">
        <v>0.96637788860092699</v>
      </c>
      <c r="S3184" t="s">
        <v>7480</v>
      </c>
      <c r="T3184" t="s">
        <v>8590</v>
      </c>
      <c r="U3184" t="s">
        <v>8590</v>
      </c>
      <c r="V3184" t="s">
        <v>8590</v>
      </c>
      <c r="W3184">
        <v>8</v>
      </c>
      <c r="X3184" t="s">
        <v>11774</v>
      </c>
      <c r="Y3184">
        <v>0.68074539421698033</v>
      </c>
      <c r="Z3184" t="str">
        <f>HYPERLINK("Melting_Curves/meltCurve_sp_Q9NRY5_F1142_HUMAN_.pdf", "Melting_Curves/meltCurve_sp_Q9NRY5_F1142_HUMAN_.pdf")</f>
        <v>Melting_Curves/meltCurve_sp_Q9NRY5_F1142_HUMAN_.pdf</v>
      </c>
      <c r="AA3184" t="s">
        <v>16023</v>
      </c>
      <c r="AB3184" t="s">
        <v>20267</v>
      </c>
    </row>
    <row r="3185" spans="1:28" x14ac:dyDescent="0.25">
      <c r="A3185" t="s">
        <v>3189</v>
      </c>
      <c r="B3185">
        <v>0.99876560204751996</v>
      </c>
      <c r="C3185">
        <v>0.87920792762200195</v>
      </c>
      <c r="D3185">
        <v>0.87732262782290504</v>
      </c>
      <c r="E3185">
        <v>0.83386741690037502</v>
      </c>
      <c r="F3185">
        <v>0.78782766708232399</v>
      </c>
      <c r="G3185">
        <v>0.45499413131148703</v>
      </c>
      <c r="H3185">
        <v>0.17253084460398299</v>
      </c>
      <c r="I3185">
        <v>7.4682799657171006E-2</v>
      </c>
      <c r="J3185">
        <v>7.5129112268947404E-2</v>
      </c>
      <c r="K3185">
        <v>6.1519762214864701E-2</v>
      </c>
      <c r="L3185">
        <v>929.26070042156596</v>
      </c>
      <c r="M3185">
        <v>16.5594371357098</v>
      </c>
      <c r="N3185">
        <v>56.116683965803198</v>
      </c>
      <c r="O3185">
        <v>55.317460387498997</v>
      </c>
      <c r="P3185">
        <v>-7.4843324862574806E-2</v>
      </c>
      <c r="Q3185">
        <v>0</v>
      </c>
      <c r="R3185">
        <v>0.97617173418193903</v>
      </c>
      <c r="S3185" t="s">
        <v>7481</v>
      </c>
      <c r="T3185" t="s">
        <v>8590</v>
      </c>
      <c r="U3185" t="s">
        <v>8590</v>
      </c>
      <c r="V3185" t="s">
        <v>8590</v>
      </c>
      <c r="W3185">
        <v>9</v>
      </c>
      <c r="X3185" t="s">
        <v>11775</v>
      </c>
      <c r="Y3185">
        <v>0.55324187358330745</v>
      </c>
      <c r="Z3185" t="str">
        <f>HYPERLINK("Melting_Curves/meltCurve_sp_Q9NS86_LANC2_HUMAN_.pdf", "Melting_Curves/meltCurve_sp_Q9NS86_LANC2_HUMAN_.pdf")</f>
        <v>Melting_Curves/meltCurve_sp_Q9NS86_LANC2_HUMAN_.pdf</v>
      </c>
      <c r="AA3185" t="s">
        <v>16024</v>
      </c>
      <c r="AB3185" t="s">
        <v>20268</v>
      </c>
    </row>
    <row r="3186" spans="1:28" x14ac:dyDescent="0.25">
      <c r="A3186" t="s">
        <v>3190</v>
      </c>
      <c r="B3186">
        <v>0.99876560204751996</v>
      </c>
      <c r="C3186">
        <v>0.95521446636086804</v>
      </c>
      <c r="D3186">
        <v>0.83552484734613697</v>
      </c>
      <c r="E3186">
        <v>0.90701741666561897</v>
      </c>
      <c r="F3186">
        <v>0.63956678814294698</v>
      </c>
      <c r="G3186">
        <v>0.45555104859622497</v>
      </c>
      <c r="H3186">
        <v>0.30629858642621199</v>
      </c>
      <c r="I3186">
        <v>0.28661872451689802</v>
      </c>
      <c r="J3186">
        <v>0.33586901363330601</v>
      </c>
      <c r="K3186">
        <v>0.34912025904744998</v>
      </c>
      <c r="L3186">
        <v>1063.2136499088799</v>
      </c>
      <c r="M3186">
        <v>20.028196367272098</v>
      </c>
      <c r="N3186">
        <v>55.649960168736797</v>
      </c>
      <c r="O3186">
        <v>52.565110246274998</v>
      </c>
      <c r="P3186">
        <v>-6.6556210514216702E-2</v>
      </c>
      <c r="Q3186">
        <v>0.30130079304819002</v>
      </c>
      <c r="R3186">
        <v>0.96170802100455499</v>
      </c>
      <c r="S3186" t="s">
        <v>7482</v>
      </c>
      <c r="T3186" t="s">
        <v>8590</v>
      </c>
      <c r="U3186" t="s">
        <v>8590</v>
      </c>
      <c r="V3186" t="s">
        <v>8590</v>
      </c>
      <c r="W3186">
        <v>1</v>
      </c>
      <c r="X3186" t="s">
        <v>11776</v>
      </c>
      <c r="Y3186">
        <v>0.61564924503603968</v>
      </c>
      <c r="Z3186" t="str">
        <f>HYPERLINK("Melting_Curves/meltCurve_sp_Q9NSA3_CNBP1_HUMAN_.pdf", "Melting_Curves/meltCurve_sp_Q9NSA3_CNBP1_HUMAN_.pdf")</f>
        <v>Melting_Curves/meltCurve_sp_Q9NSA3_CNBP1_HUMAN_.pdf</v>
      </c>
      <c r="AA3186" t="s">
        <v>16025</v>
      </c>
      <c r="AB3186" t="s">
        <v>20269</v>
      </c>
    </row>
    <row r="3187" spans="1:28" x14ac:dyDescent="0.25">
      <c r="A3187" t="s">
        <v>3191</v>
      </c>
      <c r="B3187">
        <v>0.99876560204751996</v>
      </c>
      <c r="C3187">
        <v>1.1516597077833</v>
      </c>
      <c r="D3187">
        <v>1.2442004702079299</v>
      </c>
      <c r="E3187">
        <v>1.0740322245816001</v>
      </c>
      <c r="F3187">
        <v>1.00342202074806</v>
      </c>
      <c r="G3187">
        <v>0.71627609862713004</v>
      </c>
      <c r="H3187">
        <v>0.42306394640056499</v>
      </c>
      <c r="I3187">
        <v>0.334239752048615</v>
      </c>
      <c r="J3187">
        <v>0.229810678661376</v>
      </c>
      <c r="K3187">
        <v>0.266266974585745</v>
      </c>
      <c r="L3187">
        <v>1736.33001392505</v>
      </c>
      <c r="M3187">
        <v>29.8199983988683</v>
      </c>
      <c r="N3187">
        <v>59.660486673586597</v>
      </c>
      <c r="O3187">
        <v>57.9670588713401</v>
      </c>
      <c r="P3187">
        <v>-9.57149837120954E-2</v>
      </c>
      <c r="Q3187">
        <v>0.25576400180525</v>
      </c>
      <c r="R3187">
        <v>0.93363286825821101</v>
      </c>
      <c r="S3187" t="s">
        <v>7483</v>
      </c>
      <c r="T3187" t="s">
        <v>8590</v>
      </c>
      <c r="U3187" t="s">
        <v>8590</v>
      </c>
      <c r="V3187" t="s">
        <v>8590</v>
      </c>
      <c r="W3187">
        <v>3</v>
      </c>
      <c r="X3187" t="s">
        <v>11777</v>
      </c>
      <c r="Y3187">
        <v>0.71286223906412371</v>
      </c>
      <c r="Z3187" t="str">
        <f>HYPERLINK("Melting_Curves/meltCurve_sp_Q9NSB8_2_HOME2_HUMAN_.pdf", "Melting_Curves/meltCurve_sp_Q9NSB8_2_HOME2_HUMAN_.pdf")</f>
        <v>Melting_Curves/meltCurve_sp_Q9NSB8_2_HOME2_HUMAN_.pdf</v>
      </c>
      <c r="AA3187" t="s">
        <v>16026</v>
      </c>
      <c r="AB3187" t="s">
        <v>20270</v>
      </c>
    </row>
    <row r="3188" spans="1:28" x14ac:dyDescent="0.25">
      <c r="A3188" t="s">
        <v>3192</v>
      </c>
      <c r="B3188">
        <v>0.99876560204751996</v>
      </c>
      <c r="C3188">
        <v>0.94518480055804199</v>
      </c>
      <c r="D3188">
        <v>0.87072441202957895</v>
      </c>
      <c r="E3188">
        <v>0.83519725127845401</v>
      </c>
      <c r="F3188">
        <v>0.36651702394743102</v>
      </c>
      <c r="G3188">
        <v>0.11603553481565</v>
      </c>
      <c r="H3188">
        <v>7.1365814099315097E-2</v>
      </c>
      <c r="I3188">
        <v>5.2914187697172703E-2</v>
      </c>
      <c r="J3188">
        <v>5.1629725451827403E-2</v>
      </c>
      <c r="K3188">
        <v>4.3899278168789399E-2</v>
      </c>
      <c r="L3188">
        <v>1752.34398870001</v>
      </c>
      <c r="M3188">
        <v>33.688697036791197</v>
      </c>
      <c r="N3188">
        <v>52.194186734767698</v>
      </c>
      <c r="O3188">
        <v>51.8335265464274</v>
      </c>
      <c r="P3188">
        <v>-0.15364919864193299</v>
      </c>
      <c r="Q3188">
        <v>5.4383479761554498E-2</v>
      </c>
      <c r="R3188">
        <v>0.98859522699343005</v>
      </c>
      <c r="S3188" t="s">
        <v>7484</v>
      </c>
      <c r="T3188" t="s">
        <v>8590</v>
      </c>
      <c r="U3188" t="s">
        <v>8590</v>
      </c>
      <c r="V3188" t="s">
        <v>8590</v>
      </c>
      <c r="W3188">
        <v>44</v>
      </c>
      <c r="X3188" t="s">
        <v>11778</v>
      </c>
      <c r="Y3188">
        <v>0.43792418611818351</v>
      </c>
      <c r="Z3188" t="str">
        <f>HYPERLINK("Melting_Curves/meltCurve_sp_Q9NSE4_SYIM_HUMAN_.pdf", "Melting_Curves/meltCurve_sp_Q9NSE4_SYIM_HUMAN_.pdf")</f>
        <v>Melting_Curves/meltCurve_sp_Q9NSE4_SYIM_HUMAN_.pdf</v>
      </c>
      <c r="AA3188" t="s">
        <v>16027</v>
      </c>
      <c r="AB3188" t="s">
        <v>20271</v>
      </c>
    </row>
    <row r="3189" spans="1:28" x14ac:dyDescent="0.25">
      <c r="A3189" t="s">
        <v>3193</v>
      </c>
      <c r="B3189">
        <v>0.99876560204751996</v>
      </c>
      <c r="C3189">
        <v>1.0278040567061899</v>
      </c>
      <c r="D3189">
        <v>0.86687104675393101</v>
      </c>
      <c r="E3189">
        <v>0.736910912952638</v>
      </c>
      <c r="F3189">
        <v>0.48525977373380103</v>
      </c>
      <c r="G3189">
        <v>0.22657879564851299</v>
      </c>
      <c r="H3189">
        <v>0.13257355784475</v>
      </c>
      <c r="I3189">
        <v>0.10704469221518099</v>
      </c>
      <c r="J3189">
        <v>0.12071469055539299</v>
      </c>
      <c r="K3189">
        <v>0.105680849428399</v>
      </c>
      <c r="L3189">
        <v>969.95849022731704</v>
      </c>
      <c r="M3189">
        <v>18.603504694615101</v>
      </c>
      <c r="N3189">
        <v>52.688607709757498</v>
      </c>
      <c r="O3189">
        <v>51.547260558645803</v>
      </c>
      <c r="P3189">
        <v>-8.2264898503781103E-2</v>
      </c>
      <c r="Q3189">
        <v>8.8269722967140807E-2</v>
      </c>
      <c r="R3189">
        <v>0.99466708097846002</v>
      </c>
      <c r="S3189" t="s">
        <v>7485</v>
      </c>
      <c r="T3189" t="s">
        <v>8590</v>
      </c>
      <c r="U3189" t="s">
        <v>8590</v>
      </c>
      <c r="V3189" t="s">
        <v>8590</v>
      </c>
      <c r="W3189">
        <v>18</v>
      </c>
      <c r="X3189" t="s">
        <v>11779</v>
      </c>
      <c r="Y3189">
        <v>0.4714842723970385</v>
      </c>
      <c r="Z3189" t="str">
        <f>HYPERLINK("Melting_Curves/meltCurve_sp_Q9NSK0_KLC4_HUMAN_.pdf", "Melting_Curves/meltCurve_sp_Q9NSK0_KLC4_HUMAN_.pdf")</f>
        <v>Melting_Curves/meltCurve_sp_Q9NSK0_KLC4_HUMAN_.pdf</v>
      </c>
      <c r="AA3189" t="s">
        <v>16028</v>
      </c>
      <c r="AB3189" t="s">
        <v>20272</v>
      </c>
    </row>
    <row r="3190" spans="1:28" x14ac:dyDescent="0.25">
      <c r="A3190" t="s">
        <v>3194</v>
      </c>
      <c r="B3190">
        <v>0.99876560204751996</v>
      </c>
      <c r="C3190">
        <v>0.95572042953463499</v>
      </c>
      <c r="D3190">
        <v>0.94663458880874696</v>
      </c>
      <c r="E3190">
        <v>0.50861269417323896</v>
      </c>
      <c r="F3190">
        <v>0.201654054227557</v>
      </c>
      <c r="G3190">
        <v>0.11142220194865</v>
      </c>
      <c r="H3190">
        <v>5.4699409110736501E-2</v>
      </c>
      <c r="I3190">
        <v>3.8767995826473903E-2</v>
      </c>
      <c r="J3190">
        <v>2.3775421849772702E-2</v>
      </c>
      <c r="K3190">
        <v>1.7456333633281099E-2</v>
      </c>
      <c r="L3190">
        <v>1374.4251405135201</v>
      </c>
      <c r="M3190">
        <v>27.493197106799698</v>
      </c>
      <c r="N3190">
        <v>50.140583368896898</v>
      </c>
      <c r="O3190">
        <v>49.729224081085803</v>
      </c>
      <c r="P3190">
        <v>-0.13278993286085899</v>
      </c>
      <c r="Q3190">
        <v>3.9256229857496598E-2</v>
      </c>
      <c r="R3190">
        <v>0.99722801810736705</v>
      </c>
      <c r="S3190" t="s">
        <v>7486</v>
      </c>
      <c r="T3190" t="s">
        <v>8590</v>
      </c>
      <c r="U3190" t="s">
        <v>8590</v>
      </c>
      <c r="V3190" t="s">
        <v>8590</v>
      </c>
      <c r="W3190">
        <v>3</v>
      </c>
      <c r="X3190" t="s">
        <v>11780</v>
      </c>
      <c r="Y3190">
        <v>0.36631910095550568</v>
      </c>
      <c r="Z3190" t="str">
        <f>HYPERLINK("Melting_Curves/meltCurve_sp_Q9NSY0_NRBP2_HUMAN_.pdf", "Melting_Curves/meltCurve_sp_Q9NSY0_NRBP2_HUMAN_.pdf")</f>
        <v>Melting_Curves/meltCurve_sp_Q9NSY0_NRBP2_HUMAN_.pdf</v>
      </c>
      <c r="AA3190" t="s">
        <v>16029</v>
      </c>
      <c r="AB3190" t="s">
        <v>20273</v>
      </c>
    </row>
    <row r="3191" spans="1:28" x14ac:dyDescent="0.25">
      <c r="A3191" t="s">
        <v>3195</v>
      </c>
      <c r="B3191">
        <v>0.99876560204751996</v>
      </c>
      <c r="C3191">
        <v>0.89720723959604998</v>
      </c>
      <c r="D3191">
        <v>0.94905488039958497</v>
      </c>
      <c r="E3191">
        <v>0.48214661220475002</v>
      </c>
      <c r="F3191">
        <v>0.181322710124867</v>
      </c>
      <c r="G3191">
        <v>0.102587897702905</v>
      </c>
      <c r="H3191">
        <v>6.0244240058351203E-2</v>
      </c>
      <c r="I3191">
        <v>5.23306675751357E-2</v>
      </c>
      <c r="J3191">
        <v>2.8380272673558901E-2</v>
      </c>
      <c r="K3191">
        <v>2.9371447102024301E-2</v>
      </c>
      <c r="L3191">
        <v>1436.33285992167</v>
      </c>
      <c r="M3191">
        <v>28.869798982009499</v>
      </c>
      <c r="N3191">
        <v>49.923160507669003</v>
      </c>
      <c r="O3191">
        <v>49.515211065467597</v>
      </c>
      <c r="P3191">
        <v>-0.13889857826559701</v>
      </c>
      <c r="Q3191">
        <v>4.7095518087035E-2</v>
      </c>
      <c r="R3191">
        <v>0.99255250912177595</v>
      </c>
      <c r="S3191" t="s">
        <v>7487</v>
      </c>
      <c r="T3191" t="s">
        <v>8590</v>
      </c>
      <c r="U3191" t="s">
        <v>8590</v>
      </c>
      <c r="V3191" t="s">
        <v>8590</v>
      </c>
      <c r="W3191">
        <v>5</v>
      </c>
      <c r="X3191" t="s">
        <v>11781</v>
      </c>
      <c r="Y3191">
        <v>0.36320213780247701</v>
      </c>
      <c r="Z3191" t="str">
        <f>HYPERLINK("Melting_Curves/meltCurve_sp_Q9NSY2_STAR5_HUMAN_.pdf", "Melting_Curves/meltCurve_sp_Q9NSY2_STAR5_HUMAN_.pdf")</f>
        <v>Melting_Curves/meltCurve_sp_Q9NSY2_STAR5_HUMAN_.pdf</v>
      </c>
      <c r="AA3191" t="s">
        <v>16030</v>
      </c>
      <c r="AB3191" t="s">
        <v>20274</v>
      </c>
    </row>
    <row r="3192" spans="1:28" x14ac:dyDescent="0.25">
      <c r="A3192" t="s">
        <v>3196</v>
      </c>
      <c r="B3192">
        <v>0.99876560204751996</v>
      </c>
      <c r="C3192">
        <v>0.97372846027143101</v>
      </c>
      <c r="D3192">
        <v>1.0425713146565201</v>
      </c>
      <c r="E3192">
        <v>0.93062444198897398</v>
      </c>
      <c r="F3192">
        <v>0.84481274574098297</v>
      </c>
      <c r="G3192">
        <v>0.55765345692359602</v>
      </c>
      <c r="H3192">
        <v>0.33623257589351002</v>
      </c>
      <c r="I3192">
        <v>0.21847592114703801</v>
      </c>
      <c r="J3192">
        <v>0.173365702695259</v>
      </c>
      <c r="K3192">
        <v>0.14842353731459401</v>
      </c>
      <c r="L3192">
        <v>1089.2272621187799</v>
      </c>
      <c r="M3192">
        <v>19.0822544232003</v>
      </c>
      <c r="N3192">
        <v>57.951714656127798</v>
      </c>
      <c r="O3192">
        <v>56.4648497503389</v>
      </c>
      <c r="P3192">
        <v>-7.3956410613440798E-2</v>
      </c>
      <c r="Q3192">
        <v>0.124679112071045</v>
      </c>
      <c r="R3192">
        <v>0.99696508713752996</v>
      </c>
      <c r="S3192" t="s">
        <v>7488</v>
      </c>
      <c r="T3192" t="s">
        <v>8590</v>
      </c>
      <c r="U3192" t="s">
        <v>8590</v>
      </c>
      <c r="V3192" t="s">
        <v>8590</v>
      </c>
      <c r="W3192">
        <v>6</v>
      </c>
      <c r="X3192" t="s">
        <v>11782</v>
      </c>
      <c r="Y3192">
        <v>0.63428535819093457</v>
      </c>
      <c r="Z3192" t="str">
        <f>HYPERLINK("Melting_Curves/meltCurve_sp_Q9NT62_ATG3_HUMAN_.pdf", "Melting_Curves/meltCurve_sp_Q9NT62_ATG3_HUMAN_.pdf")</f>
        <v>Melting_Curves/meltCurve_sp_Q9NT62_ATG3_HUMAN_.pdf</v>
      </c>
      <c r="AA3192" t="s">
        <v>16031</v>
      </c>
      <c r="AB3192" t="s">
        <v>20275</v>
      </c>
    </row>
    <row r="3193" spans="1:28" x14ac:dyDescent="0.25">
      <c r="A3193" t="s">
        <v>3197</v>
      </c>
      <c r="B3193">
        <v>0.99876560204751996</v>
      </c>
      <c r="C3193">
        <v>0.93817859668102099</v>
      </c>
      <c r="D3193">
        <v>1.0812385708785199</v>
      </c>
      <c r="E3193">
        <v>0.78204021487518904</v>
      </c>
      <c r="F3193">
        <v>0.39715798179558298</v>
      </c>
      <c r="G3193">
        <v>0.14301135206288401</v>
      </c>
      <c r="H3193">
        <v>8.34743223974478E-2</v>
      </c>
      <c r="I3193">
        <v>4.4900342066174798E-2</v>
      </c>
      <c r="J3193">
        <v>3.5516603031838498E-2</v>
      </c>
      <c r="K3193">
        <v>3.4937129440198202E-2</v>
      </c>
      <c r="L3193">
        <v>1574.9615299268501</v>
      </c>
      <c r="M3193">
        <v>30.231611250985701</v>
      </c>
      <c r="N3193">
        <v>52.280399211511302</v>
      </c>
      <c r="O3193">
        <v>51.8701565318378</v>
      </c>
      <c r="P3193">
        <v>-0.13835980121653799</v>
      </c>
      <c r="Q3193">
        <v>5.0437751181815697E-2</v>
      </c>
      <c r="R3193">
        <v>0.99147693491133904</v>
      </c>
      <c r="S3193" t="s">
        <v>7489</v>
      </c>
      <c r="T3193" t="s">
        <v>8590</v>
      </c>
      <c r="U3193" t="s">
        <v>8590</v>
      </c>
      <c r="V3193" t="s">
        <v>8590</v>
      </c>
      <c r="W3193">
        <v>6</v>
      </c>
      <c r="X3193" t="s">
        <v>11783</v>
      </c>
      <c r="Y3193">
        <v>0.4393017702403198</v>
      </c>
      <c r="Z3193" t="str">
        <f>HYPERLINK("Melting_Curves/meltCurve_sp_Q9NTG7_SIR3_HUMAN_.pdf", "Melting_Curves/meltCurve_sp_Q9NTG7_SIR3_HUMAN_.pdf")</f>
        <v>Melting_Curves/meltCurve_sp_Q9NTG7_SIR3_HUMAN_.pdf</v>
      </c>
      <c r="AA3193" t="s">
        <v>16032</v>
      </c>
      <c r="AB3193" t="s">
        <v>20276</v>
      </c>
    </row>
    <row r="3194" spans="1:28" x14ac:dyDescent="0.25">
      <c r="A3194" t="s">
        <v>3198</v>
      </c>
      <c r="B3194">
        <v>0.99876560204751996</v>
      </c>
      <c r="C3194">
        <v>0.92014439679513604</v>
      </c>
      <c r="D3194">
        <v>0.65427647672981504</v>
      </c>
      <c r="E3194">
        <v>0.35642231902133298</v>
      </c>
      <c r="F3194">
        <v>0.217133725865193</v>
      </c>
      <c r="G3194">
        <v>0.163037279849096</v>
      </c>
      <c r="H3194">
        <v>0.12537539645221399</v>
      </c>
      <c r="I3194">
        <v>0.12794411562463001</v>
      </c>
      <c r="J3194">
        <v>0.119412377727074</v>
      </c>
      <c r="K3194">
        <v>0.111528986875907</v>
      </c>
      <c r="L3194">
        <v>932.59003418878797</v>
      </c>
      <c r="M3194">
        <v>19.7207413361349</v>
      </c>
      <c r="N3194">
        <v>47.960949026700199</v>
      </c>
      <c r="O3194">
        <v>46.811596516695701</v>
      </c>
      <c r="P3194">
        <v>-9.26235385319885E-2</v>
      </c>
      <c r="Q3194">
        <v>0.12057940552186799</v>
      </c>
      <c r="R3194">
        <v>0.99807505863350199</v>
      </c>
      <c r="S3194" t="s">
        <v>7490</v>
      </c>
      <c r="T3194" t="s">
        <v>8590</v>
      </c>
      <c r="U3194" t="s">
        <v>8590</v>
      </c>
      <c r="V3194" t="s">
        <v>8590</v>
      </c>
      <c r="W3194">
        <v>5</v>
      </c>
      <c r="X3194" t="s">
        <v>11784</v>
      </c>
      <c r="Y3194">
        <v>0.34740746367855818</v>
      </c>
      <c r="Z3194" t="str">
        <f>HYPERLINK("Melting_Curves/meltCurve_sp_Q9NTI5_2_PDS5B_HUMAN_.pdf", "Melting_Curves/meltCurve_sp_Q9NTI5_2_PDS5B_HUMAN_.pdf")</f>
        <v>Melting_Curves/meltCurve_sp_Q9NTI5_2_PDS5B_HUMAN_.pdf</v>
      </c>
      <c r="AA3194" t="s">
        <v>16033</v>
      </c>
      <c r="AB3194" t="s">
        <v>20277</v>
      </c>
    </row>
    <row r="3195" spans="1:28" x14ac:dyDescent="0.25">
      <c r="A3195" t="s">
        <v>3199</v>
      </c>
      <c r="B3195">
        <v>0.99876560204751996</v>
      </c>
      <c r="C3195">
        <v>1.03664540856933</v>
      </c>
      <c r="D3195">
        <v>1.00414131421575</v>
      </c>
      <c r="E3195">
        <v>0.95843737040263799</v>
      </c>
      <c r="F3195">
        <v>0.836871568845028</v>
      </c>
      <c r="G3195">
        <v>0.43049451166139002</v>
      </c>
      <c r="H3195">
        <v>0.12843436991788501</v>
      </c>
      <c r="I3195">
        <v>9.8971935813351106E-2</v>
      </c>
      <c r="J3195">
        <v>6.9148757446644393E-2</v>
      </c>
      <c r="K3195">
        <v>5.80509684290971E-2</v>
      </c>
      <c r="L3195">
        <v>1542.03022416115</v>
      </c>
      <c r="M3195">
        <v>27.508701703270599</v>
      </c>
      <c r="N3195">
        <v>56.299397189746102</v>
      </c>
      <c r="O3195">
        <v>55.762364053543102</v>
      </c>
      <c r="P3195">
        <v>-0.11641913675109999</v>
      </c>
      <c r="Q3195">
        <v>5.60446187087019E-2</v>
      </c>
      <c r="R3195">
        <v>0.99880472492898897</v>
      </c>
      <c r="S3195" t="s">
        <v>7491</v>
      </c>
      <c r="T3195" t="s">
        <v>8590</v>
      </c>
      <c r="U3195" t="s">
        <v>8590</v>
      </c>
      <c r="V3195" t="s">
        <v>8590</v>
      </c>
      <c r="W3195">
        <v>12</v>
      </c>
      <c r="X3195" t="s">
        <v>11785</v>
      </c>
      <c r="Y3195">
        <v>0.56860694376458687</v>
      </c>
      <c r="Z3195" t="str">
        <f>HYPERLINK("Melting_Curves/meltCurve_sp_Q9NTJ4_3_MA2C1_HUMAN_.pdf", "Melting_Curves/meltCurve_sp_Q9NTJ4_3_MA2C1_HUMAN_.pdf")</f>
        <v>Melting_Curves/meltCurve_sp_Q9NTJ4_3_MA2C1_HUMAN_.pdf</v>
      </c>
      <c r="AA3195" t="s">
        <v>16034</v>
      </c>
      <c r="AB3195" t="s">
        <v>20278</v>
      </c>
    </row>
    <row r="3196" spans="1:28" x14ac:dyDescent="0.25">
      <c r="A3196" t="s">
        <v>3200</v>
      </c>
      <c r="B3196">
        <v>0.99876560204751996</v>
      </c>
      <c r="C3196">
        <v>0.91914073318077605</v>
      </c>
      <c r="D3196">
        <v>0.87689393758624001</v>
      </c>
      <c r="E3196">
        <v>0.40123749189859098</v>
      </c>
      <c r="F3196">
        <v>0.142379740384594</v>
      </c>
      <c r="G3196">
        <v>8.5900654590843395E-2</v>
      </c>
      <c r="H3196">
        <v>5.7673975924655403E-2</v>
      </c>
      <c r="I3196">
        <v>4.5938148431457701E-2</v>
      </c>
      <c r="J3196">
        <v>3.8162423524561499E-2</v>
      </c>
      <c r="K3196">
        <v>2.4615178841004101E-2</v>
      </c>
      <c r="L3196">
        <v>1306.3195727736099</v>
      </c>
      <c r="M3196">
        <v>26.638470080178099</v>
      </c>
      <c r="N3196">
        <v>49.200531033597102</v>
      </c>
      <c r="O3196">
        <v>48.764977789115797</v>
      </c>
      <c r="P3196">
        <v>-0.13084329749474499</v>
      </c>
      <c r="Q3196">
        <v>4.1911371502346202E-2</v>
      </c>
      <c r="R3196">
        <v>0.99667722487653798</v>
      </c>
      <c r="S3196" t="s">
        <v>7492</v>
      </c>
      <c r="T3196" t="s">
        <v>8590</v>
      </c>
      <c r="U3196" t="s">
        <v>8590</v>
      </c>
      <c r="V3196" t="s">
        <v>8590</v>
      </c>
      <c r="W3196">
        <v>12</v>
      </c>
      <c r="X3196" t="s">
        <v>11786</v>
      </c>
      <c r="Y3196">
        <v>0.33803039772775412</v>
      </c>
      <c r="Z3196" t="str">
        <f>HYPERLINK("Melting_Curves/meltCurve_sp_Q9NTK5_OLA1_HUMAN_.pdf", "Melting_Curves/meltCurve_sp_Q9NTK5_OLA1_HUMAN_.pdf")</f>
        <v>Melting_Curves/meltCurve_sp_Q9NTK5_OLA1_HUMAN_.pdf</v>
      </c>
      <c r="AA3196" t="s">
        <v>16035</v>
      </c>
      <c r="AB3196" t="s">
        <v>20279</v>
      </c>
    </row>
    <row r="3197" spans="1:28" x14ac:dyDescent="0.25">
      <c r="A3197" t="s">
        <v>3201</v>
      </c>
      <c r="B3197">
        <v>0.99876560204751996</v>
      </c>
      <c r="C3197">
        <v>1.1179994564931801</v>
      </c>
      <c r="D3197">
        <v>0.94851848987984599</v>
      </c>
      <c r="E3197">
        <v>1.05315392311116</v>
      </c>
      <c r="F3197">
        <v>0.88122431654024802</v>
      </c>
      <c r="G3197">
        <v>0.48680888469859102</v>
      </c>
      <c r="H3197">
        <v>0.16836275088998401</v>
      </c>
      <c r="I3197">
        <v>0.10988338291345599</v>
      </c>
      <c r="J3197">
        <v>9.4482256258855798E-2</v>
      </c>
      <c r="K3197">
        <v>6.4891841683031998E-2</v>
      </c>
      <c r="L3197">
        <v>1747.2060666648099</v>
      </c>
      <c r="M3197">
        <v>30.884714212277899</v>
      </c>
      <c r="N3197">
        <v>56.886119225437199</v>
      </c>
      <c r="O3197">
        <v>56.336284313369902</v>
      </c>
      <c r="P3197">
        <v>-0.12630722284134999</v>
      </c>
      <c r="Q3197">
        <v>7.84258909686808E-2</v>
      </c>
      <c r="R3197">
        <v>0.98793138775613598</v>
      </c>
      <c r="S3197" t="s">
        <v>7493</v>
      </c>
      <c r="T3197" t="s">
        <v>8590</v>
      </c>
      <c r="U3197" t="s">
        <v>8590</v>
      </c>
      <c r="V3197" t="s">
        <v>8590</v>
      </c>
      <c r="W3197">
        <v>4</v>
      </c>
      <c r="X3197" t="s">
        <v>11787</v>
      </c>
      <c r="Y3197">
        <v>0.59333210959442684</v>
      </c>
      <c r="Z3197" t="str">
        <f>HYPERLINK("Melting_Curves/meltCurve_sp_Q9NTM9_CUTC_HUMAN_.pdf", "Melting_Curves/meltCurve_sp_Q9NTM9_CUTC_HUMAN_.pdf")</f>
        <v>Melting_Curves/meltCurve_sp_Q9NTM9_CUTC_HUMAN_.pdf</v>
      </c>
      <c r="AA3197" t="s">
        <v>16036</v>
      </c>
      <c r="AB3197" t="s">
        <v>20280</v>
      </c>
    </row>
    <row r="3198" spans="1:28" x14ac:dyDescent="0.25">
      <c r="A3198" t="s">
        <v>3202</v>
      </c>
      <c r="B3198">
        <v>0.99876560204751996</v>
      </c>
      <c r="C3198">
        <v>1.0575401345715401</v>
      </c>
      <c r="D3198">
        <v>1.03630491398865</v>
      </c>
      <c r="E3198">
        <v>1.0976656374314999</v>
      </c>
      <c r="F3198">
        <v>0.96871325239153905</v>
      </c>
      <c r="G3198">
        <v>0.78226584876425698</v>
      </c>
      <c r="H3198">
        <v>0.36798663824376099</v>
      </c>
      <c r="I3198">
        <v>0.29442524769831602</v>
      </c>
      <c r="J3198">
        <v>0.35690856109058899</v>
      </c>
      <c r="K3198">
        <v>0.27696202325377201</v>
      </c>
      <c r="L3198">
        <v>2699.3771611744301</v>
      </c>
      <c r="M3198">
        <v>46.586672899207599</v>
      </c>
      <c r="N3198">
        <v>59.147807630926103</v>
      </c>
      <c r="O3198">
        <v>57.836654725983898</v>
      </c>
      <c r="P3198">
        <v>-0.13967018694581401</v>
      </c>
      <c r="Q3198">
        <v>0.30640702604495601</v>
      </c>
      <c r="R3198">
        <v>0.983695861269824</v>
      </c>
      <c r="S3198" t="s">
        <v>7494</v>
      </c>
      <c r="T3198" t="s">
        <v>8590</v>
      </c>
      <c r="U3198" t="s">
        <v>8590</v>
      </c>
      <c r="V3198" t="s">
        <v>8590</v>
      </c>
      <c r="W3198">
        <v>3</v>
      </c>
      <c r="X3198" t="s">
        <v>11788</v>
      </c>
      <c r="Y3198">
        <v>0.7232770287222331</v>
      </c>
      <c r="Z3198" t="str">
        <f>HYPERLINK("Melting_Curves/meltCurve_sp_Q9NTN9_SEM4G_HUMAN_.pdf", "Melting_Curves/meltCurve_sp_Q9NTN9_SEM4G_HUMAN_.pdf")</f>
        <v>Melting_Curves/meltCurve_sp_Q9NTN9_SEM4G_HUMAN_.pdf</v>
      </c>
      <c r="AA3198" t="s">
        <v>16037</v>
      </c>
      <c r="AB3198" t="s">
        <v>20281</v>
      </c>
    </row>
    <row r="3199" spans="1:28" x14ac:dyDescent="0.25">
      <c r="A3199" t="s">
        <v>3203</v>
      </c>
      <c r="B3199">
        <v>0.99876560204751996</v>
      </c>
      <c r="C3199">
        <v>0.921132292941229</v>
      </c>
      <c r="D3199">
        <v>0.92682810023228901</v>
      </c>
      <c r="E3199">
        <v>0.90635708735579401</v>
      </c>
      <c r="F3199">
        <v>0.85428095150696903</v>
      </c>
      <c r="G3199">
        <v>0.71584376498064095</v>
      </c>
      <c r="H3199">
        <v>0.59028203147097602</v>
      </c>
      <c r="I3199">
        <v>0.57390003076420504</v>
      </c>
      <c r="J3199">
        <v>0.60496947189243599</v>
      </c>
      <c r="K3199">
        <v>0.50640523177546704</v>
      </c>
      <c r="L3199">
        <v>564.19633690733997</v>
      </c>
      <c r="M3199">
        <v>9.9422208298549908</v>
      </c>
      <c r="O3199">
        <v>54.594928047950198</v>
      </c>
      <c r="P3199">
        <v>-2.4960803878766799E-2</v>
      </c>
      <c r="Q3199">
        <v>0.45201147614394999</v>
      </c>
      <c r="R3199">
        <v>0.96238874869908697</v>
      </c>
      <c r="S3199" t="s">
        <v>7495</v>
      </c>
      <c r="T3199" t="s">
        <v>8590</v>
      </c>
      <c r="U3199" t="s">
        <v>8590</v>
      </c>
      <c r="V3199" t="s">
        <v>8590</v>
      </c>
      <c r="W3199">
        <v>14</v>
      </c>
      <c r="X3199" t="s">
        <v>11789</v>
      </c>
      <c r="Y3199">
        <v>0.76732356024435433</v>
      </c>
      <c r="Z3199" t="str">
        <f>HYPERLINK("Melting_Curves/meltCurve_sp_Q9NTX5_6_ECHD1_HUMAN_.pdf", "Melting_Curves/meltCurve_sp_Q9NTX5_6_ECHD1_HUMAN_.pdf")</f>
        <v>Melting_Curves/meltCurve_sp_Q9NTX5_6_ECHD1_HUMAN_.pdf</v>
      </c>
      <c r="AA3199" t="s">
        <v>16038</v>
      </c>
      <c r="AB3199" t="s">
        <v>20282</v>
      </c>
    </row>
    <row r="3200" spans="1:28" x14ac:dyDescent="0.25">
      <c r="A3200" t="s">
        <v>3204</v>
      </c>
      <c r="B3200">
        <v>0.99876560204751996</v>
      </c>
      <c r="C3200">
        <v>1.01529958669153</v>
      </c>
      <c r="D3200">
        <v>0.98918490981859997</v>
      </c>
      <c r="E3200">
        <v>0.86135691825684801</v>
      </c>
      <c r="F3200">
        <v>0.58937374448512303</v>
      </c>
      <c r="G3200">
        <v>0.21530228039072699</v>
      </c>
      <c r="H3200">
        <v>0.14446921065500001</v>
      </c>
      <c r="I3200">
        <v>0.113994731890499</v>
      </c>
      <c r="J3200">
        <v>0.13027590418877599</v>
      </c>
      <c r="K3200">
        <v>0.106134142202673</v>
      </c>
      <c r="L3200">
        <v>1501.2814534711899</v>
      </c>
      <c r="M3200">
        <v>28.230031362544</v>
      </c>
      <c r="N3200">
        <v>53.667445597032298</v>
      </c>
      <c r="O3200">
        <v>52.915588499763601</v>
      </c>
      <c r="P3200">
        <v>-0.11829942418462</v>
      </c>
      <c r="Q3200">
        <v>0.113025253711174</v>
      </c>
      <c r="R3200">
        <v>0.99926120688661402</v>
      </c>
      <c r="S3200" t="s">
        <v>7496</v>
      </c>
      <c r="T3200" t="s">
        <v>8590</v>
      </c>
      <c r="U3200" t="s">
        <v>8590</v>
      </c>
      <c r="V3200" t="s">
        <v>8590</v>
      </c>
      <c r="W3200">
        <v>10</v>
      </c>
      <c r="X3200" t="s">
        <v>11790</v>
      </c>
      <c r="Y3200">
        <v>0.50920120605032049</v>
      </c>
      <c r="Z3200" t="str">
        <f>HYPERLINK("Melting_Curves/meltCurve_sp_Q9NTZ6_RBM12_HUMAN_.pdf", "Melting_Curves/meltCurve_sp_Q9NTZ6_RBM12_HUMAN_.pdf")</f>
        <v>Melting_Curves/meltCurve_sp_Q9NTZ6_RBM12_HUMAN_.pdf</v>
      </c>
      <c r="AA3200" t="s">
        <v>16039</v>
      </c>
      <c r="AB3200" t="s">
        <v>20283</v>
      </c>
    </row>
    <row r="3201" spans="1:28" x14ac:dyDescent="0.25">
      <c r="A3201" t="s">
        <v>3205</v>
      </c>
      <c r="B3201">
        <v>0.99876560204751996</v>
      </c>
      <c r="C3201">
        <v>0.86017395395160101</v>
      </c>
      <c r="D3201">
        <v>0.925791228052816</v>
      </c>
      <c r="E3201">
        <v>0.77757307673411402</v>
      </c>
      <c r="F3201">
        <v>0.67110623748963705</v>
      </c>
      <c r="G3201">
        <v>0.40895402464200398</v>
      </c>
      <c r="H3201">
        <v>0.15747780793917601</v>
      </c>
      <c r="I3201">
        <v>0.119140198265019</v>
      </c>
      <c r="J3201">
        <v>5.17893342573841E-2</v>
      </c>
      <c r="K3201">
        <v>6.2110441577275403E-2</v>
      </c>
      <c r="L3201">
        <v>764.26458163034101</v>
      </c>
      <c r="M3201">
        <v>13.890204485496501</v>
      </c>
      <c r="N3201">
        <v>55.021817951167101</v>
      </c>
      <c r="O3201">
        <v>53.919032158648498</v>
      </c>
      <c r="P3201">
        <v>-6.4411857345383003E-2</v>
      </c>
      <c r="Q3201">
        <v>0</v>
      </c>
      <c r="R3201">
        <v>0.98439328657512803</v>
      </c>
      <c r="S3201" t="s">
        <v>7497</v>
      </c>
      <c r="T3201" t="s">
        <v>8590</v>
      </c>
      <c r="U3201" t="s">
        <v>8590</v>
      </c>
      <c r="V3201" t="s">
        <v>8590</v>
      </c>
      <c r="W3201">
        <v>4</v>
      </c>
      <c r="X3201" t="s">
        <v>11791</v>
      </c>
      <c r="Y3201">
        <v>0.52151070854494608</v>
      </c>
      <c r="Z3201" t="str">
        <f>HYPERLINK("Melting_Curves/meltCurve_sp_Q9NU23_LYRM2_HUMAN_.pdf", "Melting_Curves/meltCurve_sp_Q9NU23_LYRM2_HUMAN_.pdf")</f>
        <v>Melting_Curves/meltCurve_sp_Q9NU23_LYRM2_HUMAN_.pdf</v>
      </c>
      <c r="AA3201" t="s">
        <v>16040</v>
      </c>
      <c r="AB3201" t="s">
        <v>20284</v>
      </c>
    </row>
    <row r="3202" spans="1:28" x14ac:dyDescent="0.25">
      <c r="A3202" t="s">
        <v>3206</v>
      </c>
      <c r="B3202">
        <v>0.99876560204751996</v>
      </c>
      <c r="C3202">
        <v>1.05677630721339</v>
      </c>
      <c r="D3202">
        <v>0.957185466825202</v>
      </c>
      <c r="E3202">
        <v>0.96767425899963799</v>
      </c>
      <c r="F3202">
        <v>0.69292578475694599</v>
      </c>
      <c r="G3202">
        <v>0.44736738763595402</v>
      </c>
      <c r="H3202">
        <v>0.30767161175596902</v>
      </c>
      <c r="I3202">
        <v>0.27684763282242297</v>
      </c>
      <c r="J3202">
        <v>0.251312643307118</v>
      </c>
      <c r="K3202">
        <v>0.18594015468647199</v>
      </c>
      <c r="L3202">
        <v>1203.88870312217</v>
      </c>
      <c r="M3202">
        <v>22.0745653579616</v>
      </c>
      <c r="N3202">
        <v>56.061218847409101</v>
      </c>
      <c r="O3202">
        <v>54.095715921933298</v>
      </c>
      <c r="P3202">
        <v>-7.9002905335025006E-2</v>
      </c>
      <c r="Q3202">
        <v>0.225602038656775</v>
      </c>
      <c r="R3202">
        <v>0.98906342911895995</v>
      </c>
      <c r="S3202" t="s">
        <v>7498</v>
      </c>
      <c r="T3202" t="s">
        <v>8590</v>
      </c>
      <c r="U3202" t="s">
        <v>8590</v>
      </c>
      <c r="V3202" t="s">
        <v>8590</v>
      </c>
      <c r="W3202">
        <v>23</v>
      </c>
      <c r="X3202" t="s">
        <v>11792</v>
      </c>
      <c r="Y3202">
        <v>0.60975039302427503</v>
      </c>
      <c r="Z3202" t="str">
        <f>HYPERLINK("Melting_Curves/meltCurve_sp_Q9NUI1_DECR2_HUMAN_.pdf", "Melting_Curves/meltCurve_sp_Q9NUI1_DECR2_HUMAN_.pdf")</f>
        <v>Melting_Curves/meltCurve_sp_Q9NUI1_DECR2_HUMAN_.pdf</v>
      </c>
      <c r="AA3202" t="s">
        <v>16041</v>
      </c>
      <c r="AB3202" t="s">
        <v>20285</v>
      </c>
    </row>
    <row r="3203" spans="1:28" x14ac:dyDescent="0.25">
      <c r="A3203" t="s">
        <v>3207</v>
      </c>
      <c r="B3203">
        <v>0.99876560204751996</v>
      </c>
      <c r="C3203">
        <v>0.88271260901547099</v>
      </c>
      <c r="D3203">
        <v>0.89316674143115404</v>
      </c>
      <c r="E3203">
        <v>0.87470142876898005</v>
      </c>
      <c r="F3203">
        <v>0.79515085161168397</v>
      </c>
      <c r="G3203">
        <v>0.75732865064593402</v>
      </c>
      <c r="H3203">
        <v>0.53145322506300496</v>
      </c>
      <c r="I3203">
        <v>0.288915151212086</v>
      </c>
      <c r="J3203">
        <v>5.6313065699681003E-2</v>
      </c>
      <c r="K3203">
        <v>4.0377080747237198E-2</v>
      </c>
      <c r="L3203">
        <v>975.80458215282397</v>
      </c>
      <c r="M3203">
        <v>16.2078576347423</v>
      </c>
      <c r="N3203">
        <v>60.205648691487603</v>
      </c>
      <c r="O3203">
        <v>59.311519159823703</v>
      </c>
      <c r="P3203">
        <v>-6.8321750646761298E-2</v>
      </c>
      <c r="Q3203">
        <v>0</v>
      </c>
      <c r="R3203">
        <v>0.94382530317048696</v>
      </c>
      <c r="S3203" t="s">
        <v>7499</v>
      </c>
      <c r="T3203" t="s">
        <v>8590</v>
      </c>
      <c r="U3203" t="s">
        <v>8590</v>
      </c>
      <c r="V3203" t="s">
        <v>8590</v>
      </c>
      <c r="W3203">
        <v>13</v>
      </c>
      <c r="X3203" t="s">
        <v>11793</v>
      </c>
      <c r="Y3203">
        <v>0.68049596426874781</v>
      </c>
      <c r="Z3203" t="str">
        <f>HYPERLINK("Melting_Curves/meltCurve_sp_Q9NUJ1_ABHDA_HUMAN_.pdf", "Melting_Curves/meltCurve_sp_Q9NUJ1_ABHDA_HUMAN_.pdf")</f>
        <v>Melting_Curves/meltCurve_sp_Q9NUJ1_ABHDA_HUMAN_.pdf</v>
      </c>
      <c r="AA3203" t="s">
        <v>16042</v>
      </c>
      <c r="AB3203" t="s">
        <v>20286</v>
      </c>
    </row>
    <row r="3204" spans="1:28" x14ac:dyDescent="0.25">
      <c r="A3204" t="s">
        <v>3208</v>
      </c>
      <c r="B3204">
        <v>0.99876560204751996</v>
      </c>
      <c r="C3204">
        <v>0.924899049289164</v>
      </c>
      <c r="D3204">
        <v>0.94224020872651404</v>
      </c>
      <c r="E3204">
        <v>0.81859155033168396</v>
      </c>
      <c r="F3204">
        <v>0.81437586102882098</v>
      </c>
      <c r="G3204">
        <v>0.61389109617794502</v>
      </c>
      <c r="H3204">
        <v>0.52011897758320802</v>
      </c>
      <c r="I3204">
        <v>0.61783466229601502</v>
      </c>
      <c r="J3204">
        <v>0.77834773147309499</v>
      </c>
      <c r="K3204">
        <v>0.78342404345501804</v>
      </c>
      <c r="L3204">
        <v>1005.11461182341</v>
      </c>
      <c r="M3204">
        <v>20.203966884747999</v>
      </c>
      <c r="O3204">
        <v>49.2687072528879</v>
      </c>
      <c r="P3204">
        <v>-3.4152084776194497E-2</v>
      </c>
      <c r="Q3204">
        <v>0.66688198186141401</v>
      </c>
      <c r="R3204">
        <v>0.69367686863699696</v>
      </c>
      <c r="S3204" t="s">
        <v>7500</v>
      </c>
      <c r="T3204" t="s">
        <v>8590</v>
      </c>
      <c r="U3204" t="s">
        <v>8590</v>
      </c>
      <c r="V3204" t="s">
        <v>8590</v>
      </c>
      <c r="W3204">
        <v>4</v>
      </c>
      <c r="X3204" t="s">
        <v>11794</v>
      </c>
      <c r="Y3204">
        <v>0.77967778587587044</v>
      </c>
      <c r="Z3204" t="str">
        <f>HYPERLINK("Melting_Curves/meltCurve_sp_Q9NUL5_4_CS066_HUMAN_.pdf", "Melting_Curves/meltCurve_sp_Q9NUL5_4_CS066_HUMAN_.pdf")</f>
        <v>Melting_Curves/meltCurve_sp_Q9NUL5_4_CS066_HUMAN_.pdf</v>
      </c>
      <c r="AA3204" t="s">
        <v>16043</v>
      </c>
      <c r="AB3204" t="s">
        <v>20287</v>
      </c>
    </row>
    <row r="3205" spans="1:28" x14ac:dyDescent="0.25">
      <c r="A3205" t="s">
        <v>3209</v>
      </c>
      <c r="B3205">
        <v>0.99876560204751996</v>
      </c>
      <c r="C3205">
        <v>0.91658341987844605</v>
      </c>
      <c r="D3205">
        <v>1.13445092995287</v>
      </c>
      <c r="E3205">
        <v>0.75188185092448201</v>
      </c>
      <c r="F3205">
        <v>0.81495230525742601</v>
      </c>
      <c r="G3205">
        <v>0.63103285049936897</v>
      </c>
      <c r="H3205">
        <v>0.52691487219931799</v>
      </c>
      <c r="I3205">
        <v>0.47916358675527798</v>
      </c>
      <c r="J3205">
        <v>0.71195540134905899</v>
      </c>
      <c r="K3205">
        <v>0.65928336950601496</v>
      </c>
      <c r="L3205">
        <v>1223.8213626529</v>
      </c>
      <c r="M3205">
        <v>23.8384653422473</v>
      </c>
      <c r="O3205">
        <v>50.980911624569998</v>
      </c>
      <c r="P3205">
        <v>-4.6949167671839397E-2</v>
      </c>
      <c r="Q3205">
        <v>0.59838478467890099</v>
      </c>
      <c r="R3205">
        <v>0.77076452011305696</v>
      </c>
      <c r="S3205" t="s">
        <v>7501</v>
      </c>
      <c r="T3205" t="s">
        <v>8590</v>
      </c>
      <c r="U3205" t="s">
        <v>8590</v>
      </c>
      <c r="V3205" t="s">
        <v>8590</v>
      </c>
      <c r="W3205">
        <v>3</v>
      </c>
      <c r="X3205" t="s">
        <v>11795</v>
      </c>
      <c r="Y3205">
        <v>0.75416428476032749</v>
      </c>
      <c r="Z3205" t="str">
        <f>HYPERLINK("Melting_Curves/meltCurve_sp_Q9NUP1_BL1S4_HUMAN_.pdf", "Melting_Curves/meltCurve_sp_Q9NUP1_BL1S4_HUMAN_.pdf")</f>
        <v>Melting_Curves/meltCurve_sp_Q9NUP1_BL1S4_HUMAN_.pdf</v>
      </c>
      <c r="AA3205" t="s">
        <v>16044</v>
      </c>
      <c r="AB3205" t="s">
        <v>20288</v>
      </c>
    </row>
    <row r="3206" spans="1:28" x14ac:dyDescent="0.25">
      <c r="A3206" t="s">
        <v>3210</v>
      </c>
      <c r="B3206">
        <v>0.99876560204751996</v>
      </c>
      <c r="C3206">
        <v>0.974926133830744</v>
      </c>
      <c r="D3206">
        <v>0.97077463782813</v>
      </c>
      <c r="E3206">
        <v>0.93197789889612404</v>
      </c>
      <c r="F3206">
        <v>0.846193940687197</v>
      </c>
      <c r="G3206">
        <v>0.51717713465027604</v>
      </c>
      <c r="H3206">
        <v>0.23265875842606201</v>
      </c>
      <c r="I3206">
        <v>0.36490656439646901</v>
      </c>
      <c r="J3206">
        <v>0.41876997197108301</v>
      </c>
      <c r="K3206">
        <v>0.37284833331574402</v>
      </c>
      <c r="L3206">
        <v>1879.35333300199</v>
      </c>
      <c r="M3206">
        <v>34.284014697855802</v>
      </c>
      <c r="N3206">
        <v>56.784116348721398</v>
      </c>
      <c r="O3206">
        <v>54.631692503774403</v>
      </c>
      <c r="P3206">
        <v>-0.102366558787178</v>
      </c>
      <c r="Q3206">
        <v>0.34751668929353902</v>
      </c>
      <c r="R3206">
        <v>0.96683704011246996</v>
      </c>
      <c r="S3206" t="s">
        <v>7502</v>
      </c>
      <c r="T3206" t="s">
        <v>8590</v>
      </c>
      <c r="U3206" t="s">
        <v>8590</v>
      </c>
      <c r="V3206" t="s">
        <v>8590</v>
      </c>
      <c r="W3206">
        <v>5</v>
      </c>
      <c r="X3206" t="s">
        <v>11796</v>
      </c>
      <c r="Y3206">
        <v>0.67312348563177216</v>
      </c>
      <c r="Z3206" t="str">
        <f>HYPERLINK("Melting_Curves/meltCurve_sp_Q9NUP9_LIN7C_HUMAN_.pdf", "Melting_Curves/meltCurve_sp_Q9NUP9_LIN7C_HUMAN_.pdf")</f>
        <v>Melting_Curves/meltCurve_sp_Q9NUP9_LIN7C_HUMAN_.pdf</v>
      </c>
      <c r="AA3206" t="s">
        <v>16045</v>
      </c>
      <c r="AB3206" t="s">
        <v>20289</v>
      </c>
    </row>
    <row r="3207" spans="1:28" x14ac:dyDescent="0.25">
      <c r="A3207" t="s">
        <v>3211</v>
      </c>
      <c r="B3207">
        <v>0.99876560204751996</v>
      </c>
      <c r="C3207">
        <v>1.0406618161794901</v>
      </c>
      <c r="D3207">
        <v>0.94231786636266401</v>
      </c>
      <c r="E3207">
        <v>0.836282922136242</v>
      </c>
      <c r="F3207">
        <v>0.60711822706381202</v>
      </c>
      <c r="G3207">
        <v>0.30058680567884</v>
      </c>
      <c r="H3207">
        <v>0.18253017873485899</v>
      </c>
      <c r="I3207">
        <v>0.13129580024186999</v>
      </c>
      <c r="J3207">
        <v>0.114196948376191</v>
      </c>
      <c r="K3207">
        <v>8.6326009985351004E-2</v>
      </c>
      <c r="L3207">
        <v>1060.2076178145601</v>
      </c>
      <c r="M3207">
        <v>19.738572261098099</v>
      </c>
      <c r="N3207">
        <v>54.265158964612397</v>
      </c>
      <c r="O3207">
        <v>53.170287098214899</v>
      </c>
      <c r="P3207">
        <v>-8.4360406331510401E-2</v>
      </c>
      <c r="Q3207">
        <v>9.1056246732905993E-2</v>
      </c>
      <c r="R3207">
        <v>0.99763919554809199</v>
      </c>
      <c r="S3207" t="s">
        <v>7503</v>
      </c>
      <c r="T3207" t="s">
        <v>8590</v>
      </c>
      <c r="U3207" t="s">
        <v>8590</v>
      </c>
      <c r="V3207" t="s">
        <v>8590</v>
      </c>
      <c r="W3207">
        <v>5</v>
      </c>
      <c r="X3207" t="s">
        <v>11797</v>
      </c>
      <c r="Y3207">
        <v>0.51919329489490129</v>
      </c>
      <c r="Z3207" t="str">
        <f>HYPERLINK("Melting_Curves/meltCurve_sp_Q9NUQ3_TXLNG_HUMAN_.pdf", "Melting_Curves/meltCurve_sp_Q9NUQ3_TXLNG_HUMAN_.pdf")</f>
        <v>Melting_Curves/meltCurve_sp_Q9NUQ3_TXLNG_HUMAN_.pdf</v>
      </c>
      <c r="AA3207" t="s">
        <v>16046</v>
      </c>
      <c r="AB3207" t="s">
        <v>20290</v>
      </c>
    </row>
    <row r="3208" spans="1:28" x14ac:dyDescent="0.25">
      <c r="A3208" t="s">
        <v>3212</v>
      </c>
      <c r="B3208">
        <v>0.99876560204751996</v>
      </c>
      <c r="C3208">
        <v>0.94683443267567102</v>
      </c>
      <c r="D3208">
        <v>0.88677181758884904</v>
      </c>
      <c r="E3208">
        <v>0.58560687628765795</v>
      </c>
      <c r="F3208">
        <v>0.48576801508704898</v>
      </c>
      <c r="G3208">
        <v>0.31844527552479301</v>
      </c>
      <c r="H3208">
        <v>0.24694259463035001</v>
      </c>
      <c r="I3208">
        <v>0.22252147767920899</v>
      </c>
      <c r="J3208">
        <v>0.27287543624178801</v>
      </c>
      <c r="K3208">
        <v>0.25502691782632603</v>
      </c>
      <c r="L3208">
        <v>865.80936317473299</v>
      </c>
      <c r="M3208">
        <v>17.2949847237916</v>
      </c>
      <c r="N3208">
        <v>51.985127525849499</v>
      </c>
      <c r="O3208">
        <v>49.406384208807097</v>
      </c>
      <c r="P3208">
        <v>-6.6832573788204605E-2</v>
      </c>
      <c r="Q3208">
        <v>0.23636464246198199</v>
      </c>
      <c r="R3208">
        <v>0.99333658446295103</v>
      </c>
      <c r="S3208" t="s">
        <v>7504</v>
      </c>
      <c r="T3208" t="s">
        <v>8590</v>
      </c>
      <c r="U3208" t="s">
        <v>8590</v>
      </c>
      <c r="V3208" t="s">
        <v>8590</v>
      </c>
      <c r="W3208">
        <v>8</v>
      </c>
      <c r="X3208" t="s">
        <v>11798</v>
      </c>
      <c r="Y3208">
        <v>0.50649807089650811</v>
      </c>
      <c r="Z3208" t="str">
        <f>HYPERLINK("Melting_Curves/meltCurve_sp_Q9NUQ6_SPS2L_HUMAN_.pdf", "Melting_Curves/meltCurve_sp_Q9NUQ6_SPS2L_HUMAN_.pdf")</f>
        <v>Melting_Curves/meltCurve_sp_Q9NUQ6_SPS2L_HUMAN_.pdf</v>
      </c>
      <c r="AA3208" t="s">
        <v>16047</v>
      </c>
      <c r="AB3208" t="s">
        <v>20291</v>
      </c>
    </row>
    <row r="3209" spans="1:28" x14ac:dyDescent="0.25">
      <c r="A3209" t="s">
        <v>3213</v>
      </c>
      <c r="B3209">
        <v>0.99876560204751996</v>
      </c>
      <c r="C3209">
        <v>0.79259097781372301</v>
      </c>
      <c r="D3209">
        <v>0.58027323823147303</v>
      </c>
      <c r="E3209">
        <v>0.42413026536262699</v>
      </c>
      <c r="F3209">
        <v>0.33444668312919301</v>
      </c>
      <c r="G3209">
        <v>0.16196039590301001</v>
      </c>
      <c r="H3209">
        <v>0.140805236380878</v>
      </c>
      <c r="I3209">
        <v>0.121745266757534</v>
      </c>
      <c r="J3209">
        <v>0.117303346451218</v>
      </c>
      <c r="K3209">
        <v>0.117163254313911</v>
      </c>
      <c r="L3209">
        <v>596.96593534303202</v>
      </c>
      <c r="M3209">
        <v>12.594678213599</v>
      </c>
      <c r="N3209">
        <v>48.2107385990384</v>
      </c>
      <c r="O3209">
        <v>46.250966640519898</v>
      </c>
      <c r="P3209">
        <v>-6.15806412658223E-2</v>
      </c>
      <c r="Q3209">
        <v>9.56195563956551E-2</v>
      </c>
      <c r="R3209">
        <v>0.98538174721050198</v>
      </c>
      <c r="S3209" t="s">
        <v>7505</v>
      </c>
      <c r="T3209" t="s">
        <v>8590</v>
      </c>
      <c r="U3209" t="s">
        <v>8590</v>
      </c>
      <c r="V3209" t="s">
        <v>8590</v>
      </c>
      <c r="W3209">
        <v>4</v>
      </c>
      <c r="X3209" t="s">
        <v>11799</v>
      </c>
      <c r="Y3209">
        <v>0.35239513591539062</v>
      </c>
      <c r="Z3209" t="str">
        <f>HYPERLINK("Melting_Curves/meltCurve_sp_Q9NUQ8_2_ABCF3_HUMAN_.pdf", "Melting_Curves/meltCurve_sp_Q9NUQ8_2_ABCF3_HUMAN_.pdf")</f>
        <v>Melting_Curves/meltCurve_sp_Q9NUQ8_2_ABCF3_HUMAN_.pdf</v>
      </c>
      <c r="AA3209" t="s">
        <v>16048</v>
      </c>
      <c r="AB3209" t="s">
        <v>20292</v>
      </c>
    </row>
    <row r="3210" spans="1:28" x14ac:dyDescent="0.25">
      <c r="A3210" t="s">
        <v>3214</v>
      </c>
      <c r="B3210">
        <v>0.99876560204751996</v>
      </c>
      <c r="C3210">
        <v>0.97641265042443803</v>
      </c>
      <c r="D3210">
        <v>1.0992854542880699</v>
      </c>
      <c r="E3210">
        <v>0.93145509414883998</v>
      </c>
      <c r="F3210">
        <v>0.94564496097962103</v>
      </c>
      <c r="G3210">
        <v>0.70552918614369098</v>
      </c>
      <c r="H3210">
        <v>0.127476517245698</v>
      </c>
      <c r="I3210">
        <v>9.3831650953907705E-2</v>
      </c>
      <c r="J3210">
        <v>5.6073703070926899E-2</v>
      </c>
      <c r="K3210">
        <v>5.9823043734840597E-2</v>
      </c>
      <c r="L3210">
        <v>2724.6929838064202</v>
      </c>
      <c r="M3210">
        <v>47.051591829143398</v>
      </c>
      <c r="N3210">
        <v>58.0721022375742</v>
      </c>
      <c r="O3210">
        <v>57.804320797418001</v>
      </c>
      <c r="P3210">
        <v>-0.190873214325992</v>
      </c>
      <c r="Q3210">
        <v>6.2026857136200597E-2</v>
      </c>
      <c r="R3210">
        <v>0.99053083667466901</v>
      </c>
      <c r="S3210" t="s">
        <v>7506</v>
      </c>
      <c r="T3210" t="s">
        <v>8590</v>
      </c>
      <c r="U3210" t="s">
        <v>8590</v>
      </c>
      <c r="V3210" t="s">
        <v>8590</v>
      </c>
      <c r="W3210">
        <v>5</v>
      </c>
      <c r="X3210" t="s">
        <v>11800</v>
      </c>
      <c r="Y3210">
        <v>0.62464389407199616</v>
      </c>
      <c r="Z3210" t="str">
        <f>HYPERLINK("Melting_Curves/meltCurve_sp_Q9NUQ9_FA49B_HUMAN_.pdf", "Melting_Curves/meltCurve_sp_Q9NUQ9_FA49B_HUMAN_.pdf")</f>
        <v>Melting_Curves/meltCurve_sp_Q9NUQ9_FA49B_HUMAN_.pdf</v>
      </c>
      <c r="AA3210" t="s">
        <v>16049</v>
      </c>
      <c r="AB3210" t="s">
        <v>20293</v>
      </c>
    </row>
    <row r="3211" spans="1:28" x14ac:dyDescent="0.25">
      <c r="A3211" t="s">
        <v>3215</v>
      </c>
      <c r="B3211">
        <v>0.99876560204751996</v>
      </c>
      <c r="C3211">
        <v>0.84424021562559903</v>
      </c>
      <c r="D3211">
        <v>0.86409193582230004</v>
      </c>
      <c r="E3211">
        <v>0.72291467516622698</v>
      </c>
      <c r="F3211">
        <v>0.37461484123601402</v>
      </c>
      <c r="G3211">
        <v>0.25799949527336202</v>
      </c>
      <c r="H3211">
        <v>0.13035328949699501</v>
      </c>
      <c r="I3211">
        <v>0.221725158904373</v>
      </c>
      <c r="J3211">
        <v>0.12421480903806401</v>
      </c>
      <c r="K3211">
        <v>0.17506108647399901</v>
      </c>
      <c r="L3211">
        <v>865.90919882620506</v>
      </c>
      <c r="M3211">
        <v>16.9935968110087</v>
      </c>
      <c r="N3211">
        <v>51.927316127825002</v>
      </c>
      <c r="O3211">
        <v>50.265117696356299</v>
      </c>
      <c r="P3211">
        <v>-7.3007142849349393E-2</v>
      </c>
      <c r="Q3211">
        <v>0.136266467746639</v>
      </c>
      <c r="R3211">
        <v>0.968567668079378</v>
      </c>
      <c r="S3211" t="s">
        <v>7507</v>
      </c>
      <c r="T3211" t="s">
        <v>8590</v>
      </c>
      <c r="U3211" t="s">
        <v>8590</v>
      </c>
      <c r="V3211" t="s">
        <v>8590</v>
      </c>
      <c r="W3211">
        <v>3</v>
      </c>
      <c r="X3211" t="s">
        <v>11801</v>
      </c>
      <c r="Y3211">
        <v>0.4678115734467902</v>
      </c>
      <c r="Z3211" t="str">
        <f>HYPERLINK("Melting_Curves/meltCurve_sp_Q9NUV9_GIMA4_HUMAN_.pdf", "Melting_Curves/meltCurve_sp_Q9NUV9_GIMA4_HUMAN_.pdf")</f>
        <v>Melting_Curves/meltCurve_sp_Q9NUV9_GIMA4_HUMAN_.pdf</v>
      </c>
      <c r="AA3211" t="s">
        <v>16050</v>
      </c>
      <c r="AB3211" t="s">
        <v>20294</v>
      </c>
    </row>
    <row r="3212" spans="1:28" x14ac:dyDescent="0.25">
      <c r="A3212" t="s">
        <v>3216</v>
      </c>
      <c r="B3212">
        <v>0.99876560204751996</v>
      </c>
      <c r="C3212">
        <v>1.0173352681371699</v>
      </c>
      <c r="D3212">
        <v>1.0332002280860699</v>
      </c>
      <c r="E3212">
        <v>0.86730951100583398</v>
      </c>
      <c r="F3212">
        <v>0.64926201812945905</v>
      </c>
      <c r="G3212">
        <v>0.22440670417320399</v>
      </c>
      <c r="H3212">
        <v>9.5303607791878506E-2</v>
      </c>
      <c r="I3212">
        <v>8.57146295239119E-2</v>
      </c>
      <c r="J3212">
        <v>8.1628697797576005E-2</v>
      </c>
      <c r="K3212">
        <v>6.2352316486405497E-2</v>
      </c>
      <c r="L3212">
        <v>1472.28967648856</v>
      </c>
      <c r="M3212">
        <v>27.350434606959201</v>
      </c>
      <c r="N3212">
        <v>54.114243507319998</v>
      </c>
      <c r="O3212">
        <v>53.5452700444526</v>
      </c>
      <c r="P3212">
        <v>-0.11917070879418799</v>
      </c>
      <c r="Q3212">
        <v>6.6783716116637401E-2</v>
      </c>
      <c r="R3212">
        <v>0.99788145262947903</v>
      </c>
      <c r="S3212" t="s">
        <v>7508</v>
      </c>
      <c r="T3212" t="s">
        <v>8590</v>
      </c>
      <c r="U3212" t="s">
        <v>8590</v>
      </c>
      <c r="V3212" t="s">
        <v>8590</v>
      </c>
      <c r="W3212">
        <v>3</v>
      </c>
      <c r="X3212" t="s">
        <v>11802</v>
      </c>
      <c r="Y3212">
        <v>0.50431599512054703</v>
      </c>
      <c r="Z3212" t="str">
        <f>HYPERLINK("Melting_Curves/meltCurve_sp_Q9NUY8_2_TBC23_HUMAN_.pdf", "Melting_Curves/meltCurve_sp_Q9NUY8_2_TBC23_HUMAN_.pdf")</f>
        <v>Melting_Curves/meltCurve_sp_Q9NUY8_2_TBC23_HUMAN_.pdf</v>
      </c>
      <c r="AA3212" t="s">
        <v>16051</v>
      </c>
      <c r="AB3212" t="s">
        <v>20295</v>
      </c>
    </row>
    <row r="3213" spans="1:28" x14ac:dyDescent="0.25">
      <c r="A3213" t="s">
        <v>3217</v>
      </c>
      <c r="B3213">
        <v>0.99876560204751996</v>
      </c>
      <c r="C3213">
        <v>0.99183680561618004</v>
      </c>
      <c r="D3213">
        <v>1.08832027662104</v>
      </c>
      <c r="E3213">
        <v>0.72659608866584502</v>
      </c>
      <c r="F3213">
        <v>0.57416038574288697</v>
      </c>
      <c r="G3213">
        <v>0.263238725389075</v>
      </c>
      <c r="H3213">
        <v>0.32733888192625499</v>
      </c>
      <c r="I3213">
        <v>0.214238728320092</v>
      </c>
      <c r="J3213">
        <v>0.19299113303822199</v>
      </c>
      <c r="K3213">
        <v>0.107416391720338</v>
      </c>
      <c r="L3213">
        <v>1129.6430809347901</v>
      </c>
      <c r="M3213">
        <v>21.5509674938559</v>
      </c>
      <c r="N3213">
        <v>53.568469193108001</v>
      </c>
      <c r="O3213">
        <v>51.972213000508297</v>
      </c>
      <c r="P3213">
        <v>-8.4453905030251603E-2</v>
      </c>
      <c r="Q3213">
        <v>0.185345154419607</v>
      </c>
      <c r="R3213">
        <v>0.96861297911069799</v>
      </c>
      <c r="S3213" t="s">
        <v>7509</v>
      </c>
      <c r="T3213" t="s">
        <v>8590</v>
      </c>
      <c r="U3213" t="s">
        <v>8590</v>
      </c>
      <c r="V3213" t="s">
        <v>8590</v>
      </c>
      <c r="W3213">
        <v>2</v>
      </c>
      <c r="X3213" t="s">
        <v>11803</v>
      </c>
      <c r="Y3213">
        <v>0.53238342082832302</v>
      </c>
      <c r="Z3213" t="str">
        <f>HYPERLINK("Melting_Curves/meltCurve_sp_Q9NV35_NUD15_HUMAN_.pdf", "Melting_Curves/meltCurve_sp_Q9NV35_NUD15_HUMAN_.pdf")</f>
        <v>Melting_Curves/meltCurve_sp_Q9NV35_NUD15_HUMAN_.pdf</v>
      </c>
      <c r="AA3213" t="s">
        <v>16052</v>
      </c>
      <c r="AB3213" t="s">
        <v>20296</v>
      </c>
    </row>
    <row r="3214" spans="1:28" x14ac:dyDescent="0.25">
      <c r="A3214" t="s">
        <v>3218</v>
      </c>
      <c r="B3214">
        <v>0.99876560204751996</v>
      </c>
      <c r="C3214">
        <v>1.10109271094071</v>
      </c>
      <c r="D3214">
        <v>1.09462689637181</v>
      </c>
      <c r="E3214">
        <v>1.0341942106992801</v>
      </c>
      <c r="F3214">
        <v>0.76726586592173895</v>
      </c>
      <c r="G3214">
        <v>0.58741918343514998</v>
      </c>
      <c r="H3214">
        <v>0.30912295645370302</v>
      </c>
      <c r="I3214">
        <v>0.15007071304976899</v>
      </c>
      <c r="J3214">
        <v>0.238228510053246</v>
      </c>
      <c r="K3214">
        <v>0.19735782767347601</v>
      </c>
      <c r="L3214">
        <v>1284.1209226978001</v>
      </c>
      <c r="M3214">
        <v>22.733724523193001</v>
      </c>
      <c r="N3214">
        <v>57.565875566138303</v>
      </c>
      <c r="O3214">
        <v>56.0536460210539</v>
      </c>
      <c r="P3214">
        <v>-8.3784042800416306E-2</v>
      </c>
      <c r="Q3214">
        <v>0.173683854296351</v>
      </c>
      <c r="R3214">
        <v>0.97042304888776798</v>
      </c>
      <c r="S3214" t="s">
        <v>7510</v>
      </c>
      <c r="T3214" t="s">
        <v>8590</v>
      </c>
      <c r="U3214" t="s">
        <v>8590</v>
      </c>
      <c r="V3214" t="s">
        <v>8590</v>
      </c>
      <c r="W3214">
        <v>1</v>
      </c>
      <c r="X3214" t="s">
        <v>11804</v>
      </c>
      <c r="Y3214">
        <v>0.63647317865245634</v>
      </c>
      <c r="Z3214" t="str">
        <f>HYPERLINK("Melting_Curves/meltCurve_sp_Q9NV56_MRGBP_HUMAN_.pdf", "Melting_Curves/meltCurve_sp_Q9NV56_MRGBP_HUMAN_.pdf")</f>
        <v>Melting_Curves/meltCurve_sp_Q9NV56_MRGBP_HUMAN_.pdf</v>
      </c>
      <c r="AA3214" t="s">
        <v>16053</v>
      </c>
      <c r="AB3214" t="s">
        <v>20297</v>
      </c>
    </row>
    <row r="3215" spans="1:28" x14ac:dyDescent="0.25">
      <c r="A3215" t="s">
        <v>3219</v>
      </c>
      <c r="B3215">
        <v>0.99876560204751996</v>
      </c>
      <c r="C3215">
        <v>1.0332716284713399</v>
      </c>
      <c r="D3215">
        <v>0.98034472533531303</v>
      </c>
      <c r="E3215">
        <v>0.49060843604079801</v>
      </c>
      <c r="F3215">
        <v>0.197668273887217</v>
      </c>
      <c r="G3215">
        <v>0.12712161514561501</v>
      </c>
      <c r="H3215">
        <v>8.7413883636170198E-2</v>
      </c>
      <c r="I3215">
        <v>7.9621204198667306E-2</v>
      </c>
      <c r="J3215">
        <v>9.4853759847055602E-2</v>
      </c>
      <c r="K3215">
        <v>7.6996922252013003E-2</v>
      </c>
      <c r="L3215">
        <v>1822.2001973276199</v>
      </c>
      <c r="M3215">
        <v>36.638288832464497</v>
      </c>
      <c r="N3215">
        <v>50.017263974977404</v>
      </c>
      <c r="O3215">
        <v>49.587394115264502</v>
      </c>
      <c r="P3215">
        <v>-0.167457360053654</v>
      </c>
      <c r="Q3215">
        <v>9.3434808049437101E-2</v>
      </c>
      <c r="R3215">
        <v>0.99781401763640298</v>
      </c>
      <c r="S3215" t="s">
        <v>7511</v>
      </c>
      <c r="T3215" t="s">
        <v>8590</v>
      </c>
      <c r="U3215" t="s">
        <v>8590</v>
      </c>
      <c r="V3215" t="s">
        <v>8590</v>
      </c>
      <c r="W3215">
        <v>9</v>
      </c>
      <c r="X3215" t="s">
        <v>11805</v>
      </c>
      <c r="Y3215">
        <v>0.3913344523227083</v>
      </c>
      <c r="Z3215" t="str">
        <f>HYPERLINK("Melting_Curves/meltCurve_sp_Q9NV70_2_EXOC1_HUMAN_.pdf", "Melting_Curves/meltCurve_sp_Q9NV70_2_EXOC1_HUMAN_.pdf")</f>
        <v>Melting_Curves/meltCurve_sp_Q9NV70_2_EXOC1_HUMAN_.pdf</v>
      </c>
      <c r="AA3215" t="s">
        <v>16054</v>
      </c>
      <c r="AB3215" t="s">
        <v>20298</v>
      </c>
    </row>
    <row r="3216" spans="1:28" x14ac:dyDescent="0.25">
      <c r="A3216" t="s">
        <v>3220</v>
      </c>
      <c r="B3216">
        <v>0.99876560204751996</v>
      </c>
      <c r="C3216">
        <v>0.98076549369037502</v>
      </c>
      <c r="D3216">
        <v>0.97439856508523004</v>
      </c>
      <c r="E3216">
        <v>0.77706608330192695</v>
      </c>
      <c r="F3216">
        <v>0.47691549124064198</v>
      </c>
      <c r="G3216">
        <v>0.21285578301005001</v>
      </c>
      <c r="H3216">
        <v>0.109224957260246</v>
      </c>
      <c r="I3216">
        <v>7.2495542379076502E-2</v>
      </c>
      <c r="J3216">
        <v>6.1512379319593302E-2</v>
      </c>
      <c r="K3216">
        <v>4.8238012847162497E-2</v>
      </c>
      <c r="L3216">
        <v>1146.6045473141701</v>
      </c>
      <c r="M3216">
        <v>21.791579238232298</v>
      </c>
      <c r="N3216">
        <v>52.895440723880803</v>
      </c>
      <c r="O3216">
        <v>52.179778452107797</v>
      </c>
      <c r="P3216">
        <v>-9.8748415785774799E-2</v>
      </c>
      <c r="Q3216">
        <v>5.4212459708451503E-2</v>
      </c>
      <c r="R3216">
        <v>0.99946423695144504</v>
      </c>
      <c r="S3216" t="s">
        <v>7512</v>
      </c>
      <c r="T3216" t="s">
        <v>8590</v>
      </c>
      <c r="U3216" t="s">
        <v>8590</v>
      </c>
      <c r="V3216" t="s">
        <v>8590</v>
      </c>
      <c r="W3216">
        <v>8</v>
      </c>
      <c r="X3216" t="s">
        <v>11806</v>
      </c>
      <c r="Y3216">
        <v>0.46317727170000611</v>
      </c>
      <c r="Z3216" t="str">
        <f>HYPERLINK("Melting_Curves/meltCurve_sp_Q9NVD7_PARVA_HUMAN_.pdf", "Melting_Curves/meltCurve_sp_Q9NVD7_PARVA_HUMAN_.pdf")</f>
        <v>Melting_Curves/meltCurve_sp_Q9NVD7_PARVA_HUMAN_.pdf</v>
      </c>
      <c r="AA3216" t="s">
        <v>16055</v>
      </c>
      <c r="AB3216" t="s">
        <v>20299</v>
      </c>
    </row>
    <row r="3217" spans="1:28" x14ac:dyDescent="0.25">
      <c r="A3217" t="s">
        <v>3221</v>
      </c>
      <c r="B3217">
        <v>0.99876560204751996</v>
      </c>
      <c r="C3217">
        <v>0.84569592654469505</v>
      </c>
      <c r="D3217">
        <v>0.59173862056992799</v>
      </c>
      <c r="E3217">
        <v>0.34427857967542003</v>
      </c>
      <c r="F3217">
        <v>0.21705089826107399</v>
      </c>
      <c r="G3217">
        <v>0.15471335789959001</v>
      </c>
      <c r="H3217">
        <v>0.10971503350279101</v>
      </c>
      <c r="I3217">
        <v>8.9653217650469894E-2</v>
      </c>
      <c r="J3217">
        <v>9.0989247176187699E-2</v>
      </c>
      <c r="K3217">
        <v>7.0896105294687595E-2</v>
      </c>
      <c r="L3217">
        <v>766.83587171576505</v>
      </c>
      <c r="M3217">
        <v>16.3231265442653</v>
      </c>
      <c r="N3217">
        <v>47.5247798010422</v>
      </c>
      <c r="O3217">
        <v>46.290396947499602</v>
      </c>
      <c r="P3217">
        <v>-8.0621328059622202E-2</v>
      </c>
      <c r="Q3217">
        <v>8.5537609502796097E-2</v>
      </c>
      <c r="R3217">
        <v>0.99591405445431302</v>
      </c>
      <c r="S3217" t="s">
        <v>7513</v>
      </c>
      <c r="T3217" t="s">
        <v>8590</v>
      </c>
      <c r="U3217" t="s">
        <v>8590</v>
      </c>
      <c r="V3217" t="s">
        <v>8590</v>
      </c>
      <c r="W3217">
        <v>10</v>
      </c>
      <c r="X3217" t="s">
        <v>11807</v>
      </c>
      <c r="Y3217">
        <v>0.3191023999921756</v>
      </c>
      <c r="Z3217" t="str">
        <f>HYPERLINK("Melting_Curves/meltCurve_sp_Q9NVE7_PANK4_HUMAN_.pdf", "Melting_Curves/meltCurve_sp_Q9NVE7_PANK4_HUMAN_.pdf")</f>
        <v>Melting_Curves/meltCurve_sp_Q9NVE7_PANK4_HUMAN_.pdf</v>
      </c>
      <c r="AA3217" t="s">
        <v>16056</v>
      </c>
      <c r="AB3217" t="s">
        <v>20300</v>
      </c>
    </row>
    <row r="3218" spans="1:28" x14ac:dyDescent="0.25">
      <c r="A3218" t="s">
        <v>3222</v>
      </c>
      <c r="B3218">
        <v>0.99876560204751996</v>
      </c>
      <c r="C3218">
        <v>0.87218870893197997</v>
      </c>
      <c r="D3218">
        <v>0.90122706826973298</v>
      </c>
      <c r="E3218">
        <v>0.59298322675445203</v>
      </c>
      <c r="F3218">
        <v>0.214862834379864</v>
      </c>
      <c r="G3218">
        <v>0.105149399955282</v>
      </c>
      <c r="H3218">
        <v>6.9176769278036204E-2</v>
      </c>
      <c r="I3218">
        <v>7.0889191645530994E-2</v>
      </c>
      <c r="J3218">
        <v>7.5496695664215505E-2</v>
      </c>
      <c r="K3218">
        <v>8.8027255639555005E-2</v>
      </c>
      <c r="L3218">
        <v>1320.0493100787601</v>
      </c>
      <c r="M3218">
        <v>26.303761388166802</v>
      </c>
      <c r="N3218">
        <v>50.465651976887102</v>
      </c>
      <c r="O3218">
        <v>49.8974422514721</v>
      </c>
      <c r="P3218">
        <v>-0.122817586448896</v>
      </c>
      <c r="Q3218">
        <v>6.8085176502933303E-2</v>
      </c>
      <c r="R3218">
        <v>0.98766650495013797</v>
      </c>
      <c r="S3218" t="s">
        <v>7514</v>
      </c>
      <c r="T3218" t="s">
        <v>8590</v>
      </c>
      <c r="U3218" t="s">
        <v>8590</v>
      </c>
      <c r="V3218" t="s">
        <v>8590</v>
      </c>
      <c r="W3218">
        <v>3</v>
      </c>
      <c r="X3218" t="s">
        <v>11808</v>
      </c>
      <c r="Y3218">
        <v>0.39200028424440719</v>
      </c>
      <c r="Z3218" t="str">
        <f>HYPERLINK("Melting_Curves/meltCurve_sp_Q9NVF9_EKI2_HUMAN_.pdf", "Melting_Curves/meltCurve_sp_Q9NVF9_EKI2_HUMAN_.pdf")</f>
        <v>Melting_Curves/meltCurve_sp_Q9NVF9_EKI2_HUMAN_.pdf</v>
      </c>
      <c r="AA3218" t="s">
        <v>16057</v>
      </c>
      <c r="AB3218" t="s">
        <v>20301</v>
      </c>
    </row>
    <row r="3219" spans="1:28" x14ac:dyDescent="0.25">
      <c r="A3219" t="s">
        <v>3223</v>
      </c>
      <c r="B3219">
        <v>0.99876560204751996</v>
      </c>
      <c r="C3219">
        <v>0.938293348514466</v>
      </c>
      <c r="D3219">
        <v>0.97330935648839501</v>
      </c>
      <c r="E3219">
        <v>0.87920358270507404</v>
      </c>
      <c r="F3219">
        <v>0.71352515391640903</v>
      </c>
      <c r="G3219">
        <v>0.35850521836343402</v>
      </c>
      <c r="H3219">
        <v>8.9520657679888996E-2</v>
      </c>
      <c r="I3219">
        <v>4.1370477593145299E-2</v>
      </c>
      <c r="J3219">
        <v>1.9755377370420699E-2</v>
      </c>
      <c r="K3219">
        <v>3.1755881877836102E-2</v>
      </c>
      <c r="L3219">
        <v>1163.6402524846901</v>
      </c>
      <c r="M3219">
        <v>21.078183409042399</v>
      </c>
      <c r="N3219">
        <v>55.205904313789802</v>
      </c>
      <c r="O3219">
        <v>54.716214127418503</v>
      </c>
      <c r="P3219">
        <v>-9.6309391722991397E-2</v>
      </c>
      <c r="Q3219">
        <v>0</v>
      </c>
      <c r="R3219">
        <v>0.99653149215081605</v>
      </c>
      <c r="S3219" t="s">
        <v>7515</v>
      </c>
      <c r="T3219" t="s">
        <v>8590</v>
      </c>
      <c r="U3219" t="s">
        <v>8590</v>
      </c>
      <c r="V3219" t="s">
        <v>8590</v>
      </c>
      <c r="W3219">
        <v>6</v>
      </c>
      <c r="X3219" t="s">
        <v>11809</v>
      </c>
      <c r="Y3219">
        <v>0.51909658289534311</v>
      </c>
      <c r="Z3219" t="str">
        <f>HYPERLINK("Melting_Curves/meltCurve_sp_Q9NVG8_TBC13_HUMAN_.pdf", "Melting_Curves/meltCurve_sp_Q9NVG8_TBC13_HUMAN_.pdf")</f>
        <v>Melting_Curves/meltCurve_sp_Q9NVG8_TBC13_HUMAN_.pdf</v>
      </c>
      <c r="AA3219" t="s">
        <v>16058</v>
      </c>
      <c r="AB3219" t="s">
        <v>20302</v>
      </c>
    </row>
    <row r="3220" spans="1:28" x14ac:dyDescent="0.25">
      <c r="A3220" t="s">
        <v>3224</v>
      </c>
      <c r="B3220">
        <v>0.99876560204751996</v>
      </c>
      <c r="C3220">
        <v>1.0652664418004401</v>
      </c>
      <c r="D3220">
        <v>1.0125311650720701</v>
      </c>
      <c r="E3220">
        <v>0.72676631937497604</v>
      </c>
      <c r="F3220">
        <v>0.46222748022654098</v>
      </c>
      <c r="G3220">
        <v>0.32384525589017499</v>
      </c>
      <c r="H3220">
        <v>0.21500214626467401</v>
      </c>
      <c r="I3220">
        <v>0.20491176076596099</v>
      </c>
      <c r="J3220">
        <v>0.25270578902850099</v>
      </c>
      <c r="K3220">
        <v>0.220354129620846</v>
      </c>
      <c r="L3220">
        <v>1356.24253838855</v>
      </c>
      <c r="M3220">
        <v>26.409757187623701</v>
      </c>
      <c r="N3220">
        <v>52.563376506658997</v>
      </c>
      <c r="O3220">
        <v>51.062138851825303</v>
      </c>
      <c r="P3220">
        <v>-9.9860722116062797E-2</v>
      </c>
      <c r="Q3220">
        <v>0.22770292593461</v>
      </c>
      <c r="R3220">
        <v>0.99064467997513095</v>
      </c>
      <c r="S3220" t="s">
        <v>7516</v>
      </c>
      <c r="T3220" t="s">
        <v>8590</v>
      </c>
      <c r="U3220" t="s">
        <v>8590</v>
      </c>
      <c r="V3220" t="s">
        <v>8590</v>
      </c>
      <c r="W3220">
        <v>1</v>
      </c>
      <c r="X3220" t="s">
        <v>11810</v>
      </c>
      <c r="Y3220">
        <v>0.52627682121576014</v>
      </c>
      <c r="Z3220" t="str">
        <f>HYPERLINK("Melting_Curves/meltCurve_sp_Q9NVH0_2_EXD2_HUMAN_.pdf", "Melting_Curves/meltCurve_sp_Q9NVH0_2_EXD2_HUMAN_.pdf")</f>
        <v>Melting_Curves/meltCurve_sp_Q9NVH0_2_EXD2_HUMAN_.pdf</v>
      </c>
      <c r="AA3220" t="s">
        <v>16059</v>
      </c>
      <c r="AB3220" t="s">
        <v>20303</v>
      </c>
    </row>
    <row r="3221" spans="1:28" x14ac:dyDescent="0.25">
      <c r="A3221" t="s">
        <v>3225</v>
      </c>
      <c r="B3221">
        <v>0.99876560204751996</v>
      </c>
      <c r="C3221">
        <v>1.00596245786653</v>
      </c>
      <c r="D3221">
        <v>0.983159732175927</v>
      </c>
      <c r="E3221">
        <v>1.02506073226201</v>
      </c>
      <c r="F3221">
        <v>0.97030690444478696</v>
      </c>
      <c r="G3221">
        <v>0.81581831757943302</v>
      </c>
      <c r="H3221">
        <v>0.52547110585355095</v>
      </c>
      <c r="I3221">
        <v>0.182102492113388</v>
      </c>
      <c r="J3221">
        <v>6.5219960730037399E-2</v>
      </c>
      <c r="K3221">
        <v>6.4733097360963707E-2</v>
      </c>
      <c r="L3221">
        <v>1571.7703197803201</v>
      </c>
      <c r="M3221">
        <v>25.847140624686901</v>
      </c>
      <c r="N3221">
        <v>60.820411215646999</v>
      </c>
      <c r="O3221">
        <v>60.449729884015802</v>
      </c>
      <c r="P3221">
        <v>-0.106665489310836</v>
      </c>
      <c r="Q3221">
        <v>2.16072465352512E-3</v>
      </c>
      <c r="R3221">
        <v>0.995518857373201</v>
      </c>
      <c r="S3221" t="s">
        <v>7517</v>
      </c>
      <c r="T3221" t="s">
        <v>8590</v>
      </c>
      <c r="U3221" t="s">
        <v>8590</v>
      </c>
      <c r="V3221" t="s">
        <v>8590</v>
      </c>
      <c r="W3221">
        <v>13</v>
      </c>
      <c r="X3221" t="s">
        <v>11811</v>
      </c>
      <c r="Y3221">
        <v>0.70072741466720123</v>
      </c>
      <c r="Z3221" t="str">
        <f>HYPERLINK("Melting_Curves/meltCurve_sp_Q9NVH6_TMLH_HUMAN_.pdf", "Melting_Curves/meltCurve_sp_Q9NVH6_TMLH_HUMAN_.pdf")</f>
        <v>Melting_Curves/meltCurve_sp_Q9NVH6_TMLH_HUMAN_.pdf</v>
      </c>
      <c r="AA3221" t="s">
        <v>16060</v>
      </c>
      <c r="AB3221" t="s">
        <v>20304</v>
      </c>
    </row>
    <row r="3222" spans="1:28" x14ac:dyDescent="0.25">
      <c r="A3222" t="s">
        <v>3226</v>
      </c>
      <c r="B3222">
        <v>0.99876560204751996</v>
      </c>
      <c r="C3222">
        <v>1.1162973451779299</v>
      </c>
      <c r="D3222">
        <v>1.0258220531806099</v>
      </c>
      <c r="E3222">
        <v>0.88187822702208696</v>
      </c>
      <c r="F3222">
        <v>0.89155967155871796</v>
      </c>
      <c r="G3222">
        <v>0.60578548166347701</v>
      </c>
      <c r="H3222">
        <v>0.38052877863583801</v>
      </c>
      <c r="I3222">
        <v>0.369738572890777</v>
      </c>
      <c r="J3222">
        <v>0.47737953960490997</v>
      </c>
      <c r="K3222">
        <v>0.29832840702882302</v>
      </c>
      <c r="L3222">
        <v>1388.83463172294</v>
      </c>
      <c r="M3222">
        <v>24.9066059585769</v>
      </c>
      <c r="N3222">
        <v>58.733891001515701</v>
      </c>
      <c r="O3222">
        <v>55.405970913854702</v>
      </c>
      <c r="P3222">
        <v>-7.2124891818721795E-2</v>
      </c>
      <c r="Q3222">
        <v>0.35822741728546897</v>
      </c>
      <c r="R3222">
        <v>0.95311828494681505</v>
      </c>
      <c r="S3222" t="s">
        <v>7518</v>
      </c>
      <c r="T3222" t="s">
        <v>8590</v>
      </c>
      <c r="U3222" t="s">
        <v>8590</v>
      </c>
      <c r="V3222" t="s">
        <v>8590</v>
      </c>
      <c r="W3222">
        <v>3</v>
      </c>
      <c r="X3222" t="s">
        <v>11812</v>
      </c>
      <c r="Y3222">
        <v>0.70135285567099959</v>
      </c>
      <c r="Z3222" t="str">
        <f>HYPERLINK("Melting_Curves/meltCurve_sp_Q9NVM4_3_ANM7_HUMAN_.pdf", "Melting_Curves/meltCurve_sp_Q9NVM4_3_ANM7_HUMAN_.pdf")</f>
        <v>Melting_Curves/meltCurve_sp_Q9NVM4_3_ANM7_HUMAN_.pdf</v>
      </c>
      <c r="AA3222" t="s">
        <v>16061</v>
      </c>
      <c r="AB3222" t="s">
        <v>20305</v>
      </c>
    </row>
    <row r="3223" spans="1:28" x14ac:dyDescent="0.25">
      <c r="A3223" t="s">
        <v>3227</v>
      </c>
      <c r="B3223">
        <v>0.99876560204751996</v>
      </c>
      <c r="C3223">
        <v>0.909715209613709</v>
      </c>
      <c r="D3223">
        <v>1.09255814338274</v>
      </c>
      <c r="E3223">
        <v>0.99513949653892997</v>
      </c>
      <c r="F3223">
        <v>0.88993689734912496</v>
      </c>
      <c r="G3223">
        <v>0.52380026758602105</v>
      </c>
      <c r="H3223">
        <v>0.37478278808883703</v>
      </c>
      <c r="I3223">
        <v>0.31048136801019899</v>
      </c>
      <c r="J3223">
        <v>0.17735559697592301</v>
      </c>
      <c r="K3223">
        <v>0.23659668624232399</v>
      </c>
      <c r="L3223">
        <v>1421.7502604341901</v>
      </c>
      <c r="M3223">
        <v>25.2129700700863</v>
      </c>
      <c r="N3223">
        <v>57.798723839927703</v>
      </c>
      <c r="O3223">
        <v>56.0384898418231</v>
      </c>
      <c r="P3223">
        <v>-8.6657209850123207E-2</v>
      </c>
      <c r="Q3223">
        <v>0.22959076377620499</v>
      </c>
      <c r="R3223">
        <v>0.97588503977994201</v>
      </c>
      <c r="S3223" t="s">
        <v>7519</v>
      </c>
      <c r="T3223" t="s">
        <v>8590</v>
      </c>
      <c r="U3223" t="s">
        <v>8590</v>
      </c>
      <c r="V3223" t="s">
        <v>8590</v>
      </c>
      <c r="W3223">
        <v>2</v>
      </c>
      <c r="X3223" t="s">
        <v>11813</v>
      </c>
      <c r="Y3223">
        <v>0.65741672518377403</v>
      </c>
      <c r="Z3223" t="str">
        <f>HYPERLINK("Melting_Curves/meltCurve_sp_Q9NVM6_DJC17_HUMAN_.pdf", "Melting_Curves/meltCurve_sp_Q9NVM6_DJC17_HUMAN_.pdf")</f>
        <v>Melting_Curves/meltCurve_sp_Q9NVM6_DJC17_HUMAN_.pdf</v>
      </c>
      <c r="AA3223" t="s">
        <v>16062</v>
      </c>
      <c r="AB3223" t="s">
        <v>20306</v>
      </c>
    </row>
    <row r="3224" spans="1:28" x14ac:dyDescent="0.25">
      <c r="A3224" t="s">
        <v>3228</v>
      </c>
      <c r="B3224">
        <v>0.99876560204751996</v>
      </c>
      <c r="C3224">
        <v>0.92717932611589604</v>
      </c>
      <c r="D3224">
        <v>0.97495084676824695</v>
      </c>
      <c r="E3224">
        <v>0.84248187924855</v>
      </c>
      <c r="F3224">
        <v>0.53133173181669202</v>
      </c>
      <c r="G3224">
        <v>0.33622898254648897</v>
      </c>
      <c r="H3224">
        <v>0.23281092837362199</v>
      </c>
      <c r="I3224">
        <v>0.19780574370269399</v>
      </c>
      <c r="J3224">
        <v>0.212626294423719</v>
      </c>
      <c r="K3224">
        <v>0.19184580559147801</v>
      </c>
      <c r="L3224">
        <v>1240.32468096313</v>
      </c>
      <c r="M3224">
        <v>23.595501383795501</v>
      </c>
      <c r="N3224">
        <v>53.727114969197601</v>
      </c>
      <c r="O3224">
        <v>52.192945905353398</v>
      </c>
      <c r="P3224">
        <v>-9.0450560000028005E-2</v>
      </c>
      <c r="Q3224">
        <v>0.19971163431990799</v>
      </c>
      <c r="R3224">
        <v>0.99340990914332405</v>
      </c>
      <c r="S3224" t="s">
        <v>7520</v>
      </c>
      <c r="T3224" t="s">
        <v>8590</v>
      </c>
      <c r="U3224" t="s">
        <v>8590</v>
      </c>
      <c r="V3224" t="s">
        <v>8590</v>
      </c>
      <c r="W3224">
        <v>18</v>
      </c>
      <c r="X3224" t="s">
        <v>11814</v>
      </c>
      <c r="Y3224">
        <v>0.54311808619061108</v>
      </c>
      <c r="Z3224" t="str">
        <f>HYPERLINK("Melting_Curves/meltCurve_sp_Q9NVS9_PNPO_HUMAN_.pdf", "Melting_Curves/meltCurve_sp_Q9NVS9_PNPO_HUMAN_.pdf")</f>
        <v>Melting_Curves/meltCurve_sp_Q9NVS9_PNPO_HUMAN_.pdf</v>
      </c>
      <c r="AA3224" t="s">
        <v>16063</v>
      </c>
      <c r="AB3224" t="s">
        <v>20307</v>
      </c>
    </row>
    <row r="3225" spans="1:28" x14ac:dyDescent="0.25">
      <c r="A3225" t="s">
        <v>3229</v>
      </c>
      <c r="B3225">
        <v>0.99876560204751996</v>
      </c>
      <c r="C3225">
        <v>1.0349284562001599</v>
      </c>
      <c r="D3225">
        <v>1.04949814149417</v>
      </c>
      <c r="E3225">
        <v>0.85999315410742705</v>
      </c>
      <c r="F3225">
        <v>0.80759088528835299</v>
      </c>
      <c r="G3225">
        <v>0.53961623416309101</v>
      </c>
      <c r="H3225">
        <v>0.38379643806607</v>
      </c>
      <c r="I3225">
        <v>0.28723010440656499</v>
      </c>
      <c r="J3225">
        <v>0.23675190968291601</v>
      </c>
      <c r="K3225">
        <v>0.18217787145588099</v>
      </c>
      <c r="L3225">
        <v>875.96190068358203</v>
      </c>
      <c r="M3225">
        <v>15.451372294326299</v>
      </c>
      <c r="N3225">
        <v>58.1081986480213</v>
      </c>
      <c r="O3225">
        <v>55.767399587962402</v>
      </c>
      <c r="P3225">
        <v>-5.8401573371389799E-2</v>
      </c>
      <c r="Q3225">
        <v>0.15693935563060299</v>
      </c>
      <c r="R3225">
        <v>0.99047744101065105</v>
      </c>
      <c r="S3225" t="s">
        <v>7521</v>
      </c>
      <c r="T3225" t="s">
        <v>8590</v>
      </c>
      <c r="U3225" t="s">
        <v>8590</v>
      </c>
      <c r="V3225" t="s">
        <v>8590</v>
      </c>
      <c r="W3225">
        <v>6</v>
      </c>
      <c r="X3225" t="s">
        <v>11815</v>
      </c>
      <c r="Y3225">
        <v>0.63959623571609014</v>
      </c>
      <c r="Z3225" t="str">
        <f>HYPERLINK("Melting_Curves/meltCurve_sp_Q9NVT9_ARMC1_HUMAN_.pdf", "Melting_Curves/meltCurve_sp_Q9NVT9_ARMC1_HUMAN_.pdf")</f>
        <v>Melting_Curves/meltCurve_sp_Q9NVT9_ARMC1_HUMAN_.pdf</v>
      </c>
      <c r="AA3225" t="s">
        <v>16064</v>
      </c>
      <c r="AB3225" t="s">
        <v>20308</v>
      </c>
    </row>
    <row r="3226" spans="1:28" x14ac:dyDescent="0.25">
      <c r="A3226" t="s">
        <v>3230</v>
      </c>
      <c r="B3226">
        <v>0.99876560204751996</v>
      </c>
      <c r="C3226">
        <v>0.943209850835663</v>
      </c>
      <c r="D3226">
        <v>0.98955016547505303</v>
      </c>
      <c r="E3226">
        <v>0.92206922085014398</v>
      </c>
      <c r="F3226">
        <v>1.10404061998435</v>
      </c>
      <c r="G3226">
        <v>0.86190478992203601</v>
      </c>
      <c r="H3226">
        <v>0.85684124662288097</v>
      </c>
      <c r="I3226">
        <v>0.98621608361875601</v>
      </c>
      <c r="J3226">
        <v>1.06024465729629</v>
      </c>
      <c r="K3226">
        <v>1.08683734740997</v>
      </c>
      <c r="L3226">
        <v>15000</v>
      </c>
      <c r="M3226">
        <v>224.69798218345201</v>
      </c>
      <c r="O3226">
        <v>66.750985085869601</v>
      </c>
      <c r="P3226">
        <v>7.3082079686406606E-2</v>
      </c>
      <c r="Q3226">
        <v>1.0868419163281</v>
      </c>
      <c r="R3226">
        <v>0.111759481457717</v>
      </c>
      <c r="S3226" t="s">
        <v>7522</v>
      </c>
      <c r="T3226" t="s">
        <v>8590</v>
      </c>
      <c r="U3226" t="s">
        <v>8590</v>
      </c>
      <c r="V3226" t="s">
        <v>8590</v>
      </c>
      <c r="W3226">
        <v>1</v>
      </c>
      <c r="X3226" t="s">
        <v>11816</v>
      </c>
      <c r="Y3226">
        <v>1.009377147240988</v>
      </c>
      <c r="Z3226" t="str">
        <f>HYPERLINK("Melting_Curves/meltCurve_sp_Q9NVU7_2_SDA1_HUMAN_.pdf", "Melting_Curves/meltCurve_sp_Q9NVU7_2_SDA1_HUMAN_.pdf")</f>
        <v>Melting_Curves/meltCurve_sp_Q9NVU7_2_SDA1_HUMAN_.pdf</v>
      </c>
      <c r="AA3226" t="s">
        <v>16065</v>
      </c>
      <c r="AB3226" t="s">
        <v>20309</v>
      </c>
    </row>
    <row r="3227" spans="1:28" x14ac:dyDescent="0.25">
      <c r="A3227" t="s">
        <v>3231</v>
      </c>
      <c r="B3227">
        <v>0.99876560204751996</v>
      </c>
      <c r="C3227">
        <v>1.0478973087910699</v>
      </c>
      <c r="D3227">
        <v>0.97054972590543398</v>
      </c>
      <c r="E3227">
        <v>0.98915276301348198</v>
      </c>
      <c r="F3227">
        <v>0.72167697409488696</v>
      </c>
      <c r="G3227">
        <v>0.64572114435676697</v>
      </c>
      <c r="H3227">
        <v>0.39670603986029002</v>
      </c>
      <c r="I3227">
        <v>0.31312232818310898</v>
      </c>
      <c r="J3227">
        <v>0.267910836205701</v>
      </c>
      <c r="K3227">
        <v>0.21707671514504501</v>
      </c>
      <c r="L3227">
        <v>854.19678597335599</v>
      </c>
      <c r="M3227">
        <v>14.91338774838</v>
      </c>
      <c r="N3227">
        <v>58.950388789273298</v>
      </c>
      <c r="O3227">
        <v>56.276905884402403</v>
      </c>
      <c r="P3227">
        <v>-5.4823840744846697E-2</v>
      </c>
      <c r="Q3227">
        <v>0.17255626652235001</v>
      </c>
      <c r="R3227">
        <v>0.98191776380744</v>
      </c>
      <c r="S3227" t="s">
        <v>7523</v>
      </c>
      <c r="T3227" t="s">
        <v>8590</v>
      </c>
      <c r="U3227" t="s">
        <v>8590</v>
      </c>
      <c r="V3227" t="s">
        <v>8590</v>
      </c>
      <c r="W3227">
        <v>4</v>
      </c>
      <c r="X3227" t="s">
        <v>11817</v>
      </c>
      <c r="Y3227">
        <v>0.66170418224432903</v>
      </c>
      <c r="Z3227" t="str">
        <f>HYPERLINK("Melting_Curves/meltCurve_sp_Q9NVX2_NLE1_HUMAN_.pdf", "Melting_Curves/meltCurve_sp_Q9NVX2_NLE1_HUMAN_.pdf")</f>
        <v>Melting_Curves/meltCurve_sp_Q9NVX2_NLE1_HUMAN_.pdf</v>
      </c>
      <c r="AA3227" t="s">
        <v>16066</v>
      </c>
      <c r="AB3227" t="s">
        <v>20310</v>
      </c>
    </row>
    <row r="3228" spans="1:28" x14ac:dyDescent="0.25">
      <c r="A3228" t="s">
        <v>3232</v>
      </c>
      <c r="B3228">
        <v>0.99876560204751996</v>
      </c>
      <c r="C3228">
        <v>0.97099760399583901</v>
      </c>
      <c r="D3228">
        <v>1.0125735313572299</v>
      </c>
      <c r="E3228">
        <v>0.92009534700346995</v>
      </c>
      <c r="F3228">
        <v>0.816800165766699</v>
      </c>
      <c r="G3228">
        <v>0.57669942806467001</v>
      </c>
      <c r="H3228">
        <v>0.39331386522467099</v>
      </c>
      <c r="I3228">
        <v>0.254423655976528</v>
      </c>
      <c r="J3228">
        <v>0.16180809633021501</v>
      </c>
      <c r="K3228">
        <v>0.101974721434395</v>
      </c>
      <c r="L3228">
        <v>805.13308145656697</v>
      </c>
      <c r="M3228">
        <v>13.7388918921206</v>
      </c>
      <c r="N3228">
        <v>58.717479307321398</v>
      </c>
      <c r="O3228">
        <v>57.402765886619498</v>
      </c>
      <c r="P3228">
        <v>-5.9049588265534803E-2</v>
      </c>
      <c r="Q3228">
        <v>1.32749927411926E-2</v>
      </c>
      <c r="R3228">
        <v>0.99777575789839101</v>
      </c>
      <c r="S3228" t="s">
        <v>7524</v>
      </c>
      <c r="T3228" t="s">
        <v>8590</v>
      </c>
      <c r="U3228" t="s">
        <v>8590</v>
      </c>
      <c r="V3228" t="s">
        <v>8590</v>
      </c>
      <c r="W3228">
        <v>4</v>
      </c>
      <c r="X3228" t="s">
        <v>11818</v>
      </c>
      <c r="Y3228">
        <v>0.63633150065332555</v>
      </c>
      <c r="Z3228" t="str">
        <f>HYPERLINK("Melting_Curves/meltCurve_sp_Q9NVZ3_NECP2_HUMAN_.pdf", "Melting_Curves/meltCurve_sp_Q9NVZ3_NECP2_HUMAN_.pdf")</f>
        <v>Melting_Curves/meltCurve_sp_Q9NVZ3_NECP2_HUMAN_.pdf</v>
      </c>
      <c r="AA3228" t="s">
        <v>16067</v>
      </c>
      <c r="AB3228" t="s">
        <v>20311</v>
      </c>
    </row>
    <row r="3229" spans="1:28" x14ac:dyDescent="0.25">
      <c r="A3229" t="s">
        <v>3233</v>
      </c>
      <c r="B3229">
        <v>0.99876560204751996</v>
      </c>
      <c r="C3229">
        <v>1.02935892036917</v>
      </c>
      <c r="D3229">
        <v>0.965054515818211</v>
      </c>
      <c r="E3229">
        <v>0.78694291668074901</v>
      </c>
      <c r="F3229">
        <v>0.457829827585019</v>
      </c>
      <c r="G3229">
        <v>0.292612899767769</v>
      </c>
      <c r="H3229">
        <v>0.20136071801949401</v>
      </c>
      <c r="I3229">
        <v>0.145071395326409</v>
      </c>
      <c r="J3229">
        <v>0.149558664875206</v>
      </c>
      <c r="K3229">
        <v>0.17224020751467201</v>
      </c>
      <c r="L3229">
        <v>1248.66443666295</v>
      </c>
      <c r="M3229">
        <v>24.005267592237001</v>
      </c>
      <c r="N3229">
        <v>52.881738440653798</v>
      </c>
      <c r="O3229">
        <v>51.659324854497697</v>
      </c>
      <c r="P3229">
        <v>-9.7301388069731001E-2</v>
      </c>
      <c r="Q3229">
        <v>0.16244306087969301</v>
      </c>
      <c r="R3229">
        <v>0.99598527637366896</v>
      </c>
      <c r="S3229" t="s">
        <v>7525</v>
      </c>
      <c r="T3229" t="s">
        <v>8590</v>
      </c>
      <c r="U3229" t="s">
        <v>8590</v>
      </c>
      <c r="V3229" t="s">
        <v>8590</v>
      </c>
      <c r="W3229">
        <v>2</v>
      </c>
      <c r="X3229" t="s">
        <v>11819</v>
      </c>
      <c r="Y3229">
        <v>0.50618554873095456</v>
      </c>
      <c r="Z3229" t="str">
        <f>HYPERLINK("Melting_Curves/meltCurve_sp_Q9NW13_RBM28_HUMAN_.pdf", "Melting_Curves/meltCurve_sp_Q9NW13_RBM28_HUMAN_.pdf")</f>
        <v>Melting_Curves/meltCurve_sp_Q9NW13_RBM28_HUMAN_.pdf</v>
      </c>
      <c r="AA3229" t="s">
        <v>16068</v>
      </c>
      <c r="AB3229" t="s">
        <v>20312</v>
      </c>
    </row>
    <row r="3230" spans="1:28" x14ac:dyDescent="0.25">
      <c r="A3230" t="s">
        <v>3234</v>
      </c>
      <c r="B3230">
        <v>0.99876560204751996</v>
      </c>
      <c r="C3230">
        <v>1.00909288886215</v>
      </c>
      <c r="D3230">
        <v>1.0599313561494399</v>
      </c>
      <c r="E3230">
        <v>0.923197290250372</v>
      </c>
      <c r="F3230">
        <v>1.04865713742049</v>
      </c>
      <c r="G3230">
        <v>0.73916408372745002</v>
      </c>
      <c r="H3230">
        <v>0.51375075313496998</v>
      </c>
      <c r="I3230">
        <v>0.42343368336577802</v>
      </c>
      <c r="J3230">
        <v>0.35560204489331998</v>
      </c>
      <c r="K3230">
        <v>0.206592579981526</v>
      </c>
      <c r="L3230">
        <v>1150.34777600968</v>
      </c>
      <c r="M3230">
        <v>19.221974576448101</v>
      </c>
      <c r="N3230">
        <v>61.657577197122798</v>
      </c>
      <c r="O3230">
        <v>59.209025592626098</v>
      </c>
      <c r="P3230">
        <v>-6.3649168061285594E-2</v>
      </c>
      <c r="Q3230">
        <v>0.21580134599317799</v>
      </c>
      <c r="R3230">
        <v>0.97010615171606795</v>
      </c>
      <c r="S3230" t="s">
        <v>7526</v>
      </c>
      <c r="T3230" t="s">
        <v>8590</v>
      </c>
      <c r="U3230" t="s">
        <v>8590</v>
      </c>
      <c r="V3230" t="s">
        <v>8590</v>
      </c>
      <c r="W3230">
        <v>4</v>
      </c>
      <c r="X3230" t="s">
        <v>11820</v>
      </c>
      <c r="Y3230">
        <v>0.7413908232256462</v>
      </c>
      <c r="Z3230" t="str">
        <f>HYPERLINK("Melting_Curves/meltCurve_sp_Q9NW64_RBM22_HUMAN_.pdf", "Melting_Curves/meltCurve_sp_Q9NW64_RBM22_HUMAN_.pdf")</f>
        <v>Melting_Curves/meltCurve_sp_Q9NW64_RBM22_HUMAN_.pdf</v>
      </c>
      <c r="AA3230" t="s">
        <v>16069</v>
      </c>
      <c r="AB3230" t="s">
        <v>20313</v>
      </c>
    </row>
    <row r="3231" spans="1:28" x14ac:dyDescent="0.25">
      <c r="A3231" t="s">
        <v>3235</v>
      </c>
      <c r="B3231">
        <v>0.99876560204751996</v>
      </c>
      <c r="C3231">
        <v>0.96971205593433896</v>
      </c>
      <c r="D3231">
        <v>1.0001280701483199</v>
      </c>
      <c r="E3231">
        <v>0.94733866954387502</v>
      </c>
      <c r="F3231">
        <v>0.93264242661732599</v>
      </c>
      <c r="G3231">
        <v>0.73868330353404099</v>
      </c>
      <c r="H3231">
        <v>0.70895566547607003</v>
      </c>
      <c r="I3231">
        <v>0.69225565891855401</v>
      </c>
      <c r="J3231">
        <v>0.80422618797830803</v>
      </c>
      <c r="K3231">
        <v>0.816346072986051</v>
      </c>
      <c r="L3231">
        <v>4459.6404726066203</v>
      </c>
      <c r="M3231">
        <v>83.180228950681794</v>
      </c>
      <c r="O3231">
        <v>53.583241347029499</v>
      </c>
      <c r="P3231">
        <v>-9.6323876839295899E-2</v>
      </c>
      <c r="Q3231">
        <v>0.75179952059793698</v>
      </c>
      <c r="R3231">
        <v>0.87994982458434601</v>
      </c>
      <c r="S3231" t="s">
        <v>7527</v>
      </c>
      <c r="T3231" t="s">
        <v>8590</v>
      </c>
      <c r="U3231" t="s">
        <v>8590</v>
      </c>
      <c r="V3231" t="s">
        <v>8590</v>
      </c>
      <c r="W3231">
        <v>5</v>
      </c>
      <c r="X3231" t="s">
        <v>11821</v>
      </c>
      <c r="Y3231">
        <v>0.86464579164274924</v>
      </c>
      <c r="Z3231" t="str">
        <f>HYPERLINK("Melting_Curves/meltCurve_sp_Q9NW68_4_BSDC1_HUMAN_.pdf", "Melting_Curves/meltCurve_sp_Q9NW68_4_BSDC1_HUMAN_.pdf")</f>
        <v>Melting_Curves/meltCurve_sp_Q9NW68_4_BSDC1_HUMAN_.pdf</v>
      </c>
      <c r="AA3231" t="s">
        <v>16070</v>
      </c>
      <c r="AB3231" t="s">
        <v>20314</v>
      </c>
    </row>
    <row r="3232" spans="1:28" x14ac:dyDescent="0.25">
      <c r="A3232" t="s">
        <v>3236</v>
      </c>
      <c r="B3232">
        <v>0.99876560204751996</v>
      </c>
      <c r="C3232">
        <v>0.95040322652422804</v>
      </c>
      <c r="D3232">
        <v>0.98043881135156097</v>
      </c>
      <c r="E3232">
        <v>0.969856628233011</v>
      </c>
      <c r="F3232">
        <v>0.82563041081447197</v>
      </c>
      <c r="G3232">
        <v>0.56081616403273804</v>
      </c>
      <c r="H3232">
        <v>0.31943958313828802</v>
      </c>
      <c r="I3232">
        <v>0.33394427294399398</v>
      </c>
      <c r="J3232">
        <v>0.34590001444196899</v>
      </c>
      <c r="K3232">
        <v>0.40227068144694</v>
      </c>
      <c r="L3232">
        <v>1586.4596419345201</v>
      </c>
      <c r="M3232">
        <v>28.772466511212102</v>
      </c>
      <c r="N3232">
        <v>57.441662751991998</v>
      </c>
      <c r="O3232">
        <v>54.8738288033774</v>
      </c>
      <c r="P3232">
        <v>-8.6216491111660701E-2</v>
      </c>
      <c r="Q3232">
        <v>0.34228890892560898</v>
      </c>
      <c r="R3232">
        <v>0.98556823444755903</v>
      </c>
      <c r="S3232" t="s">
        <v>7528</v>
      </c>
      <c r="T3232" t="s">
        <v>8590</v>
      </c>
      <c r="U3232" t="s">
        <v>8590</v>
      </c>
      <c r="V3232" t="s">
        <v>8590</v>
      </c>
      <c r="W3232">
        <v>6</v>
      </c>
      <c r="X3232" t="s">
        <v>11822</v>
      </c>
      <c r="Y3232">
        <v>0.67889436660886915</v>
      </c>
      <c r="Z3232" t="str">
        <f>HYPERLINK("Melting_Curves/meltCurve_sp_Q9NW82_WDR70_HUMAN_.pdf", "Melting_Curves/meltCurve_sp_Q9NW82_WDR70_HUMAN_.pdf")</f>
        <v>Melting_Curves/meltCurve_sp_Q9NW82_WDR70_HUMAN_.pdf</v>
      </c>
      <c r="AA3232" t="s">
        <v>16071</v>
      </c>
      <c r="AB3232" t="s">
        <v>20315</v>
      </c>
    </row>
    <row r="3233" spans="1:28" x14ac:dyDescent="0.25">
      <c r="A3233" t="s">
        <v>3237</v>
      </c>
      <c r="B3233">
        <v>0.99876560204751996</v>
      </c>
      <c r="C3233">
        <v>0.93883682001263402</v>
      </c>
      <c r="D3233">
        <v>0.98629087449047403</v>
      </c>
      <c r="E3233">
        <v>0.87218763799701604</v>
      </c>
      <c r="F3233">
        <v>1.0107138541729499</v>
      </c>
      <c r="G3233">
        <v>0.87480815046225502</v>
      </c>
      <c r="H3233">
        <v>0.72358432516375204</v>
      </c>
      <c r="I3233">
        <v>0.78960149471579799</v>
      </c>
      <c r="J3233">
        <v>1.0186671677001999</v>
      </c>
      <c r="K3233">
        <v>0.86246989418238296</v>
      </c>
      <c r="L3233">
        <v>616.05279694978606</v>
      </c>
      <c r="M3233">
        <v>12.366471450368801</v>
      </c>
      <c r="O3233">
        <v>48.5675044079358</v>
      </c>
      <c r="P3233">
        <v>-9.2676737179588492E-3</v>
      </c>
      <c r="Q3233">
        <v>0.854441572084496</v>
      </c>
      <c r="R3233">
        <v>0.24071587710631501</v>
      </c>
      <c r="S3233" t="s">
        <v>7529</v>
      </c>
      <c r="T3233" t="s">
        <v>8590</v>
      </c>
      <c r="U3233" t="s">
        <v>8590</v>
      </c>
      <c r="V3233" t="s">
        <v>8590</v>
      </c>
      <c r="W3233">
        <v>3</v>
      </c>
      <c r="X3233" t="s">
        <v>11823</v>
      </c>
      <c r="Y3233">
        <v>0.90692442784221661</v>
      </c>
      <c r="Z3233" t="str">
        <f>HYPERLINK("Melting_Curves/meltCurve_sp_Q9NWB6_ARGL1_HUMAN_.pdf", "Melting_Curves/meltCurve_sp_Q9NWB6_ARGL1_HUMAN_.pdf")</f>
        <v>Melting_Curves/meltCurve_sp_Q9NWB6_ARGL1_HUMAN_.pdf</v>
      </c>
      <c r="AA3233" t="s">
        <v>16072</v>
      </c>
      <c r="AB3233" t="s">
        <v>20316</v>
      </c>
    </row>
    <row r="3234" spans="1:28" x14ac:dyDescent="0.25">
      <c r="A3234" t="s">
        <v>3238</v>
      </c>
      <c r="B3234">
        <v>0.99876560204751996</v>
      </c>
      <c r="C3234">
        <v>0.94777078311313001</v>
      </c>
      <c r="D3234">
        <v>0.95983519297553299</v>
      </c>
      <c r="E3234">
        <v>0.87494450861892803</v>
      </c>
      <c r="F3234">
        <v>0.83236581239608798</v>
      </c>
      <c r="G3234">
        <v>0.66561161297250704</v>
      </c>
      <c r="H3234">
        <v>0.58989395767447805</v>
      </c>
      <c r="I3234">
        <v>0.59339474078312904</v>
      </c>
      <c r="J3234">
        <v>0.747374714200576</v>
      </c>
      <c r="K3234">
        <v>0.72316332551458595</v>
      </c>
      <c r="L3234">
        <v>1182.8049227885999</v>
      </c>
      <c r="M3234">
        <v>22.8554529972414</v>
      </c>
      <c r="O3234">
        <v>51.360244384995497</v>
      </c>
      <c r="P3234">
        <v>-3.7969457991157501E-2</v>
      </c>
      <c r="Q3234">
        <v>0.65871020545046299</v>
      </c>
      <c r="R3234">
        <v>0.85897956120367203</v>
      </c>
      <c r="S3234" t="s">
        <v>7530</v>
      </c>
      <c r="T3234" t="s">
        <v>8590</v>
      </c>
      <c r="U3234" t="s">
        <v>8590</v>
      </c>
      <c r="V3234" t="s">
        <v>8590</v>
      </c>
      <c r="W3234">
        <v>6</v>
      </c>
      <c r="X3234" t="s">
        <v>11824</v>
      </c>
      <c r="Y3234">
        <v>0.79609016512849762</v>
      </c>
      <c r="Z3234" t="str">
        <f>HYPERLINK("Melting_Curves/meltCurve_sp_Q9NWH9_SLTM_HUMAN_.pdf", "Melting_Curves/meltCurve_sp_Q9NWH9_SLTM_HUMAN_.pdf")</f>
        <v>Melting_Curves/meltCurve_sp_Q9NWH9_SLTM_HUMAN_.pdf</v>
      </c>
      <c r="AA3234" t="s">
        <v>16073</v>
      </c>
      <c r="AB3234" t="s">
        <v>20317</v>
      </c>
    </row>
    <row r="3235" spans="1:28" x14ac:dyDescent="0.25">
      <c r="A3235" t="s">
        <v>3239</v>
      </c>
      <c r="B3235">
        <v>0.99876560204751996</v>
      </c>
      <c r="C3235">
        <v>0.96927030235832201</v>
      </c>
      <c r="D3235">
        <v>0.87964892948151796</v>
      </c>
      <c r="E3235">
        <v>0.87297397861929904</v>
      </c>
      <c r="F3235">
        <v>0.54670491288194001</v>
      </c>
      <c r="G3235">
        <v>0.23161549143719401</v>
      </c>
      <c r="H3235">
        <v>9.2118323264395993E-2</v>
      </c>
      <c r="I3235">
        <v>6.8514065934192195E-2</v>
      </c>
      <c r="J3235">
        <v>7.7679703123330099E-2</v>
      </c>
      <c r="K3235">
        <v>7.2386166515667399E-2</v>
      </c>
      <c r="L3235">
        <v>1254.06242108572</v>
      </c>
      <c r="M3235">
        <v>23.534871674589901</v>
      </c>
      <c r="N3235">
        <v>53.575321012019998</v>
      </c>
      <c r="O3235">
        <v>52.905037557469001</v>
      </c>
      <c r="P3235">
        <v>-0.104562662193928</v>
      </c>
      <c r="Q3235">
        <v>5.9812466852732997E-2</v>
      </c>
      <c r="R3235">
        <v>0.991856701245591</v>
      </c>
      <c r="S3235" t="s">
        <v>7531</v>
      </c>
      <c r="T3235" t="s">
        <v>8590</v>
      </c>
      <c r="U3235" t="s">
        <v>8590</v>
      </c>
      <c r="V3235" t="s">
        <v>8590</v>
      </c>
      <c r="W3235">
        <v>2</v>
      </c>
      <c r="X3235" t="s">
        <v>11825</v>
      </c>
      <c r="Y3235">
        <v>0.48586121158160611</v>
      </c>
      <c r="Z3235" t="str">
        <f>HYPERLINK("Melting_Curves/meltCurve_sp_Q9NWK9_2_BCD1_HUMAN_.pdf", "Melting_Curves/meltCurve_sp_Q9NWK9_2_BCD1_HUMAN_.pdf")</f>
        <v>Melting_Curves/meltCurve_sp_Q9NWK9_2_BCD1_HUMAN_.pdf</v>
      </c>
      <c r="AA3235" t="s">
        <v>16074</v>
      </c>
      <c r="AB3235" t="s">
        <v>20318</v>
      </c>
    </row>
    <row r="3236" spans="1:28" x14ac:dyDescent="0.25">
      <c r="A3236" t="s">
        <v>3240</v>
      </c>
      <c r="B3236">
        <v>0.99876560204751996</v>
      </c>
      <c r="C3236">
        <v>1.11299190334614</v>
      </c>
      <c r="D3236">
        <v>1.0946483533937901</v>
      </c>
      <c r="E3236">
        <v>1.04971051566517</v>
      </c>
      <c r="F3236">
        <v>0.91114347316017896</v>
      </c>
      <c r="G3236">
        <v>0.60259307620505098</v>
      </c>
      <c r="H3236">
        <v>0.59037426087514899</v>
      </c>
      <c r="I3236">
        <v>0.54426527006550696</v>
      </c>
      <c r="J3236">
        <v>0.76250901789478298</v>
      </c>
      <c r="K3236">
        <v>0.72361582930897805</v>
      </c>
      <c r="L3236">
        <v>13308.207054086601</v>
      </c>
      <c r="M3236">
        <v>250</v>
      </c>
      <c r="O3236">
        <v>53.229421680969203</v>
      </c>
      <c r="P3236">
        <v>-0.41721347693490302</v>
      </c>
      <c r="Q3236">
        <v>0.64467148698420496</v>
      </c>
      <c r="R3236">
        <v>0.86542845476632602</v>
      </c>
      <c r="S3236" t="s">
        <v>7532</v>
      </c>
      <c r="T3236" t="s">
        <v>8590</v>
      </c>
      <c r="U3236" t="s">
        <v>8590</v>
      </c>
      <c r="V3236" t="s">
        <v>8590</v>
      </c>
      <c r="W3236">
        <v>2</v>
      </c>
      <c r="X3236" t="s">
        <v>11826</v>
      </c>
      <c r="Y3236">
        <v>0.80143805520042044</v>
      </c>
      <c r="Z3236" t="str">
        <f>HYPERLINK("Melting_Curves/meltCurve_sp_Q9NWT8_AKIP_HUMAN_.pdf", "Melting_Curves/meltCurve_sp_Q9NWT8_AKIP_HUMAN_.pdf")</f>
        <v>Melting_Curves/meltCurve_sp_Q9NWT8_AKIP_HUMAN_.pdf</v>
      </c>
      <c r="AA3236" t="s">
        <v>16075</v>
      </c>
      <c r="AB3236" t="s">
        <v>20319</v>
      </c>
    </row>
    <row r="3237" spans="1:28" x14ac:dyDescent="0.25">
      <c r="A3237" t="s">
        <v>3241</v>
      </c>
      <c r="B3237">
        <v>0.99876560204751996</v>
      </c>
      <c r="C3237">
        <v>0.99235321147714795</v>
      </c>
      <c r="D3237">
        <v>1.0134114965797001</v>
      </c>
      <c r="E3237">
        <v>0.98305289159799203</v>
      </c>
      <c r="F3237">
        <v>0.87432276800936304</v>
      </c>
      <c r="G3237">
        <v>0.74319314411505</v>
      </c>
      <c r="H3237">
        <v>0.660347407387608</v>
      </c>
      <c r="I3237">
        <v>0.67093759084494098</v>
      </c>
      <c r="J3237">
        <v>0.78069519398007003</v>
      </c>
      <c r="K3237">
        <v>0.53394639892528495</v>
      </c>
      <c r="L3237">
        <v>1377.44448532766</v>
      </c>
      <c r="M3237">
        <v>25.289891303188501</v>
      </c>
      <c r="O3237">
        <v>54.129095287054</v>
      </c>
      <c r="P3237">
        <v>-4.0475715664966501E-2</v>
      </c>
      <c r="Q3237">
        <v>0.65347655638333302</v>
      </c>
      <c r="R3237">
        <v>0.88299787426505305</v>
      </c>
      <c r="S3237" t="s">
        <v>7533</v>
      </c>
      <c r="T3237" t="s">
        <v>8590</v>
      </c>
      <c r="U3237" t="s">
        <v>8590</v>
      </c>
      <c r="V3237" t="s">
        <v>8590</v>
      </c>
      <c r="W3237">
        <v>18</v>
      </c>
      <c r="X3237" t="s">
        <v>11827</v>
      </c>
      <c r="Y3237">
        <v>0.82371564851033108</v>
      </c>
      <c r="Z3237" t="str">
        <f>HYPERLINK("Melting_Curves/meltCurve_sp_Q9NWU1_OXSM_HUMAN_.pdf", "Melting_Curves/meltCurve_sp_Q9NWU1_OXSM_HUMAN_.pdf")</f>
        <v>Melting_Curves/meltCurve_sp_Q9NWU1_OXSM_HUMAN_.pdf</v>
      </c>
      <c r="AA3237" t="s">
        <v>16076</v>
      </c>
      <c r="AB3237" t="s">
        <v>20320</v>
      </c>
    </row>
    <row r="3238" spans="1:28" x14ac:dyDescent="0.25">
      <c r="A3238" t="s">
        <v>3242</v>
      </c>
      <c r="B3238">
        <v>0.99876560204751996</v>
      </c>
      <c r="C3238">
        <v>0.91028728211602905</v>
      </c>
      <c r="D3238">
        <v>1.03036535128022</v>
      </c>
      <c r="E3238">
        <v>0.88611223861571897</v>
      </c>
      <c r="F3238">
        <v>0.88984238509966995</v>
      </c>
      <c r="G3238">
        <v>0.71171437722190101</v>
      </c>
      <c r="H3238">
        <v>0.56510803385774999</v>
      </c>
      <c r="I3238">
        <v>0.54220994135975498</v>
      </c>
      <c r="J3238">
        <v>0.65325582330334098</v>
      </c>
      <c r="K3238">
        <v>0.61162212105812896</v>
      </c>
      <c r="L3238">
        <v>1241.80216871468</v>
      </c>
      <c r="M3238">
        <v>22.802047289103101</v>
      </c>
      <c r="O3238">
        <v>54.046434542992003</v>
      </c>
      <c r="P3238">
        <v>-4.3795996257968497E-2</v>
      </c>
      <c r="Q3238">
        <v>0.58477911647188996</v>
      </c>
      <c r="R3238">
        <v>0.91586522732100795</v>
      </c>
      <c r="S3238" t="s">
        <v>7534</v>
      </c>
      <c r="T3238" t="s">
        <v>8590</v>
      </c>
      <c r="U3238" t="s">
        <v>8590</v>
      </c>
      <c r="V3238" t="s">
        <v>8590</v>
      </c>
      <c r="W3238">
        <v>7</v>
      </c>
      <c r="X3238" t="s">
        <v>11828</v>
      </c>
      <c r="Y3238">
        <v>0.78943400713809575</v>
      </c>
      <c r="Z3238" t="str">
        <f>HYPERLINK("Melting_Curves/meltCurve_sp_Q9NWV4_CA123_HUMAN_.pdf", "Melting_Curves/meltCurve_sp_Q9NWV4_CA123_HUMAN_.pdf")</f>
        <v>Melting_Curves/meltCurve_sp_Q9NWV4_CA123_HUMAN_.pdf</v>
      </c>
      <c r="AA3238" t="s">
        <v>16077</v>
      </c>
      <c r="AB3238" t="s">
        <v>20321</v>
      </c>
    </row>
    <row r="3239" spans="1:28" x14ac:dyDescent="0.25">
      <c r="A3239" t="s">
        <v>3243</v>
      </c>
      <c r="B3239">
        <v>0.99876560204751996</v>
      </c>
      <c r="C3239">
        <v>0.82276131006070197</v>
      </c>
      <c r="D3239">
        <v>0.57755926251924095</v>
      </c>
      <c r="E3239">
        <v>0.41957230961596398</v>
      </c>
      <c r="F3239">
        <v>0.17320015321309601</v>
      </c>
      <c r="G3239">
        <v>7.2438798420217998E-2</v>
      </c>
      <c r="H3239">
        <v>5.9610244228871803E-2</v>
      </c>
      <c r="I3239">
        <v>1.74947422415591E-2</v>
      </c>
      <c r="J3239">
        <v>0</v>
      </c>
      <c r="K3239">
        <v>1.6429714800757701E-2</v>
      </c>
      <c r="L3239">
        <v>672.39769700036095</v>
      </c>
      <c r="M3239">
        <v>14.076385996324801</v>
      </c>
      <c r="N3239">
        <v>47.767779669661103</v>
      </c>
      <c r="O3239">
        <v>46.834714712943203</v>
      </c>
      <c r="P3239">
        <v>-7.5148368332805707E-2</v>
      </c>
      <c r="Q3239">
        <v>0</v>
      </c>
      <c r="R3239">
        <v>0.98899013384276102</v>
      </c>
      <c r="S3239" t="s">
        <v>7535</v>
      </c>
      <c r="T3239" t="s">
        <v>8590</v>
      </c>
      <c r="U3239" t="s">
        <v>8590</v>
      </c>
      <c r="V3239" t="s">
        <v>8590</v>
      </c>
      <c r="W3239">
        <v>2</v>
      </c>
      <c r="X3239" t="s">
        <v>11829</v>
      </c>
      <c r="Y3239">
        <v>0.28842893207036641</v>
      </c>
      <c r="Z3239" t="str">
        <f>HYPERLINK("Melting_Curves/meltCurve_sp_Q9NWX6_THG1_HUMAN_.pdf", "Melting_Curves/meltCurve_sp_Q9NWX6_THG1_HUMAN_.pdf")</f>
        <v>Melting_Curves/meltCurve_sp_Q9NWX6_THG1_HUMAN_.pdf</v>
      </c>
      <c r="AA3239" t="s">
        <v>16078</v>
      </c>
      <c r="AB3239" t="s">
        <v>20322</v>
      </c>
    </row>
    <row r="3240" spans="1:28" x14ac:dyDescent="0.25">
      <c r="A3240" t="s">
        <v>3244</v>
      </c>
      <c r="B3240">
        <v>0.99876560204751996</v>
      </c>
      <c r="C3240">
        <v>0.78139795576095405</v>
      </c>
      <c r="D3240">
        <v>0.97824708910574598</v>
      </c>
      <c r="E3240">
        <v>0.67119738931649697</v>
      </c>
      <c r="F3240">
        <v>0.33434426721773203</v>
      </c>
      <c r="G3240">
        <v>0.42346680595604302</v>
      </c>
      <c r="H3240">
        <v>0.17668650456833601</v>
      </c>
      <c r="I3240">
        <v>5.4250389274981402E-2</v>
      </c>
      <c r="J3240">
        <v>0.104596874540355</v>
      </c>
      <c r="K3240">
        <v>0.22040034376659301</v>
      </c>
      <c r="L3240">
        <v>758.24061609429396</v>
      </c>
      <c r="M3240">
        <v>14.766913781122501</v>
      </c>
      <c r="N3240">
        <v>52.261109392483398</v>
      </c>
      <c r="O3240">
        <v>50.433197435109797</v>
      </c>
      <c r="P3240">
        <v>-6.4878227092392299E-2</v>
      </c>
      <c r="Q3240">
        <v>0.113785040795189</v>
      </c>
      <c r="R3240">
        <v>0.91340744883147296</v>
      </c>
      <c r="S3240" t="s">
        <v>7536</v>
      </c>
      <c r="T3240" t="s">
        <v>8590</v>
      </c>
      <c r="U3240" t="s">
        <v>8590</v>
      </c>
      <c r="V3240" t="s">
        <v>8590</v>
      </c>
      <c r="W3240">
        <v>2</v>
      </c>
      <c r="X3240" t="s">
        <v>11830</v>
      </c>
      <c r="Y3240">
        <v>0.46975406621100418</v>
      </c>
      <c r="Z3240" t="str">
        <f>HYPERLINK("Melting_Curves/meltCurve_sp_Q9NWY4_CD027_HUMAN_.pdf", "Melting_Curves/meltCurve_sp_Q9NWY4_CD027_HUMAN_.pdf")</f>
        <v>Melting_Curves/meltCurve_sp_Q9NWY4_CD027_HUMAN_.pdf</v>
      </c>
      <c r="AA3240" t="s">
        <v>16079</v>
      </c>
      <c r="AB3240" t="s">
        <v>20323</v>
      </c>
    </row>
    <row r="3241" spans="1:28" x14ac:dyDescent="0.25">
      <c r="A3241" t="s">
        <v>3245</v>
      </c>
      <c r="B3241">
        <v>0.99876560204751996</v>
      </c>
      <c r="C3241">
        <v>0.90088203793122901</v>
      </c>
      <c r="D3241">
        <v>0.64189892758876399</v>
      </c>
      <c r="E3241">
        <v>0.45676367525056599</v>
      </c>
      <c r="F3241">
        <v>0.16694905377727201</v>
      </c>
      <c r="G3241">
        <v>0.106523526431372</v>
      </c>
      <c r="H3241">
        <v>3.1323595709371897E-2</v>
      </c>
      <c r="I3241">
        <v>3.5116315175727698E-2</v>
      </c>
      <c r="J3241">
        <v>0</v>
      </c>
      <c r="K3241">
        <v>2.8578476804135999E-2</v>
      </c>
      <c r="L3241">
        <v>744.46556579666901</v>
      </c>
      <c r="M3241">
        <v>15.347350483054599</v>
      </c>
      <c r="N3241">
        <v>48.521019666746199</v>
      </c>
      <c r="O3241">
        <v>47.706572149992397</v>
      </c>
      <c r="P3241">
        <v>-8.0264852719489105E-2</v>
      </c>
      <c r="Q3241">
        <v>2.09293618573858E-3</v>
      </c>
      <c r="R3241">
        <v>0.99044886293703405</v>
      </c>
      <c r="S3241" t="s">
        <v>7537</v>
      </c>
      <c r="T3241" t="s">
        <v>8590</v>
      </c>
      <c r="U3241" t="s">
        <v>8590</v>
      </c>
      <c r="V3241" t="s">
        <v>8590</v>
      </c>
      <c r="W3241">
        <v>1</v>
      </c>
      <c r="X3241" t="s">
        <v>11831</v>
      </c>
      <c r="Y3241">
        <v>0.30911033398964027</v>
      </c>
      <c r="Z3241" t="str">
        <f>HYPERLINK("Melting_Curves/meltCurve_sp_Q9NWZ3_IRAK4_HUMAN_.pdf", "Melting_Curves/meltCurve_sp_Q9NWZ3_IRAK4_HUMAN_.pdf")</f>
        <v>Melting_Curves/meltCurve_sp_Q9NWZ3_IRAK4_HUMAN_.pdf</v>
      </c>
      <c r="AA3241" t="s">
        <v>16080</v>
      </c>
      <c r="AB3241" t="s">
        <v>20324</v>
      </c>
    </row>
    <row r="3242" spans="1:28" x14ac:dyDescent="0.25">
      <c r="A3242" t="s">
        <v>3246</v>
      </c>
      <c r="B3242">
        <v>0.99876560204751996</v>
      </c>
      <c r="C3242">
        <v>0.82683948754320002</v>
      </c>
      <c r="D3242">
        <v>0.90533453546276899</v>
      </c>
      <c r="E3242">
        <v>0.710909307681169</v>
      </c>
      <c r="F3242">
        <v>0.49556218819310199</v>
      </c>
      <c r="G3242">
        <v>0.146077311648943</v>
      </c>
      <c r="H3242">
        <v>7.7592018158000403E-2</v>
      </c>
      <c r="I3242">
        <v>1.9384529045552001E-2</v>
      </c>
      <c r="J3242">
        <v>2.8977437100306602E-2</v>
      </c>
      <c r="K3242">
        <v>2.60384434540262E-2</v>
      </c>
      <c r="L3242">
        <v>906.77838159206203</v>
      </c>
      <c r="M3242">
        <v>17.2988150055772</v>
      </c>
      <c r="N3242">
        <v>52.418526045944397</v>
      </c>
      <c r="O3242">
        <v>51.733077568083601</v>
      </c>
      <c r="P3242">
        <v>-8.3601314444347305E-2</v>
      </c>
      <c r="Q3242">
        <v>0</v>
      </c>
      <c r="R3242">
        <v>0.98058352335343901</v>
      </c>
      <c r="S3242" t="s">
        <v>7538</v>
      </c>
      <c r="T3242" t="s">
        <v>8590</v>
      </c>
      <c r="U3242" t="s">
        <v>8590</v>
      </c>
      <c r="V3242" t="s">
        <v>8590</v>
      </c>
      <c r="W3242">
        <v>1</v>
      </c>
      <c r="X3242" t="s">
        <v>11832</v>
      </c>
      <c r="Y3242">
        <v>0.43160620709373992</v>
      </c>
      <c r="Z3242" t="str">
        <f>HYPERLINK("Melting_Curves/meltCurve_sp_Q9NX01_TXN4B_HUMAN_.pdf", "Melting_Curves/meltCurve_sp_Q9NX01_TXN4B_HUMAN_.pdf")</f>
        <v>Melting_Curves/meltCurve_sp_Q9NX01_TXN4B_HUMAN_.pdf</v>
      </c>
      <c r="AA3242" t="s">
        <v>16081</v>
      </c>
      <c r="AB3242" t="s">
        <v>20325</v>
      </c>
    </row>
    <row r="3243" spans="1:28" x14ac:dyDescent="0.25">
      <c r="A3243" t="s">
        <v>3247</v>
      </c>
      <c r="B3243">
        <v>0.99876560204751996</v>
      </c>
      <c r="C3243">
        <v>1.1124978969511301</v>
      </c>
      <c r="D3243">
        <v>1.08599854166966</v>
      </c>
      <c r="E3243">
        <v>0.78348736692717402</v>
      </c>
      <c r="F3243">
        <v>0.35437806605163802</v>
      </c>
      <c r="G3243">
        <v>0.201224591940912</v>
      </c>
      <c r="H3243">
        <v>0.16394849681523499</v>
      </c>
      <c r="I3243">
        <v>0.108712387360232</v>
      </c>
      <c r="J3243">
        <v>0.10991160993219599</v>
      </c>
      <c r="K3243">
        <v>0.16854728458361301</v>
      </c>
      <c r="L3243">
        <v>1992.98567203619</v>
      </c>
      <c r="M3243">
        <v>38.724818094140801</v>
      </c>
      <c r="N3243">
        <v>51.926505508427603</v>
      </c>
      <c r="O3243">
        <v>51.328664138296901</v>
      </c>
      <c r="P3243">
        <v>-0.16116872243486399</v>
      </c>
      <c r="Q3243">
        <v>0.14550346511956</v>
      </c>
      <c r="R3243">
        <v>0.98426336234516698</v>
      </c>
      <c r="S3243" t="s">
        <v>7539</v>
      </c>
      <c r="T3243" t="s">
        <v>8590</v>
      </c>
      <c r="U3243" t="s">
        <v>8590</v>
      </c>
      <c r="V3243" t="s">
        <v>8590</v>
      </c>
      <c r="W3243">
        <v>1</v>
      </c>
      <c r="X3243" t="s">
        <v>11833</v>
      </c>
      <c r="Y3243">
        <v>0.47531690374287788</v>
      </c>
      <c r="Z3243" t="str">
        <f>HYPERLINK("Melting_Curves/meltCurve_sp_Q9NX07_2_TSAP1_HUMAN_.pdf", "Melting_Curves/meltCurve_sp_Q9NX07_2_TSAP1_HUMAN_.pdf")</f>
        <v>Melting_Curves/meltCurve_sp_Q9NX07_2_TSAP1_HUMAN_.pdf</v>
      </c>
      <c r="AA3243" t="s">
        <v>16082</v>
      </c>
      <c r="AB3243" t="s">
        <v>20326</v>
      </c>
    </row>
    <row r="3244" spans="1:28" x14ac:dyDescent="0.25">
      <c r="A3244" t="s">
        <v>3248</v>
      </c>
      <c r="B3244">
        <v>0.99876560204751996</v>
      </c>
      <c r="C3244">
        <v>1.0393270752396</v>
      </c>
      <c r="D3244">
        <v>1.0069544603163501</v>
      </c>
      <c r="E3244">
        <v>0.90629099270451297</v>
      </c>
      <c r="F3244">
        <v>0.43879337902850402</v>
      </c>
      <c r="G3244">
        <v>0.19593854800608601</v>
      </c>
      <c r="H3244">
        <v>9.5378911020493395E-2</v>
      </c>
      <c r="I3244">
        <v>6.52338417303409E-2</v>
      </c>
      <c r="J3244">
        <v>8.5189209261293905E-2</v>
      </c>
      <c r="K3244">
        <v>7.6283541426215906E-2</v>
      </c>
      <c r="L3244">
        <v>1989.91833770012</v>
      </c>
      <c r="M3244">
        <v>37.913879296991901</v>
      </c>
      <c r="N3244">
        <v>52.765230478421699</v>
      </c>
      <c r="O3244">
        <v>52.339847829694598</v>
      </c>
      <c r="P3244">
        <v>-0.16459347707196401</v>
      </c>
      <c r="Q3244">
        <v>9.1121754899486707E-2</v>
      </c>
      <c r="R3244">
        <v>0.99559566743712102</v>
      </c>
      <c r="S3244" t="s">
        <v>7540</v>
      </c>
      <c r="T3244" t="s">
        <v>8590</v>
      </c>
      <c r="U3244" t="s">
        <v>8590</v>
      </c>
      <c r="V3244" t="s">
        <v>8590</v>
      </c>
      <c r="W3244">
        <v>3</v>
      </c>
      <c r="X3244" t="s">
        <v>11834</v>
      </c>
      <c r="Y3244">
        <v>0.47304229857344993</v>
      </c>
      <c r="Z3244" t="str">
        <f>HYPERLINK("Melting_Curves/meltCurve_sp_Q9NX08_COMD8_HUMAN_.pdf", "Melting_Curves/meltCurve_sp_Q9NX08_COMD8_HUMAN_.pdf")</f>
        <v>Melting_Curves/meltCurve_sp_Q9NX08_COMD8_HUMAN_.pdf</v>
      </c>
      <c r="AA3244" t="s">
        <v>16083</v>
      </c>
      <c r="AB3244" t="s">
        <v>20327</v>
      </c>
    </row>
    <row r="3245" spans="1:28" x14ac:dyDescent="0.25">
      <c r="A3245" t="s">
        <v>3249</v>
      </c>
      <c r="B3245">
        <v>0.99876560204751996</v>
      </c>
      <c r="C3245">
        <v>1.13188597797288</v>
      </c>
      <c r="D3245">
        <v>0.78786565151299603</v>
      </c>
      <c r="E3245">
        <v>0.546695194405586</v>
      </c>
      <c r="F3245">
        <v>0.32154985232621602</v>
      </c>
      <c r="G3245">
        <v>0.15225557988371299</v>
      </c>
      <c r="H3245">
        <v>0.108182002651747</v>
      </c>
      <c r="I3245">
        <v>0.136419656428165</v>
      </c>
      <c r="J3245">
        <v>0.17743498787926201</v>
      </c>
      <c r="K3245">
        <v>0.12503699705320701</v>
      </c>
      <c r="L3245">
        <v>1079.00027899171</v>
      </c>
      <c r="M3245">
        <v>21.7387878572764</v>
      </c>
      <c r="N3245">
        <v>50.321934082983503</v>
      </c>
      <c r="O3245">
        <v>49.220483106876401</v>
      </c>
      <c r="P3245">
        <v>-9.6238382582389495E-2</v>
      </c>
      <c r="Q3245">
        <v>0.12841673664483699</v>
      </c>
      <c r="R3245">
        <v>0.97375318539883804</v>
      </c>
      <c r="S3245" t="s">
        <v>7541</v>
      </c>
      <c r="T3245" t="s">
        <v>8590</v>
      </c>
      <c r="U3245" t="s">
        <v>8590</v>
      </c>
      <c r="V3245" t="s">
        <v>8590</v>
      </c>
      <c r="W3245">
        <v>1</v>
      </c>
      <c r="X3245" t="s">
        <v>11835</v>
      </c>
      <c r="Y3245">
        <v>0.41862695667249999</v>
      </c>
      <c r="Z3245" t="str">
        <f>HYPERLINK("Melting_Curves/meltCurve_sp_Q9NX14_NDUBB_HUMAN_.pdf", "Melting_Curves/meltCurve_sp_Q9NX14_NDUBB_HUMAN_.pdf")</f>
        <v>Melting_Curves/meltCurve_sp_Q9NX14_NDUBB_HUMAN_.pdf</v>
      </c>
      <c r="AA3245" t="s">
        <v>16084</v>
      </c>
      <c r="AB3245" t="s">
        <v>20328</v>
      </c>
    </row>
    <row r="3246" spans="1:28" x14ac:dyDescent="0.25">
      <c r="A3246" t="s">
        <v>3250</v>
      </c>
      <c r="B3246">
        <v>0.99876560204751996</v>
      </c>
      <c r="C3246">
        <v>1.0187526231861901</v>
      </c>
      <c r="D3246">
        <v>0.99436222027394905</v>
      </c>
      <c r="E3246">
        <v>0.97064849688577703</v>
      </c>
      <c r="F3246">
        <v>0.70507251568407203</v>
      </c>
      <c r="G3246">
        <v>0.32025910282174402</v>
      </c>
      <c r="H3246">
        <v>0.24811110505981099</v>
      </c>
      <c r="I3246">
        <v>0.18504490060292</v>
      </c>
      <c r="J3246">
        <v>0.13415195532945901</v>
      </c>
      <c r="K3246">
        <v>0.130598574856849</v>
      </c>
      <c r="L3246">
        <v>1553.34672659014</v>
      </c>
      <c r="M3246">
        <v>28.614080311818299</v>
      </c>
      <c r="N3246">
        <v>55.021005620497696</v>
      </c>
      <c r="O3246">
        <v>54.023026497203197</v>
      </c>
      <c r="P3246">
        <v>-0.11138695146064601</v>
      </c>
      <c r="Q3246">
        <v>0.158817918662021</v>
      </c>
      <c r="R3246">
        <v>0.99515112955103502</v>
      </c>
      <c r="S3246" t="s">
        <v>7542</v>
      </c>
      <c r="T3246" t="s">
        <v>8590</v>
      </c>
      <c r="U3246" t="s">
        <v>8590</v>
      </c>
      <c r="V3246" t="s">
        <v>8590</v>
      </c>
      <c r="W3246">
        <v>4</v>
      </c>
      <c r="X3246" t="s">
        <v>11836</v>
      </c>
      <c r="Y3246">
        <v>0.56545757368687999</v>
      </c>
      <c r="Z3246" t="str">
        <f>HYPERLINK("Melting_Curves/meltCurve_sp_Q9NX38_F206A_HUMAN_.pdf", "Melting_Curves/meltCurve_sp_Q9NX38_F206A_HUMAN_.pdf")</f>
        <v>Melting_Curves/meltCurve_sp_Q9NX38_F206A_HUMAN_.pdf</v>
      </c>
      <c r="AA3246" t="s">
        <v>16085</v>
      </c>
      <c r="AB3246" t="s">
        <v>20329</v>
      </c>
    </row>
    <row r="3247" spans="1:28" x14ac:dyDescent="0.25">
      <c r="A3247" t="s">
        <v>3251</v>
      </c>
      <c r="B3247">
        <v>0.99876560204751996</v>
      </c>
      <c r="C3247">
        <v>0.89783476562764397</v>
      </c>
      <c r="D3247">
        <v>0.78226036626936701</v>
      </c>
      <c r="E3247">
        <v>0.375086481248462</v>
      </c>
      <c r="F3247">
        <v>0.224186091114425</v>
      </c>
      <c r="G3247">
        <v>0.134343709989001</v>
      </c>
      <c r="H3247">
        <v>0.11673533175796599</v>
      </c>
      <c r="I3247">
        <v>9.7114823395593602E-2</v>
      </c>
      <c r="J3247">
        <v>9.0159104129224593E-2</v>
      </c>
      <c r="K3247">
        <v>7.0715460267409505E-2</v>
      </c>
      <c r="L3247">
        <v>973.096870236472</v>
      </c>
      <c r="M3247">
        <v>20.148261439507898</v>
      </c>
      <c r="N3247">
        <v>48.765901459600997</v>
      </c>
      <c r="O3247">
        <v>47.8285999633625</v>
      </c>
      <c r="P3247">
        <v>-9.6040526917855806E-2</v>
      </c>
      <c r="Q3247">
        <v>8.8092300614915797E-2</v>
      </c>
      <c r="R3247">
        <v>0.99747403990486705</v>
      </c>
      <c r="S3247" t="s">
        <v>7543</v>
      </c>
      <c r="T3247" t="s">
        <v>8590</v>
      </c>
      <c r="U3247" t="s">
        <v>8590</v>
      </c>
      <c r="V3247" t="s">
        <v>8590</v>
      </c>
      <c r="W3247">
        <v>7</v>
      </c>
      <c r="X3247" t="s">
        <v>11837</v>
      </c>
      <c r="Y3247">
        <v>0.35298032043149169</v>
      </c>
      <c r="Z3247" t="str">
        <f>HYPERLINK("Melting_Curves/meltCurve_sp_Q9NX46_ARHL2_HUMAN_.pdf", "Melting_Curves/meltCurve_sp_Q9NX46_ARHL2_HUMAN_.pdf")</f>
        <v>Melting_Curves/meltCurve_sp_Q9NX46_ARHL2_HUMAN_.pdf</v>
      </c>
      <c r="AA3247" t="s">
        <v>16086</v>
      </c>
      <c r="AB3247" t="s">
        <v>20330</v>
      </c>
    </row>
    <row r="3248" spans="1:28" x14ac:dyDescent="0.25">
      <c r="A3248" t="s">
        <v>3252</v>
      </c>
      <c r="B3248">
        <v>0.99876560204751996</v>
      </c>
      <c r="C3248">
        <v>0.98067647397996005</v>
      </c>
      <c r="D3248">
        <v>1.0151759978872501</v>
      </c>
      <c r="E3248">
        <v>0.90715699211449297</v>
      </c>
      <c r="F3248">
        <v>0.81222579834682795</v>
      </c>
      <c r="G3248">
        <v>0.50289920837424595</v>
      </c>
      <c r="H3248">
        <v>0.416648176661293</v>
      </c>
      <c r="I3248">
        <v>0.41788659968642899</v>
      </c>
      <c r="J3248">
        <v>0.48899168076595201</v>
      </c>
      <c r="K3248">
        <v>0.45502564441481702</v>
      </c>
      <c r="L3248">
        <v>1766.82288476848</v>
      </c>
      <c r="M3248">
        <v>32.840692985769003</v>
      </c>
      <c r="N3248">
        <v>57.496868520956298</v>
      </c>
      <c r="O3248">
        <v>53.601496348602303</v>
      </c>
      <c r="P3248">
        <v>-8.5855288947222302E-2</v>
      </c>
      <c r="Q3248">
        <v>0.43948186040975801</v>
      </c>
      <c r="R3248">
        <v>0.98669974758980805</v>
      </c>
      <c r="S3248" t="s">
        <v>7544</v>
      </c>
      <c r="T3248" t="s">
        <v>8590</v>
      </c>
      <c r="U3248" t="s">
        <v>8590</v>
      </c>
      <c r="V3248" t="s">
        <v>8590</v>
      </c>
      <c r="W3248">
        <v>3</v>
      </c>
      <c r="X3248" t="s">
        <v>11838</v>
      </c>
      <c r="Y3248">
        <v>0.70039519994550781</v>
      </c>
      <c r="Z3248" t="str">
        <f>HYPERLINK("Melting_Curves/meltCurve_sp_Q9NX55_HYPK_HUMAN_.pdf", "Melting_Curves/meltCurve_sp_Q9NX55_HYPK_HUMAN_.pdf")</f>
        <v>Melting_Curves/meltCurve_sp_Q9NX55_HYPK_HUMAN_.pdf</v>
      </c>
      <c r="AA3248" t="s">
        <v>16087</v>
      </c>
      <c r="AB3248" t="s">
        <v>20331</v>
      </c>
    </row>
    <row r="3249" spans="1:28" x14ac:dyDescent="0.25">
      <c r="A3249" t="s">
        <v>3253</v>
      </c>
      <c r="B3249">
        <v>0.99876560204751996</v>
      </c>
      <c r="C3249">
        <v>1.10879702074744</v>
      </c>
      <c r="D3249">
        <v>0.85138980784723695</v>
      </c>
      <c r="E3249">
        <v>0.75464662380540504</v>
      </c>
      <c r="F3249">
        <v>0.26164970786170699</v>
      </c>
      <c r="G3249">
        <v>0.132870677877759</v>
      </c>
      <c r="H3249">
        <v>0.11692017244121999</v>
      </c>
      <c r="I3249">
        <v>6.5692680933775394E-2</v>
      </c>
      <c r="J3249">
        <v>7.6846683867451401E-2</v>
      </c>
      <c r="K3249">
        <v>8.2520857262618E-2</v>
      </c>
      <c r="L3249">
        <v>1877.20024068557</v>
      </c>
      <c r="M3249">
        <v>36.6913824325975</v>
      </c>
      <c r="N3249">
        <v>51.430861539074499</v>
      </c>
      <c r="O3249">
        <v>51.010623506666803</v>
      </c>
      <c r="P3249">
        <v>-0.16412382631678399</v>
      </c>
      <c r="Q3249">
        <v>8.7302453744045494E-2</v>
      </c>
      <c r="R3249">
        <v>0.97989157281996198</v>
      </c>
      <c r="S3249" t="s">
        <v>7545</v>
      </c>
      <c r="T3249" t="s">
        <v>8590</v>
      </c>
      <c r="U3249" t="s">
        <v>8590</v>
      </c>
      <c r="V3249" t="s">
        <v>8590</v>
      </c>
      <c r="W3249">
        <v>2</v>
      </c>
      <c r="X3249" t="s">
        <v>11839</v>
      </c>
      <c r="Y3249">
        <v>0.43072335811208889</v>
      </c>
      <c r="Z3249" t="str">
        <f>HYPERLINK("Melting_Curves/meltCurve_sp_Q9NX74_DUS2L_HUMAN_.pdf", "Melting_Curves/meltCurve_sp_Q9NX74_DUS2L_HUMAN_.pdf")</f>
        <v>Melting_Curves/meltCurve_sp_Q9NX74_DUS2L_HUMAN_.pdf</v>
      </c>
      <c r="AA3249" t="s">
        <v>16088</v>
      </c>
      <c r="AB3249" t="s">
        <v>20332</v>
      </c>
    </row>
    <row r="3250" spans="1:28" x14ac:dyDescent="0.25">
      <c r="A3250" t="s">
        <v>3254</v>
      </c>
      <c r="B3250">
        <v>0.99876560204751996</v>
      </c>
      <c r="C3250">
        <v>0.92819854353457498</v>
      </c>
      <c r="D3250">
        <v>1.0208362385724901</v>
      </c>
      <c r="E3250">
        <v>0.82865477398029597</v>
      </c>
      <c r="F3250">
        <v>0.49361556396047801</v>
      </c>
      <c r="G3250">
        <v>0.140916066846906</v>
      </c>
      <c r="H3250">
        <v>8.1381886630210801E-2</v>
      </c>
      <c r="I3250">
        <v>5.6433763706268202E-2</v>
      </c>
      <c r="J3250">
        <v>5.6431265575483502E-2</v>
      </c>
      <c r="K3250">
        <v>5.1345394665161401E-2</v>
      </c>
      <c r="L3250">
        <v>1536.0791086900799</v>
      </c>
      <c r="M3250">
        <v>29.147185987824201</v>
      </c>
      <c r="N3250">
        <v>52.9072136766383</v>
      </c>
      <c r="O3250">
        <v>52.454572704923301</v>
      </c>
      <c r="P3250">
        <v>-0.131450294790488</v>
      </c>
      <c r="Q3250">
        <v>5.3751840092132699E-2</v>
      </c>
      <c r="R3250">
        <v>0.99620974315705801</v>
      </c>
      <c r="S3250" t="s">
        <v>7546</v>
      </c>
      <c r="T3250" t="s">
        <v>8590</v>
      </c>
      <c r="U3250" t="s">
        <v>8590</v>
      </c>
      <c r="V3250" t="s">
        <v>8590</v>
      </c>
      <c r="W3250">
        <v>13</v>
      </c>
      <c r="X3250" t="s">
        <v>11840</v>
      </c>
      <c r="Y3250">
        <v>0.46082050090687748</v>
      </c>
      <c r="Z3250" t="str">
        <f>HYPERLINK("Melting_Curves/meltCurve_sp_Q9NXA8_SIR5_HUMAN_.pdf", "Melting_Curves/meltCurve_sp_Q9NXA8_SIR5_HUMAN_.pdf")</f>
        <v>Melting_Curves/meltCurve_sp_Q9NXA8_SIR5_HUMAN_.pdf</v>
      </c>
      <c r="AA3250" t="s">
        <v>16089</v>
      </c>
      <c r="AB3250" t="s">
        <v>20333</v>
      </c>
    </row>
    <row r="3251" spans="1:28" x14ac:dyDescent="0.25">
      <c r="A3251" t="s">
        <v>3255</v>
      </c>
      <c r="B3251">
        <v>0.99876560204751996</v>
      </c>
      <c r="C3251">
        <v>1.0234805409859999</v>
      </c>
      <c r="D3251">
        <v>0.86270388704284195</v>
      </c>
      <c r="E3251">
        <v>0.74159062087879501</v>
      </c>
      <c r="F3251">
        <v>0.38812981529267898</v>
      </c>
      <c r="G3251">
        <v>0.19141743687188101</v>
      </c>
      <c r="H3251">
        <v>0.1048660610401</v>
      </c>
      <c r="I3251">
        <v>8.7262338491212205E-2</v>
      </c>
      <c r="J3251">
        <v>7.6318790859362606E-2</v>
      </c>
      <c r="K3251">
        <v>6.0367279519434699E-2</v>
      </c>
      <c r="L3251">
        <v>1061.1234005798101</v>
      </c>
      <c r="M3251">
        <v>20.508087712305699</v>
      </c>
      <c r="N3251">
        <v>52.086769976442604</v>
      </c>
      <c r="O3251">
        <v>51.257267705154</v>
      </c>
      <c r="P3251">
        <v>-9.3674596430538201E-2</v>
      </c>
      <c r="Q3251">
        <v>6.3518274662900706E-2</v>
      </c>
      <c r="R3251">
        <v>0.99341615965198005</v>
      </c>
      <c r="S3251" t="s">
        <v>7547</v>
      </c>
      <c r="T3251" t="s">
        <v>8590</v>
      </c>
      <c r="U3251" t="s">
        <v>8590</v>
      </c>
      <c r="V3251" t="s">
        <v>8590</v>
      </c>
      <c r="W3251">
        <v>7</v>
      </c>
      <c r="X3251" t="s">
        <v>11841</v>
      </c>
      <c r="Y3251">
        <v>0.44244094836204428</v>
      </c>
      <c r="Z3251" t="str">
        <f>HYPERLINK("Melting_Curves/meltCurve_sp_Q9NXD2_MTMRA_HUMAN_.pdf", "Melting_Curves/meltCurve_sp_Q9NXD2_MTMRA_HUMAN_.pdf")</f>
        <v>Melting_Curves/meltCurve_sp_Q9NXD2_MTMRA_HUMAN_.pdf</v>
      </c>
      <c r="AA3251" t="s">
        <v>16090</v>
      </c>
      <c r="AB3251" t="s">
        <v>20334</v>
      </c>
    </row>
    <row r="3252" spans="1:28" x14ac:dyDescent="0.25">
      <c r="A3252" t="s">
        <v>3256</v>
      </c>
      <c r="B3252">
        <v>0.99876560204751996</v>
      </c>
      <c r="C3252">
        <v>0.94685300500793801</v>
      </c>
      <c r="D3252">
        <v>0.94886874274625399</v>
      </c>
      <c r="E3252">
        <v>0.90430581042204305</v>
      </c>
      <c r="F3252">
        <v>0.80295635442955704</v>
      </c>
      <c r="G3252">
        <v>0.70797427529726398</v>
      </c>
      <c r="H3252">
        <v>0.45976940651835002</v>
      </c>
      <c r="I3252">
        <v>0.23015250311705099</v>
      </c>
      <c r="J3252">
        <v>0.121522915293595</v>
      </c>
      <c r="K3252">
        <v>8.2525833859381503E-2</v>
      </c>
      <c r="L3252">
        <v>881.01239751228297</v>
      </c>
      <c r="M3252">
        <v>14.799226351287601</v>
      </c>
      <c r="N3252">
        <v>59.5309768492315</v>
      </c>
      <c r="O3252">
        <v>58.475713618675599</v>
      </c>
      <c r="P3252">
        <v>-6.3277562675003299E-2</v>
      </c>
      <c r="Q3252">
        <v>0</v>
      </c>
      <c r="R3252">
        <v>0.98619665266822298</v>
      </c>
      <c r="S3252" t="s">
        <v>7548</v>
      </c>
      <c r="T3252" t="s">
        <v>8590</v>
      </c>
      <c r="U3252" t="s">
        <v>8590</v>
      </c>
      <c r="V3252" t="s">
        <v>8590</v>
      </c>
      <c r="W3252">
        <v>14</v>
      </c>
      <c r="X3252" t="s">
        <v>11842</v>
      </c>
      <c r="Y3252">
        <v>0.65956147461681547</v>
      </c>
      <c r="Z3252" t="str">
        <f>HYPERLINK("Melting_Curves/meltCurve_sp_Q9NXG2_THUM1_HUMAN_.pdf", "Melting_Curves/meltCurve_sp_Q9NXG2_THUM1_HUMAN_.pdf")</f>
        <v>Melting_Curves/meltCurve_sp_Q9NXG2_THUM1_HUMAN_.pdf</v>
      </c>
      <c r="AA3252" t="s">
        <v>16091</v>
      </c>
      <c r="AB3252" t="s">
        <v>20335</v>
      </c>
    </row>
    <row r="3253" spans="1:28" x14ac:dyDescent="0.25">
      <c r="A3253" t="s">
        <v>3257</v>
      </c>
      <c r="B3253">
        <v>0.99876560204751996</v>
      </c>
      <c r="C3253">
        <v>1.04465118923378</v>
      </c>
      <c r="D3253">
        <v>0.88650508357454505</v>
      </c>
      <c r="E3253">
        <v>0.95380227410650098</v>
      </c>
      <c r="F3253">
        <v>0.91271722265028898</v>
      </c>
      <c r="G3253">
        <v>0.60146865455557796</v>
      </c>
      <c r="H3253">
        <v>9.4018649711563207E-2</v>
      </c>
      <c r="I3253">
        <v>3.8807237591575498E-2</v>
      </c>
      <c r="J3253">
        <v>1.46570448515966E-2</v>
      </c>
      <c r="K3253">
        <v>0</v>
      </c>
      <c r="L3253">
        <v>1992.6526021131499</v>
      </c>
      <c r="M3253">
        <v>34.6296738210009</v>
      </c>
      <c r="N3253">
        <v>57.541766538571899</v>
      </c>
      <c r="O3253">
        <v>57.350897610330001</v>
      </c>
      <c r="P3253">
        <v>-0.15095580107992301</v>
      </c>
      <c r="Q3253">
        <v>0</v>
      </c>
      <c r="R3253">
        <v>0.98988598352389401</v>
      </c>
      <c r="S3253" t="s">
        <v>7549</v>
      </c>
      <c r="T3253" t="s">
        <v>8590</v>
      </c>
      <c r="U3253" t="s">
        <v>8590</v>
      </c>
      <c r="V3253" t="s">
        <v>8590</v>
      </c>
      <c r="W3253">
        <v>9</v>
      </c>
      <c r="X3253" t="s">
        <v>11843</v>
      </c>
      <c r="Y3253">
        <v>0.58986373648419588</v>
      </c>
      <c r="Z3253" t="str">
        <f>HYPERLINK("Melting_Curves/meltCurve_sp_Q9NXH9_TRM1_HUMAN_.pdf", "Melting_Curves/meltCurve_sp_Q9NXH9_TRM1_HUMAN_.pdf")</f>
        <v>Melting_Curves/meltCurve_sp_Q9NXH9_TRM1_HUMAN_.pdf</v>
      </c>
      <c r="AA3253" t="s">
        <v>16092</v>
      </c>
      <c r="AB3253" t="s">
        <v>20336</v>
      </c>
    </row>
    <row r="3254" spans="1:28" x14ac:dyDescent="0.25">
      <c r="A3254" t="s">
        <v>3258</v>
      </c>
      <c r="B3254">
        <v>0.99876560204751996</v>
      </c>
      <c r="C3254">
        <v>0.96839178088477995</v>
      </c>
      <c r="D3254">
        <v>0.85743389493352995</v>
      </c>
      <c r="E3254">
        <v>0.89886558592789001</v>
      </c>
      <c r="F3254">
        <v>0.64259292455093697</v>
      </c>
      <c r="G3254">
        <v>0.50871853761382801</v>
      </c>
      <c r="H3254">
        <v>0.26995142224966501</v>
      </c>
      <c r="I3254">
        <v>0.16588819324329601</v>
      </c>
      <c r="J3254">
        <v>8.7079449718044502E-2</v>
      </c>
      <c r="K3254">
        <v>7.2757079178504894E-2</v>
      </c>
      <c r="L3254">
        <v>721.019498863085</v>
      </c>
      <c r="M3254">
        <v>12.800265979753901</v>
      </c>
      <c r="N3254">
        <v>56.328477807863997</v>
      </c>
      <c r="O3254">
        <v>55.006782917635903</v>
      </c>
      <c r="P3254">
        <v>-5.8186768377043001E-2</v>
      </c>
      <c r="Q3254">
        <v>0</v>
      </c>
      <c r="R3254">
        <v>0.98610231694193096</v>
      </c>
      <c r="S3254" t="s">
        <v>7550</v>
      </c>
      <c r="T3254" t="s">
        <v>8590</v>
      </c>
      <c r="U3254" t="s">
        <v>8590</v>
      </c>
      <c r="V3254" t="s">
        <v>8590</v>
      </c>
      <c r="W3254">
        <v>7</v>
      </c>
      <c r="X3254" t="s">
        <v>11844</v>
      </c>
      <c r="Y3254">
        <v>0.56313538510932526</v>
      </c>
      <c r="Z3254" t="str">
        <f>HYPERLINK("Melting_Curves/meltCurve_sp_Q9NXR7_4_BRE_HUMAN_.pdf", "Melting_Curves/meltCurve_sp_Q9NXR7_4_BRE_HUMAN_.pdf")</f>
        <v>Melting_Curves/meltCurve_sp_Q9NXR7_4_BRE_HUMAN_.pdf</v>
      </c>
      <c r="AA3254" t="s">
        <v>16093</v>
      </c>
      <c r="AB3254" t="s">
        <v>20337</v>
      </c>
    </row>
    <row r="3255" spans="1:28" x14ac:dyDescent="0.25">
      <c r="A3255" t="s">
        <v>3259</v>
      </c>
      <c r="B3255">
        <v>0.99876560204751996</v>
      </c>
      <c r="C3255">
        <v>0.79159466155413205</v>
      </c>
      <c r="D3255">
        <v>0.87422680113173501</v>
      </c>
      <c r="E3255">
        <v>0.77068945876958395</v>
      </c>
      <c r="F3255">
        <v>0.58010738022794195</v>
      </c>
      <c r="G3255">
        <v>0.38347293205267002</v>
      </c>
      <c r="H3255">
        <v>0.246188244006669</v>
      </c>
      <c r="I3255">
        <v>0.152714898462424</v>
      </c>
      <c r="J3255">
        <v>0.14860499754344</v>
      </c>
      <c r="K3255">
        <v>5.0131196496164897E-2</v>
      </c>
      <c r="L3255">
        <v>563.59552342091797</v>
      </c>
      <c r="M3255">
        <v>10.345694101340101</v>
      </c>
      <c r="N3255">
        <v>54.476337411750301</v>
      </c>
      <c r="O3255">
        <v>52.558827497213301</v>
      </c>
      <c r="P3255">
        <v>-4.9231083856273797E-2</v>
      </c>
      <c r="Q3255">
        <v>0</v>
      </c>
      <c r="R3255">
        <v>0.973079783528913</v>
      </c>
      <c r="S3255" t="s">
        <v>7551</v>
      </c>
      <c r="T3255" t="s">
        <v>8590</v>
      </c>
      <c r="U3255" t="s">
        <v>8590</v>
      </c>
      <c r="V3255" t="s">
        <v>8590</v>
      </c>
      <c r="W3255">
        <v>3</v>
      </c>
      <c r="X3255" t="s">
        <v>11845</v>
      </c>
      <c r="Y3255">
        <v>0.51019139256943635</v>
      </c>
      <c r="Z3255" t="str">
        <f>HYPERLINK("Melting_Curves/meltCurve_sp_Q9NXU5_ARL15_HUMAN_.pdf", "Melting_Curves/meltCurve_sp_Q9NXU5_ARL15_HUMAN_.pdf")</f>
        <v>Melting_Curves/meltCurve_sp_Q9NXU5_ARL15_HUMAN_.pdf</v>
      </c>
      <c r="AA3255" t="s">
        <v>16094</v>
      </c>
      <c r="AB3255" t="s">
        <v>20338</v>
      </c>
    </row>
    <row r="3256" spans="1:28" x14ac:dyDescent="0.25">
      <c r="A3256" t="s">
        <v>3260</v>
      </c>
      <c r="B3256">
        <v>0.99876560204751996</v>
      </c>
      <c r="C3256">
        <v>0.92077741672922098</v>
      </c>
      <c r="D3256">
        <v>0.93204265438138501</v>
      </c>
      <c r="E3256">
        <v>0.85683136040196295</v>
      </c>
      <c r="F3256">
        <v>0.71008153652240702</v>
      </c>
      <c r="G3256">
        <v>0.49945618032934502</v>
      </c>
      <c r="H3256">
        <v>0.41573390034493402</v>
      </c>
      <c r="I3256">
        <v>0.38920327406187999</v>
      </c>
      <c r="J3256">
        <v>0.454340331541635</v>
      </c>
      <c r="K3256">
        <v>0.46368225133430102</v>
      </c>
      <c r="L3256">
        <v>1104.6090882900401</v>
      </c>
      <c r="M3256">
        <v>20.997156703873301</v>
      </c>
      <c r="N3256">
        <v>57.548475631128397</v>
      </c>
      <c r="O3256">
        <v>52.137336446877299</v>
      </c>
      <c r="P3256">
        <v>-5.8641026482287903E-2</v>
      </c>
      <c r="Q3256">
        <v>0.41757716761400099</v>
      </c>
      <c r="R3256">
        <v>0.97479176919574995</v>
      </c>
      <c r="S3256" t="s">
        <v>7552</v>
      </c>
      <c r="T3256" t="s">
        <v>8590</v>
      </c>
      <c r="U3256" t="s">
        <v>8590</v>
      </c>
      <c r="V3256" t="s">
        <v>8590</v>
      </c>
      <c r="W3256">
        <v>13</v>
      </c>
      <c r="X3256" t="s">
        <v>11846</v>
      </c>
      <c r="Y3256">
        <v>0.66971571686623221</v>
      </c>
      <c r="Z3256" t="str">
        <f>HYPERLINK("Melting_Curves/meltCurve_sp_Q9NXV6_CARF_HUMAN_.pdf", "Melting_Curves/meltCurve_sp_Q9NXV6_CARF_HUMAN_.pdf")</f>
        <v>Melting_Curves/meltCurve_sp_Q9NXV6_CARF_HUMAN_.pdf</v>
      </c>
      <c r="AA3256" t="s">
        <v>16095</v>
      </c>
      <c r="AB3256" t="s">
        <v>20339</v>
      </c>
    </row>
    <row r="3257" spans="1:28" x14ac:dyDescent="0.25">
      <c r="A3257" t="s">
        <v>3261</v>
      </c>
      <c r="B3257">
        <v>0.99876560204751996</v>
      </c>
      <c r="C3257">
        <v>0.96390230061780802</v>
      </c>
      <c r="D3257">
        <v>1.09233636629812</v>
      </c>
      <c r="E3257">
        <v>0.94019919310674704</v>
      </c>
      <c r="F3257">
        <v>1.0275920153895299</v>
      </c>
      <c r="G3257">
        <v>0.78313876141215299</v>
      </c>
      <c r="H3257">
        <v>0.70383586226704398</v>
      </c>
      <c r="I3257">
        <v>0.66366529548277398</v>
      </c>
      <c r="J3257">
        <v>0.82491528028553396</v>
      </c>
      <c r="K3257">
        <v>0.73761629004189999</v>
      </c>
      <c r="L3257">
        <v>14167.081993084201</v>
      </c>
      <c r="M3257">
        <v>250</v>
      </c>
      <c r="O3257">
        <v>56.664700428258499</v>
      </c>
      <c r="P3257">
        <v>-0.29503797379067298</v>
      </c>
      <c r="Q3257">
        <v>0.73250818050049804</v>
      </c>
      <c r="R3257">
        <v>0.85975602895432501</v>
      </c>
      <c r="S3257" t="s">
        <v>7553</v>
      </c>
      <c r="T3257" t="s">
        <v>8590</v>
      </c>
      <c r="U3257" t="s">
        <v>8590</v>
      </c>
      <c r="V3257" t="s">
        <v>8590</v>
      </c>
      <c r="W3257">
        <v>5</v>
      </c>
      <c r="X3257" t="s">
        <v>11847</v>
      </c>
      <c r="Y3257">
        <v>0.8811561623504226</v>
      </c>
      <c r="Z3257" t="str">
        <f>HYPERLINK("Melting_Curves/meltCurve_sp_Q9NXW2_DJB12_HUMAN_.pdf", "Melting_Curves/meltCurve_sp_Q9NXW2_DJB12_HUMAN_.pdf")</f>
        <v>Melting_Curves/meltCurve_sp_Q9NXW2_DJB12_HUMAN_.pdf</v>
      </c>
      <c r="AA3257" t="s">
        <v>16096</v>
      </c>
      <c r="AB3257" t="s">
        <v>20340</v>
      </c>
    </row>
    <row r="3258" spans="1:28" x14ac:dyDescent="0.25">
      <c r="A3258" t="s">
        <v>3262</v>
      </c>
      <c r="B3258">
        <v>0.99876560204751996</v>
      </c>
      <c r="C3258">
        <v>0.92356789009113305</v>
      </c>
      <c r="D3258">
        <v>0.93451924077892101</v>
      </c>
      <c r="E3258">
        <v>0.54632470963927005</v>
      </c>
      <c r="F3258">
        <v>0.332730082512949</v>
      </c>
      <c r="G3258">
        <v>0.216569638498011</v>
      </c>
      <c r="H3258">
        <v>9.0325649712724498E-2</v>
      </c>
      <c r="I3258">
        <v>9.4082319596623304E-2</v>
      </c>
      <c r="J3258">
        <v>1.15604672776806E-2</v>
      </c>
      <c r="K3258">
        <v>1.8027074349180099E-2</v>
      </c>
      <c r="L3258">
        <v>873.13837927805503</v>
      </c>
      <c r="M3258">
        <v>17.181017029986499</v>
      </c>
      <c r="N3258">
        <v>51.0278945215194</v>
      </c>
      <c r="O3258">
        <v>50.146438166177298</v>
      </c>
      <c r="P3258">
        <v>-8.2762972295428394E-2</v>
      </c>
      <c r="Q3258">
        <v>3.3811783153042799E-2</v>
      </c>
      <c r="R3258">
        <v>0.99017785166363104</v>
      </c>
      <c r="S3258" t="s">
        <v>7554</v>
      </c>
      <c r="T3258" t="s">
        <v>8590</v>
      </c>
      <c r="U3258" t="s">
        <v>8590</v>
      </c>
      <c r="V3258" t="s">
        <v>8590</v>
      </c>
      <c r="W3258">
        <v>1</v>
      </c>
      <c r="X3258" t="s">
        <v>11848</v>
      </c>
      <c r="Y3258">
        <v>0.40002577004266271</v>
      </c>
      <c r="Z3258" t="str">
        <f>HYPERLINK("Melting_Curves/meltCurve_sp_Q9NXW9_ALKB4_HUMAN_.pdf", "Melting_Curves/meltCurve_sp_Q9NXW9_ALKB4_HUMAN_.pdf")</f>
        <v>Melting_Curves/meltCurve_sp_Q9NXW9_ALKB4_HUMAN_.pdf</v>
      </c>
      <c r="AA3258" t="s">
        <v>16097</v>
      </c>
      <c r="AB3258" t="s">
        <v>20341</v>
      </c>
    </row>
    <row r="3259" spans="1:28" x14ac:dyDescent="0.25">
      <c r="A3259" t="s">
        <v>3263</v>
      </c>
      <c r="B3259">
        <v>0.99876560204751996</v>
      </c>
      <c r="C3259">
        <v>0.98355832214191596</v>
      </c>
      <c r="D3259">
        <v>0.94158915326757198</v>
      </c>
      <c r="E3259">
        <v>0.83851053717700297</v>
      </c>
      <c r="F3259">
        <v>0.77402510160445903</v>
      </c>
      <c r="G3259">
        <v>0.61541502702643003</v>
      </c>
      <c r="H3259">
        <v>0.48293245235370402</v>
      </c>
      <c r="I3259">
        <v>0.46840223643161899</v>
      </c>
      <c r="J3259">
        <v>0.60948753782857101</v>
      </c>
      <c r="K3259">
        <v>0.65831527836697901</v>
      </c>
      <c r="L3259">
        <v>1065.6281999549501</v>
      </c>
      <c r="M3259">
        <v>20.533660425653</v>
      </c>
      <c r="O3259">
        <v>51.411964259524098</v>
      </c>
      <c r="P3259">
        <v>-4.4715679616052502E-2</v>
      </c>
      <c r="Q3259">
        <v>0.55217861598111295</v>
      </c>
      <c r="R3259">
        <v>0.90594083472377196</v>
      </c>
      <c r="S3259" t="s">
        <v>7555</v>
      </c>
      <c r="T3259" t="s">
        <v>8590</v>
      </c>
      <c r="U3259" t="s">
        <v>8590</v>
      </c>
      <c r="V3259" t="s">
        <v>8590</v>
      </c>
      <c r="W3259">
        <v>12</v>
      </c>
      <c r="X3259" t="s">
        <v>11849</v>
      </c>
      <c r="Y3259">
        <v>0.73567572446768137</v>
      </c>
      <c r="Z3259" t="str">
        <f>HYPERLINK("Melting_Curves/meltCurve_sp_Q9NY27_PP4R2_HUMAN_.pdf", "Melting_Curves/meltCurve_sp_Q9NY27_PP4R2_HUMAN_.pdf")</f>
        <v>Melting_Curves/meltCurve_sp_Q9NY27_PP4R2_HUMAN_.pdf</v>
      </c>
      <c r="AA3259" t="s">
        <v>16098</v>
      </c>
      <c r="AB3259" t="s">
        <v>20342</v>
      </c>
    </row>
    <row r="3260" spans="1:28" x14ac:dyDescent="0.25">
      <c r="A3260" t="s">
        <v>3264</v>
      </c>
      <c r="B3260">
        <v>0.99876560204751996</v>
      </c>
      <c r="C3260">
        <v>0.92968545280294401</v>
      </c>
      <c r="D3260">
        <v>0.92426985169213804</v>
      </c>
      <c r="E3260">
        <v>0.77862456508675504</v>
      </c>
      <c r="F3260">
        <v>0.28269862062418</v>
      </c>
      <c r="G3260">
        <v>0.10223198327822899</v>
      </c>
      <c r="H3260">
        <v>5.9039240841547297E-2</v>
      </c>
      <c r="I3260">
        <v>4.4465836319950297E-2</v>
      </c>
      <c r="J3260">
        <v>4.0800944887428803E-2</v>
      </c>
      <c r="K3260">
        <v>3.80132321798025E-2</v>
      </c>
      <c r="L3260">
        <v>1886.83162708237</v>
      </c>
      <c r="M3260">
        <v>36.636922832078298</v>
      </c>
      <c r="N3260">
        <v>51.6459536523897</v>
      </c>
      <c r="O3260">
        <v>51.348105768356298</v>
      </c>
      <c r="P3260">
        <v>-0.16964914049851501</v>
      </c>
      <c r="Q3260">
        <v>4.8922713712511202E-2</v>
      </c>
      <c r="R3260">
        <v>0.99372443727831605</v>
      </c>
      <c r="S3260" t="s">
        <v>7556</v>
      </c>
      <c r="T3260" t="s">
        <v>8590</v>
      </c>
      <c r="U3260" t="s">
        <v>8590</v>
      </c>
      <c r="V3260" t="s">
        <v>8590</v>
      </c>
      <c r="W3260">
        <v>24</v>
      </c>
      <c r="X3260" t="s">
        <v>11850</v>
      </c>
      <c r="Y3260">
        <v>0.41756744633184861</v>
      </c>
      <c r="Z3260" t="str">
        <f>HYPERLINK("Melting_Curves/meltCurve_sp_Q9NY33_DPP3_HUMAN_.pdf", "Melting_Curves/meltCurve_sp_Q9NY33_DPP3_HUMAN_.pdf")</f>
        <v>Melting_Curves/meltCurve_sp_Q9NY33_DPP3_HUMAN_.pdf</v>
      </c>
      <c r="AA3260" t="s">
        <v>16099</v>
      </c>
      <c r="AB3260" t="s">
        <v>20343</v>
      </c>
    </row>
    <row r="3261" spans="1:28" x14ac:dyDescent="0.25">
      <c r="A3261" t="s">
        <v>3265</v>
      </c>
      <c r="B3261">
        <v>0.99876560204751996</v>
      </c>
      <c r="C3261">
        <v>0.98508053331683498</v>
      </c>
      <c r="D3261">
        <v>0.99209525442952695</v>
      </c>
      <c r="E3261">
        <v>0.92268478840677504</v>
      </c>
      <c r="F3261">
        <v>0.84525082116385397</v>
      </c>
      <c r="G3261">
        <v>0.61542356543961496</v>
      </c>
      <c r="H3261">
        <v>0.52795930404896896</v>
      </c>
      <c r="I3261">
        <v>0.38883449360762501</v>
      </c>
      <c r="J3261">
        <v>0.51748202937134802</v>
      </c>
      <c r="K3261">
        <v>0.47092597215597698</v>
      </c>
      <c r="L3261">
        <v>1251.50699311536</v>
      </c>
      <c r="M3261">
        <v>22.814280556035001</v>
      </c>
      <c r="N3261">
        <v>61.3876377487776</v>
      </c>
      <c r="O3261">
        <v>54.440047079221003</v>
      </c>
      <c r="P3261">
        <v>-5.7009126775053702E-2</v>
      </c>
      <c r="Q3261">
        <v>0.45586370037299101</v>
      </c>
      <c r="R3261">
        <v>0.97772118039358602</v>
      </c>
      <c r="S3261" t="s">
        <v>7557</v>
      </c>
      <c r="T3261" t="s">
        <v>8590</v>
      </c>
      <c r="U3261" t="s">
        <v>8590</v>
      </c>
      <c r="V3261" t="s">
        <v>8590</v>
      </c>
      <c r="W3261">
        <v>4</v>
      </c>
      <c r="X3261" t="s">
        <v>11851</v>
      </c>
      <c r="Y3261">
        <v>0.73121909785635708</v>
      </c>
      <c r="Z3261" t="str">
        <f>HYPERLINK("Melting_Curves/meltCurve_sp_Q9NYB0_TE2IP_HUMAN_.pdf", "Melting_Curves/meltCurve_sp_Q9NYB0_TE2IP_HUMAN_.pdf")</f>
        <v>Melting_Curves/meltCurve_sp_Q9NYB0_TE2IP_HUMAN_.pdf</v>
      </c>
      <c r="AA3261" t="s">
        <v>16100</v>
      </c>
      <c r="AB3261" t="s">
        <v>20344</v>
      </c>
    </row>
    <row r="3262" spans="1:28" x14ac:dyDescent="0.25">
      <c r="A3262" t="s">
        <v>3266</v>
      </c>
      <c r="B3262">
        <v>0.99876560204751996</v>
      </c>
      <c r="C3262">
        <v>0.93568291586010399</v>
      </c>
      <c r="D3262">
        <v>0.98381350059893502</v>
      </c>
      <c r="E3262">
        <v>0.90712417958187797</v>
      </c>
      <c r="F3262">
        <v>0.90785646166093303</v>
      </c>
      <c r="G3262">
        <v>0.66423733682016595</v>
      </c>
      <c r="H3262">
        <v>0.59756975228312303</v>
      </c>
      <c r="I3262">
        <v>0.57581670284652398</v>
      </c>
      <c r="J3262">
        <v>0.71218397748198803</v>
      </c>
      <c r="K3262">
        <v>0.70446732651805499</v>
      </c>
      <c r="L3262">
        <v>2202.2879057740201</v>
      </c>
      <c r="M3262">
        <v>40.808890144359097</v>
      </c>
      <c r="O3262">
        <v>53.836783023102001</v>
      </c>
      <c r="P3262">
        <v>-6.7449146940554497E-2</v>
      </c>
      <c r="Q3262">
        <v>0.64407381513803796</v>
      </c>
      <c r="R3262">
        <v>0.88834271509274598</v>
      </c>
      <c r="S3262" t="s">
        <v>7558</v>
      </c>
      <c r="T3262" t="s">
        <v>8590</v>
      </c>
      <c r="U3262" t="s">
        <v>8590</v>
      </c>
      <c r="V3262" t="s">
        <v>8590</v>
      </c>
      <c r="W3262">
        <v>14</v>
      </c>
      <c r="X3262" t="s">
        <v>11852</v>
      </c>
      <c r="Y3262">
        <v>0.81104101838682618</v>
      </c>
      <c r="Z3262" t="str">
        <f>HYPERLINK("Melting_Curves/meltCurve_sp_Q9NYF8_2_BCLF1_HUMAN_.pdf", "Melting_Curves/meltCurve_sp_Q9NYF8_2_BCLF1_HUMAN_.pdf")</f>
        <v>Melting_Curves/meltCurve_sp_Q9NYF8_2_BCLF1_HUMAN_.pdf</v>
      </c>
      <c r="AA3262" t="s">
        <v>16101</v>
      </c>
      <c r="AB3262" t="s">
        <v>20345</v>
      </c>
    </row>
    <row r="3263" spans="1:28" x14ac:dyDescent="0.25">
      <c r="A3263" t="s">
        <v>3267</v>
      </c>
      <c r="B3263">
        <v>0.99876560204751996</v>
      </c>
      <c r="C3263">
        <v>0.93085581872793399</v>
      </c>
      <c r="D3263">
        <v>0.98161890847037003</v>
      </c>
      <c r="E3263">
        <v>0.829160375981291</v>
      </c>
      <c r="F3263">
        <v>0.78148439226736699</v>
      </c>
      <c r="G3263">
        <v>0.55045077743549597</v>
      </c>
      <c r="H3263">
        <v>0.51429434173481803</v>
      </c>
      <c r="I3263">
        <v>0.51119533987236998</v>
      </c>
      <c r="J3263">
        <v>0.62080076254458105</v>
      </c>
      <c r="K3263">
        <v>0.61328760915252201</v>
      </c>
      <c r="L3263">
        <v>1204.39877081026</v>
      </c>
      <c r="M3263">
        <v>23.259885131864699</v>
      </c>
      <c r="O3263">
        <v>51.401909970787401</v>
      </c>
      <c r="P3263">
        <v>-5.0305462722553401E-2</v>
      </c>
      <c r="Q3263">
        <v>0.55532881069778595</v>
      </c>
      <c r="R3263">
        <v>0.92741349438466902</v>
      </c>
      <c r="S3263" t="s">
        <v>7559</v>
      </c>
      <c r="T3263" t="s">
        <v>8590</v>
      </c>
      <c r="U3263" t="s">
        <v>8590</v>
      </c>
      <c r="V3263" t="s">
        <v>8590</v>
      </c>
      <c r="W3263">
        <v>6</v>
      </c>
      <c r="X3263" t="s">
        <v>11853</v>
      </c>
      <c r="Y3263">
        <v>0.73458946591401875</v>
      </c>
      <c r="Z3263" t="str">
        <f>HYPERLINK("Melting_Curves/meltCurve_sp_Q9NYJ1_COA4_HUMAN_.pdf", "Melting_Curves/meltCurve_sp_Q9NYJ1_COA4_HUMAN_.pdf")</f>
        <v>Melting_Curves/meltCurve_sp_Q9NYJ1_COA4_HUMAN_.pdf</v>
      </c>
      <c r="AA3263" t="s">
        <v>16102</v>
      </c>
      <c r="AB3263" t="s">
        <v>20346</v>
      </c>
    </row>
    <row r="3264" spans="1:28" x14ac:dyDescent="0.25">
      <c r="A3264" t="s">
        <v>3268</v>
      </c>
      <c r="B3264">
        <v>0.99876560204751996</v>
      </c>
      <c r="C3264">
        <v>0.99521174645044197</v>
      </c>
      <c r="D3264">
        <v>0.807142155173598</v>
      </c>
      <c r="E3264">
        <v>0.91237719835972297</v>
      </c>
      <c r="F3264">
        <v>0.74466671912547799</v>
      </c>
      <c r="G3264">
        <v>0.655330202528428</v>
      </c>
      <c r="H3264">
        <v>0.55634256392805803</v>
      </c>
      <c r="I3264">
        <v>0.410072006782842</v>
      </c>
      <c r="J3264">
        <v>0.54390269653523204</v>
      </c>
      <c r="K3264">
        <v>0.53084353437385701</v>
      </c>
      <c r="L3264">
        <v>606.08562920972702</v>
      </c>
      <c r="M3264">
        <v>11.274936763838101</v>
      </c>
      <c r="N3264">
        <v>67.090156204961005</v>
      </c>
      <c r="O3264">
        <v>52.147371173914102</v>
      </c>
      <c r="P3264">
        <v>-2.9910017714538099E-2</v>
      </c>
      <c r="Q3264">
        <v>0.44682599347576102</v>
      </c>
      <c r="R3264">
        <v>0.90035964704869298</v>
      </c>
      <c r="S3264" t="s">
        <v>7560</v>
      </c>
      <c r="T3264" t="s">
        <v>8590</v>
      </c>
      <c r="U3264" t="s">
        <v>8590</v>
      </c>
      <c r="V3264" t="s">
        <v>8590</v>
      </c>
      <c r="W3264">
        <v>2</v>
      </c>
      <c r="X3264" t="s">
        <v>11854</v>
      </c>
      <c r="Y3264">
        <v>0.71612291001035189</v>
      </c>
      <c r="Z3264" t="str">
        <f>HYPERLINK("Melting_Curves/meltCurve_sp_Q9NYJ8_TAB2_HUMAN_.pdf", "Melting_Curves/meltCurve_sp_Q9NYJ8_TAB2_HUMAN_.pdf")</f>
        <v>Melting_Curves/meltCurve_sp_Q9NYJ8_TAB2_HUMAN_.pdf</v>
      </c>
      <c r="AA3264" t="s">
        <v>16103</v>
      </c>
      <c r="AB3264" t="s">
        <v>20347</v>
      </c>
    </row>
    <row r="3265" spans="1:28" x14ac:dyDescent="0.25">
      <c r="A3265" t="s">
        <v>3269</v>
      </c>
      <c r="B3265">
        <v>0.99876560204751996</v>
      </c>
      <c r="C3265">
        <v>0.99141882353781396</v>
      </c>
      <c r="D3265">
        <v>1.00846698133285</v>
      </c>
      <c r="E3265">
        <v>0.87610242895136803</v>
      </c>
      <c r="F3265">
        <v>0.61006573656112295</v>
      </c>
      <c r="G3265">
        <v>0.27572555499065898</v>
      </c>
      <c r="H3265">
        <v>0.149882312331868</v>
      </c>
      <c r="I3265">
        <v>0.12901616080428199</v>
      </c>
      <c r="J3265">
        <v>0.123549323397394</v>
      </c>
      <c r="K3265">
        <v>0.107107399347129</v>
      </c>
      <c r="L3265">
        <v>1361.3398149593299</v>
      </c>
      <c r="M3265">
        <v>25.420146796354199</v>
      </c>
      <c r="N3265">
        <v>54.100087996450497</v>
      </c>
      <c r="O3265">
        <v>53.225451609228003</v>
      </c>
      <c r="P3265">
        <v>-0.105879900939123</v>
      </c>
      <c r="Q3265">
        <v>0.11323335316789999</v>
      </c>
      <c r="R3265">
        <v>0.99954147272387595</v>
      </c>
      <c r="S3265" t="s">
        <v>7561</v>
      </c>
      <c r="T3265" t="s">
        <v>8590</v>
      </c>
      <c r="U3265" t="s">
        <v>8590</v>
      </c>
      <c r="V3265" t="s">
        <v>8590</v>
      </c>
      <c r="W3265">
        <v>11</v>
      </c>
      <c r="X3265" t="s">
        <v>11855</v>
      </c>
      <c r="Y3265">
        <v>0.52180473282150719</v>
      </c>
      <c r="Z3265" t="str">
        <f>HYPERLINK("Melting_Curves/meltCurve_sp_Q9NYL2_MLTK_HUMAN_.pdf", "Melting_Curves/meltCurve_sp_Q9NYL2_MLTK_HUMAN_.pdf")</f>
        <v>Melting_Curves/meltCurve_sp_Q9NYL2_MLTK_HUMAN_.pdf</v>
      </c>
      <c r="AA3265" t="s">
        <v>16104</v>
      </c>
      <c r="AB3265" t="s">
        <v>20348</v>
      </c>
    </row>
    <row r="3266" spans="1:28" x14ac:dyDescent="0.25">
      <c r="A3266" t="s">
        <v>3270</v>
      </c>
      <c r="B3266">
        <v>0.99876560204751996</v>
      </c>
      <c r="C3266">
        <v>0.96777509176814103</v>
      </c>
      <c r="D3266">
        <v>0.967992027454048</v>
      </c>
      <c r="E3266">
        <v>0.82787807545728398</v>
      </c>
      <c r="F3266">
        <v>0.704661636765189</v>
      </c>
      <c r="G3266">
        <v>0.51488757116471295</v>
      </c>
      <c r="H3266">
        <v>0.43041672433200201</v>
      </c>
      <c r="I3266">
        <v>0.42415613950972197</v>
      </c>
      <c r="J3266">
        <v>0.46457273167806201</v>
      </c>
      <c r="K3266">
        <v>0.477219876362944</v>
      </c>
      <c r="L3266">
        <v>1102.5486459521601</v>
      </c>
      <c r="M3266">
        <v>21.0937955836215</v>
      </c>
      <c r="N3266">
        <v>58.061119723216599</v>
      </c>
      <c r="O3266">
        <v>51.805894265517097</v>
      </c>
      <c r="P3266">
        <v>-5.7103266730968501E-2</v>
      </c>
      <c r="Q3266">
        <v>0.43903736953107197</v>
      </c>
      <c r="R3266">
        <v>0.99010363967298198</v>
      </c>
      <c r="S3266" t="s">
        <v>7562</v>
      </c>
      <c r="T3266" t="s">
        <v>8590</v>
      </c>
      <c r="U3266" t="s">
        <v>8590</v>
      </c>
      <c r="V3266" t="s">
        <v>8590</v>
      </c>
      <c r="W3266">
        <v>10</v>
      </c>
      <c r="X3266" t="s">
        <v>11856</v>
      </c>
      <c r="Y3266">
        <v>0.67549807271760798</v>
      </c>
      <c r="Z3266" t="str">
        <f>HYPERLINK("Melting_Curves/meltCurve_sp_Q9NYL9_TMOD3_HUMAN_.pdf", "Melting_Curves/meltCurve_sp_Q9NYL9_TMOD3_HUMAN_.pdf")</f>
        <v>Melting_Curves/meltCurve_sp_Q9NYL9_TMOD3_HUMAN_.pdf</v>
      </c>
      <c r="AA3266" t="s">
        <v>16105</v>
      </c>
      <c r="AB3266" t="s">
        <v>20349</v>
      </c>
    </row>
    <row r="3267" spans="1:28" x14ac:dyDescent="0.25">
      <c r="A3267" t="s">
        <v>3271</v>
      </c>
      <c r="B3267">
        <v>0.99876560204751996</v>
      </c>
      <c r="C3267">
        <v>1.10960417893772</v>
      </c>
      <c r="D3267">
        <v>1.0000170492118501</v>
      </c>
      <c r="E3267">
        <v>1.07017453180888</v>
      </c>
      <c r="F3267">
        <v>1.03196583711445</v>
      </c>
      <c r="G3267">
        <v>0.87625796931993005</v>
      </c>
      <c r="H3267">
        <v>0.671301128847971</v>
      </c>
      <c r="I3267">
        <v>0.43430269548418499</v>
      </c>
      <c r="J3267">
        <v>0.38405393695440498</v>
      </c>
      <c r="K3267">
        <v>0.22139795447629901</v>
      </c>
      <c r="L3267">
        <v>1359.03886498266</v>
      </c>
      <c r="M3267">
        <v>21.937538636318699</v>
      </c>
      <c r="N3267">
        <v>63.388972707435201</v>
      </c>
      <c r="O3267">
        <v>61.442495183688699</v>
      </c>
      <c r="P3267">
        <v>-7.1759289974011001E-2</v>
      </c>
      <c r="Q3267">
        <v>0.196086606403263</v>
      </c>
      <c r="R3267">
        <v>0.97293833499797899</v>
      </c>
      <c r="S3267" t="s">
        <v>7563</v>
      </c>
      <c r="T3267" t="s">
        <v>8590</v>
      </c>
      <c r="U3267" t="s">
        <v>8590</v>
      </c>
      <c r="V3267" t="s">
        <v>8590</v>
      </c>
      <c r="W3267">
        <v>13</v>
      </c>
      <c r="X3267" t="s">
        <v>11857</v>
      </c>
      <c r="Y3267">
        <v>0.78759412371763893</v>
      </c>
      <c r="Z3267" t="str">
        <f>HYPERLINK("Melting_Curves/meltCurve_sp_Q9NYQ3_HAOX2_HUMAN_.pdf", "Melting_Curves/meltCurve_sp_Q9NYQ3_HAOX2_HUMAN_.pdf")</f>
        <v>Melting_Curves/meltCurve_sp_Q9NYQ3_HAOX2_HUMAN_.pdf</v>
      </c>
      <c r="AA3267" t="s">
        <v>16106</v>
      </c>
      <c r="AB3267" t="s">
        <v>20350</v>
      </c>
    </row>
    <row r="3268" spans="1:28" x14ac:dyDescent="0.25">
      <c r="A3268" t="s">
        <v>3272</v>
      </c>
      <c r="B3268">
        <v>0.99876560204751996</v>
      </c>
      <c r="C3268">
        <v>1.07812169305877</v>
      </c>
      <c r="D3268">
        <v>0.97988153262335498</v>
      </c>
      <c r="E3268">
        <v>1.02972238556605</v>
      </c>
      <c r="F3268">
        <v>0.72886729416282203</v>
      </c>
      <c r="G3268">
        <v>0.17367133832294701</v>
      </c>
      <c r="H3268">
        <v>8.9211486924166403E-2</v>
      </c>
      <c r="I3268">
        <v>6.9065599631007696E-2</v>
      </c>
      <c r="J3268">
        <v>6.0715307757577899E-2</v>
      </c>
      <c r="K3268">
        <v>5.2920444528985998E-2</v>
      </c>
      <c r="L3268">
        <v>2359.19112667844</v>
      </c>
      <c r="M3268">
        <v>43.558204124659902</v>
      </c>
      <c r="N3268">
        <v>54.343260753378402</v>
      </c>
      <c r="O3268">
        <v>54.048031276050502</v>
      </c>
      <c r="P3268">
        <v>-0.18784351325984799</v>
      </c>
      <c r="Q3268">
        <v>6.7679152789321101E-2</v>
      </c>
      <c r="R3268">
        <v>0.99491562817563906</v>
      </c>
      <c r="S3268" t="s">
        <v>7564</v>
      </c>
      <c r="T3268" t="s">
        <v>8590</v>
      </c>
      <c r="U3268" t="s">
        <v>8590</v>
      </c>
      <c r="V3268" t="s">
        <v>8590</v>
      </c>
      <c r="W3268">
        <v>33</v>
      </c>
      <c r="X3268" t="s">
        <v>11858</v>
      </c>
      <c r="Y3268">
        <v>0.51072742891010248</v>
      </c>
      <c r="Z3268" t="str">
        <f>HYPERLINK("Melting_Curves/meltCurve_sp_Q9NYU2_2_UGGG1_HUMAN_.pdf", "Melting_Curves/meltCurve_sp_Q9NYU2_2_UGGG1_HUMAN_.pdf")</f>
        <v>Melting_Curves/meltCurve_sp_Q9NYU2_2_UGGG1_HUMAN_.pdf</v>
      </c>
      <c r="AA3268" t="s">
        <v>16107</v>
      </c>
      <c r="AB3268" t="s">
        <v>20351</v>
      </c>
    </row>
    <row r="3269" spans="1:28" x14ac:dyDescent="0.25">
      <c r="A3269" t="s">
        <v>3273</v>
      </c>
      <c r="B3269">
        <v>0.99876560204751996</v>
      </c>
      <c r="C3269">
        <v>0.90421667805386596</v>
      </c>
      <c r="D3269">
        <v>0.96737370463163397</v>
      </c>
      <c r="E3269">
        <v>0.85659364201284605</v>
      </c>
      <c r="F3269">
        <v>1.18255696042186</v>
      </c>
      <c r="G3269">
        <v>0.68816812329114896</v>
      </c>
      <c r="H3269">
        <v>0.57529442036257294</v>
      </c>
      <c r="I3269">
        <v>0.95686353378387501</v>
      </c>
      <c r="J3269">
        <v>0.434435937983294</v>
      </c>
      <c r="K3269">
        <v>1.36485829154141</v>
      </c>
      <c r="L3269">
        <v>13746.2720285916</v>
      </c>
      <c r="M3269">
        <v>250</v>
      </c>
      <c r="O3269">
        <v>54.981571090572899</v>
      </c>
      <c r="P3269">
        <v>-0.22288735130402601</v>
      </c>
      <c r="Q3269">
        <v>0.80392485812217096</v>
      </c>
      <c r="R3269">
        <v>0.11370804600878701</v>
      </c>
      <c r="S3269" t="s">
        <v>7565</v>
      </c>
      <c r="T3269" t="s">
        <v>8590</v>
      </c>
      <c r="U3269" t="s">
        <v>8590</v>
      </c>
      <c r="V3269" t="s">
        <v>8590</v>
      </c>
      <c r="W3269">
        <v>3</v>
      </c>
      <c r="X3269" t="s">
        <v>11859</v>
      </c>
      <c r="Y3269">
        <v>0.90188388824529675</v>
      </c>
      <c r="Z3269" t="str">
        <f>HYPERLINK("Melting_Curves/meltCurve_sp_Q9NYV4_2_CDK12_HUMAN_.pdf", "Melting_Curves/meltCurve_sp_Q9NYV4_2_CDK12_HUMAN_.pdf")</f>
        <v>Melting_Curves/meltCurve_sp_Q9NYV4_2_CDK12_HUMAN_.pdf</v>
      </c>
      <c r="AA3269" t="s">
        <v>16108</v>
      </c>
      <c r="AB3269" t="s">
        <v>20352</v>
      </c>
    </row>
    <row r="3270" spans="1:28" x14ac:dyDescent="0.25">
      <c r="A3270" t="s">
        <v>3274</v>
      </c>
      <c r="B3270">
        <v>0.99876560204751996</v>
      </c>
      <c r="C3270">
        <v>1.0554262750797401</v>
      </c>
      <c r="D3270">
        <v>0.67515066723255301</v>
      </c>
      <c r="E3270">
        <v>0.98786433646324101</v>
      </c>
      <c r="F3270">
        <v>0.62244552708645395</v>
      </c>
      <c r="G3270">
        <v>0.32238711548014698</v>
      </c>
      <c r="H3270">
        <v>0.22793784379748999</v>
      </c>
      <c r="I3270">
        <v>0.13273453336183899</v>
      </c>
      <c r="J3270">
        <v>8.3653713543068497E-2</v>
      </c>
      <c r="K3270">
        <v>3.6999167235697301E-2</v>
      </c>
      <c r="L3270">
        <v>808.81124774531497</v>
      </c>
      <c r="M3270">
        <v>14.6921335785535</v>
      </c>
      <c r="N3270">
        <v>55.120143730055702</v>
      </c>
      <c r="O3270">
        <v>54.060935983580201</v>
      </c>
      <c r="P3270">
        <v>-6.7326037521784496E-2</v>
      </c>
      <c r="Q3270">
        <v>9.1814041357202794E-3</v>
      </c>
      <c r="R3270">
        <v>0.92246900934417198</v>
      </c>
      <c r="S3270" t="s">
        <v>7566</v>
      </c>
      <c r="T3270" t="s">
        <v>8590</v>
      </c>
      <c r="U3270" t="s">
        <v>8590</v>
      </c>
      <c r="V3270" t="s">
        <v>8590</v>
      </c>
      <c r="W3270">
        <v>5</v>
      </c>
      <c r="X3270" t="s">
        <v>11860</v>
      </c>
      <c r="Y3270">
        <v>0.52571251152099463</v>
      </c>
      <c r="Z3270" t="str">
        <f>HYPERLINK("Melting_Curves/meltCurve_sp_Q9NYY8_2_FAKD2_HUMAN_.pdf", "Melting_Curves/meltCurve_sp_Q9NYY8_2_FAKD2_HUMAN_.pdf")</f>
        <v>Melting_Curves/meltCurve_sp_Q9NYY8_2_FAKD2_HUMAN_.pdf</v>
      </c>
      <c r="AA3270" t="s">
        <v>16109</v>
      </c>
      <c r="AB3270" t="s">
        <v>20353</v>
      </c>
    </row>
    <row r="3271" spans="1:28" x14ac:dyDescent="0.25">
      <c r="A3271" t="s">
        <v>3275</v>
      </c>
      <c r="B3271">
        <v>0.99876560204751996</v>
      </c>
      <c r="C3271">
        <v>0.990416481083503</v>
      </c>
      <c r="D3271">
        <v>0.92360033872718605</v>
      </c>
      <c r="E3271">
        <v>0.91987128840530996</v>
      </c>
      <c r="F3271">
        <v>0.61325779207987197</v>
      </c>
      <c r="G3271">
        <v>0.166575186369849</v>
      </c>
      <c r="H3271">
        <v>8.5678199194533497E-2</v>
      </c>
      <c r="I3271">
        <v>6.4033710637490401E-2</v>
      </c>
      <c r="J3271">
        <v>5.9205606221405603E-2</v>
      </c>
      <c r="K3271">
        <v>4.584472054015E-2</v>
      </c>
      <c r="L3271">
        <v>1733.1247688631499</v>
      </c>
      <c r="M3271">
        <v>32.346117663303097</v>
      </c>
      <c r="N3271">
        <v>53.7779013950814</v>
      </c>
      <c r="O3271">
        <v>53.377043121257401</v>
      </c>
      <c r="P3271">
        <v>-0.14302288413631301</v>
      </c>
      <c r="Q3271">
        <v>5.5947947852967403E-2</v>
      </c>
      <c r="R3271">
        <v>0.99676108145579001</v>
      </c>
      <c r="S3271" t="s">
        <v>7567</v>
      </c>
      <c r="T3271" t="s">
        <v>8590</v>
      </c>
      <c r="U3271" t="s">
        <v>8590</v>
      </c>
      <c r="V3271" t="s">
        <v>8590</v>
      </c>
      <c r="W3271">
        <v>24</v>
      </c>
      <c r="X3271" t="s">
        <v>11861</v>
      </c>
      <c r="Y3271">
        <v>0.48863324836924832</v>
      </c>
      <c r="Z3271" t="str">
        <f>HYPERLINK("Melting_Curves/meltCurve_sp_Q9NZ08_ERAP1_HUMAN_.pdf", "Melting_Curves/meltCurve_sp_Q9NZ08_ERAP1_HUMAN_.pdf")</f>
        <v>Melting_Curves/meltCurve_sp_Q9NZ08_ERAP1_HUMAN_.pdf</v>
      </c>
      <c r="AA3271" t="s">
        <v>16110</v>
      </c>
      <c r="AB3271" t="s">
        <v>20354</v>
      </c>
    </row>
    <row r="3272" spans="1:28" x14ac:dyDescent="0.25">
      <c r="A3272" t="s">
        <v>3276</v>
      </c>
      <c r="B3272">
        <v>0.99876560204751996</v>
      </c>
      <c r="C3272">
        <v>1.05140167213464</v>
      </c>
      <c r="D3272">
        <v>1.0621834868048801</v>
      </c>
      <c r="E3272">
        <v>1.0528305631205701</v>
      </c>
      <c r="F3272">
        <v>0.88846539222337795</v>
      </c>
      <c r="G3272">
        <v>0.75154780230152096</v>
      </c>
      <c r="H3272">
        <v>0.47503748532867501</v>
      </c>
      <c r="I3272">
        <v>0.310453177959579</v>
      </c>
      <c r="J3272">
        <v>0.12161318005985</v>
      </c>
      <c r="K3272">
        <v>7.2953511036434104E-2</v>
      </c>
      <c r="L3272">
        <v>1098.8727187774</v>
      </c>
      <c r="M3272">
        <v>18.123781262552999</v>
      </c>
      <c r="N3272">
        <v>60.631538034471802</v>
      </c>
      <c r="O3272">
        <v>59.907833348876899</v>
      </c>
      <c r="P3272">
        <v>-7.5635566737873597E-2</v>
      </c>
      <c r="Q3272">
        <v>0</v>
      </c>
      <c r="R3272">
        <v>0.98859955307583802</v>
      </c>
      <c r="S3272" t="s">
        <v>7568</v>
      </c>
      <c r="T3272" t="s">
        <v>8590</v>
      </c>
      <c r="U3272" t="s">
        <v>8590</v>
      </c>
      <c r="V3272" t="s">
        <v>8590</v>
      </c>
      <c r="W3272">
        <v>8</v>
      </c>
      <c r="X3272" t="s">
        <v>11862</v>
      </c>
      <c r="Y3272">
        <v>0.6942401651999488</v>
      </c>
      <c r="Z3272" t="str">
        <f>HYPERLINK("Melting_Curves/meltCurve_sp_Q9NZ32_ARP10_HUMAN_.pdf", "Melting_Curves/meltCurve_sp_Q9NZ32_ARP10_HUMAN_.pdf")</f>
        <v>Melting_Curves/meltCurve_sp_Q9NZ32_ARP10_HUMAN_.pdf</v>
      </c>
      <c r="AA3272" t="s">
        <v>16111</v>
      </c>
      <c r="AB3272" t="s">
        <v>20355</v>
      </c>
    </row>
    <row r="3273" spans="1:28" x14ac:dyDescent="0.25">
      <c r="A3273" t="s">
        <v>3277</v>
      </c>
      <c r="B3273">
        <v>0.99876560204751996</v>
      </c>
      <c r="C3273">
        <v>0.99743017127892597</v>
      </c>
      <c r="D3273">
        <v>1.0560058559113901</v>
      </c>
      <c r="E3273">
        <v>0.91713024754123795</v>
      </c>
      <c r="F3273">
        <v>0.92745209876160895</v>
      </c>
      <c r="G3273">
        <v>0.712416131862596</v>
      </c>
      <c r="H3273">
        <v>0.60232273852524498</v>
      </c>
      <c r="I3273">
        <v>0.60268706357090096</v>
      </c>
      <c r="J3273">
        <v>0.729870781442571</v>
      </c>
      <c r="K3273">
        <v>0.69021064941432797</v>
      </c>
      <c r="L3273">
        <v>2069.95476239352</v>
      </c>
      <c r="M3273">
        <v>37.988506696695403</v>
      </c>
      <c r="O3273">
        <v>54.338640893165703</v>
      </c>
      <c r="P3273">
        <v>-6.0187501804921197E-2</v>
      </c>
      <c r="Q3273">
        <v>0.65563283937157002</v>
      </c>
      <c r="R3273">
        <v>0.92001918269376504</v>
      </c>
      <c r="S3273" t="s">
        <v>7569</v>
      </c>
      <c r="T3273" t="s">
        <v>8590</v>
      </c>
      <c r="U3273" t="s">
        <v>8590</v>
      </c>
      <c r="V3273" t="s">
        <v>8590</v>
      </c>
      <c r="W3273">
        <v>11</v>
      </c>
      <c r="X3273" t="s">
        <v>11863</v>
      </c>
      <c r="Y3273">
        <v>0.82338379667336237</v>
      </c>
      <c r="Z3273" t="str">
        <f>HYPERLINK("Melting_Curves/meltCurve_sp_Q9NZ63_CI078_HUMAN_.pdf", "Melting_Curves/meltCurve_sp_Q9NZ63_CI078_HUMAN_.pdf")</f>
        <v>Melting_Curves/meltCurve_sp_Q9NZ63_CI078_HUMAN_.pdf</v>
      </c>
      <c r="AA3273" t="s">
        <v>16112</v>
      </c>
      <c r="AB3273" t="s">
        <v>20356</v>
      </c>
    </row>
    <row r="3274" spans="1:28" x14ac:dyDescent="0.25">
      <c r="A3274" t="s">
        <v>3278</v>
      </c>
      <c r="B3274">
        <v>0.99876560204751996</v>
      </c>
      <c r="C3274">
        <v>1.0047699110959001</v>
      </c>
      <c r="D3274">
        <v>1.0262784271641301</v>
      </c>
      <c r="E3274">
        <v>0.90316402461979794</v>
      </c>
      <c r="F3274">
        <v>0.86695479836475497</v>
      </c>
      <c r="G3274">
        <v>0.61523378700057396</v>
      </c>
      <c r="H3274">
        <v>0.56384074003304696</v>
      </c>
      <c r="I3274">
        <v>0.57164108186916496</v>
      </c>
      <c r="J3274">
        <v>0.63007199880516995</v>
      </c>
      <c r="K3274">
        <v>0.66512585554764503</v>
      </c>
      <c r="L3274">
        <v>1872.16933117539</v>
      </c>
      <c r="M3274">
        <v>34.987094990393302</v>
      </c>
      <c r="O3274">
        <v>53.336375067371797</v>
      </c>
      <c r="P3274">
        <v>-6.52949387359303E-2</v>
      </c>
      <c r="Q3274">
        <v>0.60184372372607298</v>
      </c>
      <c r="R3274">
        <v>0.95639072986967</v>
      </c>
      <c r="S3274" t="s">
        <v>7570</v>
      </c>
      <c r="T3274" t="s">
        <v>8590</v>
      </c>
      <c r="U3274" t="s">
        <v>8590</v>
      </c>
      <c r="V3274" t="s">
        <v>8590</v>
      </c>
      <c r="W3274">
        <v>19</v>
      </c>
      <c r="X3274" t="s">
        <v>11864</v>
      </c>
      <c r="Y3274">
        <v>0.78307146878705902</v>
      </c>
      <c r="Z3274" t="str">
        <f>HYPERLINK("Melting_Curves/meltCurve_sp_Q9NZB2_F120A_HUMAN_.pdf", "Melting_Curves/meltCurve_sp_Q9NZB2_F120A_HUMAN_.pdf")</f>
        <v>Melting_Curves/meltCurve_sp_Q9NZB2_F120A_HUMAN_.pdf</v>
      </c>
      <c r="AA3274" t="s">
        <v>16113</v>
      </c>
      <c r="AB3274" t="s">
        <v>20357</v>
      </c>
    </row>
    <row r="3275" spans="1:28" x14ac:dyDescent="0.25">
      <c r="A3275" t="s">
        <v>3279</v>
      </c>
      <c r="B3275">
        <v>0.99876560204751996</v>
      </c>
      <c r="C3275">
        <v>0.93223238559014898</v>
      </c>
      <c r="D3275">
        <v>0.956820572235075</v>
      </c>
      <c r="E3275">
        <v>0.88563550070105501</v>
      </c>
      <c r="F3275">
        <v>0.85269160521662202</v>
      </c>
      <c r="G3275">
        <v>0.72550027778204795</v>
      </c>
      <c r="H3275">
        <v>0.57410883122944101</v>
      </c>
      <c r="I3275">
        <v>0.52235754064312001</v>
      </c>
      <c r="J3275">
        <v>0.49002485273219898</v>
      </c>
      <c r="K3275">
        <v>0.35364337280447899</v>
      </c>
      <c r="L3275">
        <v>453.268584365972</v>
      </c>
      <c r="M3275">
        <v>6.9884217138029703</v>
      </c>
      <c r="N3275">
        <v>64.897585691483201</v>
      </c>
      <c r="O3275">
        <v>60.175134760442297</v>
      </c>
      <c r="P3275">
        <v>-2.90289858382516E-2</v>
      </c>
      <c r="Q3275">
        <v>2.0230424060142401E-3</v>
      </c>
      <c r="R3275">
        <v>0.98664501469282795</v>
      </c>
      <c r="S3275" t="s">
        <v>7571</v>
      </c>
      <c r="T3275" t="s">
        <v>8590</v>
      </c>
      <c r="U3275" t="s">
        <v>8590</v>
      </c>
      <c r="V3275" t="s">
        <v>8590</v>
      </c>
      <c r="W3275">
        <v>10</v>
      </c>
      <c r="X3275" t="s">
        <v>11865</v>
      </c>
      <c r="Y3275">
        <v>0.74137866128849406</v>
      </c>
      <c r="Z3275" t="str">
        <f>HYPERLINK("Melting_Curves/meltCurve_sp_Q9NZB8_2_MOCS1_HUMAN_.pdf", "Melting_Curves/meltCurve_sp_Q9NZB8_2_MOCS1_HUMAN_.pdf")</f>
        <v>Melting_Curves/meltCurve_sp_Q9NZB8_2_MOCS1_HUMAN_.pdf</v>
      </c>
      <c r="AA3275" t="s">
        <v>16114</v>
      </c>
      <c r="AB3275" t="s">
        <v>20358</v>
      </c>
    </row>
    <row r="3276" spans="1:28" x14ac:dyDescent="0.25">
      <c r="A3276" t="s">
        <v>3280</v>
      </c>
      <c r="B3276">
        <v>0.99876560204751996</v>
      </c>
      <c r="C3276">
        <v>1.01735373139344</v>
      </c>
      <c r="D3276">
        <v>0.970549805877574</v>
      </c>
      <c r="E3276">
        <v>0.83014523793776496</v>
      </c>
      <c r="F3276">
        <v>0.77081277417018801</v>
      </c>
      <c r="G3276">
        <v>0.237605122527805</v>
      </c>
      <c r="H3276">
        <v>0.14927483276397699</v>
      </c>
      <c r="I3276">
        <v>0.110727953778119</v>
      </c>
      <c r="J3276">
        <v>0.124982753815256</v>
      </c>
      <c r="K3276">
        <v>0.102949063473181</v>
      </c>
      <c r="L3276">
        <v>1597.13102553147</v>
      </c>
      <c r="M3276">
        <v>29.410146408623199</v>
      </c>
      <c r="N3276">
        <v>54.738714283704297</v>
      </c>
      <c r="O3276">
        <v>54.056225449273697</v>
      </c>
      <c r="P3276">
        <v>-0.121893382610147</v>
      </c>
      <c r="Q3276">
        <v>0.10383992962821</v>
      </c>
      <c r="R3276">
        <v>0.98826063678841503</v>
      </c>
      <c r="S3276" t="s">
        <v>7572</v>
      </c>
      <c r="T3276" t="s">
        <v>8590</v>
      </c>
      <c r="U3276" t="s">
        <v>8590</v>
      </c>
      <c r="V3276" t="s">
        <v>8590</v>
      </c>
      <c r="W3276">
        <v>3</v>
      </c>
      <c r="X3276" t="s">
        <v>11866</v>
      </c>
      <c r="Y3276">
        <v>0.53730729673175415</v>
      </c>
      <c r="Z3276" t="str">
        <f>HYPERLINK("Melting_Curves/meltCurve_sp_Q9NZD2_GLTP_HUMAN_.pdf", "Melting_Curves/meltCurve_sp_Q9NZD2_GLTP_HUMAN_.pdf")</f>
        <v>Melting_Curves/meltCurve_sp_Q9NZD2_GLTP_HUMAN_.pdf</v>
      </c>
      <c r="AA3276" t="s">
        <v>16115</v>
      </c>
      <c r="AB3276" t="s">
        <v>20359</v>
      </c>
    </row>
    <row r="3277" spans="1:28" x14ac:dyDescent="0.25">
      <c r="A3277" t="s">
        <v>3281</v>
      </c>
      <c r="B3277">
        <v>0.99876560204751996</v>
      </c>
      <c r="C3277">
        <v>1.13700197411213</v>
      </c>
      <c r="D3277">
        <v>1.00136758952556</v>
      </c>
      <c r="E3277">
        <v>0.73065174722505999</v>
      </c>
      <c r="F3277">
        <v>0.42919498628000402</v>
      </c>
      <c r="G3277">
        <v>0.202260916390641</v>
      </c>
      <c r="H3277">
        <v>0.143353833189036</v>
      </c>
      <c r="I3277">
        <v>0.136139360241358</v>
      </c>
      <c r="J3277">
        <v>0.10274300751073701</v>
      </c>
      <c r="K3277">
        <v>0.106615608961736</v>
      </c>
      <c r="L3277">
        <v>1368.9909061380399</v>
      </c>
      <c r="M3277">
        <v>26.459366184762999</v>
      </c>
      <c r="N3277">
        <v>52.275789360729</v>
      </c>
      <c r="O3277">
        <v>51.446540169086497</v>
      </c>
      <c r="P3277">
        <v>-0.113292230203125</v>
      </c>
      <c r="Q3277">
        <v>0.118885799530328</v>
      </c>
      <c r="R3277">
        <v>0.98638437216043995</v>
      </c>
      <c r="S3277" t="s">
        <v>7573</v>
      </c>
      <c r="T3277" t="s">
        <v>8590</v>
      </c>
      <c r="U3277" t="s">
        <v>8590</v>
      </c>
      <c r="V3277" t="s">
        <v>8590</v>
      </c>
      <c r="W3277">
        <v>1</v>
      </c>
      <c r="X3277" t="s">
        <v>11867</v>
      </c>
      <c r="Y3277">
        <v>0.47086050758070069</v>
      </c>
      <c r="Z3277" t="str">
        <f>HYPERLINK("Melting_Curves/meltCurve_sp_Q9NZD8_2_SPG21_HUMAN_.pdf", "Melting_Curves/meltCurve_sp_Q9NZD8_2_SPG21_HUMAN_.pdf")</f>
        <v>Melting_Curves/meltCurve_sp_Q9NZD8_2_SPG21_HUMAN_.pdf</v>
      </c>
      <c r="AA3277" t="s">
        <v>16116</v>
      </c>
      <c r="AB3277" t="s">
        <v>20360</v>
      </c>
    </row>
    <row r="3278" spans="1:28" x14ac:dyDescent="0.25">
      <c r="A3278" t="s">
        <v>3282</v>
      </c>
      <c r="B3278">
        <v>0.99876560204751996</v>
      </c>
      <c r="C3278">
        <v>1.06875845564928</v>
      </c>
      <c r="D3278">
        <v>0.95989471081404698</v>
      </c>
      <c r="E3278">
        <v>1.16449730271678</v>
      </c>
      <c r="F3278">
        <v>1.1440680760211499</v>
      </c>
      <c r="G3278">
        <v>0.69963852166763196</v>
      </c>
      <c r="H3278">
        <v>0.15972994261331999</v>
      </c>
      <c r="I3278">
        <v>4.36278438819203E-2</v>
      </c>
      <c r="J3278">
        <v>3.7368523375255799E-2</v>
      </c>
      <c r="K3278">
        <v>3.0518417992046801E-2</v>
      </c>
      <c r="L3278">
        <v>2706.7717026785799</v>
      </c>
      <c r="M3278">
        <v>46.601390781169997</v>
      </c>
      <c r="N3278">
        <v>58.1850889508774</v>
      </c>
      <c r="O3278">
        <v>57.976846554551898</v>
      </c>
      <c r="P3278">
        <v>-0.19309776388806199</v>
      </c>
      <c r="Q3278">
        <v>3.9068539266737402E-2</v>
      </c>
      <c r="R3278">
        <v>0.97404163604910898</v>
      </c>
      <c r="S3278" t="s">
        <v>7574</v>
      </c>
      <c r="T3278" t="s">
        <v>8590</v>
      </c>
      <c r="U3278" t="s">
        <v>8590</v>
      </c>
      <c r="V3278" t="s">
        <v>8590</v>
      </c>
      <c r="W3278">
        <v>1</v>
      </c>
      <c r="X3278" t="s">
        <v>11868</v>
      </c>
      <c r="Y3278">
        <v>0.6211165353136775</v>
      </c>
      <c r="Z3278" t="str">
        <f>HYPERLINK("Melting_Curves/meltCurve_sp_Q9NZJ4_2_SACS_HUMAN_.pdf", "Melting_Curves/meltCurve_sp_Q9NZJ4_2_SACS_HUMAN_.pdf")</f>
        <v>Melting_Curves/meltCurve_sp_Q9NZJ4_2_SACS_HUMAN_.pdf</v>
      </c>
      <c r="AA3278" t="s">
        <v>16117</v>
      </c>
      <c r="AB3278" t="s">
        <v>20361</v>
      </c>
    </row>
    <row r="3279" spans="1:28" x14ac:dyDescent="0.25">
      <c r="A3279" t="s">
        <v>3283</v>
      </c>
      <c r="B3279">
        <v>0.99876560204751996</v>
      </c>
      <c r="C3279">
        <v>0.96607187640150505</v>
      </c>
      <c r="D3279">
        <v>0.80158394568691704</v>
      </c>
      <c r="E3279">
        <v>0.43355175044335498</v>
      </c>
      <c r="F3279">
        <v>0.233065560624929</v>
      </c>
      <c r="G3279">
        <v>0.109626857833911</v>
      </c>
      <c r="H3279">
        <v>6.4895255252830006E-2</v>
      </c>
      <c r="I3279">
        <v>5.6721959500812602E-2</v>
      </c>
      <c r="J3279">
        <v>5.7608620899870698E-2</v>
      </c>
      <c r="K3279">
        <v>3.71369523668433E-2</v>
      </c>
      <c r="L3279">
        <v>984.01589791186404</v>
      </c>
      <c r="M3279">
        <v>20.0332522680804</v>
      </c>
      <c r="N3279">
        <v>49.364184907981901</v>
      </c>
      <c r="O3279">
        <v>48.637550086524001</v>
      </c>
      <c r="P3279">
        <v>-9.8101411230579694E-2</v>
      </c>
      <c r="Q3279">
        <v>4.7332385585656202E-2</v>
      </c>
      <c r="R3279">
        <v>0.99953794221252701</v>
      </c>
      <c r="S3279" t="s">
        <v>7575</v>
      </c>
      <c r="T3279" t="s">
        <v>8590</v>
      </c>
      <c r="U3279" t="s">
        <v>8590</v>
      </c>
      <c r="V3279" t="s">
        <v>8590</v>
      </c>
      <c r="W3279">
        <v>3</v>
      </c>
      <c r="X3279" t="s">
        <v>11869</v>
      </c>
      <c r="Y3279">
        <v>0.35020154616370819</v>
      </c>
      <c r="Z3279" t="str">
        <f>HYPERLINK("Melting_Curves/meltCurve_sp_Q9NZJ6_COQ3_HUMAN_.pdf", "Melting_Curves/meltCurve_sp_Q9NZJ6_COQ3_HUMAN_.pdf")</f>
        <v>Melting_Curves/meltCurve_sp_Q9NZJ6_COQ3_HUMAN_.pdf</v>
      </c>
      <c r="AA3279" t="s">
        <v>16118</v>
      </c>
      <c r="AB3279" t="s">
        <v>20362</v>
      </c>
    </row>
    <row r="3280" spans="1:28" x14ac:dyDescent="0.25">
      <c r="A3280" t="s">
        <v>3284</v>
      </c>
      <c r="B3280">
        <v>0.99876560204751996</v>
      </c>
      <c r="C3280">
        <v>0.91473689923488299</v>
      </c>
      <c r="D3280">
        <v>1.02522931142798</v>
      </c>
      <c r="E3280">
        <v>0.76032295230354496</v>
      </c>
      <c r="F3280">
        <v>0.49762188469814</v>
      </c>
      <c r="G3280">
        <v>0.17120690741866801</v>
      </c>
      <c r="H3280">
        <v>9.6505183604908798E-2</v>
      </c>
      <c r="I3280">
        <v>8.1267971391852503E-2</v>
      </c>
      <c r="J3280">
        <v>8.6931045494504103E-2</v>
      </c>
      <c r="K3280">
        <v>8.4068418760578204E-2</v>
      </c>
      <c r="L3280">
        <v>1303.0475637299801</v>
      </c>
      <c r="M3280">
        <v>24.8523562906339</v>
      </c>
      <c r="N3280">
        <v>52.776194806159502</v>
      </c>
      <c r="O3280">
        <v>52.095609032457602</v>
      </c>
      <c r="P3280">
        <v>-0.110331419759378</v>
      </c>
      <c r="Q3280">
        <v>7.49040675361584E-2</v>
      </c>
      <c r="R3280">
        <v>0.99286295020689297</v>
      </c>
      <c r="S3280" t="s">
        <v>7576</v>
      </c>
      <c r="T3280" t="s">
        <v>8590</v>
      </c>
      <c r="U3280" t="s">
        <v>8590</v>
      </c>
      <c r="V3280" t="s">
        <v>8590</v>
      </c>
      <c r="W3280">
        <v>2</v>
      </c>
      <c r="X3280" t="s">
        <v>11870</v>
      </c>
      <c r="Y3280">
        <v>0.46682522420382172</v>
      </c>
      <c r="Z3280" t="str">
        <f>HYPERLINK("Melting_Curves/meltCurve_sp_Q9NZJ9_NUDT4_HUMAN_.pdf", "Melting_Curves/meltCurve_sp_Q9NZJ9_NUDT4_HUMAN_.pdf")</f>
        <v>Melting_Curves/meltCurve_sp_Q9NZJ9_NUDT4_HUMAN_.pdf</v>
      </c>
      <c r="AA3280" t="s">
        <v>16119</v>
      </c>
      <c r="AB3280" t="s">
        <v>20363</v>
      </c>
    </row>
    <row r="3281" spans="1:28" x14ac:dyDescent="0.25">
      <c r="A3281" t="s">
        <v>3285</v>
      </c>
      <c r="B3281">
        <v>0.99876560204751996</v>
      </c>
      <c r="C3281">
        <v>1.05594356347289</v>
      </c>
      <c r="D3281">
        <v>0.99404469693156605</v>
      </c>
      <c r="E3281">
        <v>0.95217050306193296</v>
      </c>
      <c r="F3281">
        <v>0.69737514143434198</v>
      </c>
      <c r="G3281">
        <v>0.33921846484662199</v>
      </c>
      <c r="H3281">
        <v>0.15612495896351</v>
      </c>
      <c r="I3281">
        <v>6.4365001278585104E-2</v>
      </c>
      <c r="J3281">
        <v>9.4579122960477102E-2</v>
      </c>
      <c r="K3281">
        <v>4.8347303060202199E-2</v>
      </c>
      <c r="L3281">
        <v>1321.1763178025301</v>
      </c>
      <c r="M3281">
        <v>24.067623748909899</v>
      </c>
      <c r="N3281">
        <v>55.185110758977203</v>
      </c>
      <c r="O3281">
        <v>54.5195776730055</v>
      </c>
      <c r="P3281">
        <v>-0.103791795787462</v>
      </c>
      <c r="Q3281">
        <v>5.95505256443623E-2</v>
      </c>
      <c r="R3281">
        <v>0.99610902176405003</v>
      </c>
      <c r="S3281" t="s">
        <v>7577</v>
      </c>
      <c r="T3281" t="s">
        <v>8590</v>
      </c>
      <c r="U3281" t="s">
        <v>8590</v>
      </c>
      <c r="V3281" t="s">
        <v>8590</v>
      </c>
      <c r="W3281">
        <v>5</v>
      </c>
      <c r="X3281" t="s">
        <v>11871</v>
      </c>
      <c r="Y3281">
        <v>0.53576228995981512</v>
      </c>
      <c r="Z3281" t="str">
        <f>HYPERLINK("Melting_Curves/meltCurve_sp_Q9NZL4_HPBP1_HUMAN_.pdf", "Melting_Curves/meltCurve_sp_Q9NZL4_HPBP1_HUMAN_.pdf")</f>
        <v>Melting_Curves/meltCurve_sp_Q9NZL4_HPBP1_HUMAN_.pdf</v>
      </c>
      <c r="AA3281" t="s">
        <v>16120</v>
      </c>
      <c r="AB3281" t="s">
        <v>20364</v>
      </c>
    </row>
    <row r="3282" spans="1:28" x14ac:dyDescent="0.25">
      <c r="A3282" t="s">
        <v>3286</v>
      </c>
      <c r="B3282">
        <v>0.99876560204751996</v>
      </c>
      <c r="C3282">
        <v>1.0463825139390199</v>
      </c>
      <c r="D3282">
        <v>0.960833413774411</v>
      </c>
      <c r="E3282">
        <v>0.96100147255737201</v>
      </c>
      <c r="F3282">
        <v>0.70320625597546704</v>
      </c>
      <c r="G3282">
        <v>0.254110315768034</v>
      </c>
      <c r="H3282">
        <v>0.13383081959111501</v>
      </c>
      <c r="I3282">
        <v>9.8474610532779297E-2</v>
      </c>
      <c r="J3282">
        <v>9.9578246065904402E-2</v>
      </c>
      <c r="K3282">
        <v>8.7260629396466699E-2</v>
      </c>
      <c r="L3282">
        <v>1738.09436833526</v>
      </c>
      <c r="M3282">
        <v>32.04846111594</v>
      </c>
      <c r="N3282">
        <v>54.596330351184797</v>
      </c>
      <c r="O3282">
        <v>54.023471938361702</v>
      </c>
      <c r="P3282">
        <v>-0.13407714337398099</v>
      </c>
      <c r="Q3282">
        <v>9.5959563298553499E-2</v>
      </c>
      <c r="R3282">
        <v>0.99757844864968903</v>
      </c>
      <c r="S3282" t="s">
        <v>7578</v>
      </c>
      <c r="T3282" t="s">
        <v>8590</v>
      </c>
      <c r="U3282" t="s">
        <v>8590</v>
      </c>
      <c r="V3282" t="s">
        <v>8590</v>
      </c>
      <c r="W3282">
        <v>21</v>
      </c>
      <c r="X3282" t="s">
        <v>11872</v>
      </c>
      <c r="Y3282">
        <v>0.53011581825814702</v>
      </c>
      <c r="Z3282" t="str">
        <f>HYPERLINK("Melting_Curves/meltCurve_sp_Q9NZL9_MAT2B_HUMAN_.pdf", "Melting_Curves/meltCurve_sp_Q9NZL9_MAT2B_HUMAN_.pdf")</f>
        <v>Melting_Curves/meltCurve_sp_Q9NZL9_MAT2B_HUMAN_.pdf</v>
      </c>
      <c r="AA3282" t="s">
        <v>16121</v>
      </c>
      <c r="AB3282" t="s">
        <v>20365</v>
      </c>
    </row>
    <row r="3283" spans="1:28" x14ac:dyDescent="0.25">
      <c r="A3283" t="s">
        <v>3287</v>
      </c>
      <c r="B3283">
        <v>0.99876560204751996</v>
      </c>
      <c r="C3283">
        <v>1.01596550289041</v>
      </c>
      <c r="D3283">
        <v>0.99437160012035297</v>
      </c>
      <c r="E3283">
        <v>0.94454934017246595</v>
      </c>
      <c r="F3283">
        <v>0.80393745836701003</v>
      </c>
      <c r="G3283">
        <v>0.61547837126439897</v>
      </c>
      <c r="H3283">
        <v>0.42350782751286897</v>
      </c>
      <c r="I3283">
        <v>0.32520873576526099</v>
      </c>
      <c r="J3283">
        <v>0.314277142572505</v>
      </c>
      <c r="K3283">
        <v>0.232543442392453</v>
      </c>
      <c r="L3283">
        <v>913.69283170181495</v>
      </c>
      <c r="M3283">
        <v>16.010961027397499</v>
      </c>
      <c r="N3283">
        <v>59.162877966654698</v>
      </c>
      <c r="O3283">
        <v>56.198745003758297</v>
      </c>
      <c r="P3283">
        <v>-5.5811359312745203E-2</v>
      </c>
      <c r="Q3283">
        <v>0.216466008320883</v>
      </c>
      <c r="R3283">
        <v>0.99701906179224098</v>
      </c>
      <c r="S3283" t="s">
        <v>7579</v>
      </c>
      <c r="T3283" t="s">
        <v>8590</v>
      </c>
      <c r="U3283" t="s">
        <v>8590</v>
      </c>
      <c r="V3283" t="s">
        <v>8590</v>
      </c>
      <c r="W3283">
        <v>14</v>
      </c>
      <c r="X3283" t="s">
        <v>11873</v>
      </c>
      <c r="Y3283">
        <v>0.67400108259760261</v>
      </c>
      <c r="Z3283" t="str">
        <f>HYPERLINK("Melting_Curves/meltCurve_sp_Q9NZM3_2_ITSN2_HUMAN_.pdf", "Melting_Curves/meltCurve_sp_Q9NZM3_2_ITSN2_HUMAN_.pdf")</f>
        <v>Melting_Curves/meltCurve_sp_Q9NZM3_2_ITSN2_HUMAN_.pdf</v>
      </c>
      <c r="AA3283" t="s">
        <v>16122</v>
      </c>
      <c r="AB3283" t="s">
        <v>20366</v>
      </c>
    </row>
    <row r="3284" spans="1:28" x14ac:dyDescent="0.25">
      <c r="A3284" t="s">
        <v>3288</v>
      </c>
      <c r="B3284">
        <v>0.99876560204751996</v>
      </c>
      <c r="C3284">
        <v>1.0442561136494</v>
      </c>
      <c r="D3284">
        <v>0.90959784385482401</v>
      </c>
      <c r="E3284">
        <v>0.74985739295058396</v>
      </c>
      <c r="F3284">
        <v>0.44113517639390198</v>
      </c>
      <c r="G3284">
        <v>0.235224592034328</v>
      </c>
      <c r="H3284">
        <v>0.16612840397766099</v>
      </c>
      <c r="I3284">
        <v>0.128566005572742</v>
      </c>
      <c r="J3284">
        <v>0.12934544278157201</v>
      </c>
      <c r="K3284">
        <v>0.117440901429622</v>
      </c>
      <c r="L3284">
        <v>1129.06831442673</v>
      </c>
      <c r="M3284">
        <v>21.778302496911699</v>
      </c>
      <c r="N3284">
        <v>52.514481322040602</v>
      </c>
      <c r="O3284">
        <v>51.412529208498903</v>
      </c>
      <c r="P3284">
        <v>-9.3043999811741496E-2</v>
      </c>
      <c r="Q3284">
        <v>0.121415896803197</v>
      </c>
      <c r="R3284">
        <v>0.996091680048515</v>
      </c>
      <c r="S3284" t="s">
        <v>7580</v>
      </c>
      <c r="T3284" t="s">
        <v>8590</v>
      </c>
      <c r="U3284" t="s">
        <v>8590</v>
      </c>
      <c r="V3284" t="s">
        <v>8590</v>
      </c>
      <c r="W3284">
        <v>20</v>
      </c>
      <c r="X3284" t="s">
        <v>11874</v>
      </c>
      <c r="Y3284">
        <v>0.4786792683390052</v>
      </c>
      <c r="Z3284" t="str">
        <f>HYPERLINK("Melting_Curves/meltCurve_sp_Q9NZN5_2_ARHGC_HUMAN_.pdf", "Melting_Curves/meltCurve_sp_Q9NZN5_2_ARHGC_HUMAN_.pdf")</f>
        <v>Melting_Curves/meltCurve_sp_Q9NZN5_2_ARHGC_HUMAN_.pdf</v>
      </c>
      <c r="AA3284" t="s">
        <v>16123</v>
      </c>
      <c r="AB3284" t="s">
        <v>20367</v>
      </c>
    </row>
    <row r="3285" spans="1:28" x14ac:dyDescent="0.25">
      <c r="A3285" t="s">
        <v>3289</v>
      </c>
      <c r="B3285">
        <v>0.99876560204751996</v>
      </c>
      <c r="C3285">
        <v>1.10582048458052</v>
      </c>
      <c r="D3285">
        <v>0.99247749422671405</v>
      </c>
      <c r="E3285">
        <v>0.92568007886468295</v>
      </c>
      <c r="F3285">
        <v>0.61113242473087503</v>
      </c>
      <c r="G3285">
        <v>0.23111276046593399</v>
      </c>
      <c r="H3285">
        <v>0.126193090513679</v>
      </c>
      <c r="I3285">
        <v>0.116028212039109</v>
      </c>
      <c r="J3285">
        <v>0.119339536903591</v>
      </c>
      <c r="K3285">
        <v>0.12665723539333201</v>
      </c>
      <c r="L3285">
        <v>1746.1324082175699</v>
      </c>
      <c r="M3285">
        <v>32.675391665678902</v>
      </c>
      <c r="N3285">
        <v>53.886172141854502</v>
      </c>
      <c r="O3285">
        <v>53.2398194977456</v>
      </c>
      <c r="P3285">
        <v>-0.135206547536838</v>
      </c>
      <c r="Q3285">
        <v>0.11880650522606</v>
      </c>
      <c r="R3285">
        <v>0.99304424520020196</v>
      </c>
      <c r="S3285" t="s">
        <v>7581</v>
      </c>
      <c r="T3285" t="s">
        <v>8590</v>
      </c>
      <c r="U3285" t="s">
        <v>8590</v>
      </c>
      <c r="V3285" t="s">
        <v>8590</v>
      </c>
      <c r="W3285">
        <v>5</v>
      </c>
      <c r="X3285" t="s">
        <v>11875</v>
      </c>
      <c r="Y3285">
        <v>0.51840685578641654</v>
      </c>
      <c r="Z3285" t="str">
        <f>HYPERLINK("Melting_Curves/meltCurve_sp_Q9NZN8_4_CNOT2_HUMAN_.pdf", "Melting_Curves/meltCurve_sp_Q9NZN8_4_CNOT2_HUMAN_.pdf")</f>
        <v>Melting_Curves/meltCurve_sp_Q9NZN8_4_CNOT2_HUMAN_.pdf</v>
      </c>
      <c r="AA3285" t="s">
        <v>16124</v>
      </c>
      <c r="AB3285" t="s">
        <v>20368</v>
      </c>
    </row>
    <row r="3286" spans="1:28" x14ac:dyDescent="0.25">
      <c r="A3286" t="s">
        <v>3290</v>
      </c>
      <c r="B3286">
        <v>0.99876560204751996</v>
      </c>
      <c r="C3286">
        <v>0.98725581957573605</v>
      </c>
      <c r="D3286">
        <v>1.0666805949573599</v>
      </c>
      <c r="E3286">
        <v>0.95870632169943903</v>
      </c>
      <c r="F3286">
        <v>0.82418055899379405</v>
      </c>
      <c r="G3286">
        <v>0.51204881030494998</v>
      </c>
      <c r="H3286">
        <v>0.359051280685179</v>
      </c>
      <c r="I3286">
        <v>0.29222992196279501</v>
      </c>
      <c r="J3286">
        <v>0.394103467698251</v>
      </c>
      <c r="K3286">
        <v>0.31048562195372198</v>
      </c>
      <c r="L3286">
        <v>1594.2443293539</v>
      </c>
      <c r="M3286">
        <v>29.003879000695498</v>
      </c>
      <c r="N3286">
        <v>57.058162799581098</v>
      </c>
      <c r="O3286">
        <v>54.707265067206798</v>
      </c>
      <c r="P3286">
        <v>-8.9157970371024201E-2</v>
      </c>
      <c r="Q3286">
        <v>0.32732397022395299</v>
      </c>
      <c r="R3286">
        <v>0.98779360274471795</v>
      </c>
      <c r="S3286" t="s">
        <v>7582</v>
      </c>
      <c r="T3286" t="s">
        <v>8590</v>
      </c>
      <c r="U3286" t="s">
        <v>8590</v>
      </c>
      <c r="V3286" t="s">
        <v>8590</v>
      </c>
      <c r="W3286">
        <v>2</v>
      </c>
      <c r="X3286" t="s">
        <v>11876</v>
      </c>
      <c r="Y3286">
        <v>0.66766603637388378</v>
      </c>
      <c r="Z3286" t="str">
        <f>HYPERLINK("Melting_Curves/meltCurve_sp_Q9NZP8_C1RL_HUMAN_.pdf", "Melting_Curves/meltCurve_sp_Q9NZP8_C1RL_HUMAN_.pdf")</f>
        <v>Melting_Curves/meltCurve_sp_Q9NZP8_C1RL_HUMAN_.pdf</v>
      </c>
      <c r="AA3286" t="s">
        <v>16125</v>
      </c>
      <c r="AB3286" t="s">
        <v>20369</v>
      </c>
    </row>
    <row r="3287" spans="1:28" x14ac:dyDescent="0.25">
      <c r="A3287" t="s">
        <v>3291</v>
      </c>
      <c r="B3287">
        <v>0.99876560204751996</v>
      </c>
      <c r="C3287">
        <v>0.94518208035613804</v>
      </c>
      <c r="D3287">
        <v>0.91390306902796203</v>
      </c>
      <c r="E3287">
        <v>0.67969022366470999</v>
      </c>
      <c r="F3287">
        <v>0.47939581310635898</v>
      </c>
      <c r="G3287">
        <v>0.25268136015819798</v>
      </c>
      <c r="H3287">
        <v>0.23435628666055699</v>
      </c>
      <c r="I3287">
        <v>0.20372741834215199</v>
      </c>
      <c r="J3287">
        <v>0.15689889498260201</v>
      </c>
      <c r="K3287">
        <v>0.12532247978314801</v>
      </c>
      <c r="L3287">
        <v>872.23589154808599</v>
      </c>
      <c r="M3287">
        <v>16.931193633474699</v>
      </c>
      <c r="N3287">
        <v>52.581479180311</v>
      </c>
      <c r="O3287">
        <v>50.813946753207503</v>
      </c>
      <c r="P3287">
        <v>-7.1213169975509999E-2</v>
      </c>
      <c r="Q3287">
        <v>0.14515300131624301</v>
      </c>
      <c r="R3287">
        <v>0.99578811481996299</v>
      </c>
      <c r="S3287" t="s">
        <v>7583</v>
      </c>
      <c r="T3287" t="s">
        <v>8590</v>
      </c>
      <c r="U3287" t="s">
        <v>8590</v>
      </c>
      <c r="V3287" t="s">
        <v>8590</v>
      </c>
      <c r="W3287">
        <v>6</v>
      </c>
      <c r="X3287" t="s">
        <v>11877</v>
      </c>
      <c r="Y3287">
        <v>0.48922733737107738</v>
      </c>
      <c r="Z3287" t="str">
        <f>HYPERLINK("Melting_Curves/meltCurve_sp_Q9NZT2_2_OGFR_HUMAN_.pdf", "Melting_Curves/meltCurve_sp_Q9NZT2_2_OGFR_HUMAN_.pdf")</f>
        <v>Melting_Curves/meltCurve_sp_Q9NZT2_2_OGFR_HUMAN_.pdf</v>
      </c>
      <c r="AA3287" t="s">
        <v>16126</v>
      </c>
      <c r="AB3287" t="s">
        <v>20370</v>
      </c>
    </row>
    <row r="3288" spans="1:28" x14ac:dyDescent="0.25">
      <c r="A3288" t="s">
        <v>3292</v>
      </c>
      <c r="B3288">
        <v>0.99876560204751996</v>
      </c>
      <c r="C3288">
        <v>1.0341277394942601</v>
      </c>
      <c r="D3288">
        <v>1.167055725477</v>
      </c>
      <c r="E3288">
        <v>1.02517349006175</v>
      </c>
      <c r="F3288">
        <v>0.74824557912870804</v>
      </c>
      <c r="G3288">
        <v>0.30635860362078199</v>
      </c>
      <c r="H3288">
        <v>0.21505920299504599</v>
      </c>
      <c r="I3288">
        <v>0.17931687919301501</v>
      </c>
      <c r="J3288">
        <v>0.204701027471341</v>
      </c>
      <c r="K3288">
        <v>0.17516077731256699</v>
      </c>
      <c r="L3288">
        <v>2165.5890747756498</v>
      </c>
      <c r="M3288">
        <v>39.967422281007302</v>
      </c>
      <c r="N3288">
        <v>54.854025092375402</v>
      </c>
      <c r="O3288">
        <v>54.048737212349003</v>
      </c>
      <c r="P3288">
        <v>-0.149158082158906</v>
      </c>
      <c r="Q3288">
        <v>0.19316391997920701</v>
      </c>
      <c r="R3288">
        <v>0.97934819746246504</v>
      </c>
      <c r="S3288" t="s">
        <v>7584</v>
      </c>
      <c r="T3288" t="s">
        <v>8590</v>
      </c>
      <c r="U3288" t="s">
        <v>8590</v>
      </c>
      <c r="V3288" t="s">
        <v>8590</v>
      </c>
      <c r="W3288">
        <v>5</v>
      </c>
      <c r="X3288" t="s">
        <v>11878</v>
      </c>
      <c r="Y3288">
        <v>0.57765208883230168</v>
      </c>
      <c r="Z3288" t="str">
        <f>HYPERLINK("Melting_Curves/meltCurve_sp_Q9NZU5_LMCD1_HUMAN_.pdf", "Melting_Curves/meltCurve_sp_Q9NZU5_LMCD1_HUMAN_.pdf")</f>
        <v>Melting_Curves/meltCurve_sp_Q9NZU5_LMCD1_HUMAN_.pdf</v>
      </c>
      <c r="AA3288" t="s">
        <v>16127</v>
      </c>
      <c r="AB3288" t="s">
        <v>20371</v>
      </c>
    </row>
    <row r="3289" spans="1:28" x14ac:dyDescent="0.25">
      <c r="A3289" t="s">
        <v>3293</v>
      </c>
      <c r="B3289">
        <v>0.99876560204751996</v>
      </c>
      <c r="C3289">
        <v>1.0085769558273101</v>
      </c>
      <c r="D3289">
        <v>1.05988545900327</v>
      </c>
      <c r="E3289">
        <v>0.94249090150500903</v>
      </c>
      <c r="F3289">
        <v>0.82242598721541704</v>
      </c>
      <c r="G3289">
        <v>0.64494004569911201</v>
      </c>
      <c r="H3289">
        <v>0.60794557609061195</v>
      </c>
      <c r="I3289">
        <v>0.59733214125670597</v>
      </c>
      <c r="J3289">
        <v>0.734913046001891</v>
      </c>
      <c r="K3289">
        <v>0.67791830096383998</v>
      </c>
      <c r="L3289">
        <v>2124.8330625266499</v>
      </c>
      <c r="M3289">
        <v>40.265197426331</v>
      </c>
      <c r="O3289">
        <v>52.641297845370602</v>
      </c>
      <c r="P3289">
        <v>-6.6916204101509794E-2</v>
      </c>
      <c r="Q3289">
        <v>0.65006518483579301</v>
      </c>
      <c r="R3289">
        <v>0.93947558611106596</v>
      </c>
      <c r="S3289" t="s">
        <v>7585</v>
      </c>
      <c r="T3289" t="s">
        <v>8590</v>
      </c>
      <c r="U3289" t="s">
        <v>8590</v>
      </c>
      <c r="V3289" t="s">
        <v>8590</v>
      </c>
      <c r="W3289">
        <v>5</v>
      </c>
      <c r="X3289" t="s">
        <v>11879</v>
      </c>
      <c r="Y3289">
        <v>0.80029044734241472</v>
      </c>
      <c r="Z3289" t="str">
        <f>HYPERLINK("Melting_Curves/meltCurve_sp_Q9NZZ3_CHMP5_HUMAN_.pdf", "Melting_Curves/meltCurve_sp_Q9NZZ3_CHMP5_HUMAN_.pdf")</f>
        <v>Melting_Curves/meltCurve_sp_Q9NZZ3_CHMP5_HUMAN_.pdf</v>
      </c>
      <c r="AA3289" t="s">
        <v>16128</v>
      </c>
      <c r="AB3289" t="s">
        <v>20372</v>
      </c>
    </row>
    <row r="3290" spans="1:28" x14ac:dyDescent="0.25">
      <c r="A3290" t="s">
        <v>3294</v>
      </c>
      <c r="B3290">
        <v>0.99876560204751996</v>
      </c>
      <c r="C3290">
        <v>1.05030417325472</v>
      </c>
      <c r="D3290">
        <v>1.0029743993350599</v>
      </c>
      <c r="E3290">
        <v>0.92531171237269005</v>
      </c>
      <c r="F3290">
        <v>0.75906592875594403</v>
      </c>
      <c r="G3290">
        <v>0.47075114311338201</v>
      </c>
      <c r="H3290">
        <v>0.26810705541358798</v>
      </c>
      <c r="I3290">
        <v>0.151124590317187</v>
      </c>
      <c r="J3290">
        <v>0.14128351893514801</v>
      </c>
      <c r="K3290">
        <v>6.9317084391462599E-2</v>
      </c>
      <c r="L3290">
        <v>1018.79583164819</v>
      </c>
      <c r="M3290">
        <v>18.108429938309801</v>
      </c>
      <c r="N3290">
        <v>56.713976733872002</v>
      </c>
      <c r="O3290">
        <v>55.588228340260102</v>
      </c>
      <c r="P3290">
        <v>-7.5958862009882805E-2</v>
      </c>
      <c r="Q3290">
        <v>6.7348508195695905E-2</v>
      </c>
      <c r="R3290">
        <v>0.99646577013749205</v>
      </c>
      <c r="S3290" t="s">
        <v>7586</v>
      </c>
      <c r="T3290" t="s">
        <v>8590</v>
      </c>
      <c r="U3290" t="s">
        <v>8590</v>
      </c>
      <c r="V3290" t="s">
        <v>8590</v>
      </c>
      <c r="W3290">
        <v>6</v>
      </c>
      <c r="X3290" t="s">
        <v>11880</v>
      </c>
      <c r="Y3290">
        <v>0.58630041081556505</v>
      </c>
      <c r="Z3290" t="str">
        <f>HYPERLINK("Melting_Curves/meltCurve_sp_Q9P000_COMD9_HUMAN_.pdf", "Melting_Curves/meltCurve_sp_Q9P000_COMD9_HUMAN_.pdf")</f>
        <v>Melting_Curves/meltCurve_sp_Q9P000_COMD9_HUMAN_.pdf</v>
      </c>
      <c r="AA3290" t="s">
        <v>16129</v>
      </c>
      <c r="AB3290" t="s">
        <v>20373</v>
      </c>
    </row>
    <row r="3291" spans="1:28" x14ac:dyDescent="0.25">
      <c r="A3291" t="s">
        <v>3295</v>
      </c>
      <c r="B3291">
        <v>0.99876560204751996</v>
      </c>
      <c r="C3291">
        <v>1.17331308808583</v>
      </c>
      <c r="D3291">
        <v>1.2587902250967899</v>
      </c>
      <c r="E3291">
        <v>0.97635390455906101</v>
      </c>
      <c r="F3291">
        <v>1.41596996891622</v>
      </c>
      <c r="G3291">
        <v>1.02999045624803</v>
      </c>
      <c r="H3291">
        <v>1.22799424553182</v>
      </c>
      <c r="I3291">
        <v>1.11201418360323</v>
      </c>
      <c r="J3291">
        <v>1.22372289753037</v>
      </c>
      <c r="K3291">
        <v>1.4274955854903699</v>
      </c>
      <c r="L3291">
        <v>158.285748594144</v>
      </c>
      <c r="M3291">
        <v>2.3868182259608801</v>
      </c>
      <c r="O3291">
        <v>43.635456674578798</v>
      </c>
      <c r="P3291">
        <v>7.2325251976570297E-3</v>
      </c>
      <c r="Q3291">
        <v>1.5</v>
      </c>
      <c r="R3291">
        <v>0.16314202982058901</v>
      </c>
      <c r="S3291" t="s">
        <v>7587</v>
      </c>
      <c r="T3291" t="s">
        <v>8590</v>
      </c>
      <c r="U3291" t="s">
        <v>8590</v>
      </c>
      <c r="V3291" t="s">
        <v>8590</v>
      </c>
      <c r="W3291">
        <v>5</v>
      </c>
      <c r="X3291" t="s">
        <v>11881</v>
      </c>
      <c r="Y3291">
        <v>1.184829801459526</v>
      </c>
      <c r="Z3291" t="str">
        <f>HYPERLINK("Melting_Curves/meltCurve_sp_Q9P013_CWC15_HUMAN_.pdf", "Melting_Curves/meltCurve_sp_Q9P013_CWC15_HUMAN_.pdf")</f>
        <v>Melting_Curves/meltCurve_sp_Q9P013_CWC15_HUMAN_.pdf</v>
      </c>
      <c r="AA3291" t="s">
        <v>16130</v>
      </c>
      <c r="AB3291" t="s">
        <v>20374</v>
      </c>
    </row>
    <row r="3292" spans="1:28" x14ac:dyDescent="0.25">
      <c r="A3292" t="s">
        <v>3296</v>
      </c>
      <c r="B3292">
        <v>0.99876560204751996</v>
      </c>
      <c r="C3292">
        <v>0.89775420556121499</v>
      </c>
      <c r="D3292">
        <v>0.889757264610887</v>
      </c>
      <c r="E3292">
        <v>0.35000638540871598</v>
      </c>
      <c r="F3292">
        <v>0.173039802317593</v>
      </c>
      <c r="G3292">
        <v>0.10957971022007799</v>
      </c>
      <c r="H3292">
        <v>7.0631664943081096E-2</v>
      </c>
      <c r="I3292">
        <v>6.4895810679171606E-2</v>
      </c>
      <c r="J3292">
        <v>6.6775099305874497E-2</v>
      </c>
      <c r="K3292">
        <v>5.37325818361679E-2</v>
      </c>
      <c r="L3292">
        <v>1390.0193674468701</v>
      </c>
      <c r="M3292">
        <v>28.5329576356913</v>
      </c>
      <c r="N3292">
        <v>48.976643971201099</v>
      </c>
      <c r="O3292">
        <v>48.478862988280099</v>
      </c>
      <c r="P3292">
        <v>-0.13678781879152599</v>
      </c>
      <c r="Q3292">
        <v>7.0371176750347805E-2</v>
      </c>
      <c r="R3292">
        <v>0.99301715395275802</v>
      </c>
      <c r="S3292" t="s">
        <v>7588</v>
      </c>
      <c r="T3292" t="s">
        <v>8590</v>
      </c>
      <c r="U3292" t="s">
        <v>8590</v>
      </c>
      <c r="V3292" t="s">
        <v>8590</v>
      </c>
      <c r="W3292">
        <v>12</v>
      </c>
      <c r="X3292" t="s">
        <v>11882</v>
      </c>
      <c r="Y3292">
        <v>0.34672227263766131</v>
      </c>
      <c r="Z3292" t="str">
        <f>HYPERLINK("Melting_Curves/meltCurve_sp_Q9P016_THYN1_HUMAN_.pdf", "Melting_Curves/meltCurve_sp_Q9P016_THYN1_HUMAN_.pdf")</f>
        <v>Melting_Curves/meltCurve_sp_Q9P016_THYN1_HUMAN_.pdf</v>
      </c>
      <c r="AA3292" t="s">
        <v>16131</v>
      </c>
      <c r="AB3292" t="s">
        <v>20375</v>
      </c>
    </row>
    <row r="3293" spans="1:28" x14ac:dyDescent="0.25">
      <c r="A3293" t="s">
        <v>3297</v>
      </c>
      <c r="B3293">
        <v>0.99876560204751996</v>
      </c>
      <c r="C3293">
        <v>0</v>
      </c>
      <c r="D3293">
        <v>1.06136874057261</v>
      </c>
      <c r="E3293">
        <v>0.772587734460778</v>
      </c>
      <c r="F3293">
        <v>0.78970349541378804</v>
      </c>
      <c r="G3293">
        <v>0.30863828711285701</v>
      </c>
      <c r="H3293">
        <v>0.31742815037686101</v>
      </c>
      <c r="I3293">
        <v>0.17396203682019601</v>
      </c>
      <c r="J3293">
        <v>0.37864474046739999</v>
      </c>
      <c r="K3293">
        <v>0.272302327655218</v>
      </c>
      <c r="L3293">
        <v>227.172381983403</v>
      </c>
      <c r="M3293">
        <v>4.1794160913817704</v>
      </c>
      <c r="N3293">
        <v>54.355052709908499</v>
      </c>
      <c r="O3293">
        <v>45.231307610957998</v>
      </c>
      <c r="P3293">
        <v>-2.33579149063598E-2</v>
      </c>
      <c r="Q3293">
        <v>0</v>
      </c>
      <c r="R3293">
        <v>0.25286192672165497</v>
      </c>
      <c r="S3293" t="s">
        <v>7589</v>
      </c>
      <c r="T3293" t="s">
        <v>8590</v>
      </c>
      <c r="U3293" t="s">
        <v>8590</v>
      </c>
      <c r="V3293" t="s">
        <v>8590</v>
      </c>
      <c r="W3293">
        <v>2</v>
      </c>
      <c r="X3293" t="s">
        <v>11883</v>
      </c>
      <c r="Y3293">
        <v>0.51089473914983707</v>
      </c>
      <c r="Z3293" t="str">
        <f>HYPERLINK("Melting_Curves/meltCurve_sp_Q9P032_NDUF4_HUMAN_.pdf", "Melting_Curves/meltCurve_sp_Q9P032_NDUF4_HUMAN_.pdf")</f>
        <v>Melting_Curves/meltCurve_sp_Q9P032_NDUF4_HUMAN_.pdf</v>
      </c>
      <c r="AA3293" t="s">
        <v>16132</v>
      </c>
      <c r="AB3293" t="s">
        <v>20376</v>
      </c>
    </row>
    <row r="3294" spans="1:28" x14ac:dyDescent="0.25">
      <c r="A3294" t="s">
        <v>3298</v>
      </c>
      <c r="B3294">
        <v>0.99876560204751996</v>
      </c>
      <c r="C3294">
        <v>1.1209847008500899</v>
      </c>
      <c r="D3294">
        <v>1.2931254401405801</v>
      </c>
      <c r="E3294">
        <v>0.67027130178004801</v>
      </c>
      <c r="F3294">
        <v>1.0583852576501001</v>
      </c>
      <c r="G3294">
        <v>0.124149569331829</v>
      </c>
      <c r="H3294">
        <v>0.20852523869174799</v>
      </c>
      <c r="I3294">
        <v>0.27171905173146099</v>
      </c>
      <c r="J3294">
        <v>0.47341160948550698</v>
      </c>
      <c r="K3294">
        <v>0.39254524573242799</v>
      </c>
      <c r="L3294">
        <v>13704.424346608601</v>
      </c>
      <c r="M3294">
        <v>250</v>
      </c>
      <c r="N3294">
        <v>55.012897160494298</v>
      </c>
      <c r="O3294">
        <v>54.814211456304498</v>
      </c>
      <c r="P3294">
        <v>-0.804918311073059</v>
      </c>
      <c r="Q3294">
        <v>0.29406488274675302</v>
      </c>
      <c r="R3294">
        <v>0.82184962313757004</v>
      </c>
      <c r="S3294" t="s">
        <v>7590</v>
      </c>
      <c r="T3294" t="s">
        <v>8590</v>
      </c>
      <c r="U3294" t="s">
        <v>8590</v>
      </c>
      <c r="V3294" t="s">
        <v>8590</v>
      </c>
      <c r="W3294">
        <v>2</v>
      </c>
      <c r="X3294" t="s">
        <v>11884</v>
      </c>
      <c r="Y3294">
        <v>0.64281056140455139</v>
      </c>
      <c r="Z3294" t="str">
        <f>HYPERLINK("Melting_Curves/meltCurve_sp_Q9P0J1_PDP1_HUMAN_.pdf", "Melting_Curves/meltCurve_sp_Q9P0J1_PDP1_HUMAN_.pdf")</f>
        <v>Melting_Curves/meltCurve_sp_Q9P0J1_PDP1_HUMAN_.pdf</v>
      </c>
      <c r="AA3294" t="s">
        <v>16133</v>
      </c>
      <c r="AB3294" t="s">
        <v>20377</v>
      </c>
    </row>
    <row r="3295" spans="1:28" x14ac:dyDescent="0.25">
      <c r="A3295" t="s">
        <v>3299</v>
      </c>
      <c r="B3295">
        <v>0.99876560204751996</v>
      </c>
      <c r="C3295">
        <v>1.04657740517211</v>
      </c>
      <c r="D3295">
        <v>0.96641556350931801</v>
      </c>
      <c r="E3295">
        <v>0.88386662687044804</v>
      </c>
      <c r="F3295">
        <v>0.73957143118586699</v>
      </c>
      <c r="G3295">
        <v>0.46292917181099003</v>
      </c>
      <c r="H3295">
        <v>0.34850802233211697</v>
      </c>
      <c r="I3295">
        <v>0.326733162911857</v>
      </c>
      <c r="J3295">
        <v>0.37265435720738199</v>
      </c>
      <c r="K3295">
        <v>0.30238829316355897</v>
      </c>
      <c r="L3295">
        <v>1237.2413095295799</v>
      </c>
      <c r="M3295">
        <v>22.973677408149001</v>
      </c>
      <c r="N3295">
        <v>56.3581267556116</v>
      </c>
      <c r="O3295">
        <v>53.451662483672997</v>
      </c>
      <c r="P3295">
        <v>-7.3090634215678602E-2</v>
      </c>
      <c r="Q3295">
        <v>0.31978803800543298</v>
      </c>
      <c r="R3295">
        <v>0.99284426116667701</v>
      </c>
      <c r="S3295" t="s">
        <v>7591</v>
      </c>
      <c r="T3295" t="s">
        <v>8590</v>
      </c>
      <c r="U3295" t="s">
        <v>8590</v>
      </c>
      <c r="V3295" t="s">
        <v>8590</v>
      </c>
      <c r="W3295">
        <v>18</v>
      </c>
      <c r="X3295" t="s">
        <v>11885</v>
      </c>
      <c r="Y3295">
        <v>0.64125043773438706</v>
      </c>
      <c r="Z3295" t="str">
        <f>HYPERLINK("Melting_Curves/meltCurve_sp_Q9P0K7_3_RAI14_HUMAN_.pdf", "Melting_Curves/meltCurve_sp_Q9P0K7_3_RAI14_HUMAN_.pdf")</f>
        <v>Melting_Curves/meltCurve_sp_Q9P0K7_3_RAI14_HUMAN_.pdf</v>
      </c>
      <c r="AA3295" t="s">
        <v>16134</v>
      </c>
      <c r="AB3295" t="s">
        <v>20378</v>
      </c>
    </row>
    <row r="3296" spans="1:28" x14ac:dyDescent="0.25">
      <c r="A3296" t="s">
        <v>3300</v>
      </c>
      <c r="B3296">
        <v>0.99876560204751996</v>
      </c>
      <c r="C3296">
        <v>0.93158718655313499</v>
      </c>
      <c r="D3296">
        <v>1.08824765113843</v>
      </c>
      <c r="E3296">
        <v>0.926746267269554</v>
      </c>
      <c r="F3296">
        <v>0.97556792514086199</v>
      </c>
      <c r="G3296">
        <v>0.801432028423125</v>
      </c>
      <c r="H3296">
        <v>0.72942248184295799</v>
      </c>
      <c r="I3296">
        <v>0.71258019561525399</v>
      </c>
      <c r="J3296">
        <v>0.82293249694842996</v>
      </c>
      <c r="K3296">
        <v>0.78128554603661005</v>
      </c>
      <c r="L3296">
        <v>2734.6290960911001</v>
      </c>
      <c r="M3296">
        <v>49.631921798774897</v>
      </c>
      <c r="O3296">
        <v>55.008963186749497</v>
      </c>
      <c r="P3296">
        <v>-5.3801845077813298E-2</v>
      </c>
      <c r="Q3296">
        <v>0.76147761462349695</v>
      </c>
      <c r="R3296">
        <v>0.82028238225513594</v>
      </c>
      <c r="S3296" t="s">
        <v>7592</v>
      </c>
      <c r="T3296" t="s">
        <v>8590</v>
      </c>
      <c r="U3296" t="s">
        <v>8590</v>
      </c>
      <c r="V3296" t="s">
        <v>8590</v>
      </c>
      <c r="W3296">
        <v>7</v>
      </c>
      <c r="X3296" t="s">
        <v>11886</v>
      </c>
      <c r="Y3296">
        <v>0.88210749545745748</v>
      </c>
      <c r="Z3296" t="str">
        <f>HYPERLINK("Melting_Curves/meltCurve_sp_Q9P0L0_VAPA_HUMAN_.pdf", "Melting_Curves/meltCurve_sp_Q9P0L0_VAPA_HUMAN_.pdf")</f>
        <v>Melting_Curves/meltCurve_sp_Q9P0L0_VAPA_HUMAN_.pdf</v>
      </c>
      <c r="AA3296" t="s">
        <v>16135</v>
      </c>
      <c r="AB3296" t="s">
        <v>20379</v>
      </c>
    </row>
    <row r="3297" spans="1:28" x14ac:dyDescent="0.25">
      <c r="A3297" t="s">
        <v>3301</v>
      </c>
      <c r="B3297">
        <v>0.99876560204751996</v>
      </c>
      <c r="C3297">
        <v>1.30383030636764</v>
      </c>
      <c r="D3297">
        <v>1.13994863471431</v>
      </c>
      <c r="E3297">
        <v>1.25972392911605</v>
      </c>
      <c r="F3297">
        <v>1.1187137397323701</v>
      </c>
      <c r="G3297">
        <v>0.90876055905020303</v>
      </c>
      <c r="H3297">
        <v>0.71176231895476905</v>
      </c>
      <c r="I3297">
        <v>0.62306005912570595</v>
      </c>
      <c r="J3297">
        <v>0.56584358615001196</v>
      </c>
      <c r="K3297">
        <v>0.15698772648475301</v>
      </c>
      <c r="L3297">
        <v>1155.32395262612</v>
      </c>
      <c r="M3297">
        <v>17.539335741656402</v>
      </c>
      <c r="N3297">
        <v>65.870473898035598</v>
      </c>
      <c r="O3297">
        <v>65.032066838557498</v>
      </c>
      <c r="P3297">
        <v>-6.7429404958885997E-2</v>
      </c>
      <c r="Q3297">
        <v>0</v>
      </c>
      <c r="R3297">
        <v>0.79756687234073598</v>
      </c>
      <c r="S3297" t="s">
        <v>7593</v>
      </c>
      <c r="T3297" t="s">
        <v>8590</v>
      </c>
      <c r="U3297" t="s">
        <v>8590</v>
      </c>
      <c r="V3297" t="s">
        <v>8590</v>
      </c>
      <c r="W3297">
        <v>5</v>
      </c>
      <c r="X3297" t="s">
        <v>11887</v>
      </c>
      <c r="Y3297">
        <v>0.83695755649612968</v>
      </c>
      <c r="Z3297" t="str">
        <f>HYPERLINK("Melting_Curves/meltCurve_sp_Q9P0M2_AKA7G_HUMAN_.pdf", "Melting_Curves/meltCurve_sp_Q9P0M2_AKA7G_HUMAN_.pdf")</f>
        <v>Melting_Curves/meltCurve_sp_Q9P0M2_AKA7G_HUMAN_.pdf</v>
      </c>
      <c r="AA3297" t="s">
        <v>16136</v>
      </c>
      <c r="AB3297" t="s">
        <v>20380</v>
      </c>
    </row>
    <row r="3298" spans="1:28" x14ac:dyDescent="0.25">
      <c r="A3298" t="s">
        <v>3302</v>
      </c>
      <c r="B3298">
        <v>0.99876560204751996</v>
      </c>
      <c r="C3298">
        <v>0.99515696713407298</v>
      </c>
      <c r="D3298">
        <v>1.1523623475456499</v>
      </c>
      <c r="E3298">
        <v>1.0004416116611301</v>
      </c>
      <c r="F3298">
        <v>0.960706164317087</v>
      </c>
      <c r="G3298">
        <v>0.63204448724105999</v>
      </c>
      <c r="H3298">
        <v>0.41390149815833499</v>
      </c>
      <c r="I3298">
        <v>0.28756836108740902</v>
      </c>
      <c r="J3298">
        <v>0.26116283799840401</v>
      </c>
      <c r="K3298">
        <v>0.227866796091413</v>
      </c>
      <c r="L3298">
        <v>1510.4379975747399</v>
      </c>
      <c r="M3298">
        <v>26.254197749772299</v>
      </c>
      <c r="N3298">
        <v>58.997291903235499</v>
      </c>
      <c r="O3298">
        <v>57.200626555313598</v>
      </c>
      <c r="P3298">
        <v>-8.7254189780016506E-2</v>
      </c>
      <c r="Q3298">
        <v>0.239597546453098</v>
      </c>
      <c r="R3298">
        <v>0.97717245174908196</v>
      </c>
      <c r="S3298" t="s">
        <v>7594</v>
      </c>
      <c r="T3298" t="s">
        <v>8590</v>
      </c>
      <c r="U3298" t="s">
        <v>8590</v>
      </c>
      <c r="V3298" t="s">
        <v>8590</v>
      </c>
      <c r="W3298">
        <v>4</v>
      </c>
      <c r="X3298" t="s">
        <v>11888</v>
      </c>
      <c r="Y3298">
        <v>0.69022034284540379</v>
      </c>
      <c r="Z3298" t="str">
        <f>HYPERLINK("Melting_Curves/meltCurve_sp_Q9P0P8_CF203_HUMAN_.pdf", "Melting_Curves/meltCurve_sp_Q9P0P8_CF203_HUMAN_.pdf")</f>
        <v>Melting_Curves/meltCurve_sp_Q9P0P8_CF203_HUMAN_.pdf</v>
      </c>
      <c r="AA3298" t="s">
        <v>16137</v>
      </c>
      <c r="AB3298" t="s">
        <v>20381</v>
      </c>
    </row>
    <row r="3299" spans="1:28" x14ac:dyDescent="0.25">
      <c r="A3299" t="s">
        <v>3303</v>
      </c>
      <c r="B3299">
        <v>0.99876560204751996</v>
      </c>
      <c r="C3299">
        <v>0.92965643940569997</v>
      </c>
      <c r="D3299">
        <v>0.96131266567906704</v>
      </c>
      <c r="E3299">
        <v>0.981399433337385</v>
      </c>
      <c r="F3299">
        <v>0.88568224589561695</v>
      </c>
      <c r="G3299">
        <v>0.48317138576495899</v>
      </c>
      <c r="H3299">
        <v>0.36989922241373902</v>
      </c>
      <c r="I3299">
        <v>0.32914346295717001</v>
      </c>
      <c r="J3299">
        <v>0.42322386696463599</v>
      </c>
      <c r="K3299">
        <v>0.36898711849793903</v>
      </c>
      <c r="L3299">
        <v>2302.4127484749802</v>
      </c>
      <c r="M3299">
        <v>41.9401175597771</v>
      </c>
      <c r="N3299">
        <v>56.724421354228198</v>
      </c>
      <c r="O3299">
        <v>54.773255366086502</v>
      </c>
      <c r="P3299">
        <v>-0.120509223945269</v>
      </c>
      <c r="Q3299">
        <v>0.37046709875272898</v>
      </c>
      <c r="R3299">
        <v>0.98593647176911503</v>
      </c>
      <c r="S3299" t="s">
        <v>7595</v>
      </c>
      <c r="T3299" t="s">
        <v>8590</v>
      </c>
      <c r="U3299" t="s">
        <v>8590</v>
      </c>
      <c r="V3299" t="s">
        <v>8590</v>
      </c>
      <c r="W3299">
        <v>2</v>
      </c>
      <c r="X3299" t="s">
        <v>11889</v>
      </c>
      <c r="Y3299">
        <v>0.68525147126135755</v>
      </c>
      <c r="Z3299" t="str">
        <f>HYPERLINK("Melting_Curves/meltCurve_sp_Q9P0R6_GSKIP_HUMAN_.pdf", "Melting_Curves/meltCurve_sp_Q9P0R6_GSKIP_HUMAN_.pdf")</f>
        <v>Melting_Curves/meltCurve_sp_Q9P0R6_GSKIP_HUMAN_.pdf</v>
      </c>
      <c r="AA3299" t="s">
        <v>16138</v>
      </c>
      <c r="AB3299" t="s">
        <v>20382</v>
      </c>
    </row>
    <row r="3300" spans="1:28" x14ac:dyDescent="0.25">
      <c r="A3300" t="s">
        <v>3304</v>
      </c>
      <c r="B3300">
        <v>0.99876560204751996</v>
      </c>
      <c r="C3300">
        <v>0.99133082668805095</v>
      </c>
      <c r="D3300">
        <v>1.0884350263084801</v>
      </c>
      <c r="E3300">
        <v>0.99207296396914202</v>
      </c>
      <c r="F3300">
        <v>0.863840735359095</v>
      </c>
      <c r="G3300">
        <v>0.68515708568922895</v>
      </c>
      <c r="H3300">
        <v>0.40924190028268698</v>
      </c>
      <c r="I3300">
        <v>0.25844265299177499</v>
      </c>
      <c r="J3300">
        <v>0.145728863050964</v>
      </c>
      <c r="K3300">
        <v>9.6251139913161102E-2</v>
      </c>
      <c r="L3300">
        <v>1022.55870103798</v>
      </c>
      <c r="M3300">
        <v>17.210951862762599</v>
      </c>
      <c r="N3300">
        <v>59.632375902283201</v>
      </c>
      <c r="O3300">
        <v>58.628562443513601</v>
      </c>
      <c r="P3300">
        <v>-7.1145207607786295E-2</v>
      </c>
      <c r="Q3300">
        <v>3.0641462464268399E-2</v>
      </c>
      <c r="R3300">
        <v>0.99209111946255302</v>
      </c>
      <c r="S3300" t="s">
        <v>7596</v>
      </c>
      <c r="T3300" t="s">
        <v>8590</v>
      </c>
      <c r="U3300" t="s">
        <v>8590</v>
      </c>
      <c r="V3300" t="s">
        <v>8590</v>
      </c>
      <c r="W3300">
        <v>30</v>
      </c>
      <c r="X3300" t="s">
        <v>11890</v>
      </c>
      <c r="Y3300">
        <v>0.66731657630995445</v>
      </c>
      <c r="Z3300" t="str">
        <f>HYPERLINK("Melting_Curves/meltCurve_sp_Q9P0Z9_SOX_HUMAN_.pdf", "Melting_Curves/meltCurve_sp_Q9P0Z9_SOX_HUMAN_.pdf")</f>
        <v>Melting_Curves/meltCurve_sp_Q9P0Z9_SOX_HUMAN_.pdf</v>
      </c>
      <c r="AA3300" t="s">
        <v>16139</v>
      </c>
      <c r="AB3300" t="s">
        <v>20383</v>
      </c>
    </row>
    <row r="3301" spans="1:28" x14ac:dyDescent="0.25">
      <c r="A3301" t="s">
        <v>3305</v>
      </c>
      <c r="B3301">
        <v>0.99876560204751996</v>
      </c>
      <c r="C3301">
        <v>0.98201223345357502</v>
      </c>
      <c r="D3301">
        <v>1.1100487912189101</v>
      </c>
      <c r="E3301">
        <v>1.00886277205316</v>
      </c>
      <c r="F3301">
        <v>0.91734491414997099</v>
      </c>
      <c r="G3301">
        <v>0.66195049051685395</v>
      </c>
      <c r="H3301">
        <v>0.56277429689158598</v>
      </c>
      <c r="I3301">
        <v>0.46481906868443601</v>
      </c>
      <c r="J3301">
        <v>0.53961896468305504</v>
      </c>
      <c r="K3301">
        <v>0.38131252872586602</v>
      </c>
      <c r="L3301">
        <v>1457.4128069194901</v>
      </c>
      <c r="M3301">
        <v>25.869840510592699</v>
      </c>
      <c r="N3301">
        <v>62.263075787507603</v>
      </c>
      <c r="O3301">
        <v>56.002962561279602</v>
      </c>
      <c r="P3301">
        <v>-6.2663713145219901E-2</v>
      </c>
      <c r="Q3301">
        <v>0.45738935127298602</v>
      </c>
      <c r="R3301">
        <v>0.95665290075115506</v>
      </c>
      <c r="S3301" t="s">
        <v>7597</v>
      </c>
      <c r="T3301" t="s">
        <v>8590</v>
      </c>
      <c r="U3301" t="s">
        <v>8590</v>
      </c>
      <c r="V3301" t="s">
        <v>8590</v>
      </c>
      <c r="W3301">
        <v>5</v>
      </c>
      <c r="X3301" t="s">
        <v>11891</v>
      </c>
      <c r="Y3301">
        <v>0.75755088596864628</v>
      </c>
      <c r="Z3301" t="str">
        <f>HYPERLINK("Melting_Curves/meltCurve_sp_Q9P1F3_ABRAL_HUMAN_.pdf", "Melting_Curves/meltCurve_sp_Q9P1F3_ABRAL_HUMAN_.pdf")</f>
        <v>Melting_Curves/meltCurve_sp_Q9P1F3_ABRAL_HUMAN_.pdf</v>
      </c>
      <c r="AA3301" t="s">
        <v>16140</v>
      </c>
      <c r="AB3301" t="s">
        <v>20384</v>
      </c>
    </row>
    <row r="3302" spans="1:28" x14ac:dyDescent="0.25">
      <c r="A3302" t="s">
        <v>3306</v>
      </c>
      <c r="B3302">
        <v>0.99876560204751996</v>
      </c>
      <c r="C3302">
        <v>1.06093759323335</v>
      </c>
      <c r="D3302">
        <v>1.16824215629033</v>
      </c>
      <c r="E3302">
        <v>0.98276876395783996</v>
      </c>
      <c r="F3302">
        <v>0.99587494041493396</v>
      </c>
      <c r="G3302">
        <v>0.71522519466698298</v>
      </c>
      <c r="H3302">
        <v>0.47255992176915901</v>
      </c>
      <c r="I3302">
        <v>0.41361455373770301</v>
      </c>
      <c r="J3302">
        <v>0.50329873075834397</v>
      </c>
      <c r="K3302">
        <v>0.46670453979864301</v>
      </c>
      <c r="L3302">
        <v>3759.7367108892799</v>
      </c>
      <c r="M3302">
        <v>66.078804163824799</v>
      </c>
      <c r="N3302">
        <v>59.216092882974102</v>
      </c>
      <c r="O3302">
        <v>56.845705391263202</v>
      </c>
      <c r="P3302">
        <v>-0.156236375904313</v>
      </c>
      <c r="Q3302">
        <v>0.462377193337353</v>
      </c>
      <c r="R3302">
        <v>0.95285780112068197</v>
      </c>
      <c r="S3302" t="s">
        <v>7598</v>
      </c>
      <c r="T3302" t="s">
        <v>8590</v>
      </c>
      <c r="U3302" t="s">
        <v>8590</v>
      </c>
      <c r="V3302" t="s">
        <v>8590</v>
      </c>
      <c r="W3302">
        <v>17</v>
      </c>
      <c r="X3302" t="s">
        <v>11892</v>
      </c>
      <c r="Y3302">
        <v>0.76596870884688528</v>
      </c>
      <c r="Z3302" t="str">
        <f>HYPERLINK("Melting_Curves/meltCurve_sp_Q9P1Y5_CAMP3_HUMAN_.pdf", "Melting_Curves/meltCurve_sp_Q9P1Y5_CAMP3_HUMAN_.pdf")</f>
        <v>Melting_Curves/meltCurve_sp_Q9P1Y5_CAMP3_HUMAN_.pdf</v>
      </c>
      <c r="AA3302" t="s">
        <v>16141</v>
      </c>
      <c r="AB3302" t="s">
        <v>20385</v>
      </c>
    </row>
    <row r="3303" spans="1:28" x14ac:dyDescent="0.25">
      <c r="A3303" t="s">
        <v>3307</v>
      </c>
      <c r="B3303">
        <v>0.99876560204751996</v>
      </c>
      <c r="C3303">
        <v>0.92966548581660602</v>
      </c>
      <c r="D3303">
        <v>0.94540265792256395</v>
      </c>
      <c r="E3303">
        <v>0.97954878696376102</v>
      </c>
      <c r="F3303">
        <v>0.78257553273439495</v>
      </c>
      <c r="G3303">
        <v>0.54957641550475</v>
      </c>
      <c r="H3303">
        <v>0.34597470991047202</v>
      </c>
      <c r="I3303">
        <v>0.287533808803144</v>
      </c>
      <c r="J3303">
        <v>0.44263681947594902</v>
      </c>
      <c r="K3303">
        <v>0.36136998439078899</v>
      </c>
      <c r="L3303">
        <v>1480.5205222617401</v>
      </c>
      <c r="M3303">
        <v>27.074734921369998</v>
      </c>
      <c r="N3303">
        <v>57.252247354056102</v>
      </c>
      <c r="O3303">
        <v>54.387031531379002</v>
      </c>
      <c r="P3303">
        <v>-8.0688699981324399E-2</v>
      </c>
      <c r="Q3303">
        <v>0.351664811568766</v>
      </c>
      <c r="R3303">
        <v>0.96718170727730801</v>
      </c>
      <c r="S3303" t="s">
        <v>7599</v>
      </c>
      <c r="T3303" t="s">
        <v>8590</v>
      </c>
      <c r="U3303" t="s">
        <v>8590</v>
      </c>
      <c r="V3303" t="s">
        <v>8590</v>
      </c>
      <c r="W3303">
        <v>5</v>
      </c>
      <c r="X3303" t="s">
        <v>11893</v>
      </c>
      <c r="Y3303">
        <v>0.67417305056938848</v>
      </c>
      <c r="Z3303" t="str">
        <f>HYPERLINK("Melting_Curves/meltCurve_sp_Q9P1Z2_2_CACO1_HUMAN_.pdf", "Melting_Curves/meltCurve_sp_Q9P1Z2_2_CACO1_HUMAN_.pdf")</f>
        <v>Melting_Curves/meltCurve_sp_Q9P1Z2_2_CACO1_HUMAN_.pdf</v>
      </c>
      <c r="AA3303" t="s">
        <v>16142</v>
      </c>
      <c r="AB3303" t="s">
        <v>20386</v>
      </c>
    </row>
    <row r="3304" spans="1:28" x14ac:dyDescent="0.25">
      <c r="A3304" t="s">
        <v>3308</v>
      </c>
      <c r="B3304">
        <v>0.99876560204751996</v>
      </c>
      <c r="C3304">
        <v>0.91844286102555095</v>
      </c>
      <c r="D3304">
        <v>0.91429828872236596</v>
      </c>
      <c r="E3304">
        <v>0.736139519700165</v>
      </c>
      <c r="F3304">
        <v>0.71264505774128095</v>
      </c>
      <c r="G3304">
        <v>0.58606414759115699</v>
      </c>
      <c r="H3304">
        <v>0.48627884583150599</v>
      </c>
      <c r="I3304">
        <v>0.50055494360649999</v>
      </c>
      <c r="J3304">
        <v>0.61721925191574201</v>
      </c>
      <c r="K3304">
        <v>0.61504265628947496</v>
      </c>
      <c r="L3304">
        <v>791.51140641483198</v>
      </c>
      <c r="M3304">
        <v>16.007747229283002</v>
      </c>
      <c r="O3304">
        <v>48.69318089315</v>
      </c>
      <c r="P3304">
        <v>-3.7051436596858597E-2</v>
      </c>
      <c r="Q3304">
        <v>0.54921550900368998</v>
      </c>
      <c r="R3304">
        <v>0.92054618338592697</v>
      </c>
      <c r="S3304" t="s">
        <v>7600</v>
      </c>
      <c r="T3304" t="s">
        <v>8590</v>
      </c>
      <c r="U3304" t="s">
        <v>8590</v>
      </c>
      <c r="V3304" t="s">
        <v>8590</v>
      </c>
      <c r="W3304">
        <v>4</v>
      </c>
      <c r="X3304" t="s">
        <v>11894</v>
      </c>
      <c r="Y3304">
        <v>0.70084898822203101</v>
      </c>
      <c r="Z3304" t="str">
        <f>HYPERLINK("Melting_Curves/meltCurve_sp_Q9P206_2_K1522_HUMAN_.pdf", "Melting_Curves/meltCurve_sp_Q9P206_2_K1522_HUMAN_.pdf")</f>
        <v>Melting_Curves/meltCurve_sp_Q9P206_2_K1522_HUMAN_.pdf</v>
      </c>
      <c r="AA3304" t="s">
        <v>16143</v>
      </c>
      <c r="AB3304" t="s">
        <v>20387</v>
      </c>
    </row>
    <row r="3305" spans="1:28" x14ac:dyDescent="0.25">
      <c r="A3305" t="s">
        <v>3309</v>
      </c>
      <c r="B3305">
        <v>0.99876560204751996</v>
      </c>
      <c r="C3305">
        <v>1.18140500576231</v>
      </c>
      <c r="D3305">
        <v>0.92725651822416599</v>
      </c>
      <c r="E3305">
        <v>0.72979249174345995</v>
      </c>
      <c r="F3305">
        <v>0.20706200304177999</v>
      </c>
      <c r="G3305">
        <v>0.14550137504444399</v>
      </c>
      <c r="H3305">
        <v>0.151632807961641</v>
      </c>
      <c r="I3305">
        <v>8.6573919767048702E-2</v>
      </c>
      <c r="J3305">
        <v>0.104088103209783</v>
      </c>
      <c r="K3305">
        <v>9.2048910327896E-2</v>
      </c>
      <c r="L3305">
        <v>2512.3785265696902</v>
      </c>
      <c r="M3305">
        <v>49.449737232577199</v>
      </c>
      <c r="N3305">
        <v>51.073576546166102</v>
      </c>
      <c r="O3305">
        <v>50.723827286491797</v>
      </c>
      <c r="P3305">
        <v>-0.21597223647420599</v>
      </c>
      <c r="Q3305">
        <v>0.113853435895114</v>
      </c>
      <c r="R3305">
        <v>0.97665938974678201</v>
      </c>
      <c r="S3305" t="s">
        <v>7601</v>
      </c>
      <c r="T3305" t="s">
        <v>8590</v>
      </c>
      <c r="U3305" t="s">
        <v>8590</v>
      </c>
      <c r="V3305" t="s">
        <v>8590</v>
      </c>
      <c r="W3305">
        <v>2</v>
      </c>
      <c r="X3305" t="s">
        <v>11895</v>
      </c>
      <c r="Y3305">
        <v>0.43509503986423492</v>
      </c>
      <c r="Z3305" t="str">
        <f>HYPERLINK("Melting_Curves/meltCurve_sp_Q9P253_VPS18_HUMAN_.pdf", "Melting_Curves/meltCurve_sp_Q9P253_VPS18_HUMAN_.pdf")</f>
        <v>Melting_Curves/meltCurve_sp_Q9P253_VPS18_HUMAN_.pdf</v>
      </c>
      <c r="AA3305" t="s">
        <v>16144</v>
      </c>
      <c r="AB3305" t="s">
        <v>20388</v>
      </c>
    </row>
    <row r="3306" spans="1:28" x14ac:dyDescent="0.25">
      <c r="A3306" t="s">
        <v>3310</v>
      </c>
      <c r="B3306">
        <v>0.99876560204751996</v>
      </c>
      <c r="C3306">
        <v>1.07139831449124</v>
      </c>
      <c r="D3306">
        <v>1.0818636848448799</v>
      </c>
      <c r="E3306">
        <v>0.83435620427156298</v>
      </c>
      <c r="F3306">
        <v>0.384952689296435</v>
      </c>
      <c r="G3306">
        <v>0.167299456175833</v>
      </c>
      <c r="H3306">
        <v>0.14570882099087901</v>
      </c>
      <c r="I3306">
        <v>9.1846765502742594E-2</v>
      </c>
      <c r="J3306">
        <v>0.11833593042045</v>
      </c>
      <c r="K3306">
        <v>8.1971993242428501E-2</v>
      </c>
      <c r="L3306">
        <v>2024.17241170327</v>
      </c>
      <c r="M3306">
        <v>38.989326702855102</v>
      </c>
      <c r="N3306">
        <v>52.263867212485899</v>
      </c>
      <c r="O3306">
        <v>51.7800439693169</v>
      </c>
      <c r="P3306">
        <v>-0.16673538620254</v>
      </c>
      <c r="Q3306">
        <v>0.11426553362259</v>
      </c>
      <c r="R3306">
        <v>0.99093270537050404</v>
      </c>
      <c r="S3306" t="s">
        <v>7602</v>
      </c>
      <c r="T3306" t="s">
        <v>8590</v>
      </c>
      <c r="U3306" t="s">
        <v>8590</v>
      </c>
      <c r="V3306" t="s">
        <v>8590</v>
      </c>
      <c r="W3306">
        <v>6</v>
      </c>
      <c r="X3306" t="s">
        <v>11896</v>
      </c>
      <c r="Y3306">
        <v>0.46942611894347558</v>
      </c>
      <c r="Z3306" t="str">
        <f>HYPERLINK("Melting_Curves/meltCurve_sp_Q9P258_RCC2_HUMAN_.pdf", "Melting_Curves/meltCurve_sp_Q9P258_RCC2_HUMAN_.pdf")</f>
        <v>Melting_Curves/meltCurve_sp_Q9P258_RCC2_HUMAN_.pdf</v>
      </c>
      <c r="AA3306" t="s">
        <v>16145</v>
      </c>
      <c r="AB3306" t="s">
        <v>20389</v>
      </c>
    </row>
    <row r="3307" spans="1:28" x14ac:dyDescent="0.25">
      <c r="A3307" t="s">
        <v>3311</v>
      </c>
      <c r="B3307">
        <v>0.99876560204751996</v>
      </c>
      <c r="C3307">
        <v>0.94528785111334201</v>
      </c>
      <c r="D3307">
        <v>0.91192308582044401</v>
      </c>
      <c r="E3307">
        <v>0.83557452694225298</v>
      </c>
      <c r="F3307">
        <v>0.65352985380931805</v>
      </c>
      <c r="G3307">
        <v>0.291527895462241</v>
      </c>
      <c r="H3307">
        <v>0.189686756225908</v>
      </c>
      <c r="I3307">
        <v>0.18742757742730601</v>
      </c>
      <c r="J3307">
        <v>0.130078739663603</v>
      </c>
      <c r="K3307">
        <v>5.4942185877393898E-2</v>
      </c>
      <c r="L3307">
        <v>964.52402225541198</v>
      </c>
      <c r="M3307">
        <v>17.855539328738701</v>
      </c>
      <c r="N3307">
        <v>54.578695473535099</v>
      </c>
      <c r="O3307">
        <v>53.354308583836399</v>
      </c>
      <c r="P3307">
        <v>-7.6660150955120701E-2</v>
      </c>
      <c r="Q3307">
        <v>8.3770930477110206E-2</v>
      </c>
      <c r="R3307">
        <v>0.99002148033340598</v>
      </c>
      <c r="S3307" t="s">
        <v>7603</v>
      </c>
      <c r="T3307" t="s">
        <v>8590</v>
      </c>
      <c r="U3307" t="s">
        <v>8590</v>
      </c>
      <c r="V3307" t="s">
        <v>8590</v>
      </c>
      <c r="W3307">
        <v>5</v>
      </c>
      <c r="X3307" t="s">
        <v>11897</v>
      </c>
      <c r="Y3307">
        <v>0.52672778250418562</v>
      </c>
      <c r="Z3307" t="str">
        <f>HYPERLINK("Melting_Curves/meltCurve_sp_Q9P260_2_K1468_HUMAN_.pdf", "Melting_Curves/meltCurve_sp_Q9P260_2_K1468_HUMAN_.pdf")</f>
        <v>Melting_Curves/meltCurve_sp_Q9P260_2_K1468_HUMAN_.pdf</v>
      </c>
      <c r="AA3307" t="s">
        <v>16146</v>
      </c>
      <c r="AB3307" t="s">
        <v>20390</v>
      </c>
    </row>
    <row r="3308" spans="1:28" x14ac:dyDescent="0.25">
      <c r="A3308" t="s">
        <v>3312</v>
      </c>
      <c r="B3308">
        <v>0.99876560204751996</v>
      </c>
      <c r="C3308">
        <v>0.99741561767785503</v>
      </c>
      <c r="D3308">
        <v>0.92244579484520395</v>
      </c>
      <c r="E3308">
        <v>0.86101515823277897</v>
      </c>
      <c r="F3308">
        <v>0.74923302580026996</v>
      </c>
      <c r="G3308">
        <v>0.441793557767446</v>
      </c>
      <c r="H3308">
        <v>0.31099291825796399</v>
      </c>
      <c r="I3308">
        <v>0.23992817280650999</v>
      </c>
      <c r="J3308">
        <v>0.30154995362836501</v>
      </c>
      <c r="K3308">
        <v>0.30668329613725898</v>
      </c>
      <c r="L3308">
        <v>1143.0213410505401</v>
      </c>
      <c r="M3308">
        <v>21.128978255007301</v>
      </c>
      <c r="N3308">
        <v>56.092296172413903</v>
      </c>
      <c r="O3308">
        <v>53.619739113120197</v>
      </c>
      <c r="P3308">
        <v>-7.2491433964830307E-2</v>
      </c>
      <c r="Q3308">
        <v>0.264163171104633</v>
      </c>
      <c r="R3308">
        <v>0.98835375138202397</v>
      </c>
      <c r="S3308" t="s">
        <v>7604</v>
      </c>
      <c r="T3308" t="s">
        <v>8590</v>
      </c>
      <c r="U3308" t="s">
        <v>8590</v>
      </c>
      <c r="V3308" t="s">
        <v>8590</v>
      </c>
      <c r="W3308">
        <v>16</v>
      </c>
      <c r="X3308" t="s">
        <v>11898</v>
      </c>
      <c r="Y3308">
        <v>0.61907106592977346</v>
      </c>
      <c r="Z3308" t="str">
        <f>HYPERLINK("Melting_Curves/meltCurve_sp_Q9P265_DIP2B_HUMAN_.pdf", "Melting_Curves/meltCurve_sp_Q9P265_DIP2B_HUMAN_.pdf")</f>
        <v>Melting_Curves/meltCurve_sp_Q9P265_DIP2B_HUMAN_.pdf</v>
      </c>
      <c r="AA3308" t="s">
        <v>16147</v>
      </c>
      <c r="AB3308" t="s">
        <v>20391</v>
      </c>
    </row>
    <row r="3309" spans="1:28" x14ac:dyDescent="0.25">
      <c r="A3309" t="s">
        <v>3313</v>
      </c>
      <c r="B3309">
        <v>0.99876560204751996</v>
      </c>
      <c r="C3309">
        <v>1.0672954093087399</v>
      </c>
      <c r="D3309">
        <v>0.98403891778860697</v>
      </c>
      <c r="E3309">
        <v>1.0323909773069599</v>
      </c>
      <c r="F3309">
        <v>0.27885684887294099</v>
      </c>
      <c r="G3309">
        <v>0.11398085773771401</v>
      </c>
      <c r="H3309">
        <v>4.2354667536476702E-2</v>
      </c>
      <c r="I3309">
        <v>2.7915049424689201E-2</v>
      </c>
      <c r="J3309">
        <v>2.3794391889320001E-2</v>
      </c>
      <c r="K3309">
        <v>2.1006429490900098E-2</v>
      </c>
      <c r="L3309">
        <v>13190.1312970529</v>
      </c>
      <c r="M3309">
        <v>250</v>
      </c>
      <c r="N3309">
        <v>52.780812685994498</v>
      </c>
      <c r="O3309">
        <v>52.7571488576123</v>
      </c>
      <c r="P3309">
        <v>-1.1304033751556599</v>
      </c>
      <c r="Q3309">
        <v>4.5810254877159999E-2</v>
      </c>
      <c r="R3309">
        <v>0.99447929697986504</v>
      </c>
      <c r="S3309" t="s">
        <v>7605</v>
      </c>
      <c r="T3309" t="s">
        <v>8590</v>
      </c>
      <c r="U3309" t="s">
        <v>8590</v>
      </c>
      <c r="V3309" t="s">
        <v>8590</v>
      </c>
      <c r="W3309">
        <v>2</v>
      </c>
      <c r="X3309" t="s">
        <v>11899</v>
      </c>
      <c r="Y3309">
        <v>0.45176401625998508</v>
      </c>
      <c r="Z3309" t="str">
        <f>HYPERLINK("Melting_Curves/meltCurve_sp_Q9P266_JCAD_HUMAN_.pdf", "Melting_Curves/meltCurve_sp_Q9P266_JCAD_HUMAN_.pdf")</f>
        <v>Melting_Curves/meltCurve_sp_Q9P266_JCAD_HUMAN_.pdf</v>
      </c>
      <c r="AA3309" t="s">
        <v>16148</v>
      </c>
      <c r="AB3309" t="s">
        <v>20392</v>
      </c>
    </row>
    <row r="3310" spans="1:28" x14ac:dyDescent="0.25">
      <c r="A3310" t="s">
        <v>3314</v>
      </c>
      <c r="B3310">
        <v>0.99876560204751996</v>
      </c>
      <c r="C3310">
        <v>0.91570409502614902</v>
      </c>
      <c r="D3310">
        <v>0.94699539525935295</v>
      </c>
      <c r="E3310">
        <v>0.85127958569079198</v>
      </c>
      <c r="F3310">
        <v>0.78959913779478397</v>
      </c>
      <c r="G3310">
        <v>0.59501057802250001</v>
      </c>
      <c r="H3310">
        <v>0.50056591846056697</v>
      </c>
      <c r="I3310">
        <v>0.49934629022735899</v>
      </c>
      <c r="J3310">
        <v>0.58831150468719196</v>
      </c>
      <c r="K3310">
        <v>0.567824855006277</v>
      </c>
      <c r="L3310">
        <v>979.45196032648005</v>
      </c>
      <c r="M3310">
        <v>18.664324503681399</v>
      </c>
      <c r="O3310">
        <v>51.885940107984197</v>
      </c>
      <c r="P3310">
        <v>-4.26348495216331E-2</v>
      </c>
      <c r="Q3310">
        <v>0.52592880765517602</v>
      </c>
      <c r="R3310">
        <v>0.94513459465414795</v>
      </c>
      <c r="S3310" t="s">
        <v>7606</v>
      </c>
      <c r="T3310" t="s">
        <v>8590</v>
      </c>
      <c r="U3310" t="s">
        <v>8590</v>
      </c>
      <c r="V3310" t="s">
        <v>8590</v>
      </c>
      <c r="W3310">
        <v>10</v>
      </c>
      <c r="X3310" t="s">
        <v>11900</v>
      </c>
      <c r="Y3310">
        <v>0.73047085436697534</v>
      </c>
      <c r="Z3310" t="str">
        <f>HYPERLINK("Melting_Curves/meltCurve_sp_Q9P270_SLAI2_HUMAN_.pdf", "Melting_Curves/meltCurve_sp_Q9P270_SLAI2_HUMAN_.pdf")</f>
        <v>Melting_Curves/meltCurve_sp_Q9P270_SLAI2_HUMAN_.pdf</v>
      </c>
      <c r="AA3310" t="s">
        <v>16149</v>
      </c>
      <c r="AB3310" t="s">
        <v>20393</v>
      </c>
    </row>
    <row r="3311" spans="1:28" x14ac:dyDescent="0.25">
      <c r="A3311" t="s">
        <v>3315</v>
      </c>
      <c r="B3311">
        <v>0.99876560204751996</v>
      </c>
      <c r="C3311">
        <v>0.92786130137256495</v>
      </c>
      <c r="D3311">
        <v>0.99997640962231205</v>
      </c>
      <c r="E3311">
        <v>0.82238373066942105</v>
      </c>
      <c r="F3311">
        <v>0.69011760584320003</v>
      </c>
      <c r="G3311">
        <v>0.38366942048418701</v>
      </c>
      <c r="H3311">
        <v>0.22974258850557699</v>
      </c>
      <c r="I3311">
        <v>0.141318963055136</v>
      </c>
      <c r="J3311">
        <v>0.14777091643266599</v>
      </c>
      <c r="K3311">
        <v>0.11294133992252001</v>
      </c>
      <c r="L3311">
        <v>941.81817154099804</v>
      </c>
      <c r="M3311">
        <v>17.225633313898602</v>
      </c>
      <c r="N3311">
        <v>55.341210367134799</v>
      </c>
      <c r="O3311">
        <v>53.954472314320697</v>
      </c>
      <c r="P3311">
        <v>-7.2349996310819994E-2</v>
      </c>
      <c r="Q3311">
        <v>9.3588773005757603E-2</v>
      </c>
      <c r="R3311">
        <v>0.99428680523523205</v>
      </c>
      <c r="S3311" t="s">
        <v>7607</v>
      </c>
      <c r="T3311" t="s">
        <v>8590</v>
      </c>
      <c r="U3311" t="s">
        <v>8590</v>
      </c>
      <c r="V3311" t="s">
        <v>8590</v>
      </c>
      <c r="W3311">
        <v>8</v>
      </c>
      <c r="X3311" t="s">
        <v>11901</v>
      </c>
      <c r="Y3311">
        <v>0.55206065818283667</v>
      </c>
      <c r="Z3311" t="str">
        <f>HYPERLINK("Melting_Curves/meltCurve_sp_Q9P287_BCCIP_HUMAN_.pdf", "Melting_Curves/meltCurve_sp_Q9P287_BCCIP_HUMAN_.pdf")</f>
        <v>Melting_Curves/meltCurve_sp_Q9P287_BCCIP_HUMAN_.pdf</v>
      </c>
      <c r="AA3311" t="s">
        <v>16150</v>
      </c>
      <c r="AB3311" t="s">
        <v>20394</v>
      </c>
    </row>
    <row r="3312" spans="1:28" x14ac:dyDescent="0.25">
      <c r="A3312" t="s">
        <v>3316</v>
      </c>
      <c r="B3312">
        <v>0.99876560204751996</v>
      </c>
      <c r="C3312">
        <v>0.94583471977700095</v>
      </c>
      <c r="D3312">
        <v>0.96020086615705103</v>
      </c>
      <c r="E3312">
        <v>0.87624924845923902</v>
      </c>
      <c r="F3312">
        <v>0.67256677715195001</v>
      </c>
      <c r="G3312">
        <v>0.56163074845019101</v>
      </c>
      <c r="H3312">
        <v>0.30853387142199601</v>
      </c>
      <c r="I3312">
        <v>0.15401420079792499</v>
      </c>
      <c r="J3312">
        <v>9.2609855024105001E-2</v>
      </c>
      <c r="K3312">
        <v>8.5223593316248E-2</v>
      </c>
      <c r="L3312">
        <v>753.24391196847</v>
      </c>
      <c r="M3312">
        <v>13.2189496890709</v>
      </c>
      <c r="N3312">
        <v>56.982116432598701</v>
      </c>
      <c r="O3312">
        <v>55.725423570412801</v>
      </c>
      <c r="P3312">
        <v>-5.93137618358009E-2</v>
      </c>
      <c r="Q3312">
        <v>0</v>
      </c>
      <c r="R3312">
        <v>0.99111008831125702</v>
      </c>
      <c r="S3312" t="s">
        <v>7608</v>
      </c>
      <c r="T3312" t="s">
        <v>8590</v>
      </c>
      <c r="U3312" t="s">
        <v>8590</v>
      </c>
      <c r="V3312" t="s">
        <v>8590</v>
      </c>
      <c r="W3312">
        <v>4</v>
      </c>
      <c r="X3312" t="s">
        <v>11902</v>
      </c>
      <c r="Y3312">
        <v>0.58278576912423141</v>
      </c>
      <c r="Z3312" t="str">
        <f>HYPERLINK("Melting_Curves/meltCurve_sp_Q9P299_COPZ2_HUMAN_.pdf", "Melting_Curves/meltCurve_sp_Q9P299_COPZ2_HUMAN_.pdf")</f>
        <v>Melting_Curves/meltCurve_sp_Q9P299_COPZ2_HUMAN_.pdf</v>
      </c>
      <c r="AA3312" t="s">
        <v>16151</v>
      </c>
      <c r="AB3312" t="s">
        <v>20395</v>
      </c>
    </row>
    <row r="3313" spans="1:28" x14ac:dyDescent="0.25">
      <c r="A3313" t="s">
        <v>3317</v>
      </c>
      <c r="B3313">
        <v>0.99876560204751996</v>
      </c>
      <c r="C3313">
        <v>1.1173499047123201</v>
      </c>
      <c r="D3313">
        <v>1.01693866834575</v>
      </c>
      <c r="E3313">
        <v>1.1657698833687999</v>
      </c>
      <c r="F3313">
        <v>0.73768866637114405</v>
      </c>
      <c r="G3313">
        <v>0.38612163749967898</v>
      </c>
      <c r="H3313">
        <v>0.27667937345697002</v>
      </c>
      <c r="I3313">
        <v>0.22598268775399799</v>
      </c>
      <c r="J3313">
        <v>0.31352720918883598</v>
      </c>
      <c r="K3313">
        <v>0.41321160470592899</v>
      </c>
      <c r="L3313">
        <v>13274.260477517801</v>
      </c>
      <c r="M3313">
        <v>250</v>
      </c>
      <c r="N3313">
        <v>53.318646807643397</v>
      </c>
      <c r="O3313">
        <v>53.093646260618598</v>
      </c>
      <c r="P3313">
        <v>-0.796817963282484</v>
      </c>
      <c r="Q3313">
        <v>0.32310449171254602</v>
      </c>
      <c r="R3313">
        <v>0.94992264160027895</v>
      </c>
      <c r="S3313" t="s">
        <v>7609</v>
      </c>
      <c r="T3313" t="s">
        <v>8590</v>
      </c>
      <c r="U3313" t="s">
        <v>8590</v>
      </c>
      <c r="V3313" t="s">
        <v>8590</v>
      </c>
      <c r="W3313">
        <v>6</v>
      </c>
      <c r="X3313" t="s">
        <v>11903</v>
      </c>
      <c r="Y3313">
        <v>0.61867852922929989</v>
      </c>
      <c r="Z3313" t="str">
        <f>HYPERLINK("Melting_Curves/meltCurve_sp_Q9P2D0_2_IBTK_HUMAN_.pdf", "Melting_Curves/meltCurve_sp_Q9P2D0_2_IBTK_HUMAN_.pdf")</f>
        <v>Melting_Curves/meltCurve_sp_Q9P2D0_2_IBTK_HUMAN_.pdf</v>
      </c>
      <c r="AA3313" t="s">
        <v>16152</v>
      </c>
      <c r="AB3313" t="s">
        <v>20396</v>
      </c>
    </row>
    <row r="3314" spans="1:28" x14ac:dyDescent="0.25">
      <c r="A3314" t="s">
        <v>3318</v>
      </c>
      <c r="B3314">
        <v>0.99876560204751996</v>
      </c>
      <c r="C3314">
        <v>1.3001444652796199</v>
      </c>
      <c r="D3314">
        <v>0.875307982919871</v>
      </c>
      <c r="E3314">
        <v>0.84448788403559805</v>
      </c>
      <c r="F3314">
        <v>0.11406145140525301</v>
      </c>
      <c r="G3314">
        <v>0.12148080969444899</v>
      </c>
      <c r="H3314">
        <v>5.3904597114923597E-2</v>
      </c>
      <c r="I3314">
        <v>3.6772408337504198E-2</v>
      </c>
      <c r="J3314">
        <v>0</v>
      </c>
      <c r="K3314">
        <v>0</v>
      </c>
      <c r="L3314">
        <v>3621.4130356667201</v>
      </c>
      <c r="M3314">
        <v>70.796953145966398</v>
      </c>
      <c r="N3314">
        <v>51.215323792375401</v>
      </c>
      <c r="O3314">
        <v>51.111335264171103</v>
      </c>
      <c r="P3314">
        <v>-0.33180061655871101</v>
      </c>
      <c r="Q3314">
        <v>4.1836227671999002E-2</v>
      </c>
      <c r="R3314">
        <v>0.95004454043863995</v>
      </c>
      <c r="S3314" t="s">
        <v>7610</v>
      </c>
      <c r="T3314" t="s">
        <v>8590</v>
      </c>
      <c r="U3314" t="s">
        <v>8590</v>
      </c>
      <c r="V3314" t="s">
        <v>8590</v>
      </c>
      <c r="W3314">
        <v>3</v>
      </c>
      <c r="X3314" t="s">
        <v>11904</v>
      </c>
      <c r="Y3314">
        <v>0.39909624036662289</v>
      </c>
      <c r="Z3314" t="str">
        <f>HYPERLINK("Melting_Curves/meltCurve_sp_Q9P2D3_3_HTR5B_HUMAN_.pdf", "Melting_Curves/meltCurve_sp_Q9P2D3_3_HTR5B_HUMAN_.pdf")</f>
        <v>Melting_Curves/meltCurve_sp_Q9P2D3_3_HTR5B_HUMAN_.pdf</v>
      </c>
      <c r="AA3314" t="s">
        <v>16153</v>
      </c>
      <c r="AB3314" t="s">
        <v>20397</v>
      </c>
    </row>
    <row r="3315" spans="1:28" x14ac:dyDescent="0.25">
      <c r="A3315" t="s">
        <v>3319</v>
      </c>
      <c r="B3315">
        <v>0.99876560204751996</v>
      </c>
      <c r="C3315">
        <v>0.94413591567292698</v>
      </c>
      <c r="D3315">
        <v>0.86463609597324598</v>
      </c>
      <c r="E3315">
        <v>0.822026212378975</v>
      </c>
      <c r="F3315">
        <v>0.73871989457423004</v>
      </c>
      <c r="G3315">
        <v>0.45914674139237999</v>
      </c>
      <c r="H3315">
        <v>0.44899318560229701</v>
      </c>
      <c r="I3315">
        <v>0.39130476473967402</v>
      </c>
      <c r="J3315">
        <v>0.472403050883902</v>
      </c>
      <c r="K3315">
        <v>0.480423028877624</v>
      </c>
      <c r="L3315">
        <v>833.00072720777496</v>
      </c>
      <c r="M3315">
        <v>16.0032931544878</v>
      </c>
      <c r="N3315">
        <v>58.6612373672546</v>
      </c>
      <c r="O3315">
        <v>51.259404422255699</v>
      </c>
      <c r="P3315">
        <v>-4.5459671080397002E-2</v>
      </c>
      <c r="Q3315">
        <v>0.41760660422657597</v>
      </c>
      <c r="R3315">
        <v>0.94865004821186705</v>
      </c>
      <c r="S3315" t="s">
        <v>7611</v>
      </c>
      <c r="T3315" t="s">
        <v>8590</v>
      </c>
      <c r="U3315" t="s">
        <v>8590</v>
      </c>
      <c r="V3315" t="s">
        <v>8590</v>
      </c>
      <c r="W3315">
        <v>127</v>
      </c>
      <c r="X3315" t="s">
        <v>11905</v>
      </c>
      <c r="Y3315">
        <v>0.66332206381922798</v>
      </c>
      <c r="Z3315" t="str">
        <f>HYPERLINK("Melting_Curves/meltCurve_sp_Q9P2E9_2_RRBP1_HUMAN_.pdf", "Melting_Curves/meltCurve_sp_Q9P2E9_2_RRBP1_HUMAN_.pdf")</f>
        <v>Melting_Curves/meltCurve_sp_Q9P2E9_2_RRBP1_HUMAN_.pdf</v>
      </c>
      <c r="AA3315" t="s">
        <v>16154</v>
      </c>
      <c r="AB3315" t="s">
        <v>20398</v>
      </c>
    </row>
    <row r="3316" spans="1:28" x14ac:dyDescent="0.25">
      <c r="A3316" t="s">
        <v>3320</v>
      </c>
      <c r="B3316">
        <v>0.99876560204751996</v>
      </c>
      <c r="C3316">
        <v>1.0250584660214199</v>
      </c>
      <c r="D3316">
        <v>1.0070742014899301</v>
      </c>
      <c r="E3316">
        <v>1.03736820378865</v>
      </c>
      <c r="F3316">
        <v>1.0554858271444201</v>
      </c>
      <c r="G3316">
        <v>0.87368852505727301</v>
      </c>
      <c r="H3316">
        <v>0.78487774202299498</v>
      </c>
      <c r="I3316">
        <v>0.82637020168433695</v>
      </c>
      <c r="J3316">
        <v>1.0355089885214701</v>
      </c>
      <c r="K3316">
        <v>1.01062484798248</v>
      </c>
      <c r="L3316">
        <v>13748.439973407299</v>
      </c>
      <c r="M3316">
        <v>250</v>
      </c>
      <c r="O3316">
        <v>54.990244090936002</v>
      </c>
      <c r="P3316">
        <v>-0.106594905807676</v>
      </c>
      <c r="Q3316">
        <v>0.906213127732165</v>
      </c>
      <c r="R3316">
        <v>0.368563745002782</v>
      </c>
      <c r="S3316" t="s">
        <v>7612</v>
      </c>
      <c r="T3316" t="s">
        <v>8590</v>
      </c>
      <c r="U3316" t="s">
        <v>8590</v>
      </c>
      <c r="V3316" t="s">
        <v>8590</v>
      </c>
      <c r="W3316">
        <v>128</v>
      </c>
      <c r="X3316" t="s">
        <v>11906</v>
      </c>
      <c r="Y3316">
        <v>0.95309610753458918</v>
      </c>
      <c r="Z3316" t="str">
        <f>HYPERLINK("Melting_Curves/meltCurve_sp_Q9P2E9_RRBP1_HUMAN_.pdf", "Melting_Curves/meltCurve_sp_Q9P2E9_RRBP1_HUMAN_.pdf")</f>
        <v>Melting_Curves/meltCurve_sp_Q9P2E9_RRBP1_HUMAN_.pdf</v>
      </c>
      <c r="AA3316" t="s">
        <v>16154</v>
      </c>
      <c r="AB3316" t="s">
        <v>20399</v>
      </c>
    </row>
    <row r="3317" spans="1:28" x14ac:dyDescent="0.25">
      <c r="A3317" t="s">
        <v>3321</v>
      </c>
      <c r="B3317">
        <v>0.99876560204751996</v>
      </c>
      <c r="C3317">
        <v>1.04572525045125</v>
      </c>
      <c r="D3317">
        <v>1.0503930930941501</v>
      </c>
      <c r="E3317">
        <v>0.75958295286259703</v>
      </c>
      <c r="F3317">
        <v>0.34694252025914402</v>
      </c>
      <c r="G3317">
        <v>0.14141860668423101</v>
      </c>
      <c r="H3317">
        <v>0.10489239754720001</v>
      </c>
      <c r="I3317">
        <v>7.1708115231797195E-2</v>
      </c>
      <c r="J3317">
        <v>7.2679125392009603E-2</v>
      </c>
      <c r="K3317">
        <v>5.5708360766616297E-2</v>
      </c>
      <c r="L3317">
        <v>1735.2920949865099</v>
      </c>
      <c r="M3317">
        <v>33.619611343527602</v>
      </c>
      <c r="N3317">
        <v>51.883315689083503</v>
      </c>
      <c r="O3317">
        <v>51.433877207745397</v>
      </c>
      <c r="P3317">
        <v>-0.15039403072191801</v>
      </c>
      <c r="Q3317">
        <v>7.9666211196635597E-2</v>
      </c>
      <c r="R3317">
        <v>0.99534358825775804</v>
      </c>
      <c r="S3317" t="s">
        <v>7613</v>
      </c>
      <c r="T3317" t="s">
        <v>8590</v>
      </c>
      <c r="U3317" t="s">
        <v>8590</v>
      </c>
      <c r="V3317" t="s">
        <v>8590</v>
      </c>
      <c r="W3317">
        <v>4</v>
      </c>
      <c r="X3317" t="s">
        <v>11907</v>
      </c>
      <c r="Y3317">
        <v>0.44065783913839979</v>
      </c>
      <c r="Z3317" t="str">
        <f>HYPERLINK("Melting_Curves/meltCurve_sp_Q9P2I0_CPSF2_HUMAN_.pdf", "Melting_Curves/meltCurve_sp_Q9P2I0_CPSF2_HUMAN_.pdf")</f>
        <v>Melting_Curves/meltCurve_sp_Q9P2I0_CPSF2_HUMAN_.pdf</v>
      </c>
      <c r="AA3317" t="s">
        <v>16155</v>
      </c>
      <c r="AB3317" t="s">
        <v>20400</v>
      </c>
    </row>
    <row r="3318" spans="1:28" x14ac:dyDescent="0.25">
      <c r="A3318" t="s">
        <v>3322</v>
      </c>
      <c r="B3318">
        <v>0.99876560204751996</v>
      </c>
      <c r="C3318">
        <v>1.02292548549594</v>
      </c>
      <c r="D3318">
        <v>1.20520171592129</v>
      </c>
      <c r="E3318">
        <v>0.82526710150407301</v>
      </c>
      <c r="F3318">
        <v>0.42660773146481401</v>
      </c>
      <c r="G3318">
        <v>0.208778554736399</v>
      </c>
      <c r="H3318">
        <v>4.5733179875757299E-2</v>
      </c>
      <c r="I3318">
        <v>6.5467390207793505E-2</v>
      </c>
      <c r="J3318">
        <v>5.3833697517349503E-2</v>
      </c>
      <c r="K3318">
        <v>0</v>
      </c>
      <c r="L3318">
        <v>1598.52304943635</v>
      </c>
      <c r="M3318">
        <v>30.442593080301101</v>
      </c>
      <c r="N3318">
        <v>52.693837921501597</v>
      </c>
      <c r="O3318">
        <v>52.284403098572497</v>
      </c>
      <c r="P3318">
        <v>-0.138207987932151</v>
      </c>
      <c r="Q3318">
        <v>5.0530589031286897E-2</v>
      </c>
      <c r="R3318">
        <v>0.97161166546801303</v>
      </c>
      <c r="S3318" t="s">
        <v>7614</v>
      </c>
      <c r="T3318" t="s">
        <v>8590</v>
      </c>
      <c r="U3318" t="s">
        <v>8590</v>
      </c>
      <c r="V3318" t="s">
        <v>8590</v>
      </c>
      <c r="W3318">
        <v>1</v>
      </c>
      <c r="X3318" t="s">
        <v>11908</v>
      </c>
      <c r="Y3318">
        <v>0.45238079532920389</v>
      </c>
      <c r="Z3318" t="str">
        <f>HYPERLINK("Melting_Curves/meltCurve_sp_Q9P2K8_2_E2AK4_HUMAN_.pdf", "Melting_Curves/meltCurve_sp_Q9P2K8_2_E2AK4_HUMAN_.pdf")</f>
        <v>Melting_Curves/meltCurve_sp_Q9P2K8_2_E2AK4_HUMAN_.pdf</v>
      </c>
      <c r="AA3318" t="s">
        <v>16156</v>
      </c>
      <c r="AB3318" t="s">
        <v>20401</v>
      </c>
    </row>
    <row r="3319" spans="1:28" x14ac:dyDescent="0.25">
      <c r="A3319" t="s">
        <v>3323</v>
      </c>
      <c r="B3319">
        <v>0.99876560204751996</v>
      </c>
      <c r="C3319">
        <v>0.94210050095402698</v>
      </c>
      <c r="D3319">
        <v>0.94567334915431001</v>
      </c>
      <c r="E3319">
        <v>0.91582270173507296</v>
      </c>
      <c r="F3319">
        <v>0.90930587961523301</v>
      </c>
      <c r="G3319">
        <v>0.739177546762534</v>
      </c>
      <c r="H3319">
        <v>0.63297791615014098</v>
      </c>
      <c r="I3319">
        <v>0.60930716748191804</v>
      </c>
      <c r="J3319">
        <v>0.79353423960999503</v>
      </c>
      <c r="K3319">
        <v>0.70062559175981698</v>
      </c>
      <c r="L3319">
        <v>1446.4478771303</v>
      </c>
      <c r="M3319">
        <v>26.8681873280361</v>
      </c>
      <c r="O3319">
        <v>53.539401292448403</v>
      </c>
      <c r="P3319">
        <v>-3.9931495236711398E-2</v>
      </c>
      <c r="Q3319">
        <v>0.68172227001504604</v>
      </c>
      <c r="R3319">
        <v>0.82461052804746204</v>
      </c>
      <c r="S3319" t="s">
        <v>7615</v>
      </c>
      <c r="T3319" t="s">
        <v>8590</v>
      </c>
      <c r="U3319" t="s">
        <v>8590</v>
      </c>
      <c r="V3319" t="s">
        <v>8590</v>
      </c>
      <c r="W3319">
        <v>59</v>
      </c>
      <c r="X3319" t="s">
        <v>11909</v>
      </c>
      <c r="Y3319">
        <v>0.83107618000572514</v>
      </c>
      <c r="Z3319" t="str">
        <f>HYPERLINK("Melting_Curves/meltCurve_sp_Q9P2M7_CING_HUMAN_.pdf", "Melting_Curves/meltCurve_sp_Q9P2M7_CING_HUMAN_.pdf")</f>
        <v>Melting_Curves/meltCurve_sp_Q9P2M7_CING_HUMAN_.pdf</v>
      </c>
      <c r="AA3319" t="s">
        <v>16157</v>
      </c>
      <c r="AB3319" t="s">
        <v>20402</v>
      </c>
    </row>
    <row r="3320" spans="1:28" x14ac:dyDescent="0.25">
      <c r="A3320" t="s">
        <v>3324</v>
      </c>
      <c r="B3320">
        <v>0.99876560204751996</v>
      </c>
      <c r="C3320">
        <v>1.15571461840861</v>
      </c>
      <c r="D3320">
        <v>1.1190789264130301</v>
      </c>
      <c r="E3320">
        <v>0.64851241914414104</v>
      </c>
      <c r="F3320">
        <v>0.80455008510205395</v>
      </c>
      <c r="G3320">
        <v>0.61921255941396003</v>
      </c>
      <c r="H3320">
        <v>0.49654981580708601</v>
      </c>
      <c r="I3320">
        <v>0.45220194113328299</v>
      </c>
      <c r="J3320">
        <v>0.55237222969805599</v>
      </c>
      <c r="K3320">
        <v>0.44133769423647301</v>
      </c>
      <c r="L3320">
        <v>911.910626134925</v>
      </c>
      <c r="M3320">
        <v>17.3701141962459</v>
      </c>
      <c r="N3320">
        <v>63.353401894903101</v>
      </c>
      <c r="O3320">
        <v>51.817836142776997</v>
      </c>
      <c r="P3320">
        <v>-4.4041034483015697E-2</v>
      </c>
      <c r="Q3320">
        <v>0.47450399842255903</v>
      </c>
      <c r="R3320">
        <v>0.83777259790149305</v>
      </c>
      <c r="S3320" t="s">
        <v>7616</v>
      </c>
      <c r="T3320" t="s">
        <v>8590</v>
      </c>
      <c r="U3320" t="s">
        <v>8590</v>
      </c>
      <c r="V3320" t="s">
        <v>8590</v>
      </c>
      <c r="W3320">
        <v>8</v>
      </c>
      <c r="X3320" t="s">
        <v>11910</v>
      </c>
      <c r="Y3320">
        <v>0.70264156093761998</v>
      </c>
      <c r="Z3320" t="str">
        <f>HYPERLINK("Melting_Curves/meltCurve_sp_Q9P2N5_RBM27_HUMAN_.pdf", "Melting_Curves/meltCurve_sp_Q9P2N5_RBM27_HUMAN_.pdf")</f>
        <v>Melting_Curves/meltCurve_sp_Q9P2N5_RBM27_HUMAN_.pdf</v>
      </c>
      <c r="AA3320" t="s">
        <v>16158</v>
      </c>
      <c r="AB3320" t="s">
        <v>20403</v>
      </c>
    </row>
    <row r="3321" spans="1:28" x14ac:dyDescent="0.25">
      <c r="A3321" t="s">
        <v>3325</v>
      </c>
      <c r="B3321">
        <v>0.99876560204751996</v>
      </c>
      <c r="C3321">
        <v>1.04566890443671</v>
      </c>
      <c r="D3321">
        <v>0.84038031499451205</v>
      </c>
      <c r="E3321">
        <v>0.39464412528396298</v>
      </c>
      <c r="F3321">
        <v>0.18961278338069301</v>
      </c>
      <c r="G3321">
        <v>0.10959449203402501</v>
      </c>
      <c r="H3321">
        <v>8.0680296002519303E-2</v>
      </c>
      <c r="I3321">
        <v>6.6267575157829106E-2</v>
      </c>
      <c r="J3321">
        <v>6.3532896020197099E-2</v>
      </c>
      <c r="K3321">
        <v>5.6928677365433701E-2</v>
      </c>
      <c r="L3321">
        <v>1298.2275160464501</v>
      </c>
      <c r="M3321">
        <v>26.555294389232198</v>
      </c>
      <c r="N3321">
        <v>49.171523350919799</v>
      </c>
      <c r="O3321">
        <v>48.612997720166902</v>
      </c>
      <c r="P3321">
        <v>-0.126862833957924</v>
      </c>
      <c r="Q3321">
        <v>7.1052672885896603E-2</v>
      </c>
      <c r="R3321">
        <v>0.99632115529420595</v>
      </c>
      <c r="S3321" t="s">
        <v>7617</v>
      </c>
      <c r="T3321" t="s">
        <v>8590</v>
      </c>
      <c r="U3321" t="s">
        <v>8590</v>
      </c>
      <c r="V3321" t="s">
        <v>8590</v>
      </c>
      <c r="W3321">
        <v>19</v>
      </c>
      <c r="X3321" t="s">
        <v>11911</v>
      </c>
      <c r="Y3321">
        <v>0.35352171522953751</v>
      </c>
      <c r="Z3321" t="str">
        <f>HYPERLINK("Melting_Curves/meltCurve_sp_Q9P2R3_ANFY1_HUMAN_.pdf", "Melting_Curves/meltCurve_sp_Q9P2R3_ANFY1_HUMAN_.pdf")</f>
        <v>Melting_Curves/meltCurve_sp_Q9P2R3_ANFY1_HUMAN_.pdf</v>
      </c>
      <c r="AA3321" t="s">
        <v>16159</v>
      </c>
      <c r="AB3321" t="s">
        <v>20404</v>
      </c>
    </row>
    <row r="3322" spans="1:28" x14ac:dyDescent="0.25">
      <c r="A3322" t="s">
        <v>3326</v>
      </c>
      <c r="B3322">
        <v>0.99876560204751996</v>
      </c>
      <c r="C3322">
        <v>0.91640127084469902</v>
      </c>
      <c r="D3322">
        <v>0.98733693135024803</v>
      </c>
      <c r="E3322">
        <v>0.89788632998693896</v>
      </c>
      <c r="F3322">
        <v>0.90586188121032196</v>
      </c>
      <c r="G3322">
        <v>0.72917827294489101</v>
      </c>
      <c r="H3322">
        <v>0.70309020219560003</v>
      </c>
      <c r="I3322">
        <v>0.80911826534605702</v>
      </c>
      <c r="J3322">
        <v>0.952089011137216</v>
      </c>
      <c r="K3322">
        <v>0.97615179659860996</v>
      </c>
      <c r="L3322">
        <v>1329.59365881349</v>
      </c>
      <c r="M3322">
        <v>27.0486292421824</v>
      </c>
      <c r="O3322">
        <v>48.889358228639999</v>
      </c>
      <c r="P3322">
        <v>-2.2006147134487699E-2</v>
      </c>
      <c r="Q3322">
        <v>0.84090052001085802</v>
      </c>
      <c r="R3322">
        <v>0.277803560922668</v>
      </c>
      <c r="S3322" t="s">
        <v>7618</v>
      </c>
      <c r="T3322" t="s">
        <v>8590</v>
      </c>
      <c r="U3322" t="s">
        <v>8590</v>
      </c>
      <c r="V3322" t="s">
        <v>8590</v>
      </c>
      <c r="W3322">
        <v>1</v>
      </c>
      <c r="X3322" t="s">
        <v>11912</v>
      </c>
      <c r="Y3322">
        <v>0.89065668589642921</v>
      </c>
      <c r="Z3322" t="str">
        <f>HYPERLINK("Melting_Curves/meltCurve_sp_Q9P2R6_2_RERE_HUMAN_.pdf", "Melting_Curves/meltCurve_sp_Q9P2R6_2_RERE_HUMAN_.pdf")</f>
        <v>Melting_Curves/meltCurve_sp_Q9P2R6_2_RERE_HUMAN_.pdf</v>
      </c>
      <c r="AA3322" t="s">
        <v>16160</v>
      </c>
      <c r="AB3322" t="s">
        <v>20405</v>
      </c>
    </row>
    <row r="3323" spans="1:28" x14ac:dyDescent="0.25">
      <c r="A3323" t="s">
        <v>3327</v>
      </c>
      <c r="B3323">
        <v>0.99876560204751996</v>
      </c>
      <c r="C3323">
        <v>1.0031224960368901</v>
      </c>
      <c r="D3323">
        <v>1.0612120735322299</v>
      </c>
      <c r="E3323">
        <v>0.77980496559819901</v>
      </c>
      <c r="F3323">
        <v>0.53251226997869605</v>
      </c>
      <c r="G3323">
        <v>0.24075432767954799</v>
      </c>
      <c r="H3323">
        <v>0.156697375889783</v>
      </c>
      <c r="I3323">
        <v>0.12944720052594999</v>
      </c>
      <c r="J3323">
        <v>9.0442467365767998E-2</v>
      </c>
      <c r="K3323">
        <v>8.2315308275269797E-2</v>
      </c>
      <c r="L3323">
        <v>1226.05161202312</v>
      </c>
      <c r="M3323">
        <v>23.218738690199199</v>
      </c>
      <c r="N3323">
        <v>53.311378174357401</v>
      </c>
      <c r="O3323">
        <v>52.417394291453498</v>
      </c>
      <c r="P3323">
        <v>-9.9771297268462095E-2</v>
      </c>
      <c r="Q3323">
        <v>9.9062749362870406E-2</v>
      </c>
      <c r="R3323">
        <v>0.99356081085585601</v>
      </c>
      <c r="S3323" t="s">
        <v>7619</v>
      </c>
      <c r="T3323" t="s">
        <v>8590</v>
      </c>
      <c r="U3323" t="s">
        <v>8590</v>
      </c>
      <c r="V3323" t="s">
        <v>8590</v>
      </c>
      <c r="W3323">
        <v>3</v>
      </c>
      <c r="X3323" t="s">
        <v>11913</v>
      </c>
      <c r="Y3323">
        <v>0.49310245674887621</v>
      </c>
      <c r="Z3323" t="str">
        <f>HYPERLINK("Melting_Curves/meltCurve_sp_Q9P2X3_IMPCT_HUMAN_.pdf", "Melting_Curves/meltCurve_sp_Q9P2X3_IMPCT_HUMAN_.pdf")</f>
        <v>Melting_Curves/meltCurve_sp_Q9P2X3_IMPCT_HUMAN_.pdf</v>
      </c>
      <c r="AA3323" t="s">
        <v>16161</v>
      </c>
      <c r="AB3323" t="s">
        <v>20406</v>
      </c>
    </row>
    <row r="3324" spans="1:28" x14ac:dyDescent="0.25">
      <c r="A3324" t="s">
        <v>3328</v>
      </c>
      <c r="B3324">
        <v>0.99876560204751996</v>
      </c>
      <c r="C3324">
        <v>0.95467542035592001</v>
      </c>
      <c r="D3324">
        <v>0.98312802431727297</v>
      </c>
      <c r="E3324">
        <v>0.85869973281749001</v>
      </c>
      <c r="F3324">
        <v>0.62558342472974005</v>
      </c>
      <c r="G3324">
        <v>0.24292240216863201</v>
      </c>
      <c r="H3324">
        <v>0.110167836207165</v>
      </c>
      <c r="I3324">
        <v>6.8634153529105693E-2</v>
      </c>
      <c r="J3324">
        <v>5.8469853297368798E-2</v>
      </c>
      <c r="K3324">
        <v>5.0809688757178402E-2</v>
      </c>
      <c r="L3324">
        <v>1264.83298398531</v>
      </c>
      <c r="M3324">
        <v>23.476885459773101</v>
      </c>
      <c r="N3324">
        <v>54.103904195028797</v>
      </c>
      <c r="O3324">
        <v>53.489344283084002</v>
      </c>
      <c r="P3324">
        <v>-0.10455604422487499</v>
      </c>
      <c r="Q3324">
        <v>4.7141509971127503E-2</v>
      </c>
      <c r="R3324">
        <v>0.99866776423428705</v>
      </c>
      <c r="S3324" t="s">
        <v>7620</v>
      </c>
      <c r="T3324" t="s">
        <v>8590</v>
      </c>
      <c r="U3324" t="s">
        <v>8590</v>
      </c>
      <c r="V3324" t="s">
        <v>8590</v>
      </c>
      <c r="W3324">
        <v>9</v>
      </c>
      <c r="X3324" t="s">
        <v>11914</v>
      </c>
      <c r="Y3324">
        <v>0.49773283437147958</v>
      </c>
      <c r="Z3324" t="str">
        <f>HYPERLINK("Melting_Curves/meltCurve_sp_Q9UBB4_ATX10_HUMAN_.pdf", "Melting_Curves/meltCurve_sp_Q9UBB4_ATX10_HUMAN_.pdf")</f>
        <v>Melting_Curves/meltCurve_sp_Q9UBB4_ATX10_HUMAN_.pdf</v>
      </c>
      <c r="AA3324" t="s">
        <v>16162</v>
      </c>
      <c r="AB3324" t="s">
        <v>20407</v>
      </c>
    </row>
    <row r="3325" spans="1:28" x14ac:dyDescent="0.25">
      <c r="A3325" t="s">
        <v>3329</v>
      </c>
      <c r="B3325">
        <v>0.99876560204751996</v>
      </c>
      <c r="C3325">
        <v>1.0875698992841401</v>
      </c>
      <c r="D3325">
        <v>0.91096079991706203</v>
      </c>
      <c r="E3325">
        <v>0.88594557567251997</v>
      </c>
      <c r="F3325">
        <v>0.37902785400613798</v>
      </c>
      <c r="G3325">
        <v>0.36396288874910399</v>
      </c>
      <c r="H3325">
        <v>0.29548836397692202</v>
      </c>
      <c r="I3325">
        <v>0.222598536780205</v>
      </c>
      <c r="J3325">
        <v>0.24663738952964601</v>
      </c>
      <c r="K3325">
        <v>0.23675166779564299</v>
      </c>
      <c r="L3325">
        <v>2926.77066007858</v>
      </c>
      <c r="M3325">
        <v>56.901465255179602</v>
      </c>
      <c r="N3325">
        <v>52.1531536863477</v>
      </c>
      <c r="O3325">
        <v>51.372372153508401</v>
      </c>
      <c r="P3325">
        <v>-0.20175153688377201</v>
      </c>
      <c r="Q3325">
        <v>0.27141092766506397</v>
      </c>
      <c r="R3325">
        <v>0.97552023149665601</v>
      </c>
      <c r="S3325" t="s">
        <v>7621</v>
      </c>
      <c r="T3325" t="s">
        <v>8590</v>
      </c>
      <c r="U3325" t="s">
        <v>8590</v>
      </c>
      <c r="V3325" t="s">
        <v>8590</v>
      </c>
      <c r="W3325">
        <v>3</v>
      </c>
      <c r="X3325" t="s">
        <v>11915</v>
      </c>
      <c r="Y3325">
        <v>0.55041822930060968</v>
      </c>
      <c r="Z3325" t="str">
        <f>HYPERLINK("Melting_Curves/meltCurve_sp_Q9UBB5_MBD2_HUMAN_.pdf", "Melting_Curves/meltCurve_sp_Q9UBB5_MBD2_HUMAN_.pdf")</f>
        <v>Melting_Curves/meltCurve_sp_Q9UBB5_MBD2_HUMAN_.pdf</v>
      </c>
      <c r="AA3325" t="s">
        <v>16163</v>
      </c>
      <c r="AB3325" t="s">
        <v>20408</v>
      </c>
    </row>
    <row r="3326" spans="1:28" x14ac:dyDescent="0.25">
      <c r="A3326" t="s">
        <v>3330</v>
      </c>
      <c r="B3326">
        <v>0.99876560204751996</v>
      </c>
      <c r="C3326">
        <v>0.95805863376267197</v>
      </c>
      <c r="D3326">
        <v>0.96762050592933002</v>
      </c>
      <c r="E3326">
        <v>0.92163364991801699</v>
      </c>
      <c r="F3326">
        <v>0.91433802386443896</v>
      </c>
      <c r="G3326">
        <v>0.72579664298276403</v>
      </c>
      <c r="H3326">
        <v>0.59016935799484005</v>
      </c>
      <c r="I3326">
        <v>0.47882949216904303</v>
      </c>
      <c r="J3326">
        <v>0.518612334510138</v>
      </c>
      <c r="K3326">
        <v>0.432994674592594</v>
      </c>
      <c r="L3326">
        <v>909.961051076746</v>
      </c>
      <c r="M3326">
        <v>15.8024951363798</v>
      </c>
      <c r="N3326">
        <v>64.888704996982597</v>
      </c>
      <c r="O3326">
        <v>56.6848989882387</v>
      </c>
      <c r="P3326">
        <v>-4.0732564851451901E-2</v>
      </c>
      <c r="Q3326">
        <v>0.41560339124541001</v>
      </c>
      <c r="R3326">
        <v>0.98335726204957896</v>
      </c>
      <c r="S3326" t="s">
        <v>7622</v>
      </c>
      <c r="T3326" t="s">
        <v>8590</v>
      </c>
      <c r="U3326" t="s">
        <v>8590</v>
      </c>
      <c r="V3326" t="s">
        <v>8590</v>
      </c>
      <c r="W3326">
        <v>10</v>
      </c>
      <c r="X3326" t="s">
        <v>11916</v>
      </c>
      <c r="Y3326">
        <v>0.76640388797188308</v>
      </c>
      <c r="Z3326" t="str">
        <f>HYPERLINK("Melting_Curves/meltCurve_sp_Q9UBC2_3_EP15R_HUMAN_.pdf", "Melting_Curves/meltCurve_sp_Q9UBC2_3_EP15R_HUMAN_.pdf")</f>
        <v>Melting_Curves/meltCurve_sp_Q9UBC2_3_EP15R_HUMAN_.pdf</v>
      </c>
      <c r="AA3326" t="s">
        <v>16164</v>
      </c>
      <c r="AB3326" t="s">
        <v>20409</v>
      </c>
    </row>
    <row r="3327" spans="1:28" x14ac:dyDescent="0.25">
      <c r="A3327" t="s">
        <v>3331</v>
      </c>
      <c r="B3327">
        <v>0.99876560204751996</v>
      </c>
      <c r="C3327">
        <v>0.98672197710610499</v>
      </c>
      <c r="D3327">
        <v>0.98318496690388801</v>
      </c>
      <c r="E3327">
        <v>0.85498119217644197</v>
      </c>
      <c r="F3327">
        <v>0.51881398011598701</v>
      </c>
      <c r="G3327">
        <v>0.218120805826783</v>
      </c>
      <c r="H3327">
        <v>0.102828563273115</v>
      </c>
      <c r="I3327">
        <v>7.3527274672448698E-2</v>
      </c>
      <c r="J3327">
        <v>7.9174385045364101E-2</v>
      </c>
      <c r="K3327">
        <v>6.3330499844890295E-2</v>
      </c>
      <c r="L3327">
        <v>1370.5857105355999</v>
      </c>
      <c r="M3327">
        <v>25.853393619646301</v>
      </c>
      <c r="N3327">
        <v>53.325164448438699</v>
      </c>
      <c r="O3327">
        <v>52.699634497284002</v>
      </c>
      <c r="P3327">
        <v>-0.11405321345844199</v>
      </c>
      <c r="Q3327">
        <v>7.0065316249313794E-2</v>
      </c>
      <c r="R3327">
        <v>0.999283618547809</v>
      </c>
      <c r="S3327" t="s">
        <v>7623</v>
      </c>
      <c r="T3327" t="s">
        <v>8590</v>
      </c>
      <c r="U3327" t="s">
        <v>8590</v>
      </c>
      <c r="V3327" t="s">
        <v>8590</v>
      </c>
      <c r="W3327">
        <v>15</v>
      </c>
      <c r="X3327" t="s">
        <v>11917</v>
      </c>
      <c r="Y3327">
        <v>0.48150121129699242</v>
      </c>
      <c r="Z3327" t="str">
        <f>HYPERLINK("Melting_Curves/meltCurve_sp_Q9UBE0_SAE1_HUMAN_.pdf", "Melting_Curves/meltCurve_sp_Q9UBE0_SAE1_HUMAN_.pdf")</f>
        <v>Melting_Curves/meltCurve_sp_Q9UBE0_SAE1_HUMAN_.pdf</v>
      </c>
      <c r="AA3327" t="s">
        <v>16165</v>
      </c>
      <c r="AB3327" t="s">
        <v>20410</v>
      </c>
    </row>
    <row r="3328" spans="1:28" x14ac:dyDescent="0.25">
      <c r="A3328" t="s">
        <v>3332</v>
      </c>
      <c r="B3328">
        <v>0.99876560204751996</v>
      </c>
      <c r="C3328">
        <v>0.91742289898515506</v>
      </c>
      <c r="D3328">
        <v>0.84992388511607497</v>
      </c>
      <c r="E3328">
        <v>0.80863554466986298</v>
      </c>
      <c r="F3328">
        <v>0.426644172770139</v>
      </c>
      <c r="G3328">
        <v>0.244171395660497</v>
      </c>
      <c r="H3328">
        <v>9.6161640188136999E-2</v>
      </c>
      <c r="I3328">
        <v>8.5281146481308898E-2</v>
      </c>
      <c r="J3328">
        <v>6.9426482232717898E-2</v>
      </c>
      <c r="K3328">
        <v>7.2135819452012404E-2</v>
      </c>
      <c r="L3328">
        <v>941.18443220864901</v>
      </c>
      <c r="M3328">
        <v>17.950134644061698</v>
      </c>
      <c r="N3328">
        <v>52.727434983280197</v>
      </c>
      <c r="O3328">
        <v>51.795508571697397</v>
      </c>
      <c r="P3328">
        <v>-8.2515648828399096E-2</v>
      </c>
      <c r="Q3328">
        <v>4.7644618771864898E-2</v>
      </c>
      <c r="R3328">
        <v>0.98429039521985096</v>
      </c>
      <c r="S3328" t="s">
        <v>7624</v>
      </c>
      <c r="T3328" t="s">
        <v>8590</v>
      </c>
      <c r="U3328" t="s">
        <v>8590</v>
      </c>
      <c r="V3328" t="s">
        <v>8590</v>
      </c>
      <c r="W3328">
        <v>9</v>
      </c>
      <c r="X3328" t="s">
        <v>11918</v>
      </c>
      <c r="Y3328">
        <v>0.45816148735746298</v>
      </c>
      <c r="Z3328" t="str">
        <f>HYPERLINK("Melting_Curves/meltCurve_sp_Q9UBF2_COPG2_HUMAN_.pdf", "Melting_Curves/meltCurve_sp_Q9UBF2_COPG2_HUMAN_.pdf")</f>
        <v>Melting_Curves/meltCurve_sp_Q9UBF2_COPG2_HUMAN_.pdf</v>
      </c>
      <c r="AA3328" t="s">
        <v>16166</v>
      </c>
      <c r="AB3328" t="s">
        <v>20411</v>
      </c>
    </row>
    <row r="3329" spans="1:28" x14ac:dyDescent="0.25">
      <c r="A3329" t="s">
        <v>3333</v>
      </c>
      <c r="B3329">
        <v>0.99876560204751996</v>
      </c>
      <c r="C3329">
        <v>1.0818390214477001</v>
      </c>
      <c r="D3329">
        <v>1.0783062918934601</v>
      </c>
      <c r="E3329">
        <v>1.0412688032435999</v>
      </c>
      <c r="F3329">
        <v>1.0161206759538799</v>
      </c>
      <c r="G3329">
        <v>0.77558423254305398</v>
      </c>
      <c r="H3329">
        <v>0.58137481801683299</v>
      </c>
      <c r="I3329">
        <v>0.60239818995223005</v>
      </c>
      <c r="J3329">
        <v>0.72653636305077196</v>
      </c>
      <c r="K3329">
        <v>0.79738162521758404</v>
      </c>
      <c r="L3329">
        <v>14203.1570576496</v>
      </c>
      <c r="M3329">
        <v>250</v>
      </c>
      <c r="O3329">
        <v>56.808988442647497</v>
      </c>
      <c r="P3329">
        <v>-0.35544246179278299</v>
      </c>
      <c r="Q3329">
        <v>0.67692274944855502</v>
      </c>
      <c r="R3329">
        <v>0.86544927219468504</v>
      </c>
      <c r="S3329" t="s">
        <v>7625</v>
      </c>
      <c r="T3329" t="s">
        <v>8590</v>
      </c>
      <c r="U3329" t="s">
        <v>8590</v>
      </c>
      <c r="V3329" t="s">
        <v>8590</v>
      </c>
      <c r="W3329">
        <v>2</v>
      </c>
      <c r="X3329" t="s">
        <v>11919</v>
      </c>
      <c r="Y3329">
        <v>0.85801421873192585</v>
      </c>
      <c r="Z3329" t="str">
        <f>HYPERLINK("Melting_Curves/meltCurve_sp_Q9UBF6_RBX2_HUMAN_.pdf", "Melting_Curves/meltCurve_sp_Q9UBF6_RBX2_HUMAN_.pdf")</f>
        <v>Melting_Curves/meltCurve_sp_Q9UBF6_RBX2_HUMAN_.pdf</v>
      </c>
      <c r="AA3329" t="s">
        <v>16167</v>
      </c>
      <c r="AB3329" t="s">
        <v>20412</v>
      </c>
    </row>
    <row r="3330" spans="1:28" x14ac:dyDescent="0.25">
      <c r="A3330" t="s">
        <v>3334</v>
      </c>
      <c r="B3330">
        <v>0.99876560204751996</v>
      </c>
      <c r="C3330">
        <v>1.25649221378062</v>
      </c>
      <c r="D3330">
        <v>0.96740425614051995</v>
      </c>
      <c r="E3330">
        <v>0.75431156140636502</v>
      </c>
      <c r="F3330">
        <v>0.37042646906423099</v>
      </c>
      <c r="G3330">
        <v>0.186947297329912</v>
      </c>
      <c r="H3330">
        <v>0.111692565284894</v>
      </c>
      <c r="I3330">
        <v>2.4789788873133101E-2</v>
      </c>
      <c r="J3330">
        <v>0</v>
      </c>
      <c r="K3330">
        <v>0</v>
      </c>
      <c r="L3330">
        <v>1280.4960781694399</v>
      </c>
      <c r="M3330">
        <v>24.592022041708201</v>
      </c>
      <c r="N3330">
        <v>52.202121348079999</v>
      </c>
      <c r="O3330">
        <v>51.728909643386999</v>
      </c>
      <c r="P3330">
        <v>-0.11525501589072699</v>
      </c>
      <c r="Q3330">
        <v>3.0265542396521801E-2</v>
      </c>
      <c r="R3330">
        <v>0.96226613339746703</v>
      </c>
      <c r="S3330" t="s">
        <v>7626</v>
      </c>
      <c r="T3330" t="s">
        <v>8590</v>
      </c>
      <c r="U3330" t="s">
        <v>8590</v>
      </c>
      <c r="V3330" t="s">
        <v>8590</v>
      </c>
      <c r="W3330">
        <v>7</v>
      </c>
      <c r="X3330" t="s">
        <v>11920</v>
      </c>
      <c r="Y3330">
        <v>0.42955092240681941</v>
      </c>
      <c r="Z3330" t="str">
        <f>HYPERLINK("Melting_Curves/meltCurve_sp_Q9UBI1_COMD3_HUMAN_.pdf", "Melting_Curves/meltCurve_sp_Q9UBI1_COMD3_HUMAN_.pdf")</f>
        <v>Melting_Curves/meltCurve_sp_Q9UBI1_COMD3_HUMAN_.pdf</v>
      </c>
      <c r="AA3330" t="s">
        <v>16168</v>
      </c>
      <c r="AB3330" t="s">
        <v>20413</v>
      </c>
    </row>
    <row r="3331" spans="1:28" x14ac:dyDescent="0.25">
      <c r="A3331" t="s">
        <v>3335</v>
      </c>
      <c r="B3331">
        <v>0.99876560204751996</v>
      </c>
      <c r="C3331">
        <v>0.93996367239159395</v>
      </c>
      <c r="D3331">
        <v>1.0811727474116499</v>
      </c>
      <c r="E3331">
        <v>0.90324949775109298</v>
      </c>
      <c r="F3331">
        <v>0.797201382415619</v>
      </c>
      <c r="G3331">
        <v>0.59897248900653499</v>
      </c>
      <c r="H3331">
        <v>0.47878337483441902</v>
      </c>
      <c r="I3331">
        <v>0.33925983543081401</v>
      </c>
      <c r="J3331">
        <v>0.37693719935499298</v>
      </c>
      <c r="K3331">
        <v>0.47548579979838002</v>
      </c>
      <c r="L3331">
        <v>1167.16717103875</v>
      </c>
      <c r="M3331">
        <v>21.286243890117301</v>
      </c>
      <c r="N3331">
        <v>59.112938692302897</v>
      </c>
      <c r="O3331">
        <v>54.354924701598698</v>
      </c>
      <c r="P3331">
        <v>-5.9431637050217298E-2</v>
      </c>
      <c r="Q3331">
        <v>0.392974936767504</v>
      </c>
      <c r="R3331">
        <v>0.96115423090857499</v>
      </c>
      <c r="S3331" t="s">
        <v>7627</v>
      </c>
      <c r="T3331" t="s">
        <v>8590</v>
      </c>
      <c r="U3331" t="s">
        <v>8590</v>
      </c>
      <c r="V3331" t="s">
        <v>8590</v>
      </c>
      <c r="W3331">
        <v>2</v>
      </c>
      <c r="X3331" t="s">
        <v>11921</v>
      </c>
      <c r="Y3331">
        <v>0.70045383416886631</v>
      </c>
      <c r="Z3331" t="str">
        <f>HYPERLINK("Melting_Curves/meltCurve_sp_Q9UBI6_GBG12_HUMAN_.pdf", "Melting_Curves/meltCurve_sp_Q9UBI6_GBG12_HUMAN_.pdf")</f>
        <v>Melting_Curves/meltCurve_sp_Q9UBI6_GBG12_HUMAN_.pdf</v>
      </c>
      <c r="AA3331" t="s">
        <v>16169</v>
      </c>
      <c r="AB3331" t="s">
        <v>20414</v>
      </c>
    </row>
    <row r="3332" spans="1:28" x14ac:dyDescent="0.25">
      <c r="A3332" t="s">
        <v>3336</v>
      </c>
      <c r="B3332">
        <v>0.99876560204751996</v>
      </c>
      <c r="C3332">
        <v>0.97459223163772402</v>
      </c>
      <c r="D3332">
        <v>0.95381243300725405</v>
      </c>
      <c r="E3332">
        <v>0.75838377286346204</v>
      </c>
      <c r="F3332">
        <v>0.55850659423430205</v>
      </c>
      <c r="G3332">
        <v>0.35744187034313502</v>
      </c>
      <c r="H3332">
        <v>0.24332836684252199</v>
      </c>
      <c r="I3332">
        <v>0.152353664613576</v>
      </c>
      <c r="J3332">
        <v>0.119298373648526</v>
      </c>
      <c r="K3332">
        <v>9.0895637569778906E-2</v>
      </c>
      <c r="L3332">
        <v>766.41216611758</v>
      </c>
      <c r="M3332">
        <v>14.267129457084801</v>
      </c>
      <c r="N3332">
        <v>54.300707180116</v>
      </c>
      <c r="O3332">
        <v>52.696421341126403</v>
      </c>
      <c r="P3332">
        <v>-6.2894406990499405E-2</v>
      </c>
      <c r="Q3332">
        <v>7.0898444900901803E-2</v>
      </c>
      <c r="R3332">
        <v>0.99798216347329305</v>
      </c>
      <c r="S3332" t="s">
        <v>7628</v>
      </c>
      <c r="T3332" t="s">
        <v>8590</v>
      </c>
      <c r="U3332" t="s">
        <v>8590</v>
      </c>
      <c r="V3332" t="s">
        <v>8590</v>
      </c>
      <c r="W3332">
        <v>5</v>
      </c>
      <c r="X3332" t="s">
        <v>11922</v>
      </c>
      <c r="Y3332">
        <v>0.51636264355574246</v>
      </c>
      <c r="Z3332" t="str">
        <f>HYPERLINK("Melting_Curves/meltCurve_sp_Q9UBK8_2_MTRR_HUMAN_.pdf", "Melting_Curves/meltCurve_sp_Q9UBK8_2_MTRR_HUMAN_.pdf")</f>
        <v>Melting_Curves/meltCurve_sp_Q9UBK8_2_MTRR_HUMAN_.pdf</v>
      </c>
      <c r="AA3332" t="s">
        <v>16170</v>
      </c>
      <c r="AB3332" t="s">
        <v>20415</v>
      </c>
    </row>
    <row r="3333" spans="1:28" x14ac:dyDescent="0.25">
      <c r="A3333" t="s">
        <v>3337</v>
      </c>
      <c r="B3333">
        <v>0.99876560204751996</v>
      </c>
      <c r="C3333">
        <v>0.89751027923208004</v>
      </c>
      <c r="D3333">
        <v>0.51498819873234603</v>
      </c>
      <c r="E3333">
        <v>0.59144332824916801</v>
      </c>
      <c r="F3333">
        <v>0.50717210156944303</v>
      </c>
      <c r="G3333">
        <v>0.493892521484668</v>
      </c>
      <c r="H3333">
        <v>0.36388205769610499</v>
      </c>
      <c r="I3333">
        <v>0.64204786626445098</v>
      </c>
      <c r="J3333">
        <v>0.57181076952766796</v>
      </c>
      <c r="K3333">
        <v>0.672267139811068</v>
      </c>
      <c r="L3333">
        <v>10778.033052278601</v>
      </c>
      <c r="M3333">
        <v>250</v>
      </c>
      <c r="O3333">
        <v>43.109373336129998</v>
      </c>
      <c r="P3333">
        <v>-0.66011167499159895</v>
      </c>
      <c r="Q3333">
        <v>0.54468799046672001</v>
      </c>
      <c r="R3333">
        <v>0.80036368218959197</v>
      </c>
      <c r="S3333" t="s">
        <v>7629</v>
      </c>
      <c r="T3333" t="s">
        <v>8590</v>
      </c>
      <c r="U3333" t="s">
        <v>8590</v>
      </c>
      <c r="V3333" t="s">
        <v>8590</v>
      </c>
      <c r="W3333">
        <v>2</v>
      </c>
      <c r="X3333" t="s">
        <v>11923</v>
      </c>
      <c r="Y3333">
        <v>0.59195547889394484</v>
      </c>
      <c r="Z3333" t="str">
        <f>HYPERLINK("Melting_Curves/meltCurve_sp_Q9UBM7_DHCR7_HUMAN_.pdf", "Melting_Curves/meltCurve_sp_Q9UBM7_DHCR7_HUMAN_.pdf")</f>
        <v>Melting_Curves/meltCurve_sp_Q9UBM7_DHCR7_HUMAN_.pdf</v>
      </c>
      <c r="AA3333" t="s">
        <v>16171</v>
      </c>
      <c r="AB3333" t="s">
        <v>20416</v>
      </c>
    </row>
    <row r="3334" spans="1:28" x14ac:dyDescent="0.25">
      <c r="A3334" t="s">
        <v>3338</v>
      </c>
      <c r="B3334">
        <v>0.99876560204751996</v>
      </c>
      <c r="C3334">
        <v>0.96344549521673495</v>
      </c>
      <c r="D3334">
        <v>0.83179050852806902</v>
      </c>
      <c r="E3334">
        <v>0.61159692391411402</v>
      </c>
      <c r="F3334">
        <v>0.408166720289806</v>
      </c>
      <c r="G3334">
        <v>0.26323192355706598</v>
      </c>
      <c r="H3334">
        <v>0.20803659480296399</v>
      </c>
      <c r="I3334">
        <v>0.20975079538345101</v>
      </c>
      <c r="J3334">
        <v>0.25403445738193098</v>
      </c>
      <c r="K3334">
        <v>0.21436617951152101</v>
      </c>
      <c r="L3334">
        <v>902.32098175282499</v>
      </c>
      <c r="M3334">
        <v>18.108605207703</v>
      </c>
      <c r="N3334">
        <v>51.336889295698001</v>
      </c>
      <c r="O3334">
        <v>49.232562986534099</v>
      </c>
      <c r="P3334">
        <v>-7.2985243302390396E-2</v>
      </c>
      <c r="Q3334">
        <v>0.20632702966458899</v>
      </c>
      <c r="R3334">
        <v>0.99604783858590196</v>
      </c>
      <c r="S3334" t="s">
        <v>7630</v>
      </c>
      <c r="T3334" t="s">
        <v>8590</v>
      </c>
      <c r="U3334" t="s">
        <v>8590</v>
      </c>
      <c r="V3334" t="s">
        <v>8590</v>
      </c>
      <c r="W3334">
        <v>14</v>
      </c>
      <c r="X3334" t="s">
        <v>11924</v>
      </c>
      <c r="Y3334">
        <v>0.47975274739856227</v>
      </c>
      <c r="Z3334" t="str">
        <f>HYPERLINK("Melting_Curves/meltCurve_sp_Q9UBN7_HDAC6_HUMAN_.pdf", "Melting_Curves/meltCurve_sp_Q9UBN7_HDAC6_HUMAN_.pdf")</f>
        <v>Melting_Curves/meltCurve_sp_Q9UBN7_HDAC6_HUMAN_.pdf</v>
      </c>
      <c r="AA3334" t="s">
        <v>16172</v>
      </c>
      <c r="AB3334" t="s">
        <v>20417</v>
      </c>
    </row>
    <row r="3335" spans="1:28" x14ac:dyDescent="0.25">
      <c r="A3335" t="s">
        <v>3339</v>
      </c>
      <c r="B3335">
        <v>0.99876560204751996</v>
      </c>
      <c r="C3335">
        <v>0.99647138509751398</v>
      </c>
      <c r="D3335">
        <v>0.92962512480429604</v>
      </c>
      <c r="E3335">
        <v>0.81982126428698199</v>
      </c>
      <c r="F3335">
        <v>0.747691313785107</v>
      </c>
      <c r="G3335">
        <v>0.456602260882158</v>
      </c>
      <c r="H3335">
        <v>0.28309289027755602</v>
      </c>
      <c r="I3335">
        <v>0.28193771613681501</v>
      </c>
      <c r="J3335">
        <v>0.31487112774331699</v>
      </c>
      <c r="K3335">
        <v>0.30579055495336399</v>
      </c>
      <c r="L3335">
        <v>1019.83114104675</v>
      </c>
      <c r="M3335">
        <v>18.922142150245801</v>
      </c>
      <c r="N3335">
        <v>56.161524667098199</v>
      </c>
      <c r="O3335">
        <v>53.305041926636399</v>
      </c>
      <c r="P3335">
        <v>-6.5059077660744202E-2</v>
      </c>
      <c r="Q3335">
        <v>0.266925207421084</v>
      </c>
      <c r="R3335">
        <v>0.98604608060433796</v>
      </c>
      <c r="S3335" t="s">
        <v>7631</v>
      </c>
      <c r="T3335" t="s">
        <v>8590</v>
      </c>
      <c r="U3335" t="s">
        <v>8590</v>
      </c>
      <c r="V3335" t="s">
        <v>8590</v>
      </c>
      <c r="W3335">
        <v>3</v>
      </c>
      <c r="X3335" t="s">
        <v>11925</v>
      </c>
      <c r="Y3335">
        <v>0.61738776324368727</v>
      </c>
      <c r="Z3335" t="str">
        <f>HYPERLINK("Melting_Curves/meltCurve_sp_Q9UBP0_3_SPAST_HUMAN_.pdf", "Melting_Curves/meltCurve_sp_Q9UBP0_3_SPAST_HUMAN_.pdf")</f>
        <v>Melting_Curves/meltCurve_sp_Q9UBP0_3_SPAST_HUMAN_.pdf</v>
      </c>
      <c r="AA3335" t="s">
        <v>16173</v>
      </c>
      <c r="AB3335" t="s">
        <v>20418</v>
      </c>
    </row>
    <row r="3336" spans="1:28" x14ac:dyDescent="0.25">
      <c r="A3336" t="s">
        <v>3340</v>
      </c>
      <c r="B3336">
        <v>0.99876560204751996</v>
      </c>
      <c r="C3336">
        <v>1.02776254930799</v>
      </c>
      <c r="D3336">
        <v>0.84288983583743804</v>
      </c>
      <c r="E3336">
        <v>0.87940795593559695</v>
      </c>
      <c r="F3336">
        <v>0.59117778938627297</v>
      </c>
      <c r="G3336">
        <v>7.0800505615983694E-2</v>
      </c>
      <c r="H3336">
        <v>6.7840179330724601E-2</v>
      </c>
      <c r="I3336">
        <v>5.1125005698461297E-2</v>
      </c>
      <c r="J3336">
        <v>8.0970256140992194E-2</v>
      </c>
      <c r="K3336">
        <v>7.4690793037924003E-2</v>
      </c>
      <c r="L3336">
        <v>2018.18508453248</v>
      </c>
      <c r="M3336">
        <v>37.937133914312099</v>
      </c>
      <c r="N3336">
        <v>53.365412699412602</v>
      </c>
      <c r="O3336">
        <v>53.050992173853103</v>
      </c>
      <c r="P3336">
        <v>-0.16875518120248401</v>
      </c>
      <c r="Q3336">
        <v>5.6059049237808002E-2</v>
      </c>
      <c r="R3336">
        <v>0.98163177157174497</v>
      </c>
      <c r="S3336" t="s">
        <v>7632</v>
      </c>
      <c r="T3336" t="s">
        <v>8590</v>
      </c>
      <c r="U3336" t="s">
        <v>8590</v>
      </c>
      <c r="V3336" t="s">
        <v>8590</v>
      </c>
      <c r="W3336">
        <v>4</v>
      </c>
      <c r="X3336" t="s">
        <v>11926</v>
      </c>
      <c r="Y3336">
        <v>0.47518937439220738</v>
      </c>
      <c r="Z3336" t="str">
        <f>HYPERLINK("Melting_Curves/meltCurve_sp_Q9UBP6_TRMB_HUMAN_.pdf", "Melting_Curves/meltCurve_sp_Q9UBP6_TRMB_HUMAN_.pdf")</f>
        <v>Melting_Curves/meltCurve_sp_Q9UBP6_TRMB_HUMAN_.pdf</v>
      </c>
      <c r="AA3336" t="s">
        <v>16174</v>
      </c>
      <c r="AB3336" t="s">
        <v>20419</v>
      </c>
    </row>
    <row r="3337" spans="1:28" x14ac:dyDescent="0.25">
      <c r="A3337" t="s">
        <v>3341</v>
      </c>
      <c r="B3337">
        <v>0.99876560204751996</v>
      </c>
      <c r="C3337">
        <v>1.0432353694198999</v>
      </c>
      <c r="D3337">
        <v>1.05515745189634</v>
      </c>
      <c r="E3337">
        <v>1.0219278116898001</v>
      </c>
      <c r="F3337">
        <v>0.89370038480034897</v>
      </c>
      <c r="G3337">
        <v>0.48401954998233399</v>
      </c>
      <c r="H3337">
        <v>0.16354716024726099</v>
      </c>
      <c r="I3337">
        <v>6.9080258752635001E-2</v>
      </c>
      <c r="J3337">
        <v>4.8823799489585699E-2</v>
      </c>
      <c r="K3337">
        <v>4.7987754406473397E-2</v>
      </c>
      <c r="L3337">
        <v>1709.1718222452701</v>
      </c>
      <c r="M3337">
        <v>30.120965448887599</v>
      </c>
      <c r="N3337">
        <v>56.919761308346601</v>
      </c>
      <c r="O3337">
        <v>56.495244956739398</v>
      </c>
      <c r="P3337">
        <v>-0.12735837039953299</v>
      </c>
      <c r="Q3337">
        <v>4.4506574696146203E-2</v>
      </c>
      <c r="R3337">
        <v>0.99645380568554698</v>
      </c>
      <c r="S3337" t="s">
        <v>7633</v>
      </c>
      <c r="T3337" t="s">
        <v>8590</v>
      </c>
      <c r="U3337" t="s">
        <v>8590</v>
      </c>
      <c r="V3337" t="s">
        <v>8590</v>
      </c>
      <c r="W3337">
        <v>7</v>
      </c>
      <c r="X3337" t="s">
        <v>11927</v>
      </c>
      <c r="Y3337">
        <v>0.58411097020196745</v>
      </c>
      <c r="Z3337" t="str">
        <f>HYPERLINK("Melting_Curves/meltCurve_sp_Q9UBQ0_VPS29_HUMAN_.pdf", "Melting_Curves/meltCurve_sp_Q9UBQ0_VPS29_HUMAN_.pdf")</f>
        <v>Melting_Curves/meltCurve_sp_Q9UBQ0_VPS29_HUMAN_.pdf</v>
      </c>
      <c r="AA3337" t="s">
        <v>16175</v>
      </c>
      <c r="AB3337" t="s">
        <v>20420</v>
      </c>
    </row>
    <row r="3338" spans="1:28" x14ac:dyDescent="0.25">
      <c r="A3338" t="s">
        <v>3342</v>
      </c>
      <c r="B3338">
        <v>0.99876560204751996</v>
      </c>
      <c r="C3338">
        <v>0.89380905008272904</v>
      </c>
      <c r="D3338">
        <v>0.97544142644302101</v>
      </c>
      <c r="E3338">
        <v>0.61630450371544798</v>
      </c>
      <c r="F3338">
        <v>0.19015231138519501</v>
      </c>
      <c r="G3338">
        <v>9.2584675779211006E-2</v>
      </c>
      <c r="H3338">
        <v>5.2429131465876397E-2</v>
      </c>
      <c r="I3338">
        <v>4.1111027516535399E-2</v>
      </c>
      <c r="J3338">
        <v>3.45974049021473E-2</v>
      </c>
      <c r="K3338">
        <v>3.1784187883260401E-2</v>
      </c>
      <c r="L3338">
        <v>1770.16142610219</v>
      </c>
      <c r="M3338">
        <v>35.024419919651599</v>
      </c>
      <c r="N3338">
        <v>50.6760571883719</v>
      </c>
      <c r="O3338">
        <v>50.376873863832799</v>
      </c>
      <c r="P3338">
        <v>-0.166056340731248</v>
      </c>
      <c r="Q3338">
        <v>4.4624434627500799E-2</v>
      </c>
      <c r="R3338">
        <v>0.992489222647431</v>
      </c>
      <c r="S3338" t="s">
        <v>7634</v>
      </c>
      <c r="T3338" t="s">
        <v>8590</v>
      </c>
      <c r="U3338" t="s">
        <v>8590</v>
      </c>
      <c r="V3338" t="s">
        <v>8590</v>
      </c>
      <c r="W3338">
        <v>18</v>
      </c>
      <c r="X3338" t="s">
        <v>11928</v>
      </c>
      <c r="Y3338">
        <v>0.38466792748864809</v>
      </c>
      <c r="Z3338" t="str">
        <f>HYPERLINK("Melting_Curves/meltCurve_sp_Q9UBQ7_GRHPR_HUMAN_.pdf", "Melting_Curves/meltCurve_sp_Q9UBQ7_GRHPR_HUMAN_.pdf")</f>
        <v>Melting_Curves/meltCurve_sp_Q9UBQ7_GRHPR_HUMAN_.pdf</v>
      </c>
      <c r="AA3338" t="s">
        <v>16176</v>
      </c>
      <c r="AB3338" t="s">
        <v>20421</v>
      </c>
    </row>
    <row r="3339" spans="1:28" x14ac:dyDescent="0.25">
      <c r="A3339" t="s">
        <v>3343</v>
      </c>
      <c r="B3339">
        <v>0.99876560204751996</v>
      </c>
      <c r="C3339">
        <v>1.06204864514639</v>
      </c>
      <c r="D3339">
        <v>1.0428509696474499</v>
      </c>
      <c r="E3339">
        <v>0.81267107653971804</v>
      </c>
      <c r="F3339">
        <v>0.308167086677262</v>
      </c>
      <c r="G3339">
        <v>0.17172884417884901</v>
      </c>
      <c r="H3339">
        <v>9.0358369426764701E-2</v>
      </c>
      <c r="I3339">
        <v>5.96033746704853E-2</v>
      </c>
      <c r="J3339">
        <v>5.6124040179856699E-2</v>
      </c>
      <c r="K3339">
        <v>4.5687841602168697E-2</v>
      </c>
      <c r="L3339">
        <v>2068.4727514597398</v>
      </c>
      <c r="M3339">
        <v>40.040860796703598</v>
      </c>
      <c r="N3339">
        <v>51.877902349251997</v>
      </c>
      <c r="O3339">
        <v>51.530697278909201</v>
      </c>
      <c r="P3339">
        <v>-0.17916176235520401</v>
      </c>
      <c r="Q3339">
        <v>7.7710987499951395E-2</v>
      </c>
      <c r="R3339">
        <v>0.99252531579291603</v>
      </c>
      <c r="S3339" t="s">
        <v>7635</v>
      </c>
      <c r="T3339" t="s">
        <v>8590</v>
      </c>
      <c r="U3339" t="s">
        <v>8590</v>
      </c>
      <c r="V3339" t="s">
        <v>8590</v>
      </c>
      <c r="W3339">
        <v>23</v>
      </c>
      <c r="X3339" t="s">
        <v>11929</v>
      </c>
      <c r="Y3339">
        <v>0.43943023636104778</v>
      </c>
      <c r="Z3339" t="str">
        <f>HYPERLINK("Melting_Curves/meltCurve_sp_Q9UBR1_BUP1_HUMAN_.pdf", "Melting_Curves/meltCurve_sp_Q9UBR1_BUP1_HUMAN_.pdf")</f>
        <v>Melting_Curves/meltCurve_sp_Q9UBR1_BUP1_HUMAN_.pdf</v>
      </c>
      <c r="AA3339" t="s">
        <v>16177</v>
      </c>
      <c r="AB3339" t="s">
        <v>20422</v>
      </c>
    </row>
    <row r="3340" spans="1:28" x14ac:dyDescent="0.25">
      <c r="A3340" t="s">
        <v>3344</v>
      </c>
      <c r="B3340">
        <v>0.99876560204751996</v>
      </c>
      <c r="C3340">
        <v>0.93869700962614999</v>
      </c>
      <c r="D3340">
        <v>0.92553890049171705</v>
      </c>
      <c r="E3340">
        <v>0.85408279219241601</v>
      </c>
      <c r="F3340">
        <v>0.88024750531982598</v>
      </c>
      <c r="G3340">
        <v>0.73301358971647101</v>
      </c>
      <c r="H3340">
        <v>0.54153013422774499</v>
      </c>
      <c r="I3340">
        <v>0.41162366632209502</v>
      </c>
      <c r="J3340">
        <v>0.235957820288481</v>
      </c>
      <c r="K3340">
        <v>9.3271634798816394E-2</v>
      </c>
      <c r="L3340">
        <v>775.82812745379499</v>
      </c>
      <c r="M3340">
        <v>12.6641257880975</v>
      </c>
      <c r="N3340">
        <v>61.261877939191798</v>
      </c>
      <c r="O3340">
        <v>59.794586956182499</v>
      </c>
      <c r="P3340">
        <v>-5.29588259216544E-2</v>
      </c>
      <c r="Q3340">
        <v>0</v>
      </c>
      <c r="R3340">
        <v>0.97391981801497896</v>
      </c>
      <c r="S3340" t="s">
        <v>7636</v>
      </c>
      <c r="T3340" t="s">
        <v>8590</v>
      </c>
      <c r="U3340" t="s">
        <v>8590</v>
      </c>
      <c r="V3340" t="s">
        <v>8590</v>
      </c>
      <c r="W3340">
        <v>12</v>
      </c>
      <c r="X3340" t="s">
        <v>11930</v>
      </c>
      <c r="Y3340">
        <v>0.70492612629666762</v>
      </c>
      <c r="Z3340" t="str">
        <f>HYPERLINK("Melting_Curves/meltCurve_sp_Q9UBR2_CATZ_HUMAN_.pdf", "Melting_Curves/meltCurve_sp_Q9UBR2_CATZ_HUMAN_.pdf")</f>
        <v>Melting_Curves/meltCurve_sp_Q9UBR2_CATZ_HUMAN_.pdf</v>
      </c>
      <c r="AA3340" t="s">
        <v>16178</v>
      </c>
      <c r="AB3340" t="s">
        <v>20423</v>
      </c>
    </row>
    <row r="3341" spans="1:28" x14ac:dyDescent="0.25">
      <c r="A3341" t="s">
        <v>3345</v>
      </c>
      <c r="B3341">
        <v>0.99876560204751996</v>
      </c>
      <c r="C3341">
        <v>0.95644131144423095</v>
      </c>
      <c r="D3341">
        <v>0.91706512672521401</v>
      </c>
      <c r="E3341">
        <v>0.84204366457708202</v>
      </c>
      <c r="F3341">
        <v>0.67934561428877904</v>
      </c>
      <c r="G3341">
        <v>0.38277698491246598</v>
      </c>
      <c r="H3341">
        <v>0.17199925868368099</v>
      </c>
      <c r="I3341">
        <v>9.8512213942299406E-2</v>
      </c>
      <c r="J3341">
        <v>0.108540473142152</v>
      </c>
      <c r="K3341">
        <v>9.5003564661216705E-2</v>
      </c>
      <c r="L3341">
        <v>933.02528476042403</v>
      </c>
      <c r="M3341">
        <v>17.024745713039099</v>
      </c>
      <c r="N3341">
        <v>55.155062528834897</v>
      </c>
      <c r="O3341">
        <v>54.0646826602839</v>
      </c>
      <c r="P3341">
        <v>-7.4686885759670404E-2</v>
      </c>
      <c r="Q3341">
        <v>5.1339781121127602E-2</v>
      </c>
      <c r="R3341">
        <v>0.99564180055234697</v>
      </c>
      <c r="S3341" t="s">
        <v>7637</v>
      </c>
      <c r="T3341" t="s">
        <v>8590</v>
      </c>
      <c r="U3341" t="s">
        <v>8590</v>
      </c>
      <c r="V3341" t="s">
        <v>8590</v>
      </c>
      <c r="W3341">
        <v>7</v>
      </c>
      <c r="X3341" t="s">
        <v>11931</v>
      </c>
      <c r="Y3341">
        <v>0.53540544896930897</v>
      </c>
      <c r="Z3341" t="str">
        <f>HYPERLINK("Melting_Curves/meltCurve_sp_Q9UBS4_DJB11_HUMAN_.pdf", "Melting_Curves/meltCurve_sp_Q9UBS4_DJB11_HUMAN_.pdf")</f>
        <v>Melting_Curves/meltCurve_sp_Q9UBS4_DJB11_HUMAN_.pdf</v>
      </c>
      <c r="AA3341" t="s">
        <v>16179</v>
      </c>
      <c r="AB3341" t="s">
        <v>20424</v>
      </c>
    </row>
    <row r="3342" spans="1:28" x14ac:dyDescent="0.25">
      <c r="A3342" t="s">
        <v>3346</v>
      </c>
      <c r="B3342">
        <v>0.99876560204751996</v>
      </c>
      <c r="C3342">
        <v>0.96602774870103003</v>
      </c>
      <c r="D3342">
        <v>0.97422271759650803</v>
      </c>
      <c r="E3342">
        <v>0.89244997316552199</v>
      </c>
      <c r="F3342">
        <v>0.64839371282471503</v>
      </c>
      <c r="G3342">
        <v>0.28713131094112299</v>
      </c>
      <c r="H3342">
        <v>0.136828915897898</v>
      </c>
      <c r="I3342">
        <v>9.8944939340141494E-2</v>
      </c>
      <c r="J3342">
        <v>9.4638929993372506E-2</v>
      </c>
      <c r="K3342">
        <v>8.2733803800582401E-2</v>
      </c>
      <c r="L3342">
        <v>1303.3190914627301</v>
      </c>
      <c r="M3342">
        <v>24.105129966748599</v>
      </c>
      <c r="N3342">
        <v>54.466740676601397</v>
      </c>
      <c r="O3342">
        <v>53.700127417053899</v>
      </c>
      <c r="P3342">
        <v>-0.103147834759329</v>
      </c>
      <c r="Q3342">
        <v>8.0865164601590406E-2</v>
      </c>
      <c r="R3342">
        <v>0.99917219619712005</v>
      </c>
      <c r="S3342" t="s">
        <v>7638</v>
      </c>
      <c r="T3342" t="s">
        <v>8590</v>
      </c>
      <c r="U3342" t="s">
        <v>8590</v>
      </c>
      <c r="V3342" t="s">
        <v>8590</v>
      </c>
      <c r="W3342">
        <v>11</v>
      </c>
      <c r="X3342" t="s">
        <v>11932</v>
      </c>
      <c r="Y3342">
        <v>0.52096646346922271</v>
      </c>
      <c r="Z3342" t="str">
        <f>HYPERLINK("Melting_Curves/meltCurve_sp_Q9UBS8_RNF14_HUMAN_.pdf", "Melting_Curves/meltCurve_sp_Q9UBS8_RNF14_HUMAN_.pdf")</f>
        <v>Melting_Curves/meltCurve_sp_Q9UBS8_RNF14_HUMAN_.pdf</v>
      </c>
      <c r="AA3342" t="s">
        <v>16180</v>
      </c>
      <c r="AB3342" t="s">
        <v>20425</v>
      </c>
    </row>
    <row r="3343" spans="1:28" x14ac:dyDescent="0.25">
      <c r="A3343" t="s">
        <v>3347</v>
      </c>
      <c r="B3343">
        <v>0.99876560204751996</v>
      </c>
      <c r="C3343">
        <v>0.966255083730992</v>
      </c>
      <c r="D3343">
        <v>0.91528346508952096</v>
      </c>
      <c r="E3343">
        <v>0.81607797832777496</v>
      </c>
      <c r="F3343">
        <v>0.476890517429918</v>
      </c>
      <c r="G3343">
        <v>0.221392664842993</v>
      </c>
      <c r="H3343">
        <v>9.9174528983404994E-2</v>
      </c>
      <c r="I3343">
        <v>6.7382367841342106E-2</v>
      </c>
      <c r="J3343">
        <v>5.3904759023257601E-2</v>
      </c>
      <c r="K3343">
        <v>4.25773497353584E-2</v>
      </c>
      <c r="L3343">
        <v>1108.1221864658501</v>
      </c>
      <c r="M3343">
        <v>20.978590048273901</v>
      </c>
      <c r="N3343">
        <v>53.045192623916698</v>
      </c>
      <c r="O3343">
        <v>52.348643678774799</v>
      </c>
      <c r="P3343">
        <v>-9.5950042839468105E-2</v>
      </c>
      <c r="Q3343">
        <v>4.2315294108494599E-2</v>
      </c>
      <c r="R3343">
        <v>0.99670844902389899</v>
      </c>
      <c r="S3343" t="s">
        <v>7639</v>
      </c>
      <c r="T3343" t="s">
        <v>8590</v>
      </c>
      <c r="U3343" t="s">
        <v>8590</v>
      </c>
      <c r="V3343" t="s">
        <v>8590</v>
      </c>
      <c r="W3343">
        <v>15</v>
      </c>
      <c r="X3343" t="s">
        <v>11933</v>
      </c>
      <c r="Y3343">
        <v>0.4637528723272743</v>
      </c>
      <c r="Z3343" t="str">
        <f>HYPERLINK("Melting_Curves/meltCurve_sp_Q9UBT2_SAE2_HUMAN_.pdf", "Melting_Curves/meltCurve_sp_Q9UBT2_SAE2_HUMAN_.pdf")</f>
        <v>Melting_Curves/meltCurve_sp_Q9UBT2_SAE2_HUMAN_.pdf</v>
      </c>
      <c r="AA3343" t="s">
        <v>16181</v>
      </c>
      <c r="AB3343" t="s">
        <v>20426</v>
      </c>
    </row>
    <row r="3344" spans="1:28" x14ac:dyDescent="0.25">
      <c r="A3344" t="s">
        <v>3348</v>
      </c>
      <c r="B3344">
        <v>0.99876560204751996</v>
      </c>
      <c r="C3344">
        <v>0.90700617097826597</v>
      </c>
      <c r="D3344">
        <v>0.884955343956354</v>
      </c>
      <c r="E3344">
        <v>0.81842446812868697</v>
      </c>
      <c r="F3344">
        <v>0.71045744303788705</v>
      </c>
      <c r="G3344">
        <v>0.32941329657242002</v>
      </c>
      <c r="H3344">
        <v>0.13952879976947499</v>
      </c>
      <c r="I3344">
        <v>9.3960694190539901E-2</v>
      </c>
      <c r="J3344">
        <v>7.9844681066295997E-2</v>
      </c>
      <c r="K3344">
        <v>8.4301039801359001E-2</v>
      </c>
      <c r="L3344">
        <v>946.86190899995495</v>
      </c>
      <c r="M3344">
        <v>17.322173377436599</v>
      </c>
      <c r="N3344">
        <v>54.8843266346096</v>
      </c>
      <c r="O3344">
        <v>53.948944169790401</v>
      </c>
      <c r="P3344">
        <v>-7.7553994420413302E-2</v>
      </c>
      <c r="Q3344">
        <v>3.3905063365135102E-2</v>
      </c>
      <c r="R3344">
        <v>0.98496816459997905</v>
      </c>
      <c r="S3344" t="s">
        <v>7640</v>
      </c>
      <c r="T3344" t="s">
        <v>8590</v>
      </c>
      <c r="U3344" t="s">
        <v>8590</v>
      </c>
      <c r="V3344" t="s">
        <v>8590</v>
      </c>
      <c r="W3344">
        <v>4</v>
      </c>
      <c r="X3344" t="s">
        <v>11934</v>
      </c>
      <c r="Y3344">
        <v>0.52201871227972041</v>
      </c>
      <c r="Z3344" t="str">
        <f>HYPERLINK("Melting_Curves/meltCurve_sp_Q9UBV8_PEF1_HUMAN_.pdf", "Melting_Curves/meltCurve_sp_Q9UBV8_PEF1_HUMAN_.pdf")</f>
        <v>Melting_Curves/meltCurve_sp_Q9UBV8_PEF1_HUMAN_.pdf</v>
      </c>
      <c r="AA3344" t="s">
        <v>16182</v>
      </c>
      <c r="AB3344" t="s">
        <v>20427</v>
      </c>
    </row>
    <row r="3345" spans="1:28" x14ac:dyDescent="0.25">
      <c r="A3345" t="s">
        <v>3349</v>
      </c>
      <c r="B3345">
        <v>0.99876560204751996</v>
      </c>
      <c r="C3345">
        <v>1.0905356418757599</v>
      </c>
      <c r="D3345">
        <v>1.1108850916637401</v>
      </c>
      <c r="E3345">
        <v>0.92059527727657398</v>
      </c>
      <c r="F3345">
        <v>0.84678385907095299</v>
      </c>
      <c r="G3345">
        <v>0.67143281580296199</v>
      </c>
      <c r="H3345">
        <v>0.55817314012645503</v>
      </c>
      <c r="I3345">
        <v>0.56195196061528496</v>
      </c>
      <c r="J3345">
        <v>0.484547562233827</v>
      </c>
      <c r="K3345">
        <v>0.80819564520890597</v>
      </c>
      <c r="L3345">
        <v>1664.19394716842</v>
      </c>
      <c r="M3345">
        <v>31.0603129147792</v>
      </c>
      <c r="O3345">
        <v>53.358805016428903</v>
      </c>
      <c r="P3345">
        <v>-5.7630603040847501E-2</v>
      </c>
      <c r="Q3345">
        <v>0.60398561201997003</v>
      </c>
      <c r="R3345">
        <v>0.82048331443924505</v>
      </c>
      <c r="S3345" t="s">
        <v>7641</v>
      </c>
      <c r="T3345" t="s">
        <v>8590</v>
      </c>
      <c r="U3345" t="s">
        <v>8590</v>
      </c>
      <c r="V3345" t="s">
        <v>8590</v>
      </c>
      <c r="W3345">
        <v>1</v>
      </c>
      <c r="X3345" t="s">
        <v>11935</v>
      </c>
      <c r="Y3345">
        <v>0.78565936768476452</v>
      </c>
      <c r="Z3345" t="str">
        <f>HYPERLINK("Melting_Curves/meltCurve_sp_Q9UBW7_2_ZMYM2_HUMAN_.pdf", "Melting_Curves/meltCurve_sp_Q9UBW7_2_ZMYM2_HUMAN_.pdf")</f>
        <v>Melting_Curves/meltCurve_sp_Q9UBW7_2_ZMYM2_HUMAN_.pdf</v>
      </c>
      <c r="AA3345" t="s">
        <v>16183</v>
      </c>
      <c r="AB3345" t="s">
        <v>20428</v>
      </c>
    </row>
    <row r="3346" spans="1:28" x14ac:dyDescent="0.25">
      <c r="A3346" t="s">
        <v>3350</v>
      </c>
      <c r="B3346">
        <v>0.99876560204751996</v>
      </c>
      <c r="C3346">
        <v>1.1281784545603399</v>
      </c>
      <c r="D3346">
        <v>1.06221244934528</v>
      </c>
      <c r="E3346">
        <v>1.1403987040033301</v>
      </c>
      <c r="F3346">
        <v>1.03429378421278</v>
      </c>
      <c r="G3346">
        <v>0.38831442362980301</v>
      </c>
      <c r="H3346">
        <v>0.119989819794058</v>
      </c>
      <c r="I3346">
        <v>7.54715563943643E-2</v>
      </c>
      <c r="J3346">
        <v>6.3312437730919005E-2</v>
      </c>
      <c r="K3346">
        <v>5.4536946686912599E-2</v>
      </c>
      <c r="L3346">
        <v>7544.51961443662</v>
      </c>
      <c r="M3346">
        <v>133.039455677295</v>
      </c>
      <c r="N3346">
        <v>56.781581313287099</v>
      </c>
      <c r="O3346">
        <v>56.696067550159398</v>
      </c>
      <c r="P3346">
        <v>-0.540699283482035</v>
      </c>
      <c r="Q3346">
        <v>7.8302671302919805E-2</v>
      </c>
      <c r="R3346">
        <v>0.98071926912818796</v>
      </c>
      <c r="S3346" t="s">
        <v>7642</v>
      </c>
      <c r="T3346" t="s">
        <v>8590</v>
      </c>
      <c r="U3346" t="s">
        <v>8590</v>
      </c>
      <c r="V3346" t="s">
        <v>8590</v>
      </c>
      <c r="W3346">
        <v>7</v>
      </c>
      <c r="X3346" t="s">
        <v>11936</v>
      </c>
      <c r="Y3346">
        <v>0.59197802162191626</v>
      </c>
      <c r="Z3346" t="str">
        <f>HYPERLINK("Melting_Curves/meltCurve_sp_Q9UBW8_CSN7A_HUMAN_.pdf", "Melting_Curves/meltCurve_sp_Q9UBW8_CSN7A_HUMAN_.pdf")</f>
        <v>Melting_Curves/meltCurve_sp_Q9UBW8_CSN7A_HUMAN_.pdf</v>
      </c>
      <c r="AA3346" t="s">
        <v>16184</v>
      </c>
      <c r="AB3346" t="s">
        <v>20429</v>
      </c>
    </row>
    <row r="3347" spans="1:28" x14ac:dyDescent="0.25">
      <c r="A3347" t="s">
        <v>3351</v>
      </c>
      <c r="B3347">
        <v>0.99876560204751996</v>
      </c>
      <c r="C3347">
        <v>0.67055078064819096</v>
      </c>
      <c r="D3347">
        <v>0.57362227490489004</v>
      </c>
      <c r="E3347">
        <v>0.49275167488937499</v>
      </c>
      <c r="F3347">
        <v>0.34965663030531102</v>
      </c>
      <c r="G3347">
        <v>0.29471928317434298</v>
      </c>
      <c r="H3347">
        <v>0</v>
      </c>
      <c r="I3347">
        <v>8.4290037993844893E-2</v>
      </c>
      <c r="J3347">
        <v>7.1640424633673094E-2</v>
      </c>
      <c r="K3347">
        <v>5.2942659636469998E-2</v>
      </c>
      <c r="L3347">
        <v>448.579946236333</v>
      </c>
      <c r="M3347">
        <v>9.2259225938823004</v>
      </c>
      <c r="N3347">
        <v>48.621689994917404</v>
      </c>
      <c r="O3347">
        <v>46.500978484427002</v>
      </c>
      <c r="P3347">
        <v>-4.96334552672286E-2</v>
      </c>
      <c r="Q3347">
        <v>0</v>
      </c>
      <c r="R3347">
        <v>0.93919959139799902</v>
      </c>
      <c r="S3347" t="s">
        <v>7643</v>
      </c>
      <c r="T3347" t="s">
        <v>8590</v>
      </c>
      <c r="U3347" t="s">
        <v>8590</v>
      </c>
      <c r="V3347" t="s">
        <v>8590</v>
      </c>
      <c r="W3347">
        <v>3</v>
      </c>
      <c r="X3347" t="s">
        <v>11937</v>
      </c>
      <c r="Y3347">
        <v>0.34409342909768681</v>
      </c>
      <c r="Z3347" t="str">
        <f>HYPERLINK("Melting_Curves/meltCurve_sp_Q9UBX1_CATF_HUMAN_.pdf", "Melting_Curves/meltCurve_sp_Q9UBX1_CATF_HUMAN_.pdf")</f>
        <v>Melting_Curves/meltCurve_sp_Q9UBX1_CATF_HUMAN_.pdf</v>
      </c>
      <c r="AA3347" t="s">
        <v>16185</v>
      </c>
      <c r="AB3347" t="s">
        <v>20430</v>
      </c>
    </row>
    <row r="3348" spans="1:28" x14ac:dyDescent="0.25">
      <c r="A3348" t="s">
        <v>3352</v>
      </c>
      <c r="B3348">
        <v>0.99876560204751996</v>
      </c>
      <c r="C3348">
        <v>1.0776954229246001</v>
      </c>
      <c r="D3348">
        <v>0.88228842597399004</v>
      </c>
      <c r="E3348">
        <v>0.49584609770245203</v>
      </c>
      <c r="F3348">
        <v>0.154520530725271</v>
      </c>
      <c r="G3348">
        <v>8.2951060765470597E-2</v>
      </c>
      <c r="H3348">
        <v>5.1472518796836099E-2</v>
      </c>
      <c r="I3348">
        <v>4.1420618944558799E-2</v>
      </c>
      <c r="J3348">
        <v>3.9712042437307797E-2</v>
      </c>
      <c r="K3348">
        <v>3.2816558086582598E-2</v>
      </c>
      <c r="L3348">
        <v>1444.76273051834</v>
      </c>
      <c r="M3348">
        <v>29.0669962763425</v>
      </c>
      <c r="N3348">
        <v>49.852473686535703</v>
      </c>
      <c r="O3348">
        <v>49.471097997767501</v>
      </c>
      <c r="P3348">
        <v>-0.14082186830419499</v>
      </c>
      <c r="Q3348">
        <v>4.1309823235586997E-2</v>
      </c>
      <c r="R3348">
        <v>0.99426517520181701</v>
      </c>
      <c r="S3348" t="s">
        <v>7644</v>
      </c>
      <c r="T3348" t="s">
        <v>8590</v>
      </c>
      <c r="U3348" t="s">
        <v>8590</v>
      </c>
      <c r="V3348" t="s">
        <v>8590</v>
      </c>
      <c r="W3348">
        <v>54</v>
      </c>
      <c r="X3348" t="s">
        <v>11938</v>
      </c>
      <c r="Y3348">
        <v>0.3577252302631086</v>
      </c>
      <c r="Z3348" t="str">
        <f>HYPERLINK("Melting_Curves/meltCurve_sp_Q9UDR5_AASS_HUMAN_.pdf", "Melting_Curves/meltCurve_sp_Q9UDR5_AASS_HUMAN_.pdf")</f>
        <v>Melting_Curves/meltCurve_sp_Q9UDR5_AASS_HUMAN_.pdf</v>
      </c>
      <c r="AA3348" t="s">
        <v>16186</v>
      </c>
      <c r="AB3348" t="s">
        <v>20431</v>
      </c>
    </row>
    <row r="3349" spans="1:28" x14ac:dyDescent="0.25">
      <c r="A3349" t="s">
        <v>3353</v>
      </c>
      <c r="B3349">
        <v>0.99876560204751996</v>
      </c>
      <c r="C3349">
        <v>0.96536879247447704</v>
      </c>
      <c r="D3349">
        <v>0.95234186817454003</v>
      </c>
      <c r="E3349">
        <v>0.87346614548364199</v>
      </c>
      <c r="F3349">
        <v>0.77726697176117798</v>
      </c>
      <c r="G3349">
        <v>0.23253860831561701</v>
      </c>
      <c r="H3349">
        <v>0.13158440476685301</v>
      </c>
      <c r="I3349">
        <v>9.1769767038793207E-2</v>
      </c>
      <c r="J3349">
        <v>0.111247688680593</v>
      </c>
      <c r="K3349">
        <v>0.112008412658027</v>
      </c>
      <c r="L3349">
        <v>1854.152359812</v>
      </c>
      <c r="M3349">
        <v>34.078381284010398</v>
      </c>
      <c r="N3349">
        <v>54.769380579405599</v>
      </c>
      <c r="O3349">
        <v>54.2221339937647</v>
      </c>
      <c r="P3349">
        <v>-0.141322382670759</v>
      </c>
      <c r="Q3349">
        <v>0.100571022389093</v>
      </c>
      <c r="R3349">
        <v>0.99175990813703396</v>
      </c>
      <c r="S3349" t="s">
        <v>7645</v>
      </c>
      <c r="T3349" t="s">
        <v>8590</v>
      </c>
      <c r="U3349" t="s">
        <v>8590</v>
      </c>
      <c r="V3349" t="s">
        <v>8590</v>
      </c>
      <c r="W3349">
        <v>5</v>
      </c>
      <c r="X3349" t="s">
        <v>11939</v>
      </c>
      <c r="Y3349">
        <v>0.53718483924782801</v>
      </c>
      <c r="Z3349" t="str">
        <f>HYPERLINK("Melting_Curves/meltCurve_sp_Q9UDX3_S14L4_HUMAN_.pdf", "Melting_Curves/meltCurve_sp_Q9UDX3_S14L4_HUMAN_.pdf")</f>
        <v>Melting_Curves/meltCurve_sp_Q9UDX3_S14L4_HUMAN_.pdf</v>
      </c>
      <c r="AA3349" t="s">
        <v>16187</v>
      </c>
      <c r="AB3349" t="s">
        <v>20432</v>
      </c>
    </row>
    <row r="3350" spans="1:28" x14ac:dyDescent="0.25">
      <c r="A3350" t="s">
        <v>3354</v>
      </c>
      <c r="B3350">
        <v>0.99876560204751996</v>
      </c>
      <c r="C3350">
        <v>0.96265321433565099</v>
      </c>
      <c r="D3350">
        <v>0.98463335324170798</v>
      </c>
      <c r="E3350">
        <v>0.74519748687644605</v>
      </c>
      <c r="F3350">
        <v>0.48879760784264997</v>
      </c>
      <c r="G3350">
        <v>0.30851356011409198</v>
      </c>
      <c r="H3350">
        <v>0.228581017189116</v>
      </c>
      <c r="I3350">
        <v>0.22056807109114901</v>
      </c>
      <c r="J3350">
        <v>0.25230722007491002</v>
      </c>
      <c r="K3350">
        <v>0.255907327184693</v>
      </c>
      <c r="L3350">
        <v>1294.5077332355499</v>
      </c>
      <c r="M3350">
        <v>25.149676818762</v>
      </c>
      <c r="N3350">
        <v>52.815197408330398</v>
      </c>
      <c r="O3350">
        <v>51.150021452713602</v>
      </c>
      <c r="P3350">
        <v>-9.3884371168723904E-2</v>
      </c>
      <c r="Q3350">
        <v>0.236232834683716</v>
      </c>
      <c r="R3350">
        <v>0.99695952095910101</v>
      </c>
      <c r="S3350" t="s">
        <v>7646</v>
      </c>
      <c r="T3350" t="s">
        <v>8590</v>
      </c>
      <c r="U3350" t="s">
        <v>8590</v>
      </c>
      <c r="V3350" t="s">
        <v>8590</v>
      </c>
      <c r="W3350">
        <v>30</v>
      </c>
      <c r="X3350" t="s">
        <v>11940</v>
      </c>
      <c r="Y3350">
        <v>0.53515582140186035</v>
      </c>
      <c r="Z3350" t="str">
        <f>HYPERLINK("Melting_Curves/meltCurve_sp_Q9UDY2_ZO2_HUMAN_.pdf", "Melting_Curves/meltCurve_sp_Q9UDY2_ZO2_HUMAN_.pdf")</f>
        <v>Melting_Curves/meltCurve_sp_Q9UDY2_ZO2_HUMAN_.pdf</v>
      </c>
      <c r="AA3350" t="s">
        <v>16188</v>
      </c>
      <c r="AB3350" t="s">
        <v>20433</v>
      </c>
    </row>
    <row r="3351" spans="1:28" x14ac:dyDescent="0.25">
      <c r="A3351" t="s">
        <v>3355</v>
      </c>
      <c r="B3351">
        <v>0.99876560204751996</v>
      </c>
      <c r="C3351">
        <v>1.0223257421862699</v>
      </c>
      <c r="D3351">
        <v>1.00191010153583</v>
      </c>
      <c r="E3351">
        <v>0.78173684606045901</v>
      </c>
      <c r="F3351">
        <v>0.38970455644705698</v>
      </c>
      <c r="G3351">
        <v>0.28517329710119199</v>
      </c>
      <c r="H3351">
        <v>7.4541133131560605E-2</v>
      </c>
      <c r="I3351">
        <v>5.5198264776350398E-2</v>
      </c>
      <c r="J3351">
        <v>0</v>
      </c>
      <c r="K3351">
        <v>0</v>
      </c>
      <c r="L3351">
        <v>1041.2611275248601</v>
      </c>
      <c r="M3351">
        <v>19.752654193229699</v>
      </c>
      <c r="N3351">
        <v>52.786378131745899</v>
      </c>
      <c r="O3351">
        <v>52.1836286512439</v>
      </c>
      <c r="P3351">
        <v>-9.3386418720664804E-2</v>
      </c>
      <c r="Q3351">
        <v>1.3180775496743799E-2</v>
      </c>
      <c r="R3351">
        <v>0.987174572500228</v>
      </c>
      <c r="S3351" t="s">
        <v>7647</v>
      </c>
      <c r="T3351" t="s">
        <v>8590</v>
      </c>
      <c r="U3351" t="s">
        <v>8590</v>
      </c>
      <c r="V3351" t="s">
        <v>8590</v>
      </c>
      <c r="W3351">
        <v>1</v>
      </c>
      <c r="X3351" t="s">
        <v>11941</v>
      </c>
      <c r="Y3351">
        <v>0.4453257010285</v>
      </c>
      <c r="Z3351" t="str">
        <f>HYPERLINK("Melting_Curves/meltCurve_sp_Q9UDY8_2_MALT1_HUMAN_.pdf", "Melting_Curves/meltCurve_sp_Q9UDY8_2_MALT1_HUMAN_.pdf")</f>
        <v>Melting_Curves/meltCurve_sp_Q9UDY8_2_MALT1_HUMAN_.pdf</v>
      </c>
      <c r="AA3351" t="s">
        <v>16189</v>
      </c>
      <c r="AB3351" t="s">
        <v>20434</v>
      </c>
    </row>
    <row r="3352" spans="1:28" x14ac:dyDescent="0.25">
      <c r="A3352" t="s">
        <v>3356</v>
      </c>
      <c r="B3352">
        <v>0.99876560204751996</v>
      </c>
      <c r="C3352">
        <v>0.80612334355964299</v>
      </c>
      <c r="D3352">
        <v>0.80488826822813098</v>
      </c>
      <c r="E3352">
        <v>0.76160822770911996</v>
      </c>
      <c r="F3352">
        <v>0.69716457298653201</v>
      </c>
      <c r="G3352">
        <v>0.42041634904627301</v>
      </c>
      <c r="H3352">
        <v>0.33288788397666003</v>
      </c>
      <c r="I3352">
        <v>0.32723643444364298</v>
      </c>
      <c r="J3352">
        <v>0.35624787959342802</v>
      </c>
      <c r="K3352">
        <v>0.31542314612448802</v>
      </c>
      <c r="L3352">
        <v>451.68929121229399</v>
      </c>
      <c r="M3352">
        <v>8.4822963003800496</v>
      </c>
      <c r="N3352">
        <v>56.528327630242401</v>
      </c>
      <c r="O3352">
        <v>50.538384866469102</v>
      </c>
      <c r="P3352">
        <v>-3.3840209595385397E-2</v>
      </c>
      <c r="Q3352">
        <v>0.194238139212254</v>
      </c>
      <c r="R3352">
        <v>0.93840659961726203</v>
      </c>
      <c r="S3352" t="s">
        <v>7648</v>
      </c>
      <c r="T3352" t="s">
        <v>8590</v>
      </c>
      <c r="U3352" t="s">
        <v>8590</v>
      </c>
      <c r="V3352" t="s">
        <v>8590</v>
      </c>
      <c r="W3352">
        <v>2</v>
      </c>
      <c r="X3352" t="s">
        <v>11942</v>
      </c>
      <c r="Y3352">
        <v>0.58047230378725112</v>
      </c>
      <c r="Z3352" t="str">
        <f>HYPERLINK("Melting_Curves/meltCurve_sp_Q9UEU0_VTI1B_HUMAN_.pdf", "Melting_Curves/meltCurve_sp_Q9UEU0_VTI1B_HUMAN_.pdf")</f>
        <v>Melting_Curves/meltCurve_sp_Q9UEU0_VTI1B_HUMAN_.pdf</v>
      </c>
      <c r="AA3352" t="s">
        <v>16190</v>
      </c>
      <c r="AB3352" t="s">
        <v>20435</v>
      </c>
    </row>
    <row r="3353" spans="1:28" x14ac:dyDescent="0.25">
      <c r="A3353" t="s">
        <v>3357</v>
      </c>
      <c r="B3353">
        <v>0.99876560204751996</v>
      </c>
      <c r="C3353">
        <v>0.99944052905399605</v>
      </c>
      <c r="D3353">
        <v>0.96812238008879303</v>
      </c>
      <c r="E3353">
        <v>0.92195458986158996</v>
      </c>
      <c r="F3353">
        <v>0.74308343796412102</v>
      </c>
      <c r="G3353">
        <v>0.55163319655065202</v>
      </c>
      <c r="H3353">
        <v>0.43644056505198903</v>
      </c>
      <c r="I3353">
        <v>0.38238167533508399</v>
      </c>
      <c r="J3353">
        <v>0.37922914185690598</v>
      </c>
      <c r="K3353">
        <v>0.27890872561679603</v>
      </c>
      <c r="L3353">
        <v>894.17181927158504</v>
      </c>
      <c r="M3353">
        <v>16.210709169933601</v>
      </c>
      <c r="N3353">
        <v>58.5442224770092</v>
      </c>
      <c r="O3353">
        <v>54.3404193154919</v>
      </c>
      <c r="P3353">
        <v>-5.1899850012897E-2</v>
      </c>
      <c r="Q3353">
        <v>0.30415147816308902</v>
      </c>
      <c r="R3353">
        <v>0.99283688947465498</v>
      </c>
      <c r="S3353" t="s">
        <v>7649</v>
      </c>
      <c r="T3353" t="s">
        <v>8590</v>
      </c>
      <c r="U3353" t="s">
        <v>8590</v>
      </c>
      <c r="V3353" t="s">
        <v>8590</v>
      </c>
      <c r="W3353">
        <v>8</v>
      </c>
      <c r="X3353" t="s">
        <v>11943</v>
      </c>
      <c r="Y3353">
        <v>0.66795193942247033</v>
      </c>
      <c r="Z3353" t="str">
        <f>HYPERLINK("Melting_Curves/meltCurve_sp_Q9UEY8_2_ADDG_HUMAN_.pdf", "Melting_Curves/meltCurve_sp_Q9UEY8_2_ADDG_HUMAN_.pdf")</f>
        <v>Melting_Curves/meltCurve_sp_Q9UEY8_2_ADDG_HUMAN_.pdf</v>
      </c>
      <c r="AA3353" t="s">
        <v>16191</v>
      </c>
      <c r="AB3353" t="s">
        <v>20436</v>
      </c>
    </row>
    <row r="3354" spans="1:28" x14ac:dyDescent="0.25">
      <c r="A3354" t="s">
        <v>3358</v>
      </c>
      <c r="B3354">
        <v>0.99876560204751996</v>
      </c>
      <c r="C3354">
        <v>0.92020947298306</v>
      </c>
      <c r="D3354">
        <v>0.84014205489092497</v>
      </c>
      <c r="E3354">
        <v>0.60710467879145402</v>
      </c>
      <c r="F3354">
        <v>0.57400784676572203</v>
      </c>
      <c r="G3354">
        <v>0.51718443826980098</v>
      </c>
      <c r="H3354">
        <v>0.52465106806662398</v>
      </c>
      <c r="I3354">
        <v>0.56478537664088402</v>
      </c>
      <c r="J3354">
        <v>0.73483633330560705</v>
      </c>
      <c r="K3354">
        <v>0.72823519560878103</v>
      </c>
      <c r="L3354">
        <v>1529.2283542356099</v>
      </c>
      <c r="M3354">
        <v>33.096565661271001</v>
      </c>
      <c r="O3354">
        <v>46.037339448063499</v>
      </c>
      <c r="P3354">
        <v>-7.1262443012453894E-2</v>
      </c>
      <c r="Q3354">
        <v>0.60349736962300204</v>
      </c>
      <c r="R3354">
        <v>0.80020870808746403</v>
      </c>
      <c r="S3354" t="s">
        <v>7650</v>
      </c>
      <c r="T3354" t="s">
        <v>8590</v>
      </c>
      <c r="U3354" t="s">
        <v>8590</v>
      </c>
      <c r="V3354" t="s">
        <v>8590</v>
      </c>
      <c r="W3354">
        <v>1</v>
      </c>
      <c r="X3354" t="s">
        <v>11944</v>
      </c>
      <c r="Y3354">
        <v>0.68744257014622689</v>
      </c>
      <c r="Z3354" t="str">
        <f>HYPERLINK("Melting_Curves/meltCurve_sp_Q9UFG5_CS025_HUMAN_.pdf", "Melting_Curves/meltCurve_sp_Q9UFG5_CS025_HUMAN_.pdf")</f>
        <v>Melting_Curves/meltCurve_sp_Q9UFG5_CS025_HUMAN_.pdf</v>
      </c>
      <c r="AA3354" t="s">
        <v>16192</v>
      </c>
      <c r="AB3354" t="s">
        <v>20437</v>
      </c>
    </row>
    <row r="3355" spans="1:28" x14ac:dyDescent="0.25">
      <c r="A3355" t="s">
        <v>3359</v>
      </c>
      <c r="B3355">
        <v>0.99876560204751996</v>
      </c>
      <c r="C3355">
        <v>1.0094902634256799</v>
      </c>
      <c r="D3355">
        <v>0.89833325707961598</v>
      </c>
      <c r="E3355">
        <v>0.94157324008834498</v>
      </c>
      <c r="F3355">
        <v>0.72526384476682204</v>
      </c>
      <c r="G3355">
        <v>0.36062087861942899</v>
      </c>
      <c r="H3355">
        <v>0.28666578331314602</v>
      </c>
      <c r="I3355">
        <v>0.200704661327054</v>
      </c>
      <c r="J3355">
        <v>0.15948517837413101</v>
      </c>
      <c r="K3355">
        <v>0.14414428760026601</v>
      </c>
      <c r="L3355">
        <v>1232.2156746466801</v>
      </c>
      <c r="M3355">
        <v>22.5552212518887</v>
      </c>
      <c r="N3355">
        <v>55.587182434126902</v>
      </c>
      <c r="O3355">
        <v>54.207085847795298</v>
      </c>
      <c r="P3355">
        <v>-8.7300350786986794E-2</v>
      </c>
      <c r="Q3355">
        <v>0.160779669798573</v>
      </c>
      <c r="R3355">
        <v>0.98862524507687899</v>
      </c>
      <c r="S3355" t="s">
        <v>7651</v>
      </c>
      <c r="T3355" t="s">
        <v>8590</v>
      </c>
      <c r="U3355" t="s">
        <v>8590</v>
      </c>
      <c r="V3355" t="s">
        <v>8590</v>
      </c>
      <c r="W3355">
        <v>8</v>
      </c>
      <c r="X3355" t="s">
        <v>11945</v>
      </c>
      <c r="Y3355">
        <v>0.57935507223583538</v>
      </c>
      <c r="Z3355" t="str">
        <f>HYPERLINK("Melting_Curves/meltCurve_sp_Q9UFN0_NPS3A_HUMAN_.pdf", "Melting_Curves/meltCurve_sp_Q9UFN0_NPS3A_HUMAN_.pdf")</f>
        <v>Melting_Curves/meltCurve_sp_Q9UFN0_NPS3A_HUMAN_.pdf</v>
      </c>
      <c r="AA3355" t="s">
        <v>16193</v>
      </c>
      <c r="AB3355" t="s">
        <v>20438</v>
      </c>
    </row>
    <row r="3356" spans="1:28" x14ac:dyDescent="0.25">
      <c r="A3356" t="s">
        <v>3360</v>
      </c>
      <c r="B3356">
        <v>0.99876560204751996</v>
      </c>
      <c r="C3356">
        <v>0.82373206877215899</v>
      </c>
      <c r="D3356">
        <v>1.1519717578366</v>
      </c>
      <c r="E3356">
        <v>0.91279253535633098</v>
      </c>
      <c r="F3356">
        <v>0.97767797626536002</v>
      </c>
      <c r="G3356">
        <v>0.81949666484446404</v>
      </c>
      <c r="H3356">
        <v>0.74845053918206095</v>
      </c>
      <c r="I3356">
        <v>0.59630338136336003</v>
      </c>
      <c r="J3356">
        <v>1.0650337320557299</v>
      </c>
      <c r="K3356">
        <v>0.77481613811363403</v>
      </c>
      <c r="L3356">
        <v>3016.9383521756599</v>
      </c>
      <c r="M3356">
        <v>55.046798731124802</v>
      </c>
      <c r="O3356">
        <v>54.7346221058</v>
      </c>
      <c r="P3356">
        <v>-5.1205643664074998E-2</v>
      </c>
      <c r="Q3356">
        <v>0.79633919597050995</v>
      </c>
      <c r="R3356">
        <v>0.287925842576158</v>
      </c>
      <c r="S3356" t="s">
        <v>7652</v>
      </c>
      <c r="T3356" t="s">
        <v>8590</v>
      </c>
      <c r="U3356" t="s">
        <v>8590</v>
      </c>
      <c r="V3356" t="s">
        <v>8590</v>
      </c>
      <c r="W3356">
        <v>3</v>
      </c>
      <c r="X3356" t="s">
        <v>11946</v>
      </c>
      <c r="Y3356">
        <v>0.89726369947607942</v>
      </c>
      <c r="Z3356" t="str">
        <f>HYPERLINK("Melting_Curves/meltCurve_sp_Q9UFW8_CGBP1_HUMAN_.pdf", "Melting_Curves/meltCurve_sp_Q9UFW8_CGBP1_HUMAN_.pdf")</f>
        <v>Melting_Curves/meltCurve_sp_Q9UFW8_CGBP1_HUMAN_.pdf</v>
      </c>
      <c r="AA3356" t="s">
        <v>16194</v>
      </c>
      <c r="AB3356" t="s">
        <v>20439</v>
      </c>
    </row>
    <row r="3357" spans="1:28" x14ac:dyDescent="0.25">
      <c r="A3357" t="s">
        <v>3361</v>
      </c>
      <c r="B3357">
        <v>0.99876560204751996</v>
      </c>
      <c r="C3357">
        <v>0.93061759418654</v>
      </c>
      <c r="D3357">
        <v>0.90487058467294201</v>
      </c>
      <c r="E3357">
        <v>0.82871086654526105</v>
      </c>
      <c r="F3357">
        <v>0.59517228242983999</v>
      </c>
      <c r="G3357">
        <v>0.22961536073376601</v>
      </c>
      <c r="H3357">
        <v>7.5558255642928701E-2</v>
      </c>
      <c r="I3357">
        <v>4.4766986718808001E-2</v>
      </c>
      <c r="J3357">
        <v>3.62971159256925E-2</v>
      </c>
      <c r="K3357">
        <v>2.6126985998976199E-2</v>
      </c>
      <c r="L3357">
        <v>1081.72122082903</v>
      </c>
      <c r="M3357">
        <v>20.124870834051698</v>
      </c>
      <c r="N3357">
        <v>53.791325224488702</v>
      </c>
      <c r="O3357">
        <v>53.228188366825201</v>
      </c>
      <c r="P3357">
        <v>-9.3807728004675295E-2</v>
      </c>
      <c r="Q3357">
        <v>7.5848187615183901E-3</v>
      </c>
      <c r="R3357">
        <v>0.994271810596144</v>
      </c>
      <c r="S3357" t="s">
        <v>7653</v>
      </c>
      <c r="T3357" t="s">
        <v>8590</v>
      </c>
      <c r="U3357" t="s">
        <v>8590</v>
      </c>
      <c r="V3357" t="s">
        <v>8590</v>
      </c>
      <c r="W3357">
        <v>4</v>
      </c>
      <c r="X3357" t="s">
        <v>11947</v>
      </c>
      <c r="Y3357">
        <v>0.47585750656947567</v>
      </c>
      <c r="Z3357" t="str">
        <f>HYPERLINK("Melting_Curves/meltCurve_sp_Q9UGC7_RF1ML_HUMAN_.pdf", "Melting_Curves/meltCurve_sp_Q9UGC7_RF1ML_HUMAN_.pdf")</f>
        <v>Melting_Curves/meltCurve_sp_Q9UGC7_RF1ML_HUMAN_.pdf</v>
      </c>
      <c r="AA3357" t="s">
        <v>16195</v>
      </c>
      <c r="AB3357" t="s">
        <v>20440</v>
      </c>
    </row>
    <row r="3358" spans="1:28" x14ac:dyDescent="0.25">
      <c r="A3358" t="s">
        <v>3362</v>
      </c>
      <c r="B3358">
        <v>0.99876560204751996</v>
      </c>
      <c r="C3358">
        <v>0.95872522778150304</v>
      </c>
      <c r="D3358">
        <v>1.06963262512185</v>
      </c>
      <c r="E3358">
        <v>0.87006526156322594</v>
      </c>
      <c r="F3358">
        <v>0.82096328031312904</v>
      </c>
      <c r="G3358">
        <v>0.53951169084199202</v>
      </c>
      <c r="H3358">
        <v>0.15034096562214599</v>
      </c>
      <c r="I3358">
        <v>0.124714072861902</v>
      </c>
      <c r="J3358">
        <v>0.101831535169428</v>
      </c>
      <c r="K3358">
        <v>7.4135854180140001E-2</v>
      </c>
      <c r="L3358">
        <v>1220.8782583692</v>
      </c>
      <c r="M3358">
        <v>21.563207991230598</v>
      </c>
      <c r="N3358">
        <v>56.891291788060897</v>
      </c>
      <c r="O3358">
        <v>56.138381085444003</v>
      </c>
      <c r="P3358">
        <v>-9.1314251336821098E-2</v>
      </c>
      <c r="Q3358">
        <v>4.9100606120560997E-2</v>
      </c>
      <c r="R3358">
        <v>0.986852260224787</v>
      </c>
      <c r="S3358" t="s">
        <v>7654</v>
      </c>
      <c r="T3358" t="s">
        <v>8590</v>
      </c>
      <c r="U3358" t="s">
        <v>8590</v>
      </c>
      <c r="V3358" t="s">
        <v>8590</v>
      </c>
      <c r="W3358">
        <v>18</v>
      </c>
      <c r="X3358" t="s">
        <v>11948</v>
      </c>
      <c r="Y3358">
        <v>0.5866277739545116</v>
      </c>
      <c r="Z3358" t="str">
        <f>HYPERLINK("Melting_Curves/meltCurve_sp_Q9UGI8_TES_HUMAN_.pdf", "Melting_Curves/meltCurve_sp_Q9UGI8_TES_HUMAN_.pdf")</f>
        <v>Melting_Curves/meltCurve_sp_Q9UGI8_TES_HUMAN_.pdf</v>
      </c>
      <c r="AA3358" t="s">
        <v>16196</v>
      </c>
      <c r="AB3358" t="s">
        <v>20441</v>
      </c>
    </row>
    <row r="3359" spans="1:28" x14ac:dyDescent="0.25">
      <c r="A3359" t="s">
        <v>3363</v>
      </c>
      <c r="B3359">
        <v>0.99876560204751996</v>
      </c>
      <c r="C3359">
        <v>1.10104402269889</v>
      </c>
      <c r="D3359">
        <v>0.99084735771906995</v>
      </c>
      <c r="E3359">
        <v>0.94745209161614796</v>
      </c>
      <c r="F3359">
        <v>0.62459515086194894</v>
      </c>
      <c r="G3359">
        <v>0.28117309593559497</v>
      </c>
      <c r="H3359">
        <v>0.15013138193666001</v>
      </c>
      <c r="I3359">
        <v>0.145514280028747</v>
      </c>
      <c r="J3359">
        <v>0.13762015611709999</v>
      </c>
      <c r="K3359">
        <v>9.8263118449568504E-2</v>
      </c>
      <c r="L3359">
        <v>1591.65992670726</v>
      </c>
      <c r="M3359">
        <v>29.6339638956055</v>
      </c>
      <c r="N3359">
        <v>54.246222653945999</v>
      </c>
      <c r="O3359">
        <v>53.4678634821503</v>
      </c>
      <c r="P3359">
        <v>-0.120987349802734</v>
      </c>
      <c r="Q3359">
        <v>0.126827534787813</v>
      </c>
      <c r="R3359">
        <v>0.99166528578203705</v>
      </c>
      <c r="S3359" t="s">
        <v>7655</v>
      </c>
      <c r="T3359" t="s">
        <v>8590</v>
      </c>
      <c r="U3359" t="s">
        <v>8590</v>
      </c>
      <c r="V3359" t="s">
        <v>8590</v>
      </c>
      <c r="W3359">
        <v>3</v>
      </c>
      <c r="X3359" t="s">
        <v>11949</v>
      </c>
      <c r="Y3359">
        <v>0.53174008358199942</v>
      </c>
      <c r="Z3359" t="str">
        <f>HYPERLINK("Melting_Curves/meltCurve_sp_Q9UGJ0_2_AAKG2_HUMAN_.pdf", "Melting_Curves/meltCurve_sp_Q9UGJ0_2_AAKG2_HUMAN_.pdf")</f>
        <v>Melting_Curves/meltCurve_sp_Q9UGJ0_2_AAKG2_HUMAN_.pdf</v>
      </c>
      <c r="AA3359" t="s">
        <v>16197</v>
      </c>
      <c r="AB3359" t="s">
        <v>20442</v>
      </c>
    </row>
    <row r="3360" spans="1:28" x14ac:dyDescent="0.25">
      <c r="A3360" t="s">
        <v>3364</v>
      </c>
      <c r="B3360">
        <v>0.99876560204751996</v>
      </c>
      <c r="C3360">
        <v>1.0427402464345601</v>
      </c>
      <c r="D3360">
        <v>1.06645122136929</v>
      </c>
      <c r="E3360">
        <v>0.89036987741217799</v>
      </c>
      <c r="F3360">
        <v>0.72472688782636197</v>
      </c>
      <c r="G3360">
        <v>0.33007947465607101</v>
      </c>
      <c r="H3360">
        <v>0.21019940063147699</v>
      </c>
      <c r="I3360">
        <v>0.18803020226251399</v>
      </c>
      <c r="J3360">
        <v>0.19455565167702901</v>
      </c>
      <c r="K3360">
        <v>0.14245007355637801</v>
      </c>
      <c r="L3360">
        <v>1477.4125099021501</v>
      </c>
      <c r="M3360">
        <v>27.257177017429299</v>
      </c>
      <c r="N3360">
        <v>55.029898204220501</v>
      </c>
      <c r="O3360">
        <v>53.913488918716602</v>
      </c>
      <c r="P3360">
        <v>-0.105149555880658</v>
      </c>
      <c r="Q3360">
        <v>0.168083628683493</v>
      </c>
      <c r="R3360">
        <v>0.99305862528368605</v>
      </c>
      <c r="S3360" t="s">
        <v>7656</v>
      </c>
      <c r="T3360" t="s">
        <v>8590</v>
      </c>
      <c r="U3360" t="s">
        <v>8590</v>
      </c>
      <c r="V3360" t="s">
        <v>8590</v>
      </c>
      <c r="W3360">
        <v>3</v>
      </c>
      <c r="X3360" t="s">
        <v>11950</v>
      </c>
      <c r="Y3360">
        <v>0.56850150399475607</v>
      </c>
      <c r="Z3360" t="str">
        <f>HYPERLINK("Melting_Curves/meltCurve_sp_Q9UGK3_STAP2_HUMAN_.pdf", "Melting_Curves/meltCurve_sp_Q9UGK3_STAP2_HUMAN_.pdf")</f>
        <v>Melting_Curves/meltCurve_sp_Q9UGK3_STAP2_HUMAN_.pdf</v>
      </c>
      <c r="AA3360" t="s">
        <v>16198</v>
      </c>
      <c r="AB3360" t="s">
        <v>20443</v>
      </c>
    </row>
    <row r="3361" spans="1:28" x14ac:dyDescent="0.25">
      <c r="A3361" t="s">
        <v>3365</v>
      </c>
      <c r="B3361">
        <v>0.99876560204751996</v>
      </c>
      <c r="C3361">
        <v>0.95154716203392797</v>
      </c>
      <c r="D3361">
        <v>0.98449520380771505</v>
      </c>
      <c r="E3361">
        <v>0.82024717146162895</v>
      </c>
      <c r="F3361">
        <v>0.79837600821085297</v>
      </c>
      <c r="G3361">
        <v>0.71340778042325603</v>
      </c>
      <c r="H3361">
        <v>0.56638151268682602</v>
      </c>
      <c r="I3361">
        <v>0.66883613295819</v>
      </c>
      <c r="J3361">
        <v>0.77452392062704101</v>
      </c>
      <c r="K3361">
        <v>0.72483061434787899</v>
      </c>
      <c r="L3361">
        <v>1098.0502920822801</v>
      </c>
      <c r="M3361">
        <v>21.923559794532899</v>
      </c>
      <c r="O3361">
        <v>49.674271446237299</v>
      </c>
      <c r="P3361">
        <v>-3.44762528586358E-2</v>
      </c>
      <c r="Q3361">
        <v>0.68754271633269703</v>
      </c>
      <c r="R3361">
        <v>0.83679318311017703</v>
      </c>
      <c r="S3361" t="s">
        <v>7657</v>
      </c>
      <c r="T3361" t="s">
        <v>8590</v>
      </c>
      <c r="U3361" t="s">
        <v>8590</v>
      </c>
      <c r="V3361" t="s">
        <v>8590</v>
      </c>
      <c r="W3361">
        <v>9</v>
      </c>
      <c r="X3361" t="s">
        <v>11951</v>
      </c>
      <c r="Y3361">
        <v>0.79621625965926557</v>
      </c>
      <c r="Z3361" t="str">
        <f>HYPERLINK("Melting_Curves/meltCurve_sp_Q9UGP4_LIMD1_HUMAN_.pdf", "Melting_Curves/meltCurve_sp_Q9UGP4_LIMD1_HUMAN_.pdf")</f>
        <v>Melting_Curves/meltCurve_sp_Q9UGP4_LIMD1_HUMAN_.pdf</v>
      </c>
      <c r="AA3361" t="s">
        <v>16199</v>
      </c>
      <c r="AB3361" t="s">
        <v>20444</v>
      </c>
    </row>
    <row r="3362" spans="1:28" x14ac:dyDescent="0.25">
      <c r="A3362" t="s">
        <v>3366</v>
      </c>
      <c r="B3362">
        <v>0.99876560204751996</v>
      </c>
      <c r="C3362">
        <v>1.0009364101509499</v>
      </c>
      <c r="D3362">
        <v>0.85006733028075199</v>
      </c>
      <c r="E3362">
        <v>0.73160450065278704</v>
      </c>
      <c r="F3362">
        <v>0.337127136259045</v>
      </c>
      <c r="G3362">
        <v>0.12547017489141099</v>
      </c>
      <c r="H3362">
        <v>7.4263239402023604E-2</v>
      </c>
      <c r="I3362">
        <v>4.2778625264816197E-2</v>
      </c>
      <c r="J3362">
        <v>5.4181415971040398E-2</v>
      </c>
      <c r="K3362">
        <v>3.03405959071643E-2</v>
      </c>
      <c r="L3362">
        <v>1158.4365245613201</v>
      </c>
      <c r="M3362">
        <v>22.493081360931502</v>
      </c>
      <c r="N3362">
        <v>51.667349134724603</v>
      </c>
      <c r="O3362">
        <v>51.1000259882397</v>
      </c>
      <c r="P3362">
        <v>-0.106222956304434</v>
      </c>
      <c r="Q3362">
        <v>3.4746175728738303E-2</v>
      </c>
      <c r="R3362">
        <v>0.99203304810196102</v>
      </c>
      <c r="S3362" t="s">
        <v>7658</v>
      </c>
      <c r="T3362" t="s">
        <v>8590</v>
      </c>
      <c r="U3362" t="s">
        <v>8590</v>
      </c>
      <c r="V3362" t="s">
        <v>8590</v>
      </c>
      <c r="W3362">
        <v>6</v>
      </c>
      <c r="X3362" t="s">
        <v>11952</v>
      </c>
      <c r="Y3362">
        <v>0.41556610928375431</v>
      </c>
      <c r="Z3362" t="str">
        <f>HYPERLINK("Melting_Curves/meltCurve_sp_Q9UH62_ARMX3_HUMAN_.pdf", "Melting_Curves/meltCurve_sp_Q9UH62_ARMX3_HUMAN_.pdf")</f>
        <v>Melting_Curves/meltCurve_sp_Q9UH62_ARMX3_HUMAN_.pdf</v>
      </c>
      <c r="AA3362" t="s">
        <v>16200</v>
      </c>
      <c r="AB3362" t="s">
        <v>20445</v>
      </c>
    </row>
    <row r="3363" spans="1:28" x14ac:dyDescent="0.25">
      <c r="A3363" t="s">
        <v>3367</v>
      </c>
      <c r="B3363">
        <v>0.99876560204751996</v>
      </c>
      <c r="C3363">
        <v>0.93942360619756804</v>
      </c>
      <c r="D3363">
        <v>0.91181820186259299</v>
      </c>
      <c r="E3363">
        <v>0.84868025028258498</v>
      </c>
      <c r="F3363">
        <v>0.58211510885044804</v>
      </c>
      <c r="G3363">
        <v>0.23537014965001801</v>
      </c>
      <c r="H3363">
        <v>0.12482200793328301</v>
      </c>
      <c r="I3363">
        <v>9.1546862925951503E-2</v>
      </c>
      <c r="J3363">
        <v>0.10237700406568701</v>
      </c>
      <c r="K3363">
        <v>9.9236764468777605E-2</v>
      </c>
      <c r="L3363">
        <v>1239.4365845597399</v>
      </c>
      <c r="M3363">
        <v>23.255135883092098</v>
      </c>
      <c r="N3363">
        <v>53.721899090661204</v>
      </c>
      <c r="O3363">
        <v>52.907928006383003</v>
      </c>
      <c r="P3363">
        <v>-0.100662338120903</v>
      </c>
      <c r="Q3363">
        <v>8.3946290517995195E-2</v>
      </c>
      <c r="R3363">
        <v>0.99411293398171996</v>
      </c>
      <c r="S3363" t="s">
        <v>7659</v>
      </c>
      <c r="T3363" t="s">
        <v>8590</v>
      </c>
      <c r="U3363" t="s">
        <v>8590</v>
      </c>
      <c r="V3363" t="s">
        <v>8590</v>
      </c>
      <c r="W3363">
        <v>6</v>
      </c>
      <c r="X3363" t="s">
        <v>11953</v>
      </c>
      <c r="Y3363">
        <v>0.49963393546486579</v>
      </c>
      <c r="Z3363" t="str">
        <f>HYPERLINK("Melting_Curves/meltCurve_sp_Q9UH65_SWP70_HUMAN_.pdf", "Melting_Curves/meltCurve_sp_Q9UH65_SWP70_HUMAN_.pdf")</f>
        <v>Melting_Curves/meltCurve_sp_Q9UH65_SWP70_HUMAN_.pdf</v>
      </c>
      <c r="AA3363" t="s">
        <v>16201</v>
      </c>
      <c r="AB3363" t="s">
        <v>20446</v>
      </c>
    </row>
    <row r="3364" spans="1:28" x14ac:dyDescent="0.25">
      <c r="A3364" t="s">
        <v>3368</v>
      </c>
      <c r="B3364">
        <v>0.99876560204751996</v>
      </c>
      <c r="C3364">
        <v>0.91049770287207399</v>
      </c>
      <c r="D3364">
        <v>0.86814576303889501</v>
      </c>
      <c r="E3364">
        <v>0.79863595366076501</v>
      </c>
      <c r="F3364">
        <v>0.67946384489954503</v>
      </c>
      <c r="G3364">
        <v>0.56482185888966396</v>
      </c>
      <c r="H3364">
        <v>0.33499663152585202</v>
      </c>
      <c r="I3364">
        <v>0.21483839291635401</v>
      </c>
      <c r="J3364">
        <v>6.0242330223455001E-2</v>
      </c>
      <c r="K3364">
        <v>4.5331158498053699E-2</v>
      </c>
      <c r="L3364">
        <v>650.07580978369697</v>
      </c>
      <c r="M3364">
        <v>11.4708198990384</v>
      </c>
      <c r="N3364">
        <v>56.672131151762798</v>
      </c>
      <c r="O3364">
        <v>55.031813452605498</v>
      </c>
      <c r="P3364">
        <v>-5.2124916887937897E-2</v>
      </c>
      <c r="Q3364">
        <v>0</v>
      </c>
      <c r="R3364">
        <v>0.97666347651371999</v>
      </c>
      <c r="S3364" t="s">
        <v>7660</v>
      </c>
      <c r="T3364" t="s">
        <v>8590</v>
      </c>
      <c r="U3364" t="s">
        <v>8590</v>
      </c>
      <c r="V3364" t="s">
        <v>8590</v>
      </c>
      <c r="W3364">
        <v>2</v>
      </c>
      <c r="X3364" t="s">
        <v>11954</v>
      </c>
      <c r="Y3364">
        <v>0.57384206528733506</v>
      </c>
      <c r="Z3364" t="str">
        <f>HYPERLINK("Melting_Curves/meltCurve_sp_Q9UHA4_LTOR3_HUMAN_.pdf", "Melting_Curves/meltCurve_sp_Q9UHA4_LTOR3_HUMAN_.pdf")</f>
        <v>Melting_Curves/meltCurve_sp_Q9UHA4_LTOR3_HUMAN_.pdf</v>
      </c>
      <c r="AA3364" t="s">
        <v>16202</v>
      </c>
      <c r="AB3364" t="s">
        <v>20447</v>
      </c>
    </row>
    <row r="3365" spans="1:28" x14ac:dyDescent="0.25">
      <c r="A3365" t="s">
        <v>3369</v>
      </c>
      <c r="B3365">
        <v>0.99876560204751996</v>
      </c>
      <c r="C3365">
        <v>0.826009933376182</v>
      </c>
      <c r="D3365">
        <v>0.85424150758643003</v>
      </c>
      <c r="E3365">
        <v>0.80494415463324598</v>
      </c>
      <c r="F3365">
        <v>0.86863065356425995</v>
      </c>
      <c r="G3365">
        <v>0.70205999747371095</v>
      </c>
      <c r="H3365">
        <v>0.64837976476006998</v>
      </c>
      <c r="I3365">
        <v>0.61236206248564096</v>
      </c>
      <c r="J3365">
        <v>0.79102305664345096</v>
      </c>
      <c r="K3365">
        <v>0.68116800471134797</v>
      </c>
      <c r="L3365">
        <v>363.84057808487597</v>
      </c>
      <c r="M3365">
        <v>7.5031311169040897</v>
      </c>
      <c r="O3365">
        <v>45.4058000967879</v>
      </c>
      <c r="P3365">
        <v>-1.4593242472882E-2</v>
      </c>
      <c r="Q3365">
        <v>0.64725767218501495</v>
      </c>
      <c r="R3365">
        <v>0.66423530877833104</v>
      </c>
      <c r="S3365" t="s">
        <v>7661</v>
      </c>
      <c r="T3365" t="s">
        <v>8590</v>
      </c>
      <c r="U3365" t="s">
        <v>8590</v>
      </c>
      <c r="V3365" t="s">
        <v>8590</v>
      </c>
      <c r="W3365">
        <v>19</v>
      </c>
      <c r="X3365" t="s">
        <v>11955</v>
      </c>
      <c r="Y3365">
        <v>0.77353792188125015</v>
      </c>
      <c r="Z3365" t="str">
        <f>HYPERLINK("Melting_Curves/meltCurve_sp_Q9UHB6_LIMA1_HUMAN_.pdf", "Melting_Curves/meltCurve_sp_Q9UHB6_LIMA1_HUMAN_.pdf")</f>
        <v>Melting_Curves/meltCurve_sp_Q9UHB6_LIMA1_HUMAN_.pdf</v>
      </c>
      <c r="AA3365" t="s">
        <v>16203</v>
      </c>
      <c r="AB3365" t="s">
        <v>20448</v>
      </c>
    </row>
    <row r="3366" spans="1:28" x14ac:dyDescent="0.25">
      <c r="A3366" t="s">
        <v>3370</v>
      </c>
      <c r="B3366">
        <v>0.99876560204751996</v>
      </c>
      <c r="C3366">
        <v>0.990960124796752</v>
      </c>
      <c r="D3366">
        <v>1.2608055043004101</v>
      </c>
      <c r="E3366">
        <v>0.940249494656341</v>
      </c>
      <c r="F3366">
        <v>1.1153721667145899</v>
      </c>
      <c r="G3366">
        <v>0.76600607486557004</v>
      </c>
      <c r="H3366">
        <v>0.76089700385933601</v>
      </c>
      <c r="I3366">
        <v>0.88526217674700602</v>
      </c>
      <c r="J3366">
        <v>0.36830135729989899</v>
      </c>
      <c r="K3366">
        <v>0.67223022926085096</v>
      </c>
      <c r="L3366">
        <v>1028.20716554361</v>
      </c>
      <c r="M3366">
        <v>16.745052625903401</v>
      </c>
      <c r="O3366">
        <v>60.5479462425401</v>
      </c>
      <c r="P3366">
        <v>-3.3201928036762397E-2</v>
      </c>
      <c r="Q3366">
        <v>0.51981587819393904</v>
      </c>
      <c r="R3366">
        <v>0.60489585802585299</v>
      </c>
      <c r="S3366" t="s">
        <v>7662</v>
      </c>
      <c r="T3366" t="s">
        <v>8590</v>
      </c>
      <c r="U3366" t="s">
        <v>8590</v>
      </c>
      <c r="V3366" t="s">
        <v>8590</v>
      </c>
      <c r="W3366">
        <v>1</v>
      </c>
      <c r="X3366" t="s">
        <v>11956</v>
      </c>
      <c r="Y3366">
        <v>0.86373353667305441</v>
      </c>
      <c r="Z3366" t="str">
        <f>HYPERLINK("Melting_Curves/meltCurve_sp_Q9UHB7_2_AFF4_HUMAN_.pdf", "Melting_Curves/meltCurve_sp_Q9UHB7_2_AFF4_HUMAN_.pdf")</f>
        <v>Melting_Curves/meltCurve_sp_Q9UHB7_2_AFF4_HUMAN_.pdf</v>
      </c>
      <c r="AA3366" t="s">
        <v>16204</v>
      </c>
      <c r="AB3366" t="s">
        <v>20449</v>
      </c>
    </row>
    <row r="3367" spans="1:28" x14ac:dyDescent="0.25">
      <c r="A3367" t="s">
        <v>3371</v>
      </c>
      <c r="B3367">
        <v>0.99876560204751996</v>
      </c>
      <c r="C3367">
        <v>1.1003699033169501</v>
      </c>
      <c r="D3367">
        <v>0.970124509878866</v>
      </c>
      <c r="E3367">
        <v>0.53501280171693399</v>
      </c>
      <c r="F3367">
        <v>0.29998277951408198</v>
      </c>
      <c r="G3367">
        <v>0.13955344012949</v>
      </c>
      <c r="H3367">
        <v>8.4511316656048704E-2</v>
      </c>
      <c r="I3367">
        <v>7.1689176660473905E-2</v>
      </c>
      <c r="J3367">
        <v>7.4290106735994899E-2</v>
      </c>
      <c r="K3367">
        <v>6.0554597867035598E-2</v>
      </c>
      <c r="L3367">
        <v>1348.90728422964</v>
      </c>
      <c r="M3367">
        <v>26.817081131360901</v>
      </c>
      <c r="N3367">
        <v>50.621801954659801</v>
      </c>
      <c r="O3367">
        <v>50.0231003797429</v>
      </c>
      <c r="P3367">
        <v>-0.12353065524978001</v>
      </c>
      <c r="Q3367">
        <v>7.8300477293848994E-2</v>
      </c>
      <c r="R3367">
        <v>0.989692388323693</v>
      </c>
      <c r="S3367" t="s">
        <v>7663</v>
      </c>
      <c r="T3367" t="s">
        <v>8590</v>
      </c>
      <c r="U3367" t="s">
        <v>8590</v>
      </c>
      <c r="V3367" t="s">
        <v>8590</v>
      </c>
      <c r="W3367">
        <v>17</v>
      </c>
      <c r="X3367" t="s">
        <v>11957</v>
      </c>
      <c r="Y3367">
        <v>0.4019400774591998</v>
      </c>
      <c r="Z3367" t="str">
        <f>HYPERLINK("Melting_Curves/meltCurve_sp_Q9UHB9_SRP68_HUMAN_.pdf", "Melting_Curves/meltCurve_sp_Q9UHB9_SRP68_HUMAN_.pdf")</f>
        <v>Melting_Curves/meltCurve_sp_Q9UHB9_SRP68_HUMAN_.pdf</v>
      </c>
      <c r="AA3367" t="s">
        <v>16205</v>
      </c>
      <c r="AB3367" t="s">
        <v>20450</v>
      </c>
    </row>
    <row r="3368" spans="1:28" x14ac:dyDescent="0.25">
      <c r="A3368" t="s">
        <v>3372</v>
      </c>
      <c r="B3368">
        <v>0.99876560204751996</v>
      </c>
      <c r="C3368">
        <v>0.91441374978212697</v>
      </c>
      <c r="D3368">
        <v>0.84428428043581005</v>
      </c>
      <c r="E3368">
        <v>0.84111339557749498</v>
      </c>
      <c r="F3368">
        <v>0.69160136907011305</v>
      </c>
      <c r="G3368">
        <v>0.25403123069794697</v>
      </c>
      <c r="H3368">
        <v>0.108097324122697</v>
      </c>
      <c r="I3368">
        <v>7.6451799725286707E-2</v>
      </c>
      <c r="J3368">
        <v>8.0548245390424697E-2</v>
      </c>
      <c r="K3368">
        <v>6.4877502028571399E-2</v>
      </c>
      <c r="L3368">
        <v>1128.20759281296</v>
      </c>
      <c r="M3368">
        <v>20.823894592026299</v>
      </c>
      <c r="N3368">
        <v>54.411662015250698</v>
      </c>
      <c r="O3368">
        <v>53.686296756674203</v>
      </c>
      <c r="P3368">
        <v>-9.2833950840839993E-2</v>
      </c>
      <c r="Q3368">
        <v>4.2681881403128799E-2</v>
      </c>
      <c r="R3368">
        <v>0.978671861599272</v>
      </c>
      <c r="S3368" t="s">
        <v>7664</v>
      </c>
      <c r="T3368" t="s">
        <v>8590</v>
      </c>
      <c r="U3368" t="s">
        <v>8590</v>
      </c>
      <c r="V3368" t="s">
        <v>8590</v>
      </c>
      <c r="W3368">
        <v>6</v>
      </c>
      <c r="X3368" t="s">
        <v>11958</v>
      </c>
      <c r="Y3368">
        <v>0.50728122562494304</v>
      </c>
      <c r="Z3368" t="str">
        <f>HYPERLINK("Melting_Curves/meltCurve_sp_Q9UHD1_CHRD1_HUMAN_.pdf", "Melting_Curves/meltCurve_sp_Q9UHD1_CHRD1_HUMAN_.pdf")</f>
        <v>Melting_Curves/meltCurve_sp_Q9UHD1_CHRD1_HUMAN_.pdf</v>
      </c>
      <c r="AA3368" t="s">
        <v>16206</v>
      </c>
      <c r="AB3368" t="s">
        <v>20451</v>
      </c>
    </row>
    <row r="3369" spans="1:28" x14ac:dyDescent="0.25">
      <c r="A3369" t="s">
        <v>3373</v>
      </c>
      <c r="B3369">
        <v>0.99876560204751996</v>
      </c>
      <c r="C3369">
        <v>0.71261141532758099</v>
      </c>
      <c r="D3369">
        <v>0.43037490403536599</v>
      </c>
      <c r="E3369">
        <v>0.29934732041050899</v>
      </c>
      <c r="F3369">
        <v>0.223031088582863</v>
      </c>
      <c r="G3369">
        <v>0.13874205965410299</v>
      </c>
      <c r="H3369">
        <v>9.0583297218758296E-2</v>
      </c>
      <c r="I3369">
        <v>6.4189648705404195E-2</v>
      </c>
      <c r="J3369">
        <v>4.6675125268478598E-2</v>
      </c>
      <c r="K3369">
        <v>8.3835712667982398E-2</v>
      </c>
      <c r="L3369">
        <v>702.89017121477798</v>
      </c>
      <c r="M3369">
        <v>15.473115813428199</v>
      </c>
      <c r="N3369">
        <v>45.938900103589098</v>
      </c>
      <c r="O3369">
        <v>44.6880698312794</v>
      </c>
      <c r="P3369">
        <v>-7.9708781748775007E-2</v>
      </c>
      <c r="Q3369">
        <v>7.9251249620882397E-2</v>
      </c>
      <c r="R3369">
        <v>0.97636201639220099</v>
      </c>
      <c r="S3369" t="s">
        <v>7665</v>
      </c>
      <c r="T3369" t="s">
        <v>8590</v>
      </c>
      <c r="U3369" t="s">
        <v>8590</v>
      </c>
      <c r="V3369" t="s">
        <v>8590</v>
      </c>
      <c r="W3369">
        <v>2</v>
      </c>
      <c r="X3369" t="s">
        <v>11959</v>
      </c>
      <c r="Y3369">
        <v>0.27230611225626278</v>
      </c>
      <c r="Z3369" t="str">
        <f>HYPERLINK("Melting_Curves/meltCurve_sp_Q9UHD2_TBK1_HUMAN_.pdf", "Melting_Curves/meltCurve_sp_Q9UHD2_TBK1_HUMAN_.pdf")</f>
        <v>Melting_Curves/meltCurve_sp_Q9UHD2_TBK1_HUMAN_.pdf</v>
      </c>
      <c r="AA3369" t="s">
        <v>16207</v>
      </c>
      <c r="AB3369" t="s">
        <v>20452</v>
      </c>
    </row>
    <row r="3370" spans="1:28" x14ac:dyDescent="0.25">
      <c r="A3370" t="s">
        <v>3374</v>
      </c>
      <c r="B3370">
        <v>0.99876560204751996</v>
      </c>
      <c r="C3370">
        <v>1.0978665194074499</v>
      </c>
      <c r="D3370">
        <v>1.0286582259586301</v>
      </c>
      <c r="E3370">
        <v>1.0473042997134001</v>
      </c>
      <c r="F3370">
        <v>0.75131796759602498</v>
      </c>
      <c r="G3370">
        <v>0.25789684008191499</v>
      </c>
      <c r="H3370">
        <v>0.15820690736329601</v>
      </c>
      <c r="I3370">
        <v>0.13216475650215601</v>
      </c>
      <c r="J3370">
        <v>0.137312295058655</v>
      </c>
      <c r="K3370">
        <v>0.117272695183256</v>
      </c>
      <c r="L3370">
        <v>2229.2166988695199</v>
      </c>
      <c r="M3370">
        <v>41.047103140920903</v>
      </c>
      <c r="N3370">
        <v>54.730347797354597</v>
      </c>
      <c r="O3370">
        <v>54.1803289182443</v>
      </c>
      <c r="P3370">
        <v>-0.163729963498502</v>
      </c>
      <c r="Q3370">
        <v>0.135537012458429</v>
      </c>
      <c r="R3370">
        <v>0.99067120556701704</v>
      </c>
      <c r="S3370" t="s">
        <v>7666</v>
      </c>
      <c r="T3370" t="s">
        <v>8590</v>
      </c>
      <c r="U3370" t="s">
        <v>8590</v>
      </c>
      <c r="V3370" t="s">
        <v>8590</v>
      </c>
      <c r="W3370">
        <v>21</v>
      </c>
      <c r="X3370" t="s">
        <v>11960</v>
      </c>
      <c r="Y3370">
        <v>0.55092411856190238</v>
      </c>
      <c r="Z3370" t="str">
        <f>HYPERLINK("Melting_Curves/meltCurve_sp_Q9UHD8_SEPT9_HUMAN_.pdf", "Melting_Curves/meltCurve_sp_Q9UHD8_SEPT9_HUMAN_.pdf")</f>
        <v>Melting_Curves/meltCurve_sp_Q9UHD8_SEPT9_HUMAN_.pdf</v>
      </c>
      <c r="AA3370" t="s">
        <v>16208</v>
      </c>
      <c r="AB3370" t="s">
        <v>20453</v>
      </c>
    </row>
    <row r="3371" spans="1:28" x14ac:dyDescent="0.25">
      <c r="A3371" t="s">
        <v>3375</v>
      </c>
      <c r="B3371">
        <v>0.99876560204751996</v>
      </c>
      <c r="C3371">
        <v>0.92089342688425802</v>
      </c>
      <c r="D3371">
        <v>0.82681181248034996</v>
      </c>
      <c r="E3371">
        <v>0.80327483962813495</v>
      </c>
      <c r="F3371">
        <v>0.64758354823464503</v>
      </c>
      <c r="G3371">
        <v>0.54813608954277104</v>
      </c>
      <c r="H3371">
        <v>0.39241735891027901</v>
      </c>
      <c r="I3371">
        <v>0.39448850803222102</v>
      </c>
      <c r="J3371">
        <v>0.43956274572098403</v>
      </c>
      <c r="K3371">
        <v>0.41793394104317799</v>
      </c>
      <c r="L3371">
        <v>578.48219219707801</v>
      </c>
      <c r="M3371">
        <v>11.121450303427</v>
      </c>
      <c r="N3371">
        <v>58.507429254226103</v>
      </c>
      <c r="O3371">
        <v>50.418248578357897</v>
      </c>
      <c r="P3371">
        <v>-3.5610734065660801E-2</v>
      </c>
      <c r="Q3371">
        <v>0.35445480757270498</v>
      </c>
      <c r="R3371">
        <v>0.97042840438194999</v>
      </c>
      <c r="S3371" t="s">
        <v>7667</v>
      </c>
      <c r="T3371" t="s">
        <v>8590</v>
      </c>
      <c r="U3371" t="s">
        <v>8590</v>
      </c>
      <c r="V3371" t="s">
        <v>8590</v>
      </c>
      <c r="W3371">
        <v>6</v>
      </c>
      <c r="X3371" t="s">
        <v>11961</v>
      </c>
      <c r="Y3371">
        <v>0.6346808150717469</v>
      </c>
      <c r="Z3371" t="str">
        <f>HYPERLINK("Melting_Curves/meltCurve_sp_Q9UHD9_UBQL2_HUMAN_.pdf", "Melting_Curves/meltCurve_sp_Q9UHD9_UBQL2_HUMAN_.pdf")</f>
        <v>Melting_Curves/meltCurve_sp_Q9UHD9_UBQL2_HUMAN_.pdf</v>
      </c>
      <c r="AA3371" t="s">
        <v>16209</v>
      </c>
      <c r="AB3371" t="s">
        <v>20454</v>
      </c>
    </row>
    <row r="3372" spans="1:28" x14ac:dyDescent="0.25">
      <c r="A3372" t="s">
        <v>3376</v>
      </c>
      <c r="B3372">
        <v>0.99876560204751996</v>
      </c>
      <c r="C3372">
        <v>1.02255914330758</v>
      </c>
      <c r="D3372">
        <v>0.59396983862213304</v>
      </c>
      <c r="E3372">
        <v>0.75117372584045905</v>
      </c>
      <c r="F3372">
        <v>0.415157444359329</v>
      </c>
      <c r="G3372">
        <v>0.107881754896952</v>
      </c>
      <c r="H3372">
        <v>0.12776130941814001</v>
      </c>
      <c r="I3372">
        <v>0.107026241725193</v>
      </c>
      <c r="J3372">
        <v>0</v>
      </c>
      <c r="K3372">
        <v>0</v>
      </c>
      <c r="L3372">
        <v>677.93831186096702</v>
      </c>
      <c r="M3372">
        <v>13.1999238433778</v>
      </c>
      <c r="N3372">
        <v>51.359259367672699</v>
      </c>
      <c r="O3372">
        <v>50.223390293442101</v>
      </c>
      <c r="P3372">
        <v>-6.5716965696411195E-2</v>
      </c>
      <c r="Q3372">
        <v>0</v>
      </c>
      <c r="R3372">
        <v>0.92956580311172299</v>
      </c>
      <c r="S3372" t="s">
        <v>7668</v>
      </c>
      <c r="T3372" t="s">
        <v>8590</v>
      </c>
      <c r="U3372" t="s">
        <v>8590</v>
      </c>
      <c r="V3372" t="s">
        <v>8590</v>
      </c>
      <c r="W3372">
        <v>1</v>
      </c>
      <c r="X3372" t="s">
        <v>11962</v>
      </c>
      <c r="Y3372">
        <v>0.40647517066535588</v>
      </c>
      <c r="Z3372" t="str">
        <f>HYPERLINK("Melting_Curves/meltCurve_sp_Q9UHG3_PCYOX_HUMAN_.pdf", "Melting_Curves/meltCurve_sp_Q9UHG3_PCYOX_HUMAN_.pdf")</f>
        <v>Melting_Curves/meltCurve_sp_Q9UHG3_PCYOX_HUMAN_.pdf</v>
      </c>
      <c r="AA3372" t="s">
        <v>16210</v>
      </c>
      <c r="AB3372" t="s">
        <v>20455</v>
      </c>
    </row>
    <row r="3373" spans="1:28" x14ac:dyDescent="0.25">
      <c r="A3373" t="s">
        <v>3377</v>
      </c>
      <c r="B3373">
        <v>0.99876560204751996</v>
      </c>
      <c r="C3373">
        <v>0.95530445903585504</v>
      </c>
      <c r="D3373">
        <v>0.91161185309866499</v>
      </c>
      <c r="E3373">
        <v>0.631276375225575</v>
      </c>
      <c r="F3373">
        <v>0.220164092155023</v>
      </c>
      <c r="G3373">
        <v>0.115931658816312</v>
      </c>
      <c r="H3373">
        <v>7.89034055558612E-2</v>
      </c>
      <c r="I3373">
        <v>5.5168539786979401E-2</v>
      </c>
      <c r="J3373">
        <v>4.59422225655877E-2</v>
      </c>
      <c r="K3373">
        <v>3.9217895758945402E-2</v>
      </c>
      <c r="L3373">
        <v>1435.2441781207699</v>
      </c>
      <c r="M3373">
        <v>28.3825115295658</v>
      </c>
      <c r="N3373">
        <v>50.7706547496282</v>
      </c>
      <c r="O3373">
        <v>50.3188722637938</v>
      </c>
      <c r="P3373">
        <v>-0.13345921861163301</v>
      </c>
      <c r="Q3373">
        <v>5.3577366531745198E-2</v>
      </c>
      <c r="R3373">
        <v>0.99611810285047997</v>
      </c>
      <c r="S3373" t="s">
        <v>7669</v>
      </c>
      <c r="T3373" t="s">
        <v>8590</v>
      </c>
      <c r="U3373" t="s">
        <v>8590</v>
      </c>
      <c r="V3373" t="s">
        <v>8590</v>
      </c>
      <c r="W3373">
        <v>11</v>
      </c>
      <c r="X3373" t="s">
        <v>11963</v>
      </c>
      <c r="Y3373">
        <v>0.39357198173852009</v>
      </c>
      <c r="Z3373" t="str">
        <f>HYPERLINK("Melting_Curves/meltCurve_sp_Q9UHJ6_SHPK_HUMAN_.pdf", "Melting_Curves/meltCurve_sp_Q9UHJ6_SHPK_HUMAN_.pdf")</f>
        <v>Melting_Curves/meltCurve_sp_Q9UHJ6_SHPK_HUMAN_.pdf</v>
      </c>
      <c r="AA3373" t="s">
        <v>16211</v>
      </c>
      <c r="AB3373" t="s">
        <v>20456</v>
      </c>
    </row>
    <row r="3374" spans="1:28" x14ac:dyDescent="0.25">
      <c r="A3374" t="s">
        <v>3378</v>
      </c>
      <c r="B3374">
        <v>0.99876560204751996</v>
      </c>
      <c r="C3374">
        <v>1.03688231771327</v>
      </c>
      <c r="D3374">
        <v>0.98798802441820199</v>
      </c>
      <c r="E3374">
        <v>1.0249310215488801</v>
      </c>
      <c r="F3374">
        <v>0.95916501292106804</v>
      </c>
      <c r="G3374">
        <v>0.71174419210786799</v>
      </c>
      <c r="H3374">
        <v>0.30761951517630898</v>
      </c>
      <c r="I3374">
        <v>0.13087404740074901</v>
      </c>
      <c r="J3374">
        <v>8.2878952340846607E-2</v>
      </c>
      <c r="K3374">
        <v>7.2357187740035106E-2</v>
      </c>
      <c r="L3374">
        <v>1667.4915330634201</v>
      </c>
      <c r="M3374">
        <v>28.404573547758901</v>
      </c>
      <c r="N3374">
        <v>58.959864672390601</v>
      </c>
      <c r="O3374">
        <v>58.416371393605303</v>
      </c>
      <c r="P3374">
        <v>-0.114539833486948</v>
      </c>
      <c r="Q3374">
        <v>5.7764742148978698E-2</v>
      </c>
      <c r="R3374">
        <v>0.99836188232421597</v>
      </c>
      <c r="S3374" t="s">
        <v>7670</v>
      </c>
      <c r="T3374" t="s">
        <v>8590</v>
      </c>
      <c r="U3374" t="s">
        <v>8590</v>
      </c>
      <c r="V3374" t="s">
        <v>8590</v>
      </c>
      <c r="W3374">
        <v>10</v>
      </c>
      <c r="X3374" t="s">
        <v>11964</v>
      </c>
      <c r="Y3374">
        <v>0.65187228567681743</v>
      </c>
      <c r="Z3374" t="str">
        <f>HYPERLINK("Melting_Curves/meltCurve_sp_Q9UHL4_DPP2_HUMAN_.pdf", "Melting_Curves/meltCurve_sp_Q9UHL4_DPP2_HUMAN_.pdf")</f>
        <v>Melting_Curves/meltCurve_sp_Q9UHL4_DPP2_HUMAN_.pdf</v>
      </c>
      <c r="AA3374" t="s">
        <v>16212</v>
      </c>
      <c r="AB3374" t="s">
        <v>20457</v>
      </c>
    </row>
    <row r="3375" spans="1:28" x14ac:dyDescent="0.25">
      <c r="A3375" t="s">
        <v>3379</v>
      </c>
      <c r="B3375">
        <v>0.99876560204751996</v>
      </c>
      <c r="C3375">
        <v>1.00801429224627</v>
      </c>
      <c r="D3375">
        <v>0.96120093483175495</v>
      </c>
      <c r="E3375">
        <v>0.90972402980909906</v>
      </c>
      <c r="F3375">
        <v>0.78166607345026196</v>
      </c>
      <c r="G3375">
        <v>0.59997363998856201</v>
      </c>
      <c r="H3375">
        <v>0.34640917924530701</v>
      </c>
      <c r="I3375">
        <v>0.225830908857972</v>
      </c>
      <c r="J3375">
        <v>0.20758807851998701</v>
      </c>
      <c r="K3375">
        <v>0.14674905949818601</v>
      </c>
      <c r="L3375">
        <v>851.48167535262701</v>
      </c>
      <c r="M3375">
        <v>14.8151276598075</v>
      </c>
      <c r="N3375">
        <v>58.218733295771798</v>
      </c>
      <c r="O3375">
        <v>56.457124409416799</v>
      </c>
      <c r="P3375">
        <v>-5.9945380798913303E-2</v>
      </c>
      <c r="Q3375">
        <v>8.6343362884874097E-2</v>
      </c>
      <c r="R3375">
        <v>0.99753528172787398</v>
      </c>
      <c r="S3375" t="s">
        <v>7671</v>
      </c>
      <c r="T3375" t="s">
        <v>8590</v>
      </c>
      <c r="U3375" t="s">
        <v>8590</v>
      </c>
      <c r="V3375" t="s">
        <v>8590</v>
      </c>
      <c r="W3375">
        <v>5</v>
      </c>
      <c r="X3375" t="s">
        <v>11965</v>
      </c>
      <c r="Y3375">
        <v>0.63205441926434625</v>
      </c>
      <c r="Z3375" t="str">
        <f>HYPERLINK("Melting_Curves/meltCurve_sp_Q9UHR4_BI2L1_HUMAN_.pdf", "Melting_Curves/meltCurve_sp_Q9UHR4_BI2L1_HUMAN_.pdf")</f>
        <v>Melting_Curves/meltCurve_sp_Q9UHR4_BI2L1_HUMAN_.pdf</v>
      </c>
      <c r="AA3375" t="s">
        <v>16213</v>
      </c>
      <c r="AB3375" t="s">
        <v>20458</v>
      </c>
    </row>
    <row r="3376" spans="1:28" x14ac:dyDescent="0.25">
      <c r="A3376" t="s">
        <v>3380</v>
      </c>
      <c r="B3376">
        <v>0.99876560204751996</v>
      </c>
      <c r="C3376">
        <v>1.0325826506740301</v>
      </c>
      <c r="D3376">
        <v>1.0458356405259399</v>
      </c>
      <c r="E3376">
        <v>1.08047640568887</v>
      </c>
      <c r="F3376">
        <v>1.0813650068696501</v>
      </c>
      <c r="G3376">
        <v>0.86932947197555799</v>
      </c>
      <c r="H3376">
        <v>0.72089701095959202</v>
      </c>
      <c r="I3376">
        <v>0.67636740121657302</v>
      </c>
      <c r="J3376">
        <v>0.89680594243061695</v>
      </c>
      <c r="K3376">
        <v>0.85477533770900305</v>
      </c>
      <c r="L3376">
        <v>14223.52227768</v>
      </c>
      <c r="M3376">
        <v>250</v>
      </c>
      <c r="O3376">
        <v>56.890448292370202</v>
      </c>
      <c r="P3376">
        <v>-0.233770105434251</v>
      </c>
      <c r="Q3376">
        <v>0.78721142281845502</v>
      </c>
      <c r="R3376">
        <v>0.742798413436904</v>
      </c>
      <c r="S3376" t="s">
        <v>7672</v>
      </c>
      <c r="T3376" t="s">
        <v>8590</v>
      </c>
      <c r="U3376" t="s">
        <v>8590</v>
      </c>
      <c r="V3376" t="s">
        <v>8590</v>
      </c>
      <c r="W3376">
        <v>9</v>
      </c>
      <c r="X3376" t="s">
        <v>11966</v>
      </c>
      <c r="Y3376">
        <v>0.90706164220518615</v>
      </c>
      <c r="Z3376" t="str">
        <f>HYPERLINK("Melting_Curves/meltCurve_sp_Q9UHV9_PFD2_HUMAN_.pdf", "Melting_Curves/meltCurve_sp_Q9UHV9_PFD2_HUMAN_.pdf")</f>
        <v>Melting_Curves/meltCurve_sp_Q9UHV9_PFD2_HUMAN_.pdf</v>
      </c>
      <c r="AA3376" t="s">
        <v>16214</v>
      </c>
      <c r="AB3376" t="s">
        <v>20459</v>
      </c>
    </row>
    <row r="3377" spans="1:28" x14ac:dyDescent="0.25">
      <c r="A3377" t="s">
        <v>3381</v>
      </c>
      <c r="B3377">
        <v>0.99876560204751996</v>
      </c>
      <c r="C3377">
        <v>0.94356223771362102</v>
      </c>
      <c r="D3377">
        <v>0.95218130555371605</v>
      </c>
      <c r="E3377">
        <v>0.86437661964259005</v>
      </c>
      <c r="F3377">
        <v>0.74296000123350103</v>
      </c>
      <c r="G3377">
        <v>0.36898201049343399</v>
      </c>
      <c r="H3377">
        <v>0.20924171628388</v>
      </c>
      <c r="I3377">
        <v>0.16644483861078599</v>
      </c>
      <c r="J3377">
        <v>0.152741470029361</v>
      </c>
      <c r="K3377">
        <v>0.12708977715790401</v>
      </c>
      <c r="L3377">
        <v>1137.1597667348501</v>
      </c>
      <c r="M3377">
        <v>20.7717863083368</v>
      </c>
      <c r="N3377">
        <v>55.489361845726798</v>
      </c>
      <c r="O3377">
        <v>54.2455776691571</v>
      </c>
      <c r="P3377">
        <v>-8.4097784854863702E-2</v>
      </c>
      <c r="Q3377">
        <v>0.121538220817183</v>
      </c>
      <c r="R3377">
        <v>0.99479833074617197</v>
      </c>
      <c r="S3377" t="s">
        <v>7673</v>
      </c>
      <c r="T3377" t="s">
        <v>8590</v>
      </c>
      <c r="U3377" t="s">
        <v>8590</v>
      </c>
      <c r="V3377" t="s">
        <v>8590</v>
      </c>
      <c r="W3377">
        <v>16</v>
      </c>
      <c r="X3377" t="s">
        <v>11967</v>
      </c>
      <c r="Y3377">
        <v>0.56441212879970881</v>
      </c>
      <c r="Z3377" t="str">
        <f>HYPERLINK("Melting_Curves/meltCurve_sp_Q9UHX1_4_PUF60_HUMAN_.pdf", "Melting_Curves/meltCurve_sp_Q9UHX1_4_PUF60_HUMAN_.pdf")</f>
        <v>Melting_Curves/meltCurve_sp_Q9UHX1_4_PUF60_HUMAN_.pdf</v>
      </c>
      <c r="AA3377" t="s">
        <v>16215</v>
      </c>
      <c r="AB3377" t="s">
        <v>20460</v>
      </c>
    </row>
    <row r="3378" spans="1:28" x14ac:dyDescent="0.25">
      <c r="A3378" t="s">
        <v>3382</v>
      </c>
      <c r="B3378">
        <v>0.99876560204751996</v>
      </c>
      <c r="C3378">
        <v>0.88305323361434596</v>
      </c>
      <c r="D3378">
        <v>0.89659542121848801</v>
      </c>
      <c r="E3378">
        <v>0.75807909875707702</v>
      </c>
      <c r="F3378">
        <v>0.30370953965715303</v>
      </c>
      <c r="G3378">
        <v>0.170370669968058</v>
      </c>
      <c r="H3378">
        <v>9.9366587974331594E-2</v>
      </c>
      <c r="I3378">
        <v>9.2172284028241194E-2</v>
      </c>
      <c r="J3378">
        <v>8.9758180272784399E-2</v>
      </c>
      <c r="K3378">
        <v>4.83085101685699E-2</v>
      </c>
      <c r="L3378">
        <v>1482.6849085568699</v>
      </c>
      <c r="M3378">
        <v>28.872211838772898</v>
      </c>
      <c r="N3378">
        <v>51.677418318085401</v>
      </c>
      <c r="O3378">
        <v>51.108892413609901</v>
      </c>
      <c r="P3378">
        <v>-0.12953538915510501</v>
      </c>
      <c r="Q3378">
        <v>8.2805316510403501E-2</v>
      </c>
      <c r="R3378">
        <v>0.98231949078570902</v>
      </c>
      <c r="S3378" t="s">
        <v>7674</v>
      </c>
      <c r="T3378" t="s">
        <v>8590</v>
      </c>
      <c r="U3378" t="s">
        <v>8590</v>
      </c>
      <c r="V3378" t="s">
        <v>8590</v>
      </c>
      <c r="W3378">
        <v>6</v>
      </c>
      <c r="X3378" t="s">
        <v>11968</v>
      </c>
      <c r="Y3378">
        <v>0.43617361289393808</v>
      </c>
      <c r="Z3378" t="str">
        <f>HYPERLINK("Melting_Curves/meltCurve_sp_Q9UHY7_ENOPH_HUMAN_.pdf", "Melting_Curves/meltCurve_sp_Q9UHY7_ENOPH_HUMAN_.pdf")</f>
        <v>Melting_Curves/meltCurve_sp_Q9UHY7_ENOPH_HUMAN_.pdf</v>
      </c>
      <c r="AA3378" t="s">
        <v>16216</v>
      </c>
      <c r="AB3378" t="s">
        <v>20461</v>
      </c>
    </row>
    <row r="3379" spans="1:28" x14ac:dyDescent="0.25">
      <c r="A3379" t="s">
        <v>3383</v>
      </c>
      <c r="B3379">
        <v>0.99876560204751996</v>
      </c>
      <c r="C3379">
        <v>0.97034736539063804</v>
      </c>
      <c r="D3379">
        <v>0.94519796204526696</v>
      </c>
      <c r="E3379">
        <v>0.87273110295037304</v>
      </c>
      <c r="F3379">
        <v>0.77972426174902398</v>
      </c>
      <c r="G3379">
        <v>0.57802481015173202</v>
      </c>
      <c r="H3379">
        <v>0.47126408425854599</v>
      </c>
      <c r="I3379">
        <v>0.41391662553949399</v>
      </c>
      <c r="J3379">
        <v>0.46021557786627398</v>
      </c>
      <c r="K3379">
        <v>0.384106983572848</v>
      </c>
      <c r="L3379">
        <v>848.01979885270305</v>
      </c>
      <c r="M3379">
        <v>15.5688275385913</v>
      </c>
      <c r="N3379">
        <v>60.026206072537498</v>
      </c>
      <c r="O3379">
        <v>53.594177645897197</v>
      </c>
      <c r="P3379">
        <v>-4.4907588483003899E-2</v>
      </c>
      <c r="Q3379">
        <v>0.38169392685074099</v>
      </c>
      <c r="R3379">
        <v>0.99183653970382002</v>
      </c>
      <c r="S3379" t="s">
        <v>7675</v>
      </c>
      <c r="T3379" t="s">
        <v>8590</v>
      </c>
      <c r="U3379" t="s">
        <v>8590</v>
      </c>
      <c r="V3379" t="s">
        <v>8590</v>
      </c>
      <c r="W3379">
        <v>8</v>
      </c>
      <c r="X3379" t="s">
        <v>11969</v>
      </c>
      <c r="Y3379">
        <v>0.69171902158880816</v>
      </c>
      <c r="Z3379" t="str">
        <f>HYPERLINK("Melting_Curves/meltCurve_sp_Q9UI08_EVL_HUMAN_.pdf", "Melting_Curves/meltCurve_sp_Q9UI08_EVL_HUMAN_.pdf")</f>
        <v>Melting_Curves/meltCurve_sp_Q9UI08_EVL_HUMAN_.pdf</v>
      </c>
      <c r="AA3379" t="s">
        <v>16217</v>
      </c>
      <c r="AB3379" t="s">
        <v>20462</v>
      </c>
    </row>
    <row r="3380" spans="1:28" x14ac:dyDescent="0.25">
      <c r="A3380" t="s">
        <v>3384</v>
      </c>
      <c r="B3380">
        <v>0.99876560204751996</v>
      </c>
      <c r="C3380">
        <v>1.0274410566904499</v>
      </c>
      <c r="D3380">
        <v>0.978582838161001</v>
      </c>
      <c r="E3380">
        <v>1.02380929137237</v>
      </c>
      <c r="F3380">
        <v>0.88323412032531701</v>
      </c>
      <c r="G3380">
        <v>0.86001487575118796</v>
      </c>
      <c r="H3380">
        <v>0.77228178547104798</v>
      </c>
      <c r="I3380">
        <v>0.69829562547095902</v>
      </c>
      <c r="J3380">
        <v>0.686613573639136</v>
      </c>
      <c r="K3380">
        <v>1.0560677418756601</v>
      </c>
      <c r="L3380">
        <v>13221.7946077654</v>
      </c>
      <c r="M3380">
        <v>250</v>
      </c>
      <c r="O3380">
        <v>52.8837940018146</v>
      </c>
      <c r="P3380">
        <v>-0.21904783062525501</v>
      </c>
      <c r="Q3380">
        <v>0.81465471459379002</v>
      </c>
      <c r="R3380">
        <v>0.46751796882527302</v>
      </c>
      <c r="S3380" t="s">
        <v>7676</v>
      </c>
      <c r="T3380" t="s">
        <v>8590</v>
      </c>
      <c r="U3380" t="s">
        <v>8590</v>
      </c>
      <c r="V3380" t="s">
        <v>8590</v>
      </c>
      <c r="W3380">
        <v>9</v>
      </c>
      <c r="X3380" t="s">
        <v>11970</v>
      </c>
      <c r="Y3380">
        <v>0.89429117644710532</v>
      </c>
      <c r="Z3380" t="str">
        <f>HYPERLINK("Melting_Curves/meltCurve_sp_Q9UI10_3_EI2BD_HUMAN_.pdf", "Melting_Curves/meltCurve_sp_Q9UI10_3_EI2BD_HUMAN_.pdf")</f>
        <v>Melting_Curves/meltCurve_sp_Q9UI10_3_EI2BD_HUMAN_.pdf</v>
      </c>
      <c r="AA3380" t="s">
        <v>16218</v>
      </c>
      <c r="AB3380" t="s">
        <v>20463</v>
      </c>
    </row>
    <row r="3381" spans="1:28" x14ac:dyDescent="0.25">
      <c r="A3381" t="s">
        <v>3385</v>
      </c>
      <c r="B3381">
        <v>0.99876560204751996</v>
      </c>
      <c r="C3381">
        <v>0.87453388823479805</v>
      </c>
      <c r="D3381">
        <v>0.89191334522222998</v>
      </c>
      <c r="E3381">
        <v>0.432163629503729</v>
      </c>
      <c r="F3381">
        <v>0.237960275767792</v>
      </c>
      <c r="G3381">
        <v>0.16834082421980301</v>
      </c>
      <c r="H3381">
        <v>0.13080016713732001</v>
      </c>
      <c r="I3381">
        <v>0.11616833920042</v>
      </c>
      <c r="J3381">
        <v>0.14203685289455201</v>
      </c>
      <c r="K3381">
        <v>0.14066306704050499</v>
      </c>
      <c r="L3381">
        <v>1239.5650807515501</v>
      </c>
      <c r="M3381">
        <v>25.3625914378446</v>
      </c>
      <c r="N3381">
        <v>49.473025808732501</v>
      </c>
      <c r="O3381">
        <v>48.572958638717601</v>
      </c>
      <c r="P3381">
        <v>-0.113275614501519</v>
      </c>
      <c r="Q3381">
        <v>0.13225563143917099</v>
      </c>
      <c r="R3381">
        <v>0.98941795017373302</v>
      </c>
      <c r="S3381" t="s">
        <v>7677</v>
      </c>
      <c r="T3381" t="s">
        <v>8590</v>
      </c>
      <c r="U3381" t="s">
        <v>8590</v>
      </c>
      <c r="V3381" t="s">
        <v>8590</v>
      </c>
      <c r="W3381">
        <v>9</v>
      </c>
      <c r="X3381" t="s">
        <v>11971</v>
      </c>
      <c r="Y3381">
        <v>0.39638555316747698</v>
      </c>
      <c r="Z3381" t="str">
        <f>HYPERLINK("Melting_Curves/meltCurve_sp_Q9UI10_EI2BD_HUMAN_.pdf", "Melting_Curves/meltCurve_sp_Q9UI10_EI2BD_HUMAN_.pdf")</f>
        <v>Melting_Curves/meltCurve_sp_Q9UI10_EI2BD_HUMAN_.pdf</v>
      </c>
      <c r="AA3381" t="s">
        <v>16218</v>
      </c>
      <c r="AB3381" t="s">
        <v>20464</v>
      </c>
    </row>
    <row r="3382" spans="1:28" x14ac:dyDescent="0.25">
      <c r="A3382" t="s">
        <v>3386</v>
      </c>
      <c r="B3382">
        <v>0.99876560204751996</v>
      </c>
      <c r="C3382">
        <v>1.0976019119781399</v>
      </c>
      <c r="D3382">
        <v>0.99981404864172396</v>
      </c>
      <c r="E3382">
        <v>1.04213110669709</v>
      </c>
      <c r="F3382">
        <v>0.72241291687592901</v>
      </c>
      <c r="G3382">
        <v>0.11266111260134801</v>
      </c>
      <c r="H3382">
        <v>7.6268006426737603E-2</v>
      </c>
      <c r="I3382">
        <v>5.0244679518776002E-2</v>
      </c>
      <c r="J3382">
        <v>5.8012144482919602E-2</v>
      </c>
      <c r="K3382">
        <v>3.9718690961628299E-2</v>
      </c>
      <c r="L3382">
        <v>3026.6409330243901</v>
      </c>
      <c r="M3382">
        <v>56.202686101512803</v>
      </c>
      <c r="N3382">
        <v>53.972103805529997</v>
      </c>
      <c r="O3382">
        <v>53.784196276466297</v>
      </c>
      <c r="P3382">
        <v>-0.24591529735769499</v>
      </c>
      <c r="Q3382">
        <v>5.8667802273024199E-2</v>
      </c>
      <c r="R3382">
        <v>0.99371948594638604</v>
      </c>
      <c r="S3382" t="s">
        <v>7678</v>
      </c>
      <c r="T3382" t="s">
        <v>8590</v>
      </c>
      <c r="U3382" t="s">
        <v>8590</v>
      </c>
      <c r="V3382" t="s">
        <v>8590</v>
      </c>
      <c r="W3382">
        <v>9</v>
      </c>
      <c r="X3382" t="s">
        <v>11972</v>
      </c>
      <c r="Y3382">
        <v>0.49508756409012428</v>
      </c>
      <c r="Z3382" t="str">
        <f>HYPERLINK("Melting_Curves/meltCurve_sp_Q9UI12_2_VATH_HUMAN_.pdf", "Melting_Curves/meltCurve_sp_Q9UI12_2_VATH_HUMAN_.pdf")</f>
        <v>Melting_Curves/meltCurve_sp_Q9UI12_2_VATH_HUMAN_.pdf</v>
      </c>
      <c r="AA3382" t="s">
        <v>16219</v>
      </c>
      <c r="AB3382" t="s">
        <v>20465</v>
      </c>
    </row>
    <row r="3383" spans="1:28" x14ac:dyDescent="0.25">
      <c r="A3383" t="s">
        <v>3387</v>
      </c>
      <c r="B3383">
        <v>0.99876560204751996</v>
      </c>
      <c r="C3383">
        <v>0.99540489372515395</v>
      </c>
      <c r="D3383">
        <v>0.98659457416420204</v>
      </c>
      <c r="E3383">
        <v>0.96740569502553497</v>
      </c>
      <c r="F3383">
        <v>0.234783498600935</v>
      </c>
      <c r="G3383">
        <v>0.114902398950015</v>
      </c>
      <c r="H3383">
        <v>5.8890463985376999E-2</v>
      </c>
      <c r="I3383">
        <v>4.4149808217962397E-2</v>
      </c>
      <c r="J3383">
        <v>4.2187440329438698E-2</v>
      </c>
      <c r="K3383">
        <v>3.5838681353307297E-2</v>
      </c>
      <c r="L3383">
        <v>4187.8523885689701</v>
      </c>
      <c r="M3383">
        <v>80.481513282266704</v>
      </c>
      <c r="N3383">
        <v>52.1161329604599</v>
      </c>
      <c r="O3383">
        <v>52.002859990543399</v>
      </c>
      <c r="P3383">
        <v>-0.364116526319259</v>
      </c>
      <c r="Q3383">
        <v>5.8909428794902699E-2</v>
      </c>
      <c r="R3383">
        <v>0.99782777713441595</v>
      </c>
      <c r="S3383" t="s">
        <v>7679</v>
      </c>
      <c r="T3383" t="s">
        <v>8590</v>
      </c>
      <c r="U3383" t="s">
        <v>8590</v>
      </c>
      <c r="V3383" t="s">
        <v>8590</v>
      </c>
      <c r="W3383">
        <v>55</v>
      </c>
      <c r="X3383" t="s">
        <v>11973</v>
      </c>
      <c r="Y3383">
        <v>0.43727321446276551</v>
      </c>
      <c r="Z3383" t="str">
        <f>HYPERLINK("Melting_Curves/meltCurve_sp_Q9UI17_M2GD_HUMAN_.pdf", "Melting_Curves/meltCurve_sp_Q9UI17_M2GD_HUMAN_.pdf")</f>
        <v>Melting_Curves/meltCurve_sp_Q9UI17_M2GD_HUMAN_.pdf</v>
      </c>
      <c r="AA3383" t="s">
        <v>16220</v>
      </c>
      <c r="AB3383" t="s">
        <v>20466</v>
      </c>
    </row>
    <row r="3384" spans="1:28" x14ac:dyDescent="0.25">
      <c r="A3384" t="s">
        <v>3388</v>
      </c>
      <c r="B3384">
        <v>0.99876560204751996</v>
      </c>
      <c r="C3384">
        <v>0.96122699444085502</v>
      </c>
      <c r="D3384">
        <v>0.61680296653844402</v>
      </c>
      <c r="E3384">
        <v>0.27243640326512403</v>
      </c>
      <c r="F3384">
        <v>0.11957227997002801</v>
      </c>
      <c r="G3384">
        <v>6.65120432511426E-2</v>
      </c>
      <c r="H3384">
        <v>3.9348097122952702E-2</v>
      </c>
      <c r="I3384">
        <v>3.0462075268632E-2</v>
      </c>
      <c r="J3384">
        <v>3.1232464331723098E-2</v>
      </c>
      <c r="K3384">
        <v>2.64179498083216E-2</v>
      </c>
      <c r="L3384">
        <v>1051.9866544822501</v>
      </c>
      <c r="M3384">
        <v>22.276193958467399</v>
      </c>
      <c r="N3384">
        <v>47.378889953208599</v>
      </c>
      <c r="O3384">
        <v>46.849070975706901</v>
      </c>
      <c r="P3384">
        <v>-0.114718592451311</v>
      </c>
      <c r="Q3384">
        <v>3.4961662953650503E-2</v>
      </c>
      <c r="R3384">
        <v>0.99611395428767602</v>
      </c>
      <c r="S3384" t="s">
        <v>7680</v>
      </c>
      <c r="T3384" t="s">
        <v>8590</v>
      </c>
      <c r="U3384" t="s">
        <v>8590</v>
      </c>
      <c r="V3384" t="s">
        <v>8590</v>
      </c>
      <c r="W3384">
        <v>23</v>
      </c>
      <c r="X3384" t="s">
        <v>11974</v>
      </c>
      <c r="Y3384">
        <v>0.27842059247284451</v>
      </c>
      <c r="Z3384" t="str">
        <f>HYPERLINK("Melting_Curves/meltCurve_sp_Q9UI32_GLSL_HUMAN_.pdf", "Melting_Curves/meltCurve_sp_Q9UI32_GLSL_HUMAN_.pdf")</f>
        <v>Melting_Curves/meltCurve_sp_Q9UI32_GLSL_HUMAN_.pdf</v>
      </c>
      <c r="AA3384" t="s">
        <v>16221</v>
      </c>
      <c r="AB3384" t="s">
        <v>20467</v>
      </c>
    </row>
    <row r="3385" spans="1:28" x14ac:dyDescent="0.25">
      <c r="A3385" t="s">
        <v>3389</v>
      </c>
      <c r="B3385">
        <v>0.99876560204751996</v>
      </c>
      <c r="C3385">
        <v>1.0465598602234301</v>
      </c>
      <c r="D3385">
        <v>0.91548157954443798</v>
      </c>
      <c r="E3385">
        <v>1.0161459772602299</v>
      </c>
      <c r="F3385">
        <v>0.73018256903397005</v>
      </c>
      <c r="G3385">
        <v>0.18588186877726701</v>
      </c>
      <c r="H3385">
        <v>0.108859527769259</v>
      </c>
      <c r="I3385">
        <v>9.3565902760667397E-2</v>
      </c>
      <c r="J3385">
        <v>9.0292843002960393E-2</v>
      </c>
      <c r="K3385">
        <v>6.0027704575915997E-2</v>
      </c>
      <c r="L3385">
        <v>2347.9924682782698</v>
      </c>
      <c r="M3385">
        <v>43.386790507551098</v>
      </c>
      <c r="N3385">
        <v>54.358213754708999</v>
      </c>
      <c r="O3385">
        <v>54.0030874501876</v>
      </c>
      <c r="P3385">
        <v>-0.18331227519691901</v>
      </c>
      <c r="Q3385">
        <v>8.7333788368161899E-2</v>
      </c>
      <c r="R3385">
        <v>0.99334712980912798</v>
      </c>
      <c r="S3385" t="s">
        <v>7681</v>
      </c>
      <c r="T3385" t="s">
        <v>8590</v>
      </c>
      <c r="U3385" t="s">
        <v>8590</v>
      </c>
      <c r="V3385" t="s">
        <v>8590</v>
      </c>
      <c r="W3385">
        <v>20</v>
      </c>
      <c r="X3385" t="s">
        <v>11975</v>
      </c>
      <c r="Y3385">
        <v>0.51972003943715672</v>
      </c>
      <c r="Z3385" t="str">
        <f>HYPERLINK("Melting_Curves/meltCurve_sp_Q9UIA9_XPO7_HUMAN_.pdf", "Melting_Curves/meltCurve_sp_Q9UIA9_XPO7_HUMAN_.pdf")</f>
        <v>Melting_Curves/meltCurve_sp_Q9UIA9_XPO7_HUMAN_.pdf</v>
      </c>
      <c r="AA3385" t="s">
        <v>16222</v>
      </c>
      <c r="AB3385" t="s">
        <v>20468</v>
      </c>
    </row>
    <row r="3386" spans="1:28" x14ac:dyDescent="0.25">
      <c r="A3386" t="s">
        <v>3390</v>
      </c>
      <c r="B3386">
        <v>0.99876560204751996</v>
      </c>
      <c r="C3386">
        <v>1.0097371560880299</v>
      </c>
      <c r="D3386">
        <v>0.97917188630097096</v>
      </c>
      <c r="E3386">
        <v>0.741829773366117</v>
      </c>
      <c r="F3386">
        <v>0.29762304997925798</v>
      </c>
      <c r="G3386">
        <v>0.133796746108687</v>
      </c>
      <c r="H3386">
        <v>0.125972208546968</v>
      </c>
      <c r="I3386">
        <v>9.4181681684135807E-2</v>
      </c>
      <c r="J3386">
        <v>7.7524181112009705E-2</v>
      </c>
      <c r="K3386">
        <v>6.3794665644821003E-2</v>
      </c>
      <c r="L3386">
        <v>1838.16202864142</v>
      </c>
      <c r="M3386">
        <v>35.865161933547697</v>
      </c>
      <c r="N3386">
        <v>51.545941650661</v>
      </c>
      <c r="O3386">
        <v>51.0934651531119</v>
      </c>
      <c r="P3386">
        <v>-0.15926008486358401</v>
      </c>
      <c r="Q3386">
        <v>9.2476028043480193E-2</v>
      </c>
      <c r="R3386">
        <v>0.99844169522276605</v>
      </c>
      <c r="S3386" t="s">
        <v>7682</v>
      </c>
      <c r="T3386" t="s">
        <v>8590</v>
      </c>
      <c r="U3386" t="s">
        <v>8590</v>
      </c>
      <c r="V3386" t="s">
        <v>8590</v>
      </c>
      <c r="W3386">
        <v>7</v>
      </c>
      <c r="X3386" t="s">
        <v>11976</v>
      </c>
      <c r="Y3386">
        <v>0.4368628210255841</v>
      </c>
      <c r="Z3386" t="str">
        <f>HYPERLINK("Melting_Curves/meltCurve_sp_Q9UID3_VPS51_HUMAN_.pdf", "Melting_Curves/meltCurve_sp_Q9UID3_VPS51_HUMAN_.pdf")</f>
        <v>Melting_Curves/meltCurve_sp_Q9UID3_VPS51_HUMAN_.pdf</v>
      </c>
      <c r="AA3386" t="s">
        <v>16223</v>
      </c>
      <c r="AB3386" t="s">
        <v>20469</v>
      </c>
    </row>
    <row r="3387" spans="1:28" x14ac:dyDescent="0.25">
      <c r="A3387" t="s">
        <v>3391</v>
      </c>
      <c r="B3387">
        <v>0.99876560204751996</v>
      </c>
      <c r="C3387">
        <v>1.0736122605416401</v>
      </c>
      <c r="D3387">
        <v>0.99532296145900101</v>
      </c>
      <c r="E3387">
        <v>1.0162448644323001</v>
      </c>
      <c r="F3387">
        <v>1.0251504814785</v>
      </c>
      <c r="G3387">
        <v>0.82590965813100203</v>
      </c>
      <c r="H3387">
        <v>0.84100550303677502</v>
      </c>
      <c r="I3387">
        <v>1.0183004200991601</v>
      </c>
      <c r="J3387">
        <v>1.29179452846092</v>
      </c>
      <c r="K3387">
        <v>1.36607117177696</v>
      </c>
      <c r="L3387">
        <v>6392.2861261778098</v>
      </c>
      <c r="M3387">
        <v>96.763480550686396</v>
      </c>
      <c r="O3387">
        <v>66.032734797518103</v>
      </c>
      <c r="P3387">
        <v>0.13460487929050999</v>
      </c>
      <c r="Q3387">
        <v>1.3674248881511499</v>
      </c>
      <c r="R3387">
        <v>0.76253249421921798</v>
      </c>
      <c r="S3387" t="s">
        <v>7683</v>
      </c>
      <c r="T3387" t="s">
        <v>8590</v>
      </c>
      <c r="U3387" t="s">
        <v>8590</v>
      </c>
      <c r="V3387" t="s">
        <v>8590</v>
      </c>
      <c r="W3387">
        <v>11</v>
      </c>
      <c r="X3387" t="s">
        <v>11977</v>
      </c>
      <c r="Y3387">
        <v>1.048000328927051</v>
      </c>
      <c r="Z3387" t="str">
        <f>HYPERLINK("Melting_Curves/meltCurve_sp_Q9UII2_ATIF1_HUMAN_.pdf", "Melting_Curves/meltCurve_sp_Q9UII2_ATIF1_HUMAN_.pdf")</f>
        <v>Melting_Curves/meltCurve_sp_Q9UII2_ATIF1_HUMAN_.pdf</v>
      </c>
      <c r="AA3387" t="s">
        <v>16224</v>
      </c>
      <c r="AB3387" t="s">
        <v>20470</v>
      </c>
    </row>
    <row r="3388" spans="1:28" x14ac:dyDescent="0.25">
      <c r="A3388" t="s">
        <v>3392</v>
      </c>
      <c r="B3388">
        <v>0.99876560204751996</v>
      </c>
      <c r="C3388">
        <v>0.88897260287689195</v>
      </c>
      <c r="D3388">
        <v>1.04306301209917</v>
      </c>
      <c r="E3388">
        <v>0.83012200565817595</v>
      </c>
      <c r="F3388">
        <v>0.70011916255819695</v>
      </c>
      <c r="G3388">
        <v>0.219104809894276</v>
      </c>
      <c r="H3388">
        <v>5.7443423134319903E-2</v>
      </c>
      <c r="I3388">
        <v>3.7347252026614201E-2</v>
      </c>
      <c r="J3388">
        <v>3.10374581338854E-2</v>
      </c>
      <c r="K3388">
        <v>2.6965265819174699E-2</v>
      </c>
      <c r="L3388">
        <v>1381.7124668962399</v>
      </c>
      <c r="M3388">
        <v>25.452932493495702</v>
      </c>
      <c r="N3388">
        <v>54.348328814176597</v>
      </c>
      <c r="O3388">
        <v>53.953242296273103</v>
      </c>
      <c r="P3388">
        <v>-0.116217970452794</v>
      </c>
      <c r="Q3388">
        <v>1.46113668949808E-2</v>
      </c>
      <c r="R3388">
        <v>0.98723215115488105</v>
      </c>
      <c r="S3388" t="s">
        <v>7684</v>
      </c>
      <c r="T3388" t="s">
        <v>8590</v>
      </c>
      <c r="U3388" t="s">
        <v>8590</v>
      </c>
      <c r="V3388" t="s">
        <v>8590</v>
      </c>
      <c r="W3388">
        <v>20</v>
      </c>
      <c r="X3388" t="s">
        <v>11978</v>
      </c>
      <c r="Y3388">
        <v>0.49265256000037733</v>
      </c>
      <c r="Z3388" t="str">
        <f>HYPERLINK("Melting_Curves/meltCurve_sp_Q9UIJ7_KAD3_HUMAN_.pdf", "Melting_Curves/meltCurve_sp_Q9UIJ7_KAD3_HUMAN_.pdf")</f>
        <v>Melting_Curves/meltCurve_sp_Q9UIJ7_KAD3_HUMAN_.pdf</v>
      </c>
      <c r="AA3388" t="s">
        <v>16225</v>
      </c>
      <c r="AB3388" t="s">
        <v>20471</v>
      </c>
    </row>
    <row r="3389" spans="1:28" x14ac:dyDescent="0.25">
      <c r="A3389" t="s">
        <v>3393</v>
      </c>
      <c r="B3389">
        <v>0.99876560204751996</v>
      </c>
      <c r="C3389">
        <v>0.809563408007551</v>
      </c>
      <c r="D3389">
        <v>0.74486827627244101</v>
      </c>
      <c r="E3389">
        <v>0.78356328445973999</v>
      </c>
      <c r="F3389">
        <v>0.69418909333412704</v>
      </c>
      <c r="G3389">
        <v>0.50659086149179899</v>
      </c>
      <c r="H3389">
        <v>0.37354867322411101</v>
      </c>
      <c r="I3389">
        <v>0.38430748424880001</v>
      </c>
      <c r="J3389">
        <v>0.48028910774368799</v>
      </c>
      <c r="K3389">
        <v>0.405148744058688</v>
      </c>
      <c r="L3389">
        <v>397.97795039073497</v>
      </c>
      <c r="M3389">
        <v>7.6567573276500704</v>
      </c>
      <c r="N3389">
        <v>58.9707529856314</v>
      </c>
      <c r="O3389">
        <v>48.787886725448203</v>
      </c>
      <c r="P3389">
        <v>-2.7566280003476801E-2</v>
      </c>
      <c r="Q3389">
        <v>0.29833900527377599</v>
      </c>
      <c r="R3389">
        <v>0.89576954000593201</v>
      </c>
      <c r="S3389" t="s">
        <v>7685</v>
      </c>
      <c r="T3389" t="s">
        <v>8590</v>
      </c>
      <c r="U3389" t="s">
        <v>8590</v>
      </c>
      <c r="V3389" t="s">
        <v>8590</v>
      </c>
      <c r="W3389">
        <v>2</v>
      </c>
      <c r="X3389" t="s">
        <v>11979</v>
      </c>
      <c r="Y3389">
        <v>0.61287564039069165</v>
      </c>
      <c r="Z3389" t="str">
        <f>HYPERLINK("Melting_Curves/meltCurve_sp_Q9UIL1_3_SCOC_HUMAN_.pdf", "Melting_Curves/meltCurve_sp_Q9UIL1_3_SCOC_HUMAN_.pdf")</f>
        <v>Melting_Curves/meltCurve_sp_Q9UIL1_3_SCOC_HUMAN_.pdf</v>
      </c>
      <c r="AA3389" t="s">
        <v>16226</v>
      </c>
      <c r="AB3389" t="s">
        <v>20472</v>
      </c>
    </row>
    <row r="3390" spans="1:28" x14ac:dyDescent="0.25">
      <c r="A3390" t="s">
        <v>3394</v>
      </c>
      <c r="B3390">
        <v>0.99876560204751996</v>
      </c>
      <c r="C3390">
        <v>1.012513546903</v>
      </c>
      <c r="D3390">
        <v>0.870917371718536</v>
      </c>
      <c r="E3390">
        <v>0.86268818274260195</v>
      </c>
      <c r="F3390">
        <v>0.77447082694121805</v>
      </c>
      <c r="G3390">
        <v>0.387655324066079</v>
      </c>
      <c r="H3390">
        <v>0.14877968543789</v>
      </c>
      <c r="I3390">
        <v>0.102718001968144</v>
      </c>
      <c r="J3390">
        <v>8.4461156111616101E-2</v>
      </c>
      <c r="K3390">
        <v>6.9571519200990597E-2</v>
      </c>
      <c r="L3390">
        <v>1094.45907854556</v>
      </c>
      <c r="M3390">
        <v>19.74020855481</v>
      </c>
      <c r="N3390">
        <v>55.688945022414003</v>
      </c>
      <c r="O3390">
        <v>54.883564731963801</v>
      </c>
      <c r="P3390">
        <v>-8.6169914921225693E-2</v>
      </c>
      <c r="Q3390">
        <v>4.1722384742208997E-2</v>
      </c>
      <c r="R3390">
        <v>0.98799646950897102</v>
      </c>
      <c r="S3390" t="s">
        <v>7686</v>
      </c>
      <c r="T3390" t="s">
        <v>8590</v>
      </c>
      <c r="U3390" t="s">
        <v>8590</v>
      </c>
      <c r="V3390" t="s">
        <v>8590</v>
      </c>
      <c r="W3390">
        <v>8</v>
      </c>
      <c r="X3390" t="s">
        <v>11980</v>
      </c>
      <c r="Y3390">
        <v>0.54785018028415422</v>
      </c>
      <c r="Z3390" t="str">
        <f>HYPERLINK("Melting_Curves/meltCurve_sp_Q9UJ41_2_RABX5_HUMAN_.pdf", "Melting_Curves/meltCurve_sp_Q9UJ41_2_RABX5_HUMAN_.pdf")</f>
        <v>Melting_Curves/meltCurve_sp_Q9UJ41_2_RABX5_HUMAN_.pdf</v>
      </c>
      <c r="AA3390" t="s">
        <v>16227</v>
      </c>
      <c r="AB3390" t="s">
        <v>20473</v>
      </c>
    </row>
    <row r="3391" spans="1:28" x14ac:dyDescent="0.25">
      <c r="A3391" t="s">
        <v>3395</v>
      </c>
      <c r="B3391">
        <v>0.99876560204751996</v>
      </c>
      <c r="C3391">
        <v>0.80109017223386503</v>
      </c>
      <c r="D3391">
        <v>0.75871303616216101</v>
      </c>
      <c r="E3391">
        <v>0.47357789592468602</v>
      </c>
      <c r="F3391">
        <v>0.24332778565204399</v>
      </c>
      <c r="G3391">
        <v>0.135312357279852</v>
      </c>
      <c r="H3391">
        <v>8.2932350707495203E-2</v>
      </c>
      <c r="I3391">
        <v>7.5513898497622994E-2</v>
      </c>
      <c r="J3391">
        <v>8.1734076042158099E-2</v>
      </c>
      <c r="K3391">
        <v>7.9324673038142099E-2</v>
      </c>
      <c r="L3391">
        <v>715.46451030417597</v>
      </c>
      <c r="M3391">
        <v>14.6654409686116</v>
      </c>
      <c r="N3391">
        <v>49.133439444573199</v>
      </c>
      <c r="O3391">
        <v>47.905596927753102</v>
      </c>
      <c r="P3391">
        <v>-7.2768920695294906E-2</v>
      </c>
      <c r="Q3391">
        <v>4.92879911594152E-2</v>
      </c>
      <c r="R3391">
        <v>0.98852328957533597</v>
      </c>
      <c r="S3391" t="s">
        <v>7687</v>
      </c>
      <c r="T3391" t="s">
        <v>8590</v>
      </c>
      <c r="U3391" t="s">
        <v>8590</v>
      </c>
      <c r="V3391" t="s">
        <v>8590</v>
      </c>
      <c r="W3391">
        <v>12</v>
      </c>
      <c r="X3391" t="s">
        <v>11981</v>
      </c>
      <c r="Y3391">
        <v>0.35240089338108038</v>
      </c>
      <c r="Z3391" t="str">
        <f>HYPERLINK("Melting_Curves/meltCurve_sp_Q9UJ68_5_MSRA_HUMAN_.pdf", "Melting_Curves/meltCurve_sp_Q9UJ68_5_MSRA_HUMAN_.pdf")</f>
        <v>Melting_Curves/meltCurve_sp_Q9UJ68_5_MSRA_HUMAN_.pdf</v>
      </c>
      <c r="AA3391" t="s">
        <v>16228</v>
      </c>
      <c r="AB3391" t="s">
        <v>20474</v>
      </c>
    </row>
    <row r="3392" spans="1:28" x14ac:dyDescent="0.25">
      <c r="A3392" t="s">
        <v>3396</v>
      </c>
      <c r="B3392">
        <v>0.99876560204751996</v>
      </c>
      <c r="C3392">
        <v>0.98131633872900104</v>
      </c>
      <c r="D3392">
        <v>0.97182799808641396</v>
      </c>
      <c r="E3392">
        <v>0.93986417730779304</v>
      </c>
      <c r="F3392">
        <v>0.85064189019469805</v>
      </c>
      <c r="G3392">
        <v>0.51500187036546397</v>
      </c>
      <c r="H3392">
        <v>0.18920036599014001</v>
      </c>
      <c r="I3392">
        <v>8.9888314019050203E-2</v>
      </c>
      <c r="J3392">
        <v>7.4016836764004904E-2</v>
      </c>
      <c r="K3392">
        <v>5.42123619850736E-2</v>
      </c>
      <c r="L3392">
        <v>1322.86084301491</v>
      </c>
      <c r="M3392">
        <v>23.2687438467356</v>
      </c>
      <c r="N3392">
        <v>57.034838807750397</v>
      </c>
      <c r="O3392">
        <v>56.436507835820002</v>
      </c>
      <c r="P3392">
        <v>-9.9360609497583699E-2</v>
      </c>
      <c r="Q3392">
        <v>3.6051976526859202E-2</v>
      </c>
      <c r="R3392">
        <v>0.99878420093649001</v>
      </c>
      <c r="S3392" t="s">
        <v>7688</v>
      </c>
      <c r="T3392" t="s">
        <v>8590</v>
      </c>
      <c r="U3392" t="s">
        <v>8590</v>
      </c>
      <c r="V3392" t="s">
        <v>8590</v>
      </c>
      <c r="W3392">
        <v>10</v>
      </c>
      <c r="X3392" t="s">
        <v>11982</v>
      </c>
      <c r="Y3392">
        <v>0.5872312804178802</v>
      </c>
      <c r="Z3392" t="str">
        <f>HYPERLINK("Melting_Curves/meltCurve_sp_Q9UJ70_NAGK_HUMAN_.pdf", "Melting_Curves/meltCurve_sp_Q9UJ70_NAGK_HUMAN_.pdf")</f>
        <v>Melting_Curves/meltCurve_sp_Q9UJ70_NAGK_HUMAN_.pdf</v>
      </c>
      <c r="AA3392" t="s">
        <v>16229</v>
      </c>
      <c r="AB3392" t="s">
        <v>20475</v>
      </c>
    </row>
    <row r="3393" spans="1:28" x14ac:dyDescent="0.25">
      <c r="A3393" t="s">
        <v>3397</v>
      </c>
      <c r="B3393">
        <v>0.99876560204751996</v>
      </c>
      <c r="C3393">
        <v>1.1781423747848701</v>
      </c>
      <c r="D3393">
        <v>1.0473927476892999</v>
      </c>
      <c r="E3393">
        <v>1.1408096153015099</v>
      </c>
      <c r="F3393">
        <v>1.0275753661573499</v>
      </c>
      <c r="G3393">
        <v>0.65545736879167205</v>
      </c>
      <c r="H3393">
        <v>0.165262380427698</v>
      </c>
      <c r="I3393">
        <v>0.105461129656609</v>
      </c>
      <c r="J3393">
        <v>9.6162636597072207E-2</v>
      </c>
      <c r="K3393">
        <v>6.0010999296622201E-2</v>
      </c>
      <c r="L3393">
        <v>2694.74624983697</v>
      </c>
      <c r="M3393">
        <v>46.740637022041199</v>
      </c>
      <c r="N3393">
        <v>57.890176571079998</v>
      </c>
      <c r="O3393">
        <v>57.547940066625898</v>
      </c>
      <c r="P3393">
        <v>-0.18536950658099499</v>
      </c>
      <c r="Q3393">
        <v>8.7079505515790898E-2</v>
      </c>
      <c r="R3393">
        <v>0.97324948401629197</v>
      </c>
      <c r="S3393" t="s">
        <v>7689</v>
      </c>
      <c r="T3393" t="s">
        <v>8590</v>
      </c>
      <c r="U3393" t="s">
        <v>8590</v>
      </c>
      <c r="V3393" t="s">
        <v>8590</v>
      </c>
      <c r="W3393">
        <v>3</v>
      </c>
      <c r="X3393" t="s">
        <v>11983</v>
      </c>
      <c r="Y3393">
        <v>0.62692130457367312</v>
      </c>
      <c r="Z3393" t="str">
        <f>HYPERLINK("Melting_Curves/meltCurve_sp_Q9UJA5_TRM6_HUMAN_.pdf", "Melting_Curves/meltCurve_sp_Q9UJA5_TRM6_HUMAN_.pdf")</f>
        <v>Melting_Curves/meltCurve_sp_Q9UJA5_TRM6_HUMAN_.pdf</v>
      </c>
      <c r="AA3393" t="s">
        <v>16230</v>
      </c>
      <c r="AB3393" t="s">
        <v>20476</v>
      </c>
    </row>
    <row r="3394" spans="1:28" x14ac:dyDescent="0.25">
      <c r="A3394" t="s">
        <v>3398</v>
      </c>
      <c r="B3394">
        <v>0.99876560204751996</v>
      </c>
      <c r="C3394">
        <v>0.94236364381465099</v>
      </c>
      <c r="D3394">
        <v>0.99765278653476996</v>
      </c>
      <c r="E3394">
        <v>0.87537540242775103</v>
      </c>
      <c r="F3394">
        <v>0.85598976405792304</v>
      </c>
      <c r="G3394">
        <v>0.63810361768186596</v>
      </c>
      <c r="H3394">
        <v>0.43202843138849401</v>
      </c>
      <c r="I3394">
        <v>0.22849092127714701</v>
      </c>
      <c r="J3394">
        <v>0.11678873093818801</v>
      </c>
      <c r="K3394">
        <v>8.2557212599067606E-2</v>
      </c>
      <c r="L3394">
        <v>875.05282852760604</v>
      </c>
      <c r="M3394">
        <v>14.795210052643201</v>
      </c>
      <c r="N3394">
        <v>59.144333178758899</v>
      </c>
      <c r="O3394">
        <v>58.095380902248799</v>
      </c>
      <c r="P3394">
        <v>-6.3674554488953497E-2</v>
      </c>
      <c r="Q3394">
        <v>0</v>
      </c>
      <c r="R3394">
        <v>0.99172634638367296</v>
      </c>
      <c r="S3394" t="s">
        <v>7690</v>
      </c>
      <c r="T3394" t="s">
        <v>8590</v>
      </c>
      <c r="U3394" t="s">
        <v>8590</v>
      </c>
      <c r="V3394" t="s">
        <v>8590</v>
      </c>
      <c r="W3394">
        <v>3</v>
      </c>
      <c r="X3394" t="s">
        <v>11984</v>
      </c>
      <c r="Y3394">
        <v>0.64806256284623676</v>
      </c>
      <c r="Z3394" t="str">
        <f>HYPERLINK("Melting_Curves/meltCurve_sp_Q9UJC5_SH3L2_HUMAN_.pdf", "Melting_Curves/meltCurve_sp_Q9UJC5_SH3L2_HUMAN_.pdf")</f>
        <v>Melting_Curves/meltCurve_sp_Q9UJC5_SH3L2_HUMAN_.pdf</v>
      </c>
      <c r="AA3394" t="s">
        <v>16231</v>
      </c>
      <c r="AB3394" t="s">
        <v>20477</v>
      </c>
    </row>
    <row r="3395" spans="1:28" x14ac:dyDescent="0.25">
      <c r="A3395" t="s">
        <v>3399</v>
      </c>
      <c r="B3395">
        <v>0.99876560204751996</v>
      </c>
      <c r="C3395">
        <v>0.95903518178210001</v>
      </c>
      <c r="D3395">
        <v>1.05793188887061</v>
      </c>
      <c r="E3395">
        <v>0.92154371709851701</v>
      </c>
      <c r="F3395">
        <v>1.0273472334188201</v>
      </c>
      <c r="G3395">
        <v>0.91656583215911103</v>
      </c>
      <c r="H3395">
        <v>0.83790982152314597</v>
      </c>
      <c r="I3395">
        <v>0.84511356159863604</v>
      </c>
      <c r="J3395">
        <v>1.04737474614566</v>
      </c>
      <c r="K3395">
        <v>0.84873039069266498</v>
      </c>
      <c r="L3395">
        <v>14173.454929543799</v>
      </c>
      <c r="M3395">
        <v>250</v>
      </c>
      <c r="O3395">
        <v>56.690172932510997</v>
      </c>
      <c r="P3395">
        <v>-0.116000963352358</v>
      </c>
      <c r="Q3395">
        <v>0.89478213036484999</v>
      </c>
      <c r="R3395">
        <v>0.33943013337676098</v>
      </c>
      <c r="S3395" t="s">
        <v>7691</v>
      </c>
      <c r="T3395" t="s">
        <v>8590</v>
      </c>
      <c r="U3395" t="s">
        <v>8590</v>
      </c>
      <c r="V3395" t="s">
        <v>8590</v>
      </c>
      <c r="W3395">
        <v>3</v>
      </c>
      <c r="X3395" t="s">
        <v>11985</v>
      </c>
      <c r="Y3395">
        <v>0.95334220409714543</v>
      </c>
      <c r="Z3395" t="str">
        <f>HYPERLINK("Melting_Curves/meltCurve_sp_Q9UJM3_ERRFI_HUMAN_.pdf", "Melting_Curves/meltCurve_sp_Q9UJM3_ERRFI_HUMAN_.pdf")</f>
        <v>Melting_Curves/meltCurve_sp_Q9UJM3_ERRFI_HUMAN_.pdf</v>
      </c>
      <c r="AA3395" t="s">
        <v>16232</v>
      </c>
      <c r="AB3395" t="s">
        <v>20478</v>
      </c>
    </row>
    <row r="3396" spans="1:28" x14ac:dyDescent="0.25">
      <c r="A3396" t="s">
        <v>3400</v>
      </c>
      <c r="B3396">
        <v>0.99876560204751996</v>
      </c>
      <c r="C3396">
        <v>1.06298481671253</v>
      </c>
      <c r="D3396">
        <v>1.0212540629745801</v>
      </c>
      <c r="E3396">
        <v>1.01147390985704</v>
      </c>
      <c r="F3396">
        <v>0.35110348118364199</v>
      </c>
      <c r="G3396">
        <v>0.139359103895171</v>
      </c>
      <c r="H3396">
        <v>6.7889117080594905E-2</v>
      </c>
      <c r="I3396">
        <v>4.7224975900902397E-2</v>
      </c>
      <c r="J3396">
        <v>3.85037513229338E-2</v>
      </c>
      <c r="K3396">
        <v>3.0813893793455099E-2</v>
      </c>
      <c r="L3396">
        <v>13206.642049639901</v>
      </c>
      <c r="M3396">
        <v>250</v>
      </c>
      <c r="N3396">
        <v>52.8559072095955</v>
      </c>
      <c r="O3396">
        <v>52.823204310999401</v>
      </c>
      <c r="P3396">
        <v>-1.1065711381191701</v>
      </c>
      <c r="Q3396">
        <v>6.4758161637754899E-2</v>
      </c>
      <c r="R3396">
        <v>0.99407179097073395</v>
      </c>
      <c r="S3396" t="s">
        <v>7692</v>
      </c>
      <c r="T3396" t="s">
        <v>8590</v>
      </c>
      <c r="U3396" t="s">
        <v>8590</v>
      </c>
      <c r="V3396" t="s">
        <v>8590</v>
      </c>
      <c r="W3396">
        <v>27</v>
      </c>
      <c r="X3396" t="s">
        <v>11986</v>
      </c>
      <c r="Y3396">
        <v>0.46470964178956081</v>
      </c>
      <c r="Z3396" t="str">
        <f>HYPERLINK("Melting_Curves/meltCurve_sp_Q9UJM8_HAOX1_HUMAN_.pdf", "Melting_Curves/meltCurve_sp_Q9UJM8_HAOX1_HUMAN_.pdf")</f>
        <v>Melting_Curves/meltCurve_sp_Q9UJM8_HAOX1_HUMAN_.pdf</v>
      </c>
      <c r="AA3396" t="s">
        <v>16233</v>
      </c>
      <c r="AB3396" t="s">
        <v>20479</v>
      </c>
    </row>
    <row r="3397" spans="1:28" x14ac:dyDescent="0.25">
      <c r="A3397" t="s">
        <v>3401</v>
      </c>
      <c r="B3397">
        <v>0.99876560204751996</v>
      </c>
      <c r="C3397">
        <v>1.13857383465313</v>
      </c>
      <c r="D3397">
        <v>0.66065394940408695</v>
      </c>
      <c r="E3397">
        <v>0.56221483301810704</v>
      </c>
      <c r="F3397">
        <v>0.36268818198063102</v>
      </c>
      <c r="G3397">
        <v>0.21209583788672501</v>
      </c>
      <c r="H3397">
        <v>0.139643415172025</v>
      </c>
      <c r="I3397">
        <v>9.2018979951539598E-2</v>
      </c>
      <c r="J3397">
        <v>8.9065717835453695E-2</v>
      </c>
      <c r="K3397">
        <v>9.3159430947804295E-2</v>
      </c>
      <c r="L3397">
        <v>774.14753673553696</v>
      </c>
      <c r="M3397">
        <v>15.4950212694184</v>
      </c>
      <c r="N3397">
        <v>50.5340147834834</v>
      </c>
      <c r="O3397">
        <v>49.151095677610698</v>
      </c>
      <c r="P3397">
        <v>-7.2470531065194299E-2</v>
      </c>
      <c r="Q3397">
        <v>8.0559089888907198E-2</v>
      </c>
      <c r="R3397">
        <v>0.95229093175479895</v>
      </c>
      <c r="S3397" t="s">
        <v>7693</v>
      </c>
      <c r="T3397" t="s">
        <v>8590</v>
      </c>
      <c r="U3397" t="s">
        <v>8590</v>
      </c>
      <c r="V3397" t="s">
        <v>8590</v>
      </c>
      <c r="W3397">
        <v>3</v>
      </c>
      <c r="X3397" t="s">
        <v>11987</v>
      </c>
      <c r="Y3397">
        <v>0.40655985979159259</v>
      </c>
      <c r="Z3397" t="str">
        <f>HYPERLINK("Melting_Curves/meltCurve_sp_Q9UJS0_CMC2_HUMAN_.pdf", "Melting_Curves/meltCurve_sp_Q9UJS0_CMC2_HUMAN_.pdf")</f>
        <v>Melting_Curves/meltCurve_sp_Q9UJS0_CMC2_HUMAN_.pdf</v>
      </c>
      <c r="AA3397" t="s">
        <v>16234</v>
      </c>
      <c r="AB3397" t="s">
        <v>20480</v>
      </c>
    </row>
    <row r="3398" spans="1:28" x14ac:dyDescent="0.25">
      <c r="A3398" t="s">
        <v>3402</v>
      </c>
      <c r="B3398">
        <v>0.99876560204751996</v>
      </c>
      <c r="C3398">
        <v>1.2258830512983601</v>
      </c>
      <c r="D3398">
        <v>0.96289857552204705</v>
      </c>
      <c r="E3398">
        <v>1.43479401301791</v>
      </c>
      <c r="F3398">
        <v>1.42398349702976</v>
      </c>
      <c r="G3398">
        <v>1.9647098118430899</v>
      </c>
      <c r="H3398">
        <v>1.0219699051311699</v>
      </c>
      <c r="I3398">
        <v>1.3645116982485901</v>
      </c>
      <c r="J3398">
        <v>1.6625044886559399</v>
      </c>
      <c r="K3398">
        <v>1.96698872002643</v>
      </c>
      <c r="L3398">
        <v>5778.71965318194</v>
      </c>
      <c r="M3398">
        <v>117.467524820289</v>
      </c>
      <c r="O3398">
        <v>49.179920465641402</v>
      </c>
      <c r="P3398">
        <v>0.29856568203927802</v>
      </c>
      <c r="Q3398">
        <v>1.5</v>
      </c>
      <c r="R3398">
        <v>0.38143832141616701</v>
      </c>
      <c r="S3398" t="s">
        <v>7694</v>
      </c>
      <c r="T3398" t="s">
        <v>8590</v>
      </c>
      <c r="U3398" t="s">
        <v>8590</v>
      </c>
      <c r="V3398" t="s">
        <v>8590</v>
      </c>
      <c r="W3398">
        <v>17</v>
      </c>
      <c r="X3398" t="s">
        <v>11988</v>
      </c>
      <c r="Y3398">
        <v>1.346567834005495</v>
      </c>
      <c r="Z3398" t="str">
        <f>HYPERLINK("Melting_Curves/meltCurve_sp_Q9UJU6_2_DBNL_HUMAN_.pdf", "Melting_Curves/meltCurve_sp_Q9UJU6_2_DBNL_HUMAN_.pdf")</f>
        <v>Melting_Curves/meltCurve_sp_Q9UJU6_2_DBNL_HUMAN_.pdf</v>
      </c>
      <c r="AA3398" t="s">
        <v>16235</v>
      </c>
      <c r="AB3398" t="s">
        <v>20481</v>
      </c>
    </row>
    <row r="3399" spans="1:28" x14ac:dyDescent="0.25">
      <c r="A3399" t="s">
        <v>3403</v>
      </c>
      <c r="B3399">
        <v>0.99876560204751996</v>
      </c>
      <c r="C3399">
        <v>0.97923126491755397</v>
      </c>
      <c r="D3399">
        <v>1.07603966861867</v>
      </c>
      <c r="E3399">
        <v>0.94407253994417095</v>
      </c>
      <c r="F3399">
        <v>0.93522803450854397</v>
      </c>
      <c r="G3399">
        <v>0.74308043748751396</v>
      </c>
      <c r="H3399">
        <v>0.67283395435458504</v>
      </c>
      <c r="I3399">
        <v>0.72108221646164194</v>
      </c>
      <c r="J3399">
        <v>0.87395231605902302</v>
      </c>
      <c r="K3399">
        <v>0.85973489204829301</v>
      </c>
      <c r="L3399">
        <v>7245.6404380621898</v>
      </c>
      <c r="M3399">
        <v>135.800278120455</v>
      </c>
      <c r="O3399">
        <v>53.343553721277701</v>
      </c>
      <c r="P3399">
        <v>-0.143751759148633</v>
      </c>
      <c r="Q3399">
        <v>0.77413213961082294</v>
      </c>
      <c r="R3399">
        <v>0.74077134801789901</v>
      </c>
      <c r="S3399" t="s">
        <v>7695</v>
      </c>
      <c r="T3399" t="s">
        <v>8590</v>
      </c>
      <c r="U3399" t="s">
        <v>8590</v>
      </c>
      <c r="V3399" t="s">
        <v>8590</v>
      </c>
      <c r="W3399">
        <v>17</v>
      </c>
      <c r="X3399" t="s">
        <v>11989</v>
      </c>
      <c r="Y3399">
        <v>0.8747536177718972</v>
      </c>
      <c r="Z3399" t="str">
        <f>HYPERLINK("Melting_Curves/meltCurve_sp_Q9UJU6_DBNL_HUMAN_.pdf", "Melting_Curves/meltCurve_sp_Q9UJU6_DBNL_HUMAN_.pdf")</f>
        <v>Melting_Curves/meltCurve_sp_Q9UJU6_DBNL_HUMAN_.pdf</v>
      </c>
      <c r="AA3399" t="s">
        <v>16235</v>
      </c>
      <c r="AB3399" t="s">
        <v>20482</v>
      </c>
    </row>
    <row r="3400" spans="1:28" x14ac:dyDescent="0.25">
      <c r="A3400" t="s">
        <v>3404</v>
      </c>
      <c r="B3400">
        <v>0.99876560204751996</v>
      </c>
      <c r="C3400">
        <v>1.0533579869869301</v>
      </c>
      <c r="D3400">
        <v>0.99834671219970605</v>
      </c>
      <c r="E3400">
        <v>0.99353363543929296</v>
      </c>
      <c r="F3400">
        <v>0.85227368103113199</v>
      </c>
      <c r="G3400">
        <v>0.66370396260748998</v>
      </c>
      <c r="H3400">
        <v>0.508905730269825</v>
      </c>
      <c r="I3400">
        <v>0.32524899560380599</v>
      </c>
      <c r="J3400">
        <v>0.155535314455686</v>
      </c>
      <c r="K3400">
        <v>0.11362191219015599</v>
      </c>
      <c r="L3400">
        <v>867.72818286468203</v>
      </c>
      <c r="M3400">
        <v>14.373947849522301</v>
      </c>
      <c r="N3400">
        <v>60.368118335896</v>
      </c>
      <c r="O3400">
        <v>59.235747259618698</v>
      </c>
      <c r="P3400">
        <v>-6.0671403270757998E-2</v>
      </c>
      <c r="Q3400">
        <v>0</v>
      </c>
      <c r="R3400">
        <v>0.99083396875794505</v>
      </c>
      <c r="S3400" t="s">
        <v>7696</v>
      </c>
      <c r="T3400" t="s">
        <v>8590</v>
      </c>
      <c r="U3400" t="s">
        <v>8590</v>
      </c>
      <c r="V3400" t="s">
        <v>8590</v>
      </c>
      <c r="W3400">
        <v>8</v>
      </c>
      <c r="X3400" t="s">
        <v>11990</v>
      </c>
      <c r="Y3400">
        <v>0.68355755322755352</v>
      </c>
      <c r="Z3400" t="str">
        <f>HYPERLINK("Melting_Curves/meltCurve_sp_Q9UJW0_DCTN4_HUMAN_.pdf", "Melting_Curves/meltCurve_sp_Q9UJW0_DCTN4_HUMAN_.pdf")</f>
        <v>Melting_Curves/meltCurve_sp_Q9UJW0_DCTN4_HUMAN_.pdf</v>
      </c>
      <c r="AA3400" t="s">
        <v>16236</v>
      </c>
      <c r="AB3400" t="s">
        <v>20483</v>
      </c>
    </row>
    <row r="3401" spans="1:28" x14ac:dyDescent="0.25">
      <c r="A3401" t="s">
        <v>3405</v>
      </c>
      <c r="B3401">
        <v>0.99876560204751996</v>
      </c>
      <c r="C3401">
        <v>0.97361757855165998</v>
      </c>
      <c r="D3401">
        <v>0.963815157860475</v>
      </c>
      <c r="E3401">
        <v>0.86900225274626597</v>
      </c>
      <c r="F3401">
        <v>0.69898105170666702</v>
      </c>
      <c r="G3401">
        <v>0.54401017855827005</v>
      </c>
      <c r="H3401">
        <v>0.31534285953549701</v>
      </c>
      <c r="I3401">
        <v>0.25476357397600702</v>
      </c>
      <c r="J3401">
        <v>0.28583436547264202</v>
      </c>
      <c r="K3401">
        <v>0.25861382172401198</v>
      </c>
      <c r="L3401">
        <v>882.10320351791302</v>
      </c>
      <c r="M3401">
        <v>16.068150864600302</v>
      </c>
      <c r="N3401">
        <v>56.9471928853796</v>
      </c>
      <c r="O3401">
        <v>54.068453397736697</v>
      </c>
      <c r="P3401">
        <v>-5.7986453734503E-2</v>
      </c>
      <c r="Q3401">
        <v>0.219575466919046</v>
      </c>
      <c r="R3401">
        <v>0.99316299894593896</v>
      </c>
      <c r="S3401" t="s">
        <v>7697</v>
      </c>
      <c r="T3401" t="s">
        <v>8590</v>
      </c>
      <c r="U3401" t="s">
        <v>8590</v>
      </c>
      <c r="V3401" t="s">
        <v>8590</v>
      </c>
      <c r="W3401">
        <v>5</v>
      </c>
      <c r="X3401" t="s">
        <v>11991</v>
      </c>
      <c r="Y3401">
        <v>0.62114088503924614</v>
      </c>
      <c r="Z3401" t="str">
        <f>HYPERLINK("Melting_Curves/meltCurve_sp_Q9UJY5_4_GGA1_HUMAN_.pdf", "Melting_Curves/meltCurve_sp_Q9UJY5_4_GGA1_HUMAN_.pdf")</f>
        <v>Melting_Curves/meltCurve_sp_Q9UJY5_4_GGA1_HUMAN_.pdf</v>
      </c>
      <c r="AA3401" t="s">
        <v>16237</v>
      </c>
      <c r="AB3401" t="s">
        <v>20484</v>
      </c>
    </row>
    <row r="3402" spans="1:28" x14ac:dyDescent="0.25">
      <c r="A3402" t="s">
        <v>3406</v>
      </c>
      <c r="B3402">
        <v>0.99876560204751996</v>
      </c>
      <c r="C3402">
        <v>1.0901813106031599</v>
      </c>
      <c r="D3402">
        <v>0.96902453867635796</v>
      </c>
      <c r="E3402">
        <v>0.75878639381609603</v>
      </c>
      <c r="F3402">
        <v>0.46517327689494098</v>
      </c>
      <c r="G3402">
        <v>0.15968901568753799</v>
      </c>
      <c r="H3402">
        <v>9.6579138934682396E-2</v>
      </c>
      <c r="I3402">
        <v>6.3548068395833504E-2</v>
      </c>
      <c r="J3402">
        <v>5.3921526016281501E-2</v>
      </c>
      <c r="K3402">
        <v>4.7542539403964801E-2</v>
      </c>
      <c r="L3402">
        <v>1266.00827966256</v>
      </c>
      <c r="M3402">
        <v>24.181217916820401</v>
      </c>
      <c r="N3402">
        <v>52.594127739407099</v>
      </c>
      <c r="O3402">
        <v>52.0009084684879</v>
      </c>
      <c r="P3402">
        <v>-0.11020479202007</v>
      </c>
      <c r="Q3402">
        <v>5.2047525415613499E-2</v>
      </c>
      <c r="R3402">
        <v>0.99455899865432296</v>
      </c>
      <c r="S3402" t="s">
        <v>7698</v>
      </c>
      <c r="T3402" t="s">
        <v>8590</v>
      </c>
      <c r="U3402" t="s">
        <v>8590</v>
      </c>
      <c r="V3402" t="s">
        <v>8590</v>
      </c>
      <c r="W3402">
        <v>3</v>
      </c>
      <c r="X3402" t="s">
        <v>11992</v>
      </c>
      <c r="Y3402">
        <v>0.45169667508726852</v>
      </c>
      <c r="Z3402" t="str">
        <f>HYPERLINK("Melting_Curves/meltCurve_sp_Q9UK22_FBX2_HUMAN_.pdf", "Melting_Curves/meltCurve_sp_Q9UK22_FBX2_HUMAN_.pdf")</f>
        <v>Melting_Curves/meltCurve_sp_Q9UK22_FBX2_HUMAN_.pdf</v>
      </c>
      <c r="AA3402" t="s">
        <v>16238</v>
      </c>
      <c r="AB3402" t="s">
        <v>20485</v>
      </c>
    </row>
    <row r="3403" spans="1:28" x14ac:dyDescent="0.25">
      <c r="A3403" t="s">
        <v>3407</v>
      </c>
      <c r="B3403">
        <v>0.99876560204751996</v>
      </c>
      <c r="C3403">
        <v>0.96812141262598195</v>
      </c>
      <c r="D3403">
        <v>1.01306221657564</v>
      </c>
      <c r="E3403">
        <v>1.04111850318703</v>
      </c>
      <c r="F3403">
        <v>1.0124129197151099</v>
      </c>
      <c r="G3403">
        <v>0.80164524654385705</v>
      </c>
      <c r="H3403">
        <v>0.67421334118062604</v>
      </c>
      <c r="I3403">
        <v>0.73059467092818597</v>
      </c>
      <c r="J3403">
        <v>0.81294465560970997</v>
      </c>
      <c r="K3403">
        <v>0.78076518327647804</v>
      </c>
      <c r="L3403">
        <v>14173.7049249744</v>
      </c>
      <c r="M3403">
        <v>250</v>
      </c>
      <c r="O3403">
        <v>56.691171751957903</v>
      </c>
      <c r="P3403">
        <v>-0.27602451260018401</v>
      </c>
      <c r="Q3403">
        <v>0.74962946329811897</v>
      </c>
      <c r="R3403">
        <v>0.91635562748022503</v>
      </c>
      <c r="S3403" t="s">
        <v>7699</v>
      </c>
      <c r="T3403" t="s">
        <v>8590</v>
      </c>
      <c r="U3403" t="s">
        <v>8590</v>
      </c>
      <c r="V3403" t="s">
        <v>8590</v>
      </c>
      <c r="W3403">
        <v>2</v>
      </c>
      <c r="X3403" t="s">
        <v>11993</v>
      </c>
      <c r="Y3403">
        <v>0.88898407374434318</v>
      </c>
      <c r="Z3403" t="str">
        <f>HYPERLINK("Melting_Curves/meltCurve_sp_Q9UK45_LSM7_HUMAN_.pdf", "Melting_Curves/meltCurve_sp_Q9UK45_LSM7_HUMAN_.pdf")</f>
        <v>Melting_Curves/meltCurve_sp_Q9UK45_LSM7_HUMAN_.pdf</v>
      </c>
      <c r="AA3403" t="s">
        <v>16239</v>
      </c>
      <c r="AB3403" t="s">
        <v>20486</v>
      </c>
    </row>
    <row r="3404" spans="1:28" x14ac:dyDescent="0.25">
      <c r="A3404" t="s">
        <v>3408</v>
      </c>
      <c r="B3404">
        <v>0.99876560204751996</v>
      </c>
      <c r="C3404">
        <v>1.03365575121946</v>
      </c>
      <c r="D3404">
        <v>1.02669793587236</v>
      </c>
      <c r="E3404">
        <v>0.96092262988955901</v>
      </c>
      <c r="F3404">
        <v>0.68965063857106801</v>
      </c>
      <c r="G3404">
        <v>0.33064430468604</v>
      </c>
      <c r="H3404">
        <v>0.198811663948644</v>
      </c>
      <c r="I3404">
        <v>9.7857621415830903E-2</v>
      </c>
      <c r="J3404">
        <v>8.2600878581366402E-2</v>
      </c>
      <c r="K3404">
        <v>7.3053151804199301E-2</v>
      </c>
      <c r="L3404">
        <v>1339.9397150049399</v>
      </c>
      <c r="M3404">
        <v>24.478173068747498</v>
      </c>
      <c r="N3404">
        <v>55.1501294335864</v>
      </c>
      <c r="O3404">
        <v>54.378743041283499</v>
      </c>
      <c r="P3404">
        <v>-0.103176421880206</v>
      </c>
      <c r="Q3404">
        <v>8.3179216705735998E-2</v>
      </c>
      <c r="R3404">
        <v>0.99540431498644399</v>
      </c>
      <c r="S3404" t="s">
        <v>7700</v>
      </c>
      <c r="T3404" t="s">
        <v>8590</v>
      </c>
      <c r="U3404" t="s">
        <v>8590</v>
      </c>
      <c r="V3404" t="s">
        <v>8590</v>
      </c>
      <c r="W3404">
        <v>3</v>
      </c>
      <c r="X3404" t="s">
        <v>11994</v>
      </c>
      <c r="Y3404">
        <v>0.54245871713401739</v>
      </c>
      <c r="Z3404" t="str">
        <f>HYPERLINK("Melting_Curves/meltCurve_sp_Q9UK55_ZPI_HUMAN_.pdf", "Melting_Curves/meltCurve_sp_Q9UK55_ZPI_HUMAN_.pdf")</f>
        <v>Melting_Curves/meltCurve_sp_Q9UK55_ZPI_HUMAN_.pdf</v>
      </c>
      <c r="AA3404" t="s">
        <v>16240</v>
      </c>
      <c r="AB3404" t="s">
        <v>20487</v>
      </c>
    </row>
    <row r="3405" spans="1:28" x14ac:dyDescent="0.25">
      <c r="A3405" t="s">
        <v>3409</v>
      </c>
      <c r="B3405">
        <v>0.99876560204751996</v>
      </c>
      <c r="C3405">
        <v>0.93127907121270803</v>
      </c>
      <c r="D3405">
        <v>0.98524866659714505</v>
      </c>
      <c r="E3405">
        <v>0.87597835400982405</v>
      </c>
      <c r="F3405">
        <v>0.63234093475128506</v>
      </c>
      <c r="G3405">
        <v>0.32837843851062398</v>
      </c>
      <c r="H3405">
        <v>0.105989980308538</v>
      </c>
      <c r="I3405">
        <v>7.4634760420253202E-2</v>
      </c>
      <c r="J3405">
        <v>5.05970213761733E-2</v>
      </c>
      <c r="K3405">
        <v>3.3097952520127101E-2</v>
      </c>
      <c r="L3405">
        <v>1090.27465000594</v>
      </c>
      <c r="M3405">
        <v>19.995685642953202</v>
      </c>
      <c r="N3405">
        <v>54.647203037509001</v>
      </c>
      <c r="O3405">
        <v>53.988928613515398</v>
      </c>
      <c r="P3405">
        <v>-9.0578065169829497E-2</v>
      </c>
      <c r="Q3405">
        <v>2.1778304055407299E-2</v>
      </c>
      <c r="R3405">
        <v>0.99664139512583605</v>
      </c>
      <c r="S3405" t="s">
        <v>7701</v>
      </c>
      <c r="T3405" t="s">
        <v>8590</v>
      </c>
      <c r="U3405" t="s">
        <v>8590</v>
      </c>
      <c r="V3405" t="s">
        <v>8590</v>
      </c>
      <c r="W3405">
        <v>7</v>
      </c>
      <c r="X3405" t="s">
        <v>11995</v>
      </c>
      <c r="Y3405">
        <v>0.50859068695762366</v>
      </c>
      <c r="Z3405" t="str">
        <f>HYPERLINK("Melting_Curves/meltCurve_sp_Q9UK59_DBR1_HUMAN_.pdf", "Melting_Curves/meltCurve_sp_Q9UK59_DBR1_HUMAN_.pdf")</f>
        <v>Melting_Curves/meltCurve_sp_Q9UK59_DBR1_HUMAN_.pdf</v>
      </c>
      <c r="AA3405" t="s">
        <v>16241</v>
      </c>
      <c r="AB3405" t="s">
        <v>20488</v>
      </c>
    </row>
    <row r="3406" spans="1:28" x14ac:dyDescent="0.25">
      <c r="A3406" t="s">
        <v>3410</v>
      </c>
      <c r="B3406">
        <v>0.99876560204751996</v>
      </c>
      <c r="C3406">
        <v>1.0634969609673499</v>
      </c>
      <c r="D3406">
        <v>1.0274211532366</v>
      </c>
      <c r="E3406">
        <v>0.89805945589675695</v>
      </c>
      <c r="F3406">
        <v>0.69299007522323497</v>
      </c>
      <c r="G3406">
        <v>0.36729143271317999</v>
      </c>
      <c r="H3406">
        <v>0.102028582770158</v>
      </c>
      <c r="I3406">
        <v>7.9196359843446598E-2</v>
      </c>
      <c r="J3406">
        <v>7.6112753699783695E-2</v>
      </c>
      <c r="K3406">
        <v>4.49396173644942E-2</v>
      </c>
      <c r="L3406">
        <v>1218.2235237125701</v>
      </c>
      <c r="M3406">
        <v>22.157350671019</v>
      </c>
      <c r="N3406">
        <v>55.182939547202203</v>
      </c>
      <c r="O3406">
        <v>54.538594571895501</v>
      </c>
      <c r="P3406">
        <v>-9.7605909064489599E-2</v>
      </c>
      <c r="Q3406">
        <v>3.9023462891709701E-2</v>
      </c>
      <c r="R3406">
        <v>0.99523896985066895</v>
      </c>
      <c r="S3406" t="s">
        <v>7702</v>
      </c>
      <c r="T3406" t="s">
        <v>8590</v>
      </c>
      <c r="U3406" t="s">
        <v>8590</v>
      </c>
      <c r="V3406" t="s">
        <v>8590</v>
      </c>
      <c r="W3406">
        <v>4</v>
      </c>
      <c r="X3406" t="s">
        <v>11996</v>
      </c>
      <c r="Y3406">
        <v>0.52979484031242297</v>
      </c>
      <c r="Z3406" t="str">
        <f>HYPERLINK("Melting_Curves/meltCurve_sp_Q9UK99_FBX3_HUMAN_.pdf", "Melting_Curves/meltCurve_sp_Q9UK99_FBX3_HUMAN_.pdf")</f>
        <v>Melting_Curves/meltCurve_sp_Q9UK99_FBX3_HUMAN_.pdf</v>
      </c>
      <c r="AA3406" t="s">
        <v>16242</v>
      </c>
      <c r="AB3406" t="s">
        <v>20489</v>
      </c>
    </row>
    <row r="3407" spans="1:28" x14ac:dyDescent="0.25">
      <c r="A3407" t="s">
        <v>3411</v>
      </c>
      <c r="B3407">
        <v>0.99876560204751996</v>
      </c>
      <c r="C3407">
        <v>0.95014660168626097</v>
      </c>
      <c r="D3407">
        <v>1.0140846427961701</v>
      </c>
      <c r="E3407">
        <v>0.72557560973762703</v>
      </c>
      <c r="F3407">
        <v>0.58274626937469198</v>
      </c>
      <c r="G3407">
        <v>0.44078372862081799</v>
      </c>
      <c r="H3407">
        <v>0.32502612974071898</v>
      </c>
      <c r="I3407">
        <v>0.31615697762264</v>
      </c>
      <c r="J3407">
        <v>0.45416524555832999</v>
      </c>
      <c r="K3407">
        <v>0.27674948519027898</v>
      </c>
      <c r="L3407">
        <v>1080.18767227839</v>
      </c>
      <c r="M3407">
        <v>21.013663530733901</v>
      </c>
      <c r="N3407">
        <v>54.335826260458298</v>
      </c>
      <c r="O3407">
        <v>50.945328344871399</v>
      </c>
      <c r="P3407">
        <v>-6.8153043663878393E-2</v>
      </c>
      <c r="Q3407">
        <v>0.33909929484965201</v>
      </c>
      <c r="R3407">
        <v>0.96494960993624601</v>
      </c>
      <c r="S3407" t="s">
        <v>7703</v>
      </c>
      <c r="T3407" t="s">
        <v>8590</v>
      </c>
      <c r="U3407" t="s">
        <v>8590</v>
      </c>
      <c r="V3407" t="s">
        <v>8590</v>
      </c>
      <c r="W3407">
        <v>2</v>
      </c>
      <c r="X3407" t="s">
        <v>11997</v>
      </c>
      <c r="Y3407">
        <v>0.59869246072972893</v>
      </c>
      <c r="Z3407" t="str">
        <f>HYPERLINK("Melting_Curves/meltCurve_sp_Q9UKA4_AKA11_HUMAN_.pdf", "Melting_Curves/meltCurve_sp_Q9UKA4_AKA11_HUMAN_.pdf")</f>
        <v>Melting_Curves/meltCurve_sp_Q9UKA4_AKA11_HUMAN_.pdf</v>
      </c>
      <c r="AA3407" t="s">
        <v>16243</v>
      </c>
      <c r="AB3407" t="s">
        <v>20490</v>
      </c>
    </row>
    <row r="3408" spans="1:28" x14ac:dyDescent="0.25">
      <c r="A3408" t="s">
        <v>3412</v>
      </c>
      <c r="B3408">
        <v>0.99876560204751996</v>
      </c>
      <c r="C3408">
        <v>1.0619762708862901</v>
      </c>
      <c r="D3408">
        <v>1.1874242895867699</v>
      </c>
      <c r="E3408">
        <v>0.90748711142024296</v>
      </c>
      <c r="F3408">
        <v>0.97445878860088697</v>
      </c>
      <c r="G3408">
        <v>0.66606567978456499</v>
      </c>
      <c r="H3408">
        <v>0.59671393082563995</v>
      </c>
      <c r="I3408">
        <v>0.55986362263166101</v>
      </c>
      <c r="J3408">
        <v>0.66925956295286304</v>
      </c>
      <c r="K3408">
        <v>0.61588217224308495</v>
      </c>
      <c r="L3408">
        <v>3236.0180695723602</v>
      </c>
      <c r="M3408">
        <v>58.5547867706074</v>
      </c>
      <c r="O3408">
        <v>55.200425319389602</v>
      </c>
      <c r="P3408">
        <v>-0.10341909293740199</v>
      </c>
      <c r="Q3408">
        <v>0.61002149093700897</v>
      </c>
      <c r="R3408">
        <v>0.88391490864859801</v>
      </c>
      <c r="S3408" t="s">
        <v>7704</v>
      </c>
      <c r="T3408" t="s">
        <v>8590</v>
      </c>
      <c r="U3408" t="s">
        <v>8590</v>
      </c>
      <c r="V3408" t="s">
        <v>8590</v>
      </c>
      <c r="W3408">
        <v>2</v>
      </c>
      <c r="X3408" t="s">
        <v>11998</v>
      </c>
      <c r="Y3408">
        <v>0.80914487601150709</v>
      </c>
      <c r="Z3408" t="str">
        <f>HYPERLINK("Melting_Curves/meltCurve_sp_Q9UKB3_DJC12_HUMAN_.pdf", "Melting_Curves/meltCurve_sp_Q9UKB3_DJC12_HUMAN_.pdf")</f>
        <v>Melting_Curves/meltCurve_sp_Q9UKB3_DJC12_HUMAN_.pdf</v>
      </c>
      <c r="AA3408" t="s">
        <v>16244</v>
      </c>
      <c r="AB3408" t="s">
        <v>20491</v>
      </c>
    </row>
    <row r="3409" spans="1:28" x14ac:dyDescent="0.25">
      <c r="A3409" t="s">
        <v>3413</v>
      </c>
      <c r="B3409">
        <v>0.99876560204751996</v>
      </c>
      <c r="C3409">
        <v>0.95110857186155695</v>
      </c>
      <c r="D3409">
        <v>0.90181562430420203</v>
      </c>
      <c r="E3409">
        <v>0.92938494761967505</v>
      </c>
      <c r="F3409">
        <v>0.83013976607324003</v>
      </c>
      <c r="G3409">
        <v>0.52762131271021895</v>
      </c>
      <c r="H3409">
        <v>0.42555593751804799</v>
      </c>
      <c r="I3409">
        <v>0.36349970819473998</v>
      </c>
      <c r="J3409">
        <v>0.41941047344363402</v>
      </c>
      <c r="K3409">
        <v>0.30724590311646999</v>
      </c>
      <c r="L3409">
        <v>1194.8806120511999</v>
      </c>
      <c r="M3409">
        <v>21.724386386497301</v>
      </c>
      <c r="N3409">
        <v>58.162617535442998</v>
      </c>
      <c r="O3409">
        <v>54.542126739099402</v>
      </c>
      <c r="P3409">
        <v>-6.5079443375890902E-2</v>
      </c>
      <c r="Q3409">
        <v>0.34645099473059998</v>
      </c>
      <c r="R3409">
        <v>0.97477858057828304</v>
      </c>
      <c r="S3409" t="s">
        <v>7705</v>
      </c>
      <c r="T3409" t="s">
        <v>8590</v>
      </c>
      <c r="U3409" t="s">
        <v>8590</v>
      </c>
      <c r="V3409" t="s">
        <v>8590</v>
      </c>
      <c r="W3409">
        <v>5</v>
      </c>
      <c r="X3409" t="s">
        <v>11999</v>
      </c>
      <c r="Y3409">
        <v>0.68091945325774017</v>
      </c>
      <c r="Z3409" t="str">
        <f>HYPERLINK("Melting_Curves/meltCurve_sp_Q9UKE5_8_TNIK_HUMAN_.pdf", "Melting_Curves/meltCurve_sp_Q9UKE5_8_TNIK_HUMAN_.pdf")</f>
        <v>Melting_Curves/meltCurve_sp_Q9UKE5_8_TNIK_HUMAN_.pdf</v>
      </c>
      <c r="AA3409" t="s">
        <v>16245</v>
      </c>
      <c r="AB3409" t="s">
        <v>20492</v>
      </c>
    </row>
    <row r="3410" spans="1:28" x14ac:dyDescent="0.25">
      <c r="A3410" t="s">
        <v>3414</v>
      </c>
      <c r="B3410">
        <v>0.99876560204751996</v>
      </c>
      <c r="C3410">
        <v>1.00757417549704</v>
      </c>
      <c r="D3410">
        <v>1.0816416839733101</v>
      </c>
      <c r="E3410">
        <v>0.87814099055677197</v>
      </c>
      <c r="F3410">
        <v>0.59447827365772998</v>
      </c>
      <c r="G3410">
        <v>0.337848479956179</v>
      </c>
      <c r="H3410">
        <v>0.272289084135657</v>
      </c>
      <c r="I3410">
        <v>0.202306612217691</v>
      </c>
      <c r="J3410">
        <v>0.22605453862636199</v>
      </c>
      <c r="K3410">
        <v>8.2107647437843198E-2</v>
      </c>
      <c r="L3410">
        <v>1265.2777967066099</v>
      </c>
      <c r="M3410">
        <v>23.6860163839225</v>
      </c>
      <c r="N3410">
        <v>54.426231873305497</v>
      </c>
      <c r="O3410">
        <v>53.042367945332103</v>
      </c>
      <c r="P3410">
        <v>-9.1825383394060503E-2</v>
      </c>
      <c r="Q3410">
        <v>0.177480152227317</v>
      </c>
      <c r="R3410">
        <v>0.98120424056896705</v>
      </c>
      <c r="S3410" t="s">
        <v>7706</v>
      </c>
      <c r="T3410" t="s">
        <v>8590</v>
      </c>
      <c r="U3410" t="s">
        <v>8590</v>
      </c>
      <c r="V3410" t="s">
        <v>8590</v>
      </c>
      <c r="W3410">
        <v>3</v>
      </c>
      <c r="X3410" t="s">
        <v>12000</v>
      </c>
      <c r="Y3410">
        <v>0.55377150537436093</v>
      </c>
      <c r="Z3410" t="str">
        <f>HYPERLINK("Melting_Curves/meltCurve_sp_Q9UKF6_CPSF3_HUMAN_.pdf", "Melting_Curves/meltCurve_sp_Q9UKF6_CPSF3_HUMAN_.pdf")</f>
        <v>Melting_Curves/meltCurve_sp_Q9UKF6_CPSF3_HUMAN_.pdf</v>
      </c>
      <c r="AA3410" t="s">
        <v>16246</v>
      </c>
      <c r="AB3410" t="s">
        <v>20493</v>
      </c>
    </row>
    <row r="3411" spans="1:28" x14ac:dyDescent="0.25">
      <c r="A3411" t="s">
        <v>3415</v>
      </c>
      <c r="B3411">
        <v>0.99876560204751996</v>
      </c>
      <c r="C3411">
        <v>0.97387865108071103</v>
      </c>
      <c r="D3411">
        <v>0.91422916697909695</v>
      </c>
      <c r="E3411">
        <v>0.870392165024789</v>
      </c>
      <c r="F3411">
        <v>0.70415467541522103</v>
      </c>
      <c r="G3411">
        <v>0.36040349263821603</v>
      </c>
      <c r="H3411">
        <v>0.12240348680914501</v>
      </c>
      <c r="I3411">
        <v>8.6687867572495497E-2</v>
      </c>
      <c r="J3411">
        <v>8.3563239695553307E-2</v>
      </c>
      <c r="K3411">
        <v>6.1810612269661398E-2</v>
      </c>
      <c r="L3411">
        <v>1087.2050595624301</v>
      </c>
      <c r="M3411">
        <v>19.795488143582599</v>
      </c>
      <c r="N3411">
        <v>55.146766085266201</v>
      </c>
      <c r="O3411">
        <v>54.370593544478801</v>
      </c>
      <c r="P3411">
        <v>-8.7494337515987106E-2</v>
      </c>
      <c r="Q3411">
        <v>3.8779437435460203E-2</v>
      </c>
      <c r="R3411">
        <v>0.99543318546455595</v>
      </c>
      <c r="S3411" t="s">
        <v>7707</v>
      </c>
      <c r="T3411" t="s">
        <v>8590</v>
      </c>
      <c r="U3411" t="s">
        <v>8590</v>
      </c>
      <c r="V3411" t="s">
        <v>8590</v>
      </c>
      <c r="W3411">
        <v>20</v>
      </c>
      <c r="X3411" t="s">
        <v>12001</v>
      </c>
      <c r="Y3411">
        <v>0.52990924937738926</v>
      </c>
      <c r="Z3411" t="str">
        <f>HYPERLINK("Melting_Curves/meltCurve_sp_Q9UKG1_DP13A_HUMAN_.pdf", "Melting_Curves/meltCurve_sp_Q9UKG1_DP13A_HUMAN_.pdf")</f>
        <v>Melting_Curves/meltCurve_sp_Q9UKG1_DP13A_HUMAN_.pdf</v>
      </c>
      <c r="AA3411" t="s">
        <v>16247</v>
      </c>
      <c r="AB3411" t="s">
        <v>20494</v>
      </c>
    </row>
    <row r="3412" spans="1:28" x14ac:dyDescent="0.25">
      <c r="A3412" t="s">
        <v>3416</v>
      </c>
      <c r="B3412">
        <v>0.99876560204751996</v>
      </c>
      <c r="C3412">
        <v>0.91297887140742595</v>
      </c>
      <c r="D3412">
        <v>0.93060157710456404</v>
      </c>
      <c r="E3412">
        <v>0.50341887784100203</v>
      </c>
      <c r="F3412">
        <v>0.22289683696965301</v>
      </c>
      <c r="G3412">
        <v>0.107166883050374</v>
      </c>
      <c r="H3412">
        <v>4.9240074981562097E-2</v>
      </c>
      <c r="I3412">
        <v>3.6654619686686499E-2</v>
      </c>
      <c r="J3412">
        <v>2.6362701177863299E-2</v>
      </c>
      <c r="K3412">
        <v>2.2286569373758301E-2</v>
      </c>
      <c r="L3412">
        <v>1210.0687680567501</v>
      </c>
      <c r="M3412">
        <v>24.210365360346</v>
      </c>
      <c r="N3412">
        <v>50.1246300287401</v>
      </c>
      <c r="O3412">
        <v>49.644152820164798</v>
      </c>
      <c r="P3412">
        <v>-0.117847528092434</v>
      </c>
      <c r="Q3412">
        <v>3.3413350639466897E-2</v>
      </c>
      <c r="R3412">
        <v>0.99533497474524102</v>
      </c>
      <c r="S3412" t="s">
        <v>7708</v>
      </c>
      <c r="T3412" t="s">
        <v>8590</v>
      </c>
      <c r="U3412" t="s">
        <v>8590</v>
      </c>
      <c r="V3412" t="s">
        <v>8590</v>
      </c>
      <c r="W3412">
        <v>14</v>
      </c>
      <c r="X3412" t="s">
        <v>12002</v>
      </c>
      <c r="Y3412">
        <v>0.36422354436735899</v>
      </c>
      <c r="Z3412" t="str">
        <f>HYPERLINK("Melting_Curves/meltCurve_sp_Q9UKG9_OCTC_HUMAN_.pdf", "Melting_Curves/meltCurve_sp_Q9UKG9_OCTC_HUMAN_.pdf")</f>
        <v>Melting_Curves/meltCurve_sp_Q9UKG9_OCTC_HUMAN_.pdf</v>
      </c>
      <c r="AA3412" t="s">
        <v>16248</v>
      </c>
      <c r="AB3412" t="s">
        <v>20495</v>
      </c>
    </row>
    <row r="3413" spans="1:28" x14ac:dyDescent="0.25">
      <c r="A3413" t="s">
        <v>3417</v>
      </c>
      <c r="B3413">
        <v>0.99876560204751996</v>
      </c>
      <c r="C3413">
        <v>1.46402362760225</v>
      </c>
      <c r="D3413">
        <v>1.2836127324155799</v>
      </c>
      <c r="E3413">
        <v>1.1006487269701299</v>
      </c>
      <c r="F3413">
        <v>1.2123914844005499</v>
      </c>
      <c r="G3413">
        <v>0.57560281660797696</v>
      </c>
      <c r="H3413">
        <v>0.49921823284490002</v>
      </c>
      <c r="I3413">
        <v>0.45195581900574899</v>
      </c>
      <c r="J3413">
        <v>0.51329333087419604</v>
      </c>
      <c r="K3413">
        <v>0.46080859729459001</v>
      </c>
      <c r="L3413">
        <v>14164.2515162733</v>
      </c>
      <c r="M3413">
        <v>250</v>
      </c>
      <c r="N3413">
        <v>57.4118707321702</v>
      </c>
      <c r="O3413">
        <v>56.653380534584201</v>
      </c>
      <c r="P3413">
        <v>-0.57220881374692301</v>
      </c>
      <c r="Q3413">
        <v>0.48131898318156902</v>
      </c>
      <c r="R3413">
        <v>0.74787903446549397</v>
      </c>
      <c r="S3413" t="s">
        <v>7709</v>
      </c>
      <c r="T3413" t="s">
        <v>8590</v>
      </c>
      <c r="U3413" t="s">
        <v>8590</v>
      </c>
      <c r="V3413" t="s">
        <v>8590</v>
      </c>
      <c r="W3413">
        <v>1</v>
      </c>
      <c r="X3413" t="s">
        <v>12003</v>
      </c>
      <c r="Y3413">
        <v>0.76935965152387153</v>
      </c>
      <c r="Z3413" t="str">
        <f>HYPERLINK("Melting_Curves/meltCurve_sp_Q9UKI8_5_TLK1_HUMAN_.pdf", "Melting_Curves/meltCurve_sp_Q9UKI8_5_TLK1_HUMAN_.pdf")</f>
        <v>Melting_Curves/meltCurve_sp_Q9UKI8_5_TLK1_HUMAN_.pdf</v>
      </c>
      <c r="AA3413" t="s">
        <v>16249</v>
      </c>
      <c r="AB3413" t="s">
        <v>20496</v>
      </c>
    </row>
    <row r="3414" spans="1:28" x14ac:dyDescent="0.25">
      <c r="A3414" t="s">
        <v>3418</v>
      </c>
      <c r="B3414">
        <v>0.99876560204751996</v>
      </c>
      <c r="C3414">
        <v>1.0386194483870499</v>
      </c>
      <c r="D3414">
        <v>1.0650393188152101</v>
      </c>
      <c r="E3414">
        <v>0.80285566592847002</v>
      </c>
      <c r="F3414">
        <v>0.85821639372097103</v>
      </c>
      <c r="G3414">
        <v>0.60759073574482403</v>
      </c>
      <c r="H3414">
        <v>0.47203498733726301</v>
      </c>
      <c r="I3414">
        <v>0.48721239197452998</v>
      </c>
      <c r="J3414">
        <v>0.60305169023300698</v>
      </c>
      <c r="K3414">
        <v>0.45484539923046102</v>
      </c>
      <c r="L3414">
        <v>1091.8784723030601</v>
      </c>
      <c r="M3414">
        <v>20.283455990554099</v>
      </c>
      <c r="N3414">
        <v>66.207346567858906</v>
      </c>
      <c r="O3414">
        <v>53.315943797203502</v>
      </c>
      <c r="P3414">
        <v>-4.8629107980872201E-2</v>
      </c>
      <c r="Q3414">
        <v>0.48872086407434001</v>
      </c>
      <c r="R3414">
        <v>0.92143114403681903</v>
      </c>
      <c r="S3414" t="s">
        <v>7710</v>
      </c>
      <c r="T3414" t="s">
        <v>8590</v>
      </c>
      <c r="U3414" t="s">
        <v>8590</v>
      </c>
      <c r="V3414" t="s">
        <v>8590</v>
      </c>
      <c r="W3414">
        <v>2</v>
      </c>
      <c r="X3414" t="s">
        <v>12004</v>
      </c>
      <c r="Y3414">
        <v>0.73124548166878844</v>
      </c>
      <c r="Z3414" t="str">
        <f>HYPERLINK("Melting_Curves/meltCurve_sp_Q9UKJ3_GPTC8_HUMAN_.pdf", "Melting_Curves/meltCurve_sp_Q9UKJ3_GPTC8_HUMAN_.pdf")</f>
        <v>Melting_Curves/meltCurve_sp_Q9UKJ3_GPTC8_HUMAN_.pdf</v>
      </c>
      <c r="AA3414" t="s">
        <v>16250</v>
      </c>
      <c r="AB3414" t="s">
        <v>20497</v>
      </c>
    </row>
    <row r="3415" spans="1:28" x14ac:dyDescent="0.25">
      <c r="A3415" t="s">
        <v>3419</v>
      </c>
      <c r="B3415">
        <v>0.99876560204751996</v>
      </c>
      <c r="C3415">
        <v>0.91896108501469997</v>
      </c>
      <c r="D3415">
        <v>0.95573844920462203</v>
      </c>
      <c r="E3415">
        <v>0.963554335207785</v>
      </c>
      <c r="F3415">
        <v>0.99562860205562898</v>
      </c>
      <c r="G3415">
        <v>0.86772595320119095</v>
      </c>
      <c r="H3415">
        <v>0.80443645331569502</v>
      </c>
      <c r="I3415">
        <v>0.82290640130774995</v>
      </c>
      <c r="J3415">
        <v>1.0062741542753499</v>
      </c>
      <c r="K3415">
        <v>0.93016498888607202</v>
      </c>
      <c r="L3415">
        <v>414.17353747137298</v>
      </c>
      <c r="M3415">
        <v>8.7267733298638301</v>
      </c>
      <c r="O3415">
        <v>45.165656979162698</v>
      </c>
      <c r="P3415">
        <v>-5.3000821326963004E-3</v>
      </c>
      <c r="Q3415">
        <v>0.89036651868477601</v>
      </c>
      <c r="R3415">
        <v>0.16602183622650499</v>
      </c>
      <c r="S3415" t="s">
        <v>7711</v>
      </c>
      <c r="T3415" t="s">
        <v>8590</v>
      </c>
      <c r="U3415" t="s">
        <v>8590</v>
      </c>
      <c r="V3415" t="s">
        <v>8590</v>
      </c>
      <c r="W3415">
        <v>10</v>
      </c>
      <c r="X3415" t="s">
        <v>12005</v>
      </c>
      <c r="Y3415">
        <v>0.92506752483123478</v>
      </c>
      <c r="Z3415" t="str">
        <f>HYPERLINK("Melting_Curves/meltCurve_sp_Q9UKK9_NUDT5_HUMAN_.pdf", "Melting_Curves/meltCurve_sp_Q9UKK9_NUDT5_HUMAN_.pdf")</f>
        <v>Melting_Curves/meltCurve_sp_Q9UKK9_NUDT5_HUMAN_.pdf</v>
      </c>
      <c r="AA3415" t="s">
        <v>16251</v>
      </c>
      <c r="AB3415" t="s">
        <v>20498</v>
      </c>
    </row>
    <row r="3416" spans="1:28" x14ac:dyDescent="0.25">
      <c r="A3416" t="s">
        <v>3420</v>
      </c>
      <c r="B3416">
        <v>0.99876560204751996</v>
      </c>
      <c r="C3416">
        <v>1.09390270803044</v>
      </c>
      <c r="D3416">
        <v>0.90778951420171805</v>
      </c>
      <c r="E3416">
        <v>0.709091637805918</v>
      </c>
      <c r="F3416">
        <v>0.38923927418085102</v>
      </c>
      <c r="G3416">
        <v>0.186050201299021</v>
      </c>
      <c r="H3416">
        <v>9.1968848844698706E-2</v>
      </c>
      <c r="I3416">
        <v>9.3368425148140394E-2</v>
      </c>
      <c r="J3416">
        <v>5.6593496289273799E-2</v>
      </c>
      <c r="K3416">
        <v>4.9000732266774899E-2</v>
      </c>
      <c r="L3416">
        <v>1132.6701793295699</v>
      </c>
      <c r="M3416">
        <v>21.9152445134477</v>
      </c>
      <c r="N3416">
        <v>51.9928787692157</v>
      </c>
      <c r="O3416">
        <v>51.259552304421398</v>
      </c>
      <c r="P3416">
        <v>-0.100364576359751</v>
      </c>
      <c r="Q3416">
        <v>6.1014067507030402E-2</v>
      </c>
      <c r="R3416">
        <v>0.99178382065125703</v>
      </c>
      <c r="S3416" t="s">
        <v>7712</v>
      </c>
      <c r="T3416" t="s">
        <v>8590</v>
      </c>
      <c r="U3416" t="s">
        <v>8590</v>
      </c>
      <c r="V3416" t="s">
        <v>8590</v>
      </c>
      <c r="W3416">
        <v>5</v>
      </c>
      <c r="X3416" t="s">
        <v>12006</v>
      </c>
      <c r="Y3416">
        <v>0.43770889887446501</v>
      </c>
      <c r="Z3416" t="str">
        <f>HYPERLINK("Melting_Curves/meltCurve_sp_Q9UKL0_RCOR1_HUMAN_.pdf", "Melting_Curves/meltCurve_sp_Q9UKL0_RCOR1_HUMAN_.pdf")</f>
        <v>Melting_Curves/meltCurve_sp_Q9UKL0_RCOR1_HUMAN_.pdf</v>
      </c>
      <c r="AA3416" t="s">
        <v>16252</v>
      </c>
      <c r="AB3416" t="s">
        <v>20499</v>
      </c>
    </row>
    <row r="3417" spans="1:28" x14ac:dyDescent="0.25">
      <c r="A3417" t="s">
        <v>3421</v>
      </c>
      <c r="B3417">
        <v>0.99876560204751996</v>
      </c>
      <c r="C3417">
        <v>0.89700875622316201</v>
      </c>
      <c r="D3417">
        <v>0.96413674543266903</v>
      </c>
      <c r="E3417">
        <v>0.88450421341166896</v>
      </c>
      <c r="F3417">
        <v>0.92398468749733098</v>
      </c>
      <c r="G3417">
        <v>0.75297249253337495</v>
      </c>
      <c r="H3417">
        <v>0.433659920016426</v>
      </c>
      <c r="I3417">
        <v>0.17613096386035801</v>
      </c>
      <c r="J3417">
        <v>8.8259733987392494E-2</v>
      </c>
      <c r="K3417">
        <v>8.8595222544539901E-2</v>
      </c>
      <c r="L3417">
        <v>1212.5401948482699</v>
      </c>
      <c r="M3417">
        <v>20.255006856034601</v>
      </c>
      <c r="N3417">
        <v>59.889634101065703</v>
      </c>
      <c r="O3417">
        <v>59.289383999875497</v>
      </c>
      <c r="P3417">
        <v>-8.5037514102248593E-2</v>
      </c>
      <c r="Q3417">
        <v>4.3616814444372197E-3</v>
      </c>
      <c r="R3417">
        <v>0.980796218453169</v>
      </c>
      <c r="S3417" t="s">
        <v>7713</v>
      </c>
      <c r="T3417" t="s">
        <v>8590</v>
      </c>
      <c r="U3417" t="s">
        <v>8590</v>
      </c>
      <c r="V3417" t="s">
        <v>8590</v>
      </c>
      <c r="W3417">
        <v>12</v>
      </c>
      <c r="X3417" t="s">
        <v>12007</v>
      </c>
      <c r="Y3417">
        <v>0.6721559390803068</v>
      </c>
      <c r="Z3417" t="str">
        <f>HYPERLINK("Melting_Curves/meltCurve_sp_Q9UKL6_PPCT_HUMAN_.pdf", "Melting_Curves/meltCurve_sp_Q9UKL6_PPCT_HUMAN_.pdf")</f>
        <v>Melting_Curves/meltCurve_sp_Q9UKL6_PPCT_HUMAN_.pdf</v>
      </c>
      <c r="AA3417" t="s">
        <v>16253</v>
      </c>
      <c r="AB3417" t="s">
        <v>20500</v>
      </c>
    </row>
    <row r="3418" spans="1:28" x14ac:dyDescent="0.25">
      <c r="A3418" t="s">
        <v>3422</v>
      </c>
      <c r="B3418">
        <v>0.99876560204751996</v>
      </c>
      <c r="C3418">
        <v>0.85145620931660604</v>
      </c>
      <c r="D3418">
        <v>0.61810436229892196</v>
      </c>
      <c r="E3418">
        <v>0.74644587881604796</v>
      </c>
      <c r="F3418">
        <v>0.46587492008012998</v>
      </c>
      <c r="G3418">
        <v>0.19221833447179901</v>
      </c>
      <c r="H3418">
        <v>0.11757898609711601</v>
      </c>
      <c r="I3418">
        <v>4.89884299366364E-2</v>
      </c>
      <c r="J3418">
        <v>3.7078824776957703E-2</v>
      </c>
      <c r="K3418">
        <v>0</v>
      </c>
      <c r="L3418">
        <v>587.95618342564501</v>
      </c>
      <c r="M3418">
        <v>11.435883226471599</v>
      </c>
      <c r="N3418">
        <v>51.413272765969701</v>
      </c>
      <c r="O3418">
        <v>49.916485844661501</v>
      </c>
      <c r="P3418">
        <v>-5.7291716194147302E-2</v>
      </c>
      <c r="Q3418">
        <v>0</v>
      </c>
      <c r="R3418">
        <v>0.94197031193556502</v>
      </c>
      <c r="S3418" t="s">
        <v>7714</v>
      </c>
      <c r="T3418" t="s">
        <v>8590</v>
      </c>
      <c r="U3418" t="s">
        <v>8590</v>
      </c>
      <c r="V3418" t="s">
        <v>8590</v>
      </c>
      <c r="W3418">
        <v>2</v>
      </c>
      <c r="X3418" t="s">
        <v>12008</v>
      </c>
      <c r="Y3418">
        <v>0.41436267399205878</v>
      </c>
      <c r="Z3418" t="str">
        <f>HYPERLINK("Melting_Curves/meltCurve_sp_Q9UKN8_TF3C4_HUMAN_.pdf", "Melting_Curves/meltCurve_sp_Q9UKN8_TF3C4_HUMAN_.pdf")</f>
        <v>Melting_Curves/meltCurve_sp_Q9UKN8_TF3C4_HUMAN_.pdf</v>
      </c>
      <c r="AA3418" t="s">
        <v>16254</v>
      </c>
      <c r="AB3418" t="s">
        <v>20501</v>
      </c>
    </row>
    <row r="3419" spans="1:28" x14ac:dyDescent="0.25">
      <c r="A3419" t="s">
        <v>3423</v>
      </c>
      <c r="B3419">
        <v>0.99876560204751996</v>
      </c>
      <c r="C3419">
        <v>0.88303939824427802</v>
      </c>
      <c r="D3419">
        <v>0.80588907172285296</v>
      </c>
      <c r="E3419">
        <v>0.57258808439962505</v>
      </c>
      <c r="F3419">
        <v>0.53753805357087003</v>
      </c>
      <c r="G3419">
        <v>0.40841619878081298</v>
      </c>
      <c r="H3419">
        <v>0.374602932055071</v>
      </c>
      <c r="I3419">
        <v>0.37250394557592498</v>
      </c>
      <c r="J3419">
        <v>0.46656653378962698</v>
      </c>
      <c r="K3419">
        <v>0.45974220762188001</v>
      </c>
      <c r="L3419">
        <v>808.62493784759999</v>
      </c>
      <c r="M3419">
        <v>17.0132472741141</v>
      </c>
      <c r="N3419">
        <v>52.866068858920997</v>
      </c>
      <c r="O3419">
        <v>46.887075286614298</v>
      </c>
      <c r="P3419">
        <v>-5.3502355788781299E-2</v>
      </c>
      <c r="Q3419">
        <v>0.41024466548585098</v>
      </c>
      <c r="R3419">
        <v>0.968375015605484</v>
      </c>
      <c r="S3419" t="s">
        <v>7715</v>
      </c>
      <c r="T3419" t="s">
        <v>8590</v>
      </c>
      <c r="U3419" t="s">
        <v>8590</v>
      </c>
      <c r="V3419" t="s">
        <v>8590</v>
      </c>
      <c r="W3419">
        <v>7</v>
      </c>
      <c r="X3419" t="s">
        <v>12009</v>
      </c>
      <c r="Y3419">
        <v>0.57023839635341234</v>
      </c>
      <c r="Z3419" t="str">
        <f>HYPERLINK("Melting_Curves/meltCurve_sp_Q9UKS6_PACN3_HUMAN_.pdf", "Melting_Curves/meltCurve_sp_Q9UKS6_PACN3_HUMAN_.pdf")</f>
        <v>Melting_Curves/meltCurve_sp_Q9UKS6_PACN3_HUMAN_.pdf</v>
      </c>
      <c r="AA3419" t="s">
        <v>16255</v>
      </c>
      <c r="AB3419" t="s">
        <v>20502</v>
      </c>
    </row>
    <row r="3420" spans="1:28" x14ac:dyDescent="0.25">
      <c r="A3420" t="s">
        <v>3424</v>
      </c>
      <c r="B3420">
        <v>0.99876560204751996</v>
      </c>
      <c r="C3420">
        <v>0.900725107024546</v>
      </c>
      <c r="D3420">
        <v>0.846184902938519</v>
      </c>
      <c r="E3420">
        <v>0.62027698912987905</v>
      </c>
      <c r="F3420">
        <v>0.39015604015257399</v>
      </c>
      <c r="G3420">
        <v>0.20932881394165301</v>
      </c>
      <c r="H3420">
        <v>0.17300927212048101</v>
      </c>
      <c r="I3420">
        <v>0.158224841633271</v>
      </c>
      <c r="J3420">
        <v>0.16062007471373599</v>
      </c>
      <c r="K3420">
        <v>0.13051355213152699</v>
      </c>
      <c r="L3420">
        <v>819.49975824381897</v>
      </c>
      <c r="M3420">
        <v>16.259854708789501</v>
      </c>
      <c r="N3420">
        <v>51.309476685447002</v>
      </c>
      <c r="O3420">
        <v>49.656341788522298</v>
      </c>
      <c r="P3420">
        <v>-7.1620096337899605E-2</v>
      </c>
      <c r="Q3420">
        <v>0.12517540189053999</v>
      </c>
      <c r="R3420">
        <v>0.99536704984244495</v>
      </c>
      <c r="S3420" t="s">
        <v>7716</v>
      </c>
      <c r="T3420" t="s">
        <v>8590</v>
      </c>
      <c r="U3420" t="s">
        <v>8590</v>
      </c>
      <c r="V3420" t="s">
        <v>8590</v>
      </c>
      <c r="W3420">
        <v>2</v>
      </c>
      <c r="X3420" t="s">
        <v>12010</v>
      </c>
      <c r="Y3420">
        <v>0.44632753672479109</v>
      </c>
      <c r="Z3420" t="str">
        <f>HYPERLINK("Melting_Curves/meltCurve_sp_Q9UKT5_FBX4_HUMAN_.pdf", "Melting_Curves/meltCurve_sp_Q9UKT5_FBX4_HUMAN_.pdf")</f>
        <v>Melting_Curves/meltCurve_sp_Q9UKT5_FBX4_HUMAN_.pdf</v>
      </c>
      <c r="AA3420" t="s">
        <v>16256</v>
      </c>
      <c r="AB3420" t="s">
        <v>20503</v>
      </c>
    </row>
    <row r="3421" spans="1:28" x14ac:dyDescent="0.25">
      <c r="A3421" t="s">
        <v>3425</v>
      </c>
      <c r="B3421">
        <v>0.99876560204751996</v>
      </c>
      <c r="C3421">
        <v>1.0703463304824099</v>
      </c>
      <c r="D3421">
        <v>0.993568460224312</v>
      </c>
      <c r="E3421">
        <v>0.99276142104920595</v>
      </c>
      <c r="F3421">
        <v>0.80521522583469696</v>
      </c>
      <c r="G3421">
        <v>0.41263730841363799</v>
      </c>
      <c r="H3421">
        <v>0.144439194357945</v>
      </c>
      <c r="I3421">
        <v>8.8746646885648497E-2</v>
      </c>
      <c r="J3421">
        <v>6.7403140301195499E-2</v>
      </c>
      <c r="K3421">
        <v>6.0072399105446303E-2</v>
      </c>
      <c r="L3421">
        <v>1497.3929937222799</v>
      </c>
      <c r="M3421">
        <v>26.798438100668701</v>
      </c>
      <c r="N3421">
        <v>56.129028202171</v>
      </c>
      <c r="O3421">
        <v>55.567770317472998</v>
      </c>
      <c r="P3421">
        <v>-0.113711253185383</v>
      </c>
      <c r="Q3421">
        <v>5.6868011157953202E-2</v>
      </c>
      <c r="R3421">
        <v>0.99649287305426704</v>
      </c>
      <c r="S3421" t="s">
        <v>7717</v>
      </c>
      <c r="T3421" t="s">
        <v>8590</v>
      </c>
      <c r="U3421" t="s">
        <v>8590</v>
      </c>
      <c r="V3421" t="s">
        <v>8590</v>
      </c>
      <c r="W3421">
        <v>20</v>
      </c>
      <c r="X3421" t="s">
        <v>12011</v>
      </c>
      <c r="Y3421">
        <v>0.56367655692768515</v>
      </c>
      <c r="Z3421" t="str">
        <f>HYPERLINK("Melting_Curves/meltCurve_sp_Q9UKU7_ACAD8_HUMAN_.pdf", "Melting_Curves/meltCurve_sp_Q9UKU7_ACAD8_HUMAN_.pdf")</f>
        <v>Melting_Curves/meltCurve_sp_Q9UKU7_ACAD8_HUMAN_.pdf</v>
      </c>
      <c r="AA3421" t="s">
        <v>16257</v>
      </c>
      <c r="AB3421" t="s">
        <v>20504</v>
      </c>
    </row>
    <row r="3422" spans="1:28" x14ac:dyDescent="0.25">
      <c r="A3422" t="s">
        <v>3426</v>
      </c>
      <c r="B3422">
        <v>0.99876560204751996</v>
      </c>
      <c r="C3422">
        <v>1.0133203614217201</v>
      </c>
      <c r="D3422">
        <v>0.94770081151975305</v>
      </c>
      <c r="E3422">
        <v>0.89789436360078501</v>
      </c>
      <c r="F3422">
        <v>0.805600559784447</v>
      </c>
      <c r="G3422">
        <v>0.65261313391626297</v>
      </c>
      <c r="H3422">
        <v>0.50088530237008999</v>
      </c>
      <c r="I3422">
        <v>0.461888648309559</v>
      </c>
      <c r="J3422">
        <v>0.45963214358664101</v>
      </c>
      <c r="K3422">
        <v>0.215792874725519</v>
      </c>
      <c r="L3422">
        <v>509.128777220622</v>
      </c>
      <c r="M3422">
        <v>8.1813032273097708</v>
      </c>
      <c r="N3422">
        <v>62.230764791361501</v>
      </c>
      <c r="O3422">
        <v>58.844363384432803</v>
      </c>
      <c r="P3422">
        <v>-3.4794383617807699E-2</v>
      </c>
      <c r="Q3422">
        <v>0</v>
      </c>
      <c r="R3422">
        <v>0.97122367198485504</v>
      </c>
      <c r="S3422" t="s">
        <v>7718</v>
      </c>
      <c r="T3422" t="s">
        <v>8590</v>
      </c>
      <c r="U3422" t="s">
        <v>8590</v>
      </c>
      <c r="V3422" t="s">
        <v>8590</v>
      </c>
      <c r="W3422">
        <v>17</v>
      </c>
      <c r="X3422" t="s">
        <v>12012</v>
      </c>
      <c r="Y3422">
        <v>0.70332869377682961</v>
      </c>
      <c r="Z3422" t="str">
        <f>HYPERLINK("Melting_Curves/meltCurve_sp_Q9UKV8_AGO2_HUMAN_.pdf", "Melting_Curves/meltCurve_sp_Q9UKV8_AGO2_HUMAN_.pdf")</f>
        <v>Melting_Curves/meltCurve_sp_Q9UKV8_AGO2_HUMAN_.pdf</v>
      </c>
      <c r="AA3422" t="s">
        <v>16258</v>
      </c>
      <c r="AB3422" t="s">
        <v>20505</v>
      </c>
    </row>
    <row r="3423" spans="1:28" x14ac:dyDescent="0.25">
      <c r="A3423" t="s">
        <v>3427</v>
      </c>
      <c r="B3423">
        <v>0.99876560204751996</v>
      </c>
      <c r="C3423">
        <v>1.05964176617908</v>
      </c>
      <c r="D3423">
        <v>1.06227472018169</v>
      </c>
      <c r="E3423">
        <v>0.98166689560710096</v>
      </c>
      <c r="F3423">
        <v>0.90512210098922896</v>
      </c>
      <c r="G3423">
        <v>0.710138077155127</v>
      </c>
      <c r="H3423">
        <v>0.557213711824047</v>
      </c>
      <c r="I3423">
        <v>0.52078833561292204</v>
      </c>
      <c r="J3423">
        <v>0.63152322325604904</v>
      </c>
      <c r="K3423">
        <v>0.59470745793071</v>
      </c>
      <c r="L3423">
        <v>1804.0295518308701</v>
      </c>
      <c r="M3423">
        <v>32.616679490249297</v>
      </c>
      <c r="O3423">
        <v>55.103362621142402</v>
      </c>
      <c r="P3423">
        <v>-6.3198161330595401E-2</v>
      </c>
      <c r="Q3423">
        <v>0.57292833099891005</v>
      </c>
      <c r="R3423">
        <v>0.96256475308862</v>
      </c>
      <c r="S3423" t="s">
        <v>7719</v>
      </c>
      <c r="T3423" t="s">
        <v>8590</v>
      </c>
      <c r="U3423" t="s">
        <v>8590</v>
      </c>
      <c r="V3423" t="s">
        <v>8590</v>
      </c>
      <c r="W3423">
        <v>11</v>
      </c>
      <c r="X3423" t="s">
        <v>12013</v>
      </c>
      <c r="Y3423">
        <v>0.79330044530840915</v>
      </c>
      <c r="Z3423" t="str">
        <f>HYPERLINK("Melting_Curves/meltCurve_sp_Q9UKX7_NUP50_HUMAN_.pdf", "Melting_Curves/meltCurve_sp_Q9UKX7_NUP50_HUMAN_.pdf")</f>
        <v>Melting_Curves/meltCurve_sp_Q9UKX7_NUP50_HUMAN_.pdf</v>
      </c>
      <c r="AA3423" t="s">
        <v>16259</v>
      </c>
      <c r="AB3423" t="s">
        <v>20506</v>
      </c>
    </row>
    <row r="3424" spans="1:28" x14ac:dyDescent="0.25">
      <c r="A3424" t="s">
        <v>3428</v>
      </c>
      <c r="B3424">
        <v>0.99876560204751996</v>
      </c>
      <c r="C3424">
        <v>0.92638804054011004</v>
      </c>
      <c r="D3424">
        <v>1.10308135491256</v>
      </c>
      <c r="E3424">
        <v>0.94560297052833198</v>
      </c>
      <c r="F3424">
        <v>1.02142169045969</v>
      </c>
      <c r="G3424">
        <v>0.82146734370809205</v>
      </c>
      <c r="H3424">
        <v>0.73621195068354695</v>
      </c>
      <c r="I3424">
        <v>0.81994052188997102</v>
      </c>
      <c r="J3424">
        <v>1.03970041065984</v>
      </c>
      <c r="K3424">
        <v>1.01535904002205</v>
      </c>
      <c r="L3424">
        <v>5669.9488639948104</v>
      </c>
      <c r="M3424">
        <v>103.77441828686401</v>
      </c>
      <c r="O3424">
        <v>54.616969341297903</v>
      </c>
      <c r="P3424">
        <v>-5.38727383367371E-2</v>
      </c>
      <c r="Q3424">
        <v>0.88658609385936904</v>
      </c>
      <c r="R3424">
        <v>0.25514007881511602</v>
      </c>
      <c r="S3424" t="s">
        <v>7720</v>
      </c>
      <c r="T3424" t="s">
        <v>8590</v>
      </c>
      <c r="U3424" t="s">
        <v>8590</v>
      </c>
      <c r="V3424" t="s">
        <v>8590</v>
      </c>
      <c r="W3424">
        <v>6</v>
      </c>
      <c r="X3424" t="s">
        <v>12014</v>
      </c>
      <c r="Y3424">
        <v>0.94198486636416767</v>
      </c>
      <c r="Z3424" t="str">
        <f>HYPERLINK("Melting_Curves/meltCurve_sp_Q9UKY7_2_CDV3_HUMAN_.pdf", "Melting_Curves/meltCurve_sp_Q9UKY7_2_CDV3_HUMAN_.pdf")</f>
        <v>Melting_Curves/meltCurve_sp_Q9UKY7_2_CDV3_HUMAN_.pdf</v>
      </c>
      <c r="AA3424" t="s">
        <v>16260</v>
      </c>
      <c r="AB3424" t="s">
        <v>20507</v>
      </c>
    </row>
    <row r="3425" spans="1:28" x14ac:dyDescent="0.25">
      <c r="A3425" t="s">
        <v>3429</v>
      </c>
      <c r="B3425">
        <v>0.99876560204751996</v>
      </c>
      <c r="C3425">
        <v>0.94970181224033901</v>
      </c>
      <c r="D3425">
        <v>0.82244450342071695</v>
      </c>
      <c r="E3425">
        <v>0.45506761063875101</v>
      </c>
      <c r="F3425">
        <v>0.155467610550618</v>
      </c>
      <c r="G3425">
        <v>9.2995824712670094E-2</v>
      </c>
      <c r="H3425">
        <v>5.8239024064001998E-2</v>
      </c>
      <c r="I3425">
        <v>4.6537637113907702E-2</v>
      </c>
      <c r="J3425">
        <v>4.3974361396488401E-2</v>
      </c>
      <c r="K3425">
        <v>3.5336023267616597E-2</v>
      </c>
      <c r="L3425">
        <v>1116.9476195747</v>
      </c>
      <c r="M3425">
        <v>22.726929886914</v>
      </c>
      <c r="N3425">
        <v>49.325639144321798</v>
      </c>
      <c r="O3425">
        <v>48.770668526163</v>
      </c>
      <c r="P3425">
        <v>-0.111884808149399</v>
      </c>
      <c r="Q3425">
        <v>3.9625566736951702E-2</v>
      </c>
      <c r="R3425">
        <v>0.99806180136763401</v>
      </c>
      <c r="S3425" t="s">
        <v>7721</v>
      </c>
      <c r="T3425" t="s">
        <v>8590</v>
      </c>
      <c r="U3425" t="s">
        <v>8590</v>
      </c>
      <c r="V3425" t="s">
        <v>8590</v>
      </c>
      <c r="W3425">
        <v>47</v>
      </c>
      <c r="X3425" t="s">
        <v>12015</v>
      </c>
      <c r="Y3425">
        <v>0.34278332827324232</v>
      </c>
      <c r="Z3425" t="str">
        <f>HYPERLINK("Melting_Curves/meltCurve_sp_Q9UL12_SARDH_HUMAN_.pdf", "Melting_Curves/meltCurve_sp_Q9UL12_SARDH_HUMAN_.pdf")</f>
        <v>Melting_Curves/meltCurve_sp_Q9UL12_SARDH_HUMAN_.pdf</v>
      </c>
      <c r="AA3425" t="s">
        <v>16261</v>
      </c>
      <c r="AB3425" t="s">
        <v>20508</v>
      </c>
    </row>
    <row r="3426" spans="1:28" x14ac:dyDescent="0.25">
      <c r="A3426" t="s">
        <v>3430</v>
      </c>
      <c r="B3426">
        <v>0.99876560204751996</v>
      </c>
      <c r="C3426">
        <v>0.942339712493517</v>
      </c>
      <c r="D3426">
        <v>1.0199380581842099</v>
      </c>
      <c r="E3426">
        <v>0.67484381973430896</v>
      </c>
      <c r="F3426">
        <v>0.34657865486043099</v>
      </c>
      <c r="G3426">
        <v>0.13742637853945</v>
      </c>
      <c r="H3426">
        <v>6.8376762222486606E-2</v>
      </c>
      <c r="I3426">
        <v>4.5493170660007798E-2</v>
      </c>
      <c r="J3426">
        <v>3.9816611779548303E-2</v>
      </c>
      <c r="K3426">
        <v>3.0536988749744299E-2</v>
      </c>
      <c r="L3426">
        <v>1330.75936729828</v>
      </c>
      <c r="M3426">
        <v>25.871631244267501</v>
      </c>
      <c r="N3426">
        <v>51.620423732923499</v>
      </c>
      <c r="O3426">
        <v>51.132653759795197</v>
      </c>
      <c r="P3426">
        <v>-0.1209395954052</v>
      </c>
      <c r="Q3426">
        <v>4.39119674501934E-2</v>
      </c>
      <c r="R3426">
        <v>0.99534361556664597</v>
      </c>
      <c r="S3426" t="s">
        <v>7722</v>
      </c>
      <c r="T3426" t="s">
        <v>8590</v>
      </c>
      <c r="U3426" t="s">
        <v>8590</v>
      </c>
      <c r="V3426" t="s">
        <v>8590</v>
      </c>
      <c r="W3426">
        <v>5</v>
      </c>
      <c r="X3426" t="s">
        <v>12016</v>
      </c>
      <c r="Y3426">
        <v>0.41652063901095782</v>
      </c>
      <c r="Z3426" t="str">
        <f>HYPERLINK("Melting_Curves/meltCurve_sp_Q9UL25_RAB21_HUMAN_.pdf", "Melting_Curves/meltCurve_sp_Q9UL25_RAB21_HUMAN_.pdf")</f>
        <v>Melting_Curves/meltCurve_sp_Q9UL25_RAB21_HUMAN_.pdf</v>
      </c>
      <c r="AA3426" t="s">
        <v>16262</v>
      </c>
      <c r="AB3426" t="s">
        <v>20509</v>
      </c>
    </row>
    <row r="3427" spans="1:28" x14ac:dyDescent="0.25">
      <c r="A3427" t="s">
        <v>3431</v>
      </c>
      <c r="B3427">
        <v>0.99876560204751996</v>
      </c>
      <c r="C3427">
        <v>0.92653490885924505</v>
      </c>
      <c r="D3427">
        <v>0.75223744611541599</v>
      </c>
      <c r="E3427">
        <v>0.72606014913513395</v>
      </c>
      <c r="F3427">
        <v>0.50930993210602904</v>
      </c>
      <c r="G3427">
        <v>0.220213408518178</v>
      </c>
      <c r="H3427">
        <v>0.11656029156862401</v>
      </c>
      <c r="I3427">
        <v>0.101240309692696</v>
      </c>
      <c r="J3427">
        <v>4.7960245334449397E-2</v>
      </c>
      <c r="K3427">
        <v>8.3868613091251806E-2</v>
      </c>
      <c r="L3427">
        <v>654.35135319764504</v>
      </c>
      <c r="M3427">
        <v>12.462420756046599</v>
      </c>
      <c r="N3427">
        <v>52.505975489110497</v>
      </c>
      <c r="O3427">
        <v>51.209006873153399</v>
      </c>
      <c r="P3427">
        <v>-6.0853627263943499E-2</v>
      </c>
      <c r="Q3427">
        <v>0</v>
      </c>
      <c r="R3427">
        <v>0.98147938043419203</v>
      </c>
      <c r="S3427" t="s">
        <v>7723</v>
      </c>
      <c r="T3427" t="s">
        <v>8590</v>
      </c>
      <c r="U3427" t="s">
        <v>8590</v>
      </c>
      <c r="V3427" t="s">
        <v>8590</v>
      </c>
      <c r="W3427">
        <v>2</v>
      </c>
      <c r="X3427" t="s">
        <v>12017</v>
      </c>
      <c r="Y3427">
        <v>0.44507510837563552</v>
      </c>
      <c r="Z3427" t="str">
        <f>HYPERLINK("Melting_Curves/meltCurve_sp_Q9UL26_RB22A_HUMAN_.pdf", "Melting_Curves/meltCurve_sp_Q9UL26_RB22A_HUMAN_.pdf")</f>
        <v>Melting_Curves/meltCurve_sp_Q9UL26_RB22A_HUMAN_.pdf</v>
      </c>
      <c r="AA3427" t="s">
        <v>16263</v>
      </c>
      <c r="AB3427" t="s">
        <v>20510</v>
      </c>
    </row>
    <row r="3428" spans="1:28" x14ac:dyDescent="0.25">
      <c r="A3428" t="s">
        <v>3432</v>
      </c>
      <c r="B3428">
        <v>0.99876560204751996</v>
      </c>
      <c r="C3428">
        <v>0.87408118567675097</v>
      </c>
      <c r="D3428">
        <v>0.99001192512819503</v>
      </c>
      <c r="E3428">
        <v>0.63658231585625902</v>
      </c>
      <c r="F3428">
        <v>0.322549228380207</v>
      </c>
      <c r="G3428">
        <v>0.10735074038112701</v>
      </c>
      <c r="H3428">
        <v>4.3075579884533602E-2</v>
      </c>
      <c r="I3428">
        <v>3.5053850392069298E-2</v>
      </c>
      <c r="J3428">
        <v>2.43138292655392E-2</v>
      </c>
      <c r="K3428">
        <v>2.3613105562683201E-2</v>
      </c>
      <c r="L3428">
        <v>1238.0148207499601</v>
      </c>
      <c r="M3428">
        <v>24.189333478189301</v>
      </c>
      <c r="N3428">
        <v>51.288242997453303</v>
      </c>
      <c r="O3428">
        <v>50.834254465707602</v>
      </c>
      <c r="P3428">
        <v>-0.116008468432653</v>
      </c>
      <c r="Q3428">
        <v>2.4840659092215101E-2</v>
      </c>
      <c r="R3428">
        <v>0.98991214634429903</v>
      </c>
      <c r="S3428" t="s">
        <v>7724</v>
      </c>
      <c r="T3428" t="s">
        <v>8590</v>
      </c>
      <c r="U3428" t="s">
        <v>8590</v>
      </c>
      <c r="V3428" t="s">
        <v>8590</v>
      </c>
      <c r="W3428">
        <v>1</v>
      </c>
      <c r="X3428" t="s">
        <v>12018</v>
      </c>
      <c r="Y3428">
        <v>0.39767064651144479</v>
      </c>
      <c r="Z3428" t="str">
        <f>HYPERLINK("Melting_Curves/meltCurve_sp_Q9UL42_PNMA2_HUMAN_.pdf", "Melting_Curves/meltCurve_sp_Q9UL42_PNMA2_HUMAN_.pdf")</f>
        <v>Melting_Curves/meltCurve_sp_Q9UL42_PNMA2_HUMAN_.pdf</v>
      </c>
      <c r="AA3428" t="s">
        <v>16264</v>
      </c>
      <c r="AB3428" t="s">
        <v>20511</v>
      </c>
    </row>
    <row r="3429" spans="1:28" x14ac:dyDescent="0.25">
      <c r="A3429" t="s">
        <v>3433</v>
      </c>
      <c r="B3429">
        <v>0.99876560204751996</v>
      </c>
      <c r="C3429">
        <v>1.01676577480148</v>
      </c>
      <c r="D3429">
        <v>1.01399215663369</v>
      </c>
      <c r="E3429">
        <v>1.0401676278177701</v>
      </c>
      <c r="F3429">
        <v>1.0184174651124001</v>
      </c>
      <c r="G3429">
        <v>0.84978063656385905</v>
      </c>
      <c r="H3429">
        <v>0.55450560507589697</v>
      </c>
      <c r="I3429">
        <v>0.38758801546746602</v>
      </c>
      <c r="J3429">
        <v>0.22976379876028299</v>
      </c>
      <c r="K3429">
        <v>0.12642481135554701</v>
      </c>
      <c r="L3429">
        <v>1302.4312671021901</v>
      </c>
      <c r="M3429">
        <v>21.161943959111099</v>
      </c>
      <c r="N3429">
        <v>62.042406628390502</v>
      </c>
      <c r="O3429">
        <v>61.0042350115285</v>
      </c>
      <c r="P3429">
        <v>-7.9970305124587596E-2</v>
      </c>
      <c r="Q3429">
        <v>7.7891837601704594E-2</v>
      </c>
      <c r="R3429">
        <v>0.99414193860753997</v>
      </c>
      <c r="S3429" t="s">
        <v>7725</v>
      </c>
      <c r="T3429" t="s">
        <v>8590</v>
      </c>
      <c r="U3429" t="s">
        <v>8590</v>
      </c>
      <c r="V3429" t="s">
        <v>8590</v>
      </c>
      <c r="W3429">
        <v>13</v>
      </c>
      <c r="X3429" t="s">
        <v>12019</v>
      </c>
      <c r="Y3429">
        <v>0.74471461479406298</v>
      </c>
      <c r="Z3429" t="str">
        <f>HYPERLINK("Melting_Curves/meltCurve_sp_Q9UL46_PSME2_HUMAN_.pdf", "Melting_Curves/meltCurve_sp_Q9UL46_PSME2_HUMAN_.pdf")</f>
        <v>Melting_Curves/meltCurve_sp_Q9UL46_PSME2_HUMAN_.pdf</v>
      </c>
      <c r="AA3429" t="s">
        <v>16265</v>
      </c>
      <c r="AB3429" t="s">
        <v>20512</v>
      </c>
    </row>
    <row r="3430" spans="1:28" x14ac:dyDescent="0.25">
      <c r="A3430" t="s">
        <v>3434</v>
      </c>
      <c r="B3430">
        <v>0.99876560204751996</v>
      </c>
      <c r="C3430">
        <v>1.0724141789758199</v>
      </c>
      <c r="D3430">
        <v>1.0198883621006001</v>
      </c>
      <c r="E3430">
        <v>1.0132030920315001</v>
      </c>
      <c r="F3430">
        <v>0.88485063359320304</v>
      </c>
      <c r="G3430">
        <v>0.68851998057345798</v>
      </c>
      <c r="H3430">
        <v>0.55315450237036601</v>
      </c>
      <c r="I3430">
        <v>0.49191278457562798</v>
      </c>
      <c r="J3430">
        <v>0.60163103123192796</v>
      </c>
      <c r="K3430">
        <v>0.47172802270373998</v>
      </c>
      <c r="L3430">
        <v>1566.1170401268801</v>
      </c>
      <c r="M3430">
        <v>28.159128182643101</v>
      </c>
      <c r="O3430">
        <v>55.338459807425998</v>
      </c>
      <c r="P3430">
        <v>-6.1432475629916501E-2</v>
      </c>
      <c r="Q3430">
        <v>0.51709450359088904</v>
      </c>
      <c r="R3430">
        <v>0.96714522473638997</v>
      </c>
      <c r="S3430" t="s">
        <v>7726</v>
      </c>
      <c r="T3430" t="s">
        <v>8590</v>
      </c>
      <c r="U3430" t="s">
        <v>8590</v>
      </c>
      <c r="V3430" t="s">
        <v>8590</v>
      </c>
      <c r="W3430">
        <v>18</v>
      </c>
      <c r="X3430" t="s">
        <v>12020</v>
      </c>
      <c r="Y3430">
        <v>0.7720853897409985</v>
      </c>
      <c r="Z3430" t="str">
        <f>HYPERLINK("Melting_Curves/meltCurve_sp_Q9ULA0_DNPEP_HUMAN_.pdf", "Melting_Curves/meltCurve_sp_Q9ULA0_DNPEP_HUMAN_.pdf")</f>
        <v>Melting_Curves/meltCurve_sp_Q9ULA0_DNPEP_HUMAN_.pdf</v>
      </c>
      <c r="AA3430" t="s">
        <v>16266</v>
      </c>
      <c r="AB3430" t="s">
        <v>20513</v>
      </c>
    </row>
    <row r="3431" spans="1:28" x14ac:dyDescent="0.25">
      <c r="A3431" t="s">
        <v>3435</v>
      </c>
      <c r="B3431">
        <v>0.99876560204751996</v>
      </c>
      <c r="C3431">
        <v>0.96798643529120298</v>
      </c>
      <c r="D3431">
        <v>1.0444135862845401</v>
      </c>
      <c r="E3431">
        <v>0.84021314222824905</v>
      </c>
      <c r="F3431">
        <v>0.58339134708354801</v>
      </c>
      <c r="G3431">
        <v>0.247077391002962</v>
      </c>
      <c r="H3431">
        <v>8.0595913938762906E-2</v>
      </c>
      <c r="I3431">
        <v>5.8586671179899699E-2</v>
      </c>
      <c r="J3431">
        <v>6.0017506381613503E-2</v>
      </c>
      <c r="K3431">
        <v>5.0478903968427802E-2</v>
      </c>
      <c r="L3431">
        <v>1268.56330236861</v>
      </c>
      <c r="M3431">
        <v>23.660866131626399</v>
      </c>
      <c r="N3431">
        <v>53.824014720658099</v>
      </c>
      <c r="O3431">
        <v>53.235835463276999</v>
      </c>
      <c r="P3431">
        <v>-0.10622481895542001</v>
      </c>
      <c r="Q3431">
        <v>4.4012623790318103E-2</v>
      </c>
      <c r="R3431">
        <v>0.99675110156060498</v>
      </c>
      <c r="S3431" t="s">
        <v>7727</v>
      </c>
      <c r="T3431" t="s">
        <v>8590</v>
      </c>
      <c r="U3431" t="s">
        <v>8590</v>
      </c>
      <c r="V3431" t="s">
        <v>8590</v>
      </c>
      <c r="W3431">
        <v>7</v>
      </c>
      <c r="X3431" t="s">
        <v>12021</v>
      </c>
      <c r="Y3431">
        <v>0.48761985576774242</v>
      </c>
      <c r="Z3431" t="str">
        <f>HYPERLINK("Melting_Curves/meltCurve_sp_Q9ULC4_MCTS1_HUMAN_.pdf", "Melting_Curves/meltCurve_sp_Q9ULC4_MCTS1_HUMAN_.pdf")</f>
        <v>Melting_Curves/meltCurve_sp_Q9ULC4_MCTS1_HUMAN_.pdf</v>
      </c>
      <c r="AA3431" t="s">
        <v>16267</v>
      </c>
      <c r="AB3431" t="s">
        <v>20514</v>
      </c>
    </row>
    <row r="3432" spans="1:28" x14ac:dyDescent="0.25">
      <c r="A3432" t="s">
        <v>3436</v>
      </c>
      <c r="B3432">
        <v>0.99876560204751996</v>
      </c>
      <c r="C3432">
        <v>0.94454564252190099</v>
      </c>
      <c r="D3432">
        <v>0.65369920915204305</v>
      </c>
      <c r="E3432">
        <v>0.46074217810359702</v>
      </c>
      <c r="F3432">
        <v>0.25886438574044401</v>
      </c>
      <c r="G3432">
        <v>0.15286185304140601</v>
      </c>
      <c r="H3432">
        <v>9.1428723258443506E-2</v>
      </c>
      <c r="I3432">
        <v>8.5625338322345201E-2</v>
      </c>
      <c r="J3432">
        <v>6.8768915011100898E-2</v>
      </c>
      <c r="K3432">
        <v>6.3116697377648606E-2</v>
      </c>
      <c r="L3432">
        <v>746.52811510494496</v>
      </c>
      <c r="M3432">
        <v>15.3676760344194</v>
      </c>
      <c r="N3432">
        <v>48.975614018987201</v>
      </c>
      <c r="O3432">
        <v>47.777534575308799</v>
      </c>
      <c r="P3432">
        <v>-7.5701555487842104E-2</v>
      </c>
      <c r="Q3432">
        <v>5.8673181015987202E-2</v>
      </c>
      <c r="R3432">
        <v>0.99214038415894301</v>
      </c>
      <c r="S3432" t="s">
        <v>7728</v>
      </c>
      <c r="T3432" t="s">
        <v>8590</v>
      </c>
      <c r="U3432" t="s">
        <v>8590</v>
      </c>
      <c r="V3432" t="s">
        <v>8590</v>
      </c>
      <c r="W3432">
        <v>17</v>
      </c>
      <c r="X3432" t="s">
        <v>12022</v>
      </c>
      <c r="Y3432">
        <v>0.35036160415382223</v>
      </c>
      <c r="Z3432" t="str">
        <f>HYPERLINK("Melting_Curves/meltCurve_sp_Q9ULC5_ACSL5_HUMAN_.pdf", "Melting_Curves/meltCurve_sp_Q9ULC5_ACSL5_HUMAN_.pdf")</f>
        <v>Melting_Curves/meltCurve_sp_Q9ULC5_ACSL5_HUMAN_.pdf</v>
      </c>
      <c r="AA3432" t="s">
        <v>16268</v>
      </c>
      <c r="AB3432" t="s">
        <v>20515</v>
      </c>
    </row>
    <row r="3433" spans="1:28" x14ac:dyDescent="0.25">
      <c r="A3433" t="s">
        <v>3437</v>
      </c>
      <c r="B3433">
        <v>0.99876560204751996</v>
      </c>
      <c r="C3433">
        <v>0.94894882601951203</v>
      </c>
      <c r="D3433">
        <v>0.55548878244195399</v>
      </c>
      <c r="E3433">
        <v>0.29807016495690603</v>
      </c>
      <c r="F3433">
        <v>0.15009578470353199</v>
      </c>
      <c r="G3433">
        <v>9.6568785572268098E-2</v>
      </c>
      <c r="H3433">
        <v>6.2700087604513399E-2</v>
      </c>
      <c r="I3433">
        <v>5.56258292119442E-2</v>
      </c>
      <c r="J3433">
        <v>6.6113703098865106E-2</v>
      </c>
      <c r="K3433">
        <v>4.5192550146179698E-2</v>
      </c>
      <c r="L3433">
        <v>981.74023756895394</v>
      </c>
      <c r="M3433">
        <v>20.9593807588206</v>
      </c>
      <c r="N3433">
        <v>47.143171070391297</v>
      </c>
      <c r="O3433">
        <v>46.419994692263799</v>
      </c>
      <c r="P3433">
        <v>-0.105767988948408</v>
      </c>
      <c r="Q3433">
        <v>6.3022560729383198E-2</v>
      </c>
      <c r="R3433">
        <v>0.990785536790173</v>
      </c>
      <c r="S3433" t="s">
        <v>7729</v>
      </c>
      <c r="T3433" t="s">
        <v>8590</v>
      </c>
      <c r="U3433" t="s">
        <v>8590</v>
      </c>
      <c r="V3433" t="s">
        <v>8590</v>
      </c>
      <c r="W3433">
        <v>15</v>
      </c>
      <c r="X3433" t="s">
        <v>12023</v>
      </c>
      <c r="Y3433">
        <v>0.28909815229781982</v>
      </c>
      <c r="Z3433" t="str">
        <f>HYPERLINK("Melting_Curves/meltCurve_sp_Q9ULD0_OGDHL_HUMAN_.pdf", "Melting_Curves/meltCurve_sp_Q9ULD0_OGDHL_HUMAN_.pdf")</f>
        <v>Melting_Curves/meltCurve_sp_Q9ULD0_OGDHL_HUMAN_.pdf</v>
      </c>
      <c r="AA3433" t="s">
        <v>16269</v>
      </c>
      <c r="AB3433" t="s">
        <v>20516</v>
      </c>
    </row>
    <row r="3434" spans="1:28" x14ac:dyDescent="0.25">
      <c r="A3434" t="s">
        <v>3438</v>
      </c>
      <c r="B3434">
        <v>0.99876560204751996</v>
      </c>
      <c r="C3434">
        <v>0.98710039641768599</v>
      </c>
      <c r="D3434">
        <v>0.90466562409221396</v>
      </c>
      <c r="E3434">
        <v>0.84798613068083495</v>
      </c>
      <c r="F3434">
        <v>0.70281104808837502</v>
      </c>
      <c r="G3434">
        <v>0.36712569044660798</v>
      </c>
      <c r="H3434">
        <v>0.250591322098345</v>
      </c>
      <c r="I3434">
        <v>0.23181531197784999</v>
      </c>
      <c r="J3434">
        <v>0.258588404604849</v>
      </c>
      <c r="K3434">
        <v>0.25785504497010098</v>
      </c>
      <c r="L3434">
        <v>1182.4831798401499</v>
      </c>
      <c r="M3434">
        <v>22.066768451027801</v>
      </c>
      <c r="N3434">
        <v>55.1056289408507</v>
      </c>
      <c r="O3434">
        <v>53.152360713156298</v>
      </c>
      <c r="P3434">
        <v>-8.0142476015710395E-2</v>
      </c>
      <c r="Q3434">
        <v>0.227858513164408</v>
      </c>
      <c r="R3434">
        <v>0.98951545877416203</v>
      </c>
      <c r="S3434" t="s">
        <v>7730</v>
      </c>
      <c r="T3434" t="s">
        <v>8590</v>
      </c>
      <c r="U3434" t="s">
        <v>8590</v>
      </c>
      <c r="V3434" t="s">
        <v>8590</v>
      </c>
      <c r="W3434">
        <v>5</v>
      </c>
      <c r="X3434" t="s">
        <v>12024</v>
      </c>
      <c r="Y3434">
        <v>0.58648081459576384</v>
      </c>
      <c r="Z3434" t="str">
        <f>HYPERLINK("Melting_Curves/meltCurve_sp_Q9ULD2_2_MTUS1_HUMAN_.pdf", "Melting_Curves/meltCurve_sp_Q9ULD2_2_MTUS1_HUMAN_.pdf")</f>
        <v>Melting_Curves/meltCurve_sp_Q9ULD2_2_MTUS1_HUMAN_.pdf</v>
      </c>
      <c r="AA3434" t="s">
        <v>16270</v>
      </c>
      <c r="AB3434" t="s">
        <v>20517</v>
      </c>
    </row>
    <row r="3435" spans="1:28" x14ac:dyDescent="0.25">
      <c r="A3435" t="s">
        <v>3439</v>
      </c>
      <c r="B3435">
        <v>0.99876560204751996</v>
      </c>
      <c r="C3435">
        <v>0.95857660122587396</v>
      </c>
      <c r="D3435">
        <v>0.93656603853793097</v>
      </c>
      <c r="E3435">
        <v>0.85018171842008605</v>
      </c>
      <c r="F3435">
        <v>0.82854496706862901</v>
      </c>
      <c r="G3435">
        <v>0.616744972903846</v>
      </c>
      <c r="H3435">
        <v>0.509930338502397</v>
      </c>
      <c r="I3435">
        <v>0.52509984547678601</v>
      </c>
      <c r="J3435">
        <v>0.65902133700938004</v>
      </c>
      <c r="K3435">
        <v>0.60772843065993098</v>
      </c>
      <c r="L3435">
        <v>1032.30616420519</v>
      </c>
      <c r="M3435">
        <v>19.6811922436729</v>
      </c>
      <c r="O3435">
        <v>51.918923792269801</v>
      </c>
      <c r="P3435">
        <v>-4.1091678052574902E-2</v>
      </c>
      <c r="Q3435">
        <v>0.56641635723403205</v>
      </c>
      <c r="R3435">
        <v>0.91200790618554695</v>
      </c>
      <c r="S3435" t="s">
        <v>7731</v>
      </c>
      <c r="T3435" t="s">
        <v>8590</v>
      </c>
      <c r="U3435" t="s">
        <v>8590</v>
      </c>
      <c r="V3435" t="s">
        <v>8590</v>
      </c>
      <c r="W3435">
        <v>4</v>
      </c>
      <c r="X3435" t="s">
        <v>12025</v>
      </c>
      <c r="Y3435">
        <v>0.75253120726465339</v>
      </c>
      <c r="Z3435" t="str">
        <f>HYPERLINK("Melting_Curves/meltCurve_sp_Q9ULH7_4_MKL2_HUMAN_.pdf", "Melting_Curves/meltCurve_sp_Q9ULH7_4_MKL2_HUMAN_.pdf")</f>
        <v>Melting_Curves/meltCurve_sp_Q9ULH7_4_MKL2_HUMAN_.pdf</v>
      </c>
      <c r="AA3435" t="s">
        <v>16271</v>
      </c>
      <c r="AB3435" t="s">
        <v>20518</v>
      </c>
    </row>
    <row r="3436" spans="1:28" x14ac:dyDescent="0.25">
      <c r="A3436" t="s">
        <v>3440</v>
      </c>
      <c r="B3436">
        <v>0.99876560204751996</v>
      </c>
      <c r="C3436">
        <v>0.91074719337117505</v>
      </c>
      <c r="D3436">
        <v>0.92615667102491595</v>
      </c>
      <c r="E3436">
        <v>0.81750195867455699</v>
      </c>
      <c r="F3436">
        <v>0.51756933770217495</v>
      </c>
      <c r="G3436">
        <v>0.41160205317437998</v>
      </c>
      <c r="H3436">
        <v>0.28751686406080901</v>
      </c>
      <c r="I3436">
        <v>0.31716140652514502</v>
      </c>
      <c r="J3436">
        <v>0.35560312155127399</v>
      </c>
      <c r="K3436">
        <v>0.30100397516357102</v>
      </c>
      <c r="L3436">
        <v>1190.09840939015</v>
      </c>
      <c r="M3436">
        <v>23.068386277103599</v>
      </c>
      <c r="N3436">
        <v>53.8667452429234</v>
      </c>
      <c r="O3436">
        <v>51.207020582275703</v>
      </c>
      <c r="P3436">
        <v>-7.7553230343407206E-2</v>
      </c>
      <c r="Q3436">
        <v>0.311404574678389</v>
      </c>
      <c r="R3436">
        <v>0.97987683811542803</v>
      </c>
      <c r="S3436" t="s">
        <v>7732</v>
      </c>
      <c r="T3436" t="s">
        <v>8590</v>
      </c>
      <c r="U3436" t="s">
        <v>8590</v>
      </c>
      <c r="V3436" t="s">
        <v>8590</v>
      </c>
      <c r="W3436">
        <v>2</v>
      </c>
      <c r="X3436" t="s">
        <v>12026</v>
      </c>
      <c r="Y3436">
        <v>0.58474119207463437</v>
      </c>
      <c r="Z3436" t="str">
        <f>HYPERLINK("Melting_Curves/meltCurve_sp_Q9ULJ3_2_ZBT21_HUMAN_.pdf", "Melting_Curves/meltCurve_sp_Q9ULJ3_2_ZBT21_HUMAN_.pdf")</f>
        <v>Melting_Curves/meltCurve_sp_Q9ULJ3_2_ZBT21_HUMAN_.pdf</v>
      </c>
      <c r="AA3436" t="s">
        <v>16272</v>
      </c>
      <c r="AB3436" t="s">
        <v>20519</v>
      </c>
    </row>
    <row r="3437" spans="1:28" x14ac:dyDescent="0.25">
      <c r="A3437" t="s">
        <v>3441</v>
      </c>
      <c r="B3437">
        <v>0.99876560204751996</v>
      </c>
      <c r="C3437">
        <v>1.04401877397781</v>
      </c>
      <c r="D3437">
        <v>0.876481108019174</v>
      </c>
      <c r="E3437">
        <v>1.03792771037836</v>
      </c>
      <c r="F3437">
        <v>0.764473876286763</v>
      </c>
      <c r="G3437">
        <v>0.650162493327053</v>
      </c>
      <c r="H3437">
        <v>0.34556346228482698</v>
      </c>
      <c r="I3437">
        <v>0.235880549132478</v>
      </c>
      <c r="J3437">
        <v>0.18177097229164199</v>
      </c>
      <c r="K3437">
        <v>0.129483340770296</v>
      </c>
      <c r="L3437">
        <v>948.21834296275097</v>
      </c>
      <c r="M3437">
        <v>16.330307851242299</v>
      </c>
      <c r="N3437">
        <v>58.661191389766898</v>
      </c>
      <c r="O3437">
        <v>57.215168629761997</v>
      </c>
      <c r="P3437">
        <v>-6.5902986414211495E-2</v>
      </c>
      <c r="Q3437">
        <v>7.64711376912207E-2</v>
      </c>
      <c r="R3437">
        <v>0.97382457144675505</v>
      </c>
      <c r="S3437" t="s">
        <v>7733</v>
      </c>
      <c r="T3437" t="s">
        <v>8590</v>
      </c>
      <c r="U3437" t="s">
        <v>8590</v>
      </c>
      <c r="V3437" t="s">
        <v>8590</v>
      </c>
      <c r="W3437">
        <v>3</v>
      </c>
      <c r="X3437" t="s">
        <v>12027</v>
      </c>
      <c r="Y3437">
        <v>0.64454205085634597</v>
      </c>
      <c r="Z3437" t="str">
        <f>HYPERLINK("Melting_Curves/meltCurve_sp_Q9ULJ6_ZMIZ1_HUMAN_.pdf", "Melting_Curves/meltCurve_sp_Q9ULJ6_ZMIZ1_HUMAN_.pdf")</f>
        <v>Melting_Curves/meltCurve_sp_Q9ULJ6_ZMIZ1_HUMAN_.pdf</v>
      </c>
      <c r="AA3437" t="s">
        <v>16273</v>
      </c>
      <c r="AB3437" t="s">
        <v>20520</v>
      </c>
    </row>
    <row r="3438" spans="1:28" x14ac:dyDescent="0.25">
      <c r="A3438" t="s">
        <v>3442</v>
      </c>
      <c r="B3438">
        <v>0.99876560204751996</v>
      </c>
      <c r="C3438">
        <v>0.94441284117395896</v>
      </c>
      <c r="D3438">
        <v>0.88749275419038898</v>
      </c>
      <c r="E3438">
        <v>0.41189856605862502</v>
      </c>
      <c r="F3438">
        <v>0.174448046539768</v>
      </c>
      <c r="G3438">
        <v>9.9175222022673898E-2</v>
      </c>
      <c r="H3438">
        <v>6.7861827154195906E-2</v>
      </c>
      <c r="I3438">
        <v>6.5937919088908906E-2</v>
      </c>
      <c r="J3438">
        <v>6.4898771970718305E-2</v>
      </c>
      <c r="K3438">
        <v>7.2543740124173903E-2</v>
      </c>
      <c r="L3438">
        <v>1362.7208359838701</v>
      </c>
      <c r="M3438">
        <v>27.770340463006001</v>
      </c>
      <c r="N3438">
        <v>49.333420399481597</v>
      </c>
      <c r="O3438">
        <v>48.818751348147899</v>
      </c>
      <c r="P3438">
        <v>-0.13245108372318401</v>
      </c>
      <c r="Q3438">
        <v>6.8641078771524394E-2</v>
      </c>
      <c r="R3438">
        <v>0.99869988058860204</v>
      </c>
      <c r="S3438" t="s">
        <v>7734</v>
      </c>
      <c r="T3438" t="s">
        <v>8590</v>
      </c>
      <c r="U3438" t="s">
        <v>8590</v>
      </c>
      <c r="V3438" t="s">
        <v>8590</v>
      </c>
      <c r="W3438">
        <v>10</v>
      </c>
      <c r="X3438" t="s">
        <v>12028</v>
      </c>
      <c r="Y3438">
        <v>0.35690847682067389</v>
      </c>
      <c r="Z3438" t="str">
        <f>HYPERLINK("Melting_Curves/meltCurve_sp_Q9ULP9_2_TBC24_HUMAN_.pdf", "Melting_Curves/meltCurve_sp_Q9ULP9_2_TBC24_HUMAN_.pdf")</f>
        <v>Melting_Curves/meltCurve_sp_Q9ULP9_2_TBC24_HUMAN_.pdf</v>
      </c>
      <c r="AA3438" t="s">
        <v>16274</v>
      </c>
      <c r="AB3438" t="s">
        <v>20521</v>
      </c>
    </row>
    <row r="3439" spans="1:28" x14ac:dyDescent="0.25">
      <c r="A3439" t="s">
        <v>3443</v>
      </c>
      <c r="B3439">
        <v>0.99876560204751996</v>
      </c>
      <c r="C3439">
        <v>1.0856392410326401</v>
      </c>
      <c r="D3439">
        <v>0.98790923711450096</v>
      </c>
      <c r="E3439">
        <v>0.75443082608581902</v>
      </c>
      <c r="F3439">
        <v>0.47604314616157001</v>
      </c>
      <c r="G3439">
        <v>0.234550951304482</v>
      </c>
      <c r="H3439">
        <v>0.18324349049664501</v>
      </c>
      <c r="I3439">
        <v>0.18228663700630701</v>
      </c>
      <c r="J3439">
        <v>0.21382883730400701</v>
      </c>
      <c r="K3439">
        <v>0.194825367585168</v>
      </c>
      <c r="L3439">
        <v>1437.1425182529199</v>
      </c>
      <c r="M3439">
        <v>27.8063723822928</v>
      </c>
      <c r="N3439">
        <v>52.579193665317902</v>
      </c>
      <c r="O3439">
        <v>51.418831076880203</v>
      </c>
      <c r="P3439">
        <v>-0.109701099452772</v>
      </c>
      <c r="Q3439">
        <v>0.18858130682979801</v>
      </c>
      <c r="R3439">
        <v>0.99276195643225895</v>
      </c>
      <c r="S3439" t="s">
        <v>7735</v>
      </c>
      <c r="T3439" t="s">
        <v>8590</v>
      </c>
      <c r="U3439" t="s">
        <v>8590</v>
      </c>
      <c r="V3439" t="s">
        <v>8590</v>
      </c>
      <c r="W3439">
        <v>15</v>
      </c>
      <c r="X3439" t="s">
        <v>12029</v>
      </c>
      <c r="Y3439">
        <v>0.51059609290379815</v>
      </c>
      <c r="Z3439" t="str">
        <f>HYPERLINK("Melting_Curves/meltCurve_sp_Q9ULT8_HECD1_HUMAN_.pdf", "Melting_Curves/meltCurve_sp_Q9ULT8_HECD1_HUMAN_.pdf")</f>
        <v>Melting_Curves/meltCurve_sp_Q9ULT8_HECD1_HUMAN_.pdf</v>
      </c>
      <c r="AA3439" t="s">
        <v>16275</v>
      </c>
      <c r="AB3439" t="s">
        <v>20522</v>
      </c>
    </row>
    <row r="3440" spans="1:28" x14ac:dyDescent="0.25">
      <c r="A3440" t="s">
        <v>3444</v>
      </c>
      <c r="B3440">
        <v>0.99876560204751996</v>
      </c>
      <c r="C3440">
        <v>1.0243419787596</v>
      </c>
      <c r="D3440">
        <v>1.01869024050727</v>
      </c>
      <c r="E3440">
        <v>0.97327174408499095</v>
      </c>
      <c r="F3440">
        <v>0.80534701298589195</v>
      </c>
      <c r="G3440">
        <v>0.33389741181149302</v>
      </c>
      <c r="H3440">
        <v>0.14187582455078801</v>
      </c>
      <c r="I3440">
        <v>0.135372660029773</v>
      </c>
      <c r="J3440">
        <v>0.15719514044952501</v>
      </c>
      <c r="K3440">
        <v>0.14804666308988201</v>
      </c>
      <c r="L3440">
        <v>1916.21824911063</v>
      </c>
      <c r="M3440">
        <v>34.897491770744601</v>
      </c>
      <c r="N3440">
        <v>55.425842715709202</v>
      </c>
      <c r="O3440">
        <v>54.730542644363098</v>
      </c>
      <c r="P3440">
        <v>-0.13729974116483401</v>
      </c>
      <c r="Q3440">
        <v>0.13868165966417501</v>
      </c>
      <c r="R3440">
        <v>0.99872804266404502</v>
      </c>
      <c r="S3440" t="s">
        <v>7736</v>
      </c>
      <c r="T3440" t="s">
        <v>8590</v>
      </c>
      <c r="U3440" t="s">
        <v>8590</v>
      </c>
      <c r="V3440" t="s">
        <v>8590</v>
      </c>
      <c r="W3440">
        <v>22</v>
      </c>
      <c r="X3440" t="s">
        <v>12030</v>
      </c>
      <c r="Y3440">
        <v>0.57101987228026074</v>
      </c>
      <c r="Z3440" t="str">
        <f>HYPERLINK("Melting_Curves/meltCurve_sp_Q9ULV4_COR1C_HUMAN_.pdf", "Melting_Curves/meltCurve_sp_Q9ULV4_COR1C_HUMAN_.pdf")</f>
        <v>Melting_Curves/meltCurve_sp_Q9ULV4_COR1C_HUMAN_.pdf</v>
      </c>
      <c r="AA3440" t="s">
        <v>16276</v>
      </c>
      <c r="AB3440" t="s">
        <v>20523</v>
      </c>
    </row>
    <row r="3441" spans="1:28" x14ac:dyDescent="0.25">
      <c r="A3441" t="s">
        <v>3445</v>
      </c>
      <c r="B3441">
        <v>0.99876560204751996</v>
      </c>
      <c r="C3441">
        <v>1.13356114056178</v>
      </c>
      <c r="D3441">
        <v>0.96144266113247301</v>
      </c>
      <c r="E3441">
        <v>0.80161507642402097</v>
      </c>
      <c r="F3441">
        <v>0.66707560619681106</v>
      </c>
      <c r="G3441">
        <v>0.45844538788390898</v>
      </c>
      <c r="H3441">
        <v>0.39595670090449298</v>
      </c>
      <c r="I3441">
        <v>0.26067263380565903</v>
      </c>
      <c r="J3441">
        <v>0.31839635522255799</v>
      </c>
      <c r="K3441">
        <v>0.221070683985302</v>
      </c>
      <c r="L3441">
        <v>861.17501217762299</v>
      </c>
      <c r="M3441">
        <v>15.9938267821873</v>
      </c>
      <c r="N3441">
        <v>56.199017065552397</v>
      </c>
      <c r="O3441">
        <v>53.023568302978198</v>
      </c>
      <c r="P3441">
        <v>-5.6999658822489099E-2</v>
      </c>
      <c r="Q3441">
        <v>0.24418663960463299</v>
      </c>
      <c r="R3441">
        <v>0.97049885068753605</v>
      </c>
      <c r="S3441" t="s">
        <v>7737</v>
      </c>
      <c r="T3441" t="s">
        <v>8590</v>
      </c>
      <c r="U3441" t="s">
        <v>8590</v>
      </c>
      <c r="V3441" t="s">
        <v>8590</v>
      </c>
      <c r="W3441">
        <v>3</v>
      </c>
      <c r="X3441" t="s">
        <v>12031</v>
      </c>
      <c r="Y3441">
        <v>0.60735156476572161</v>
      </c>
      <c r="Z3441" t="str">
        <f>HYPERLINK("Melting_Curves/meltCurve_sp_Q9ULZ3_2_ASC_HUMAN_.pdf", "Melting_Curves/meltCurve_sp_Q9ULZ3_2_ASC_HUMAN_.pdf")</f>
        <v>Melting_Curves/meltCurve_sp_Q9ULZ3_2_ASC_HUMAN_.pdf</v>
      </c>
      <c r="AA3441" t="s">
        <v>16277</v>
      </c>
      <c r="AB3441" t="s">
        <v>20524</v>
      </c>
    </row>
    <row r="3442" spans="1:28" x14ac:dyDescent="0.25">
      <c r="A3442" t="s">
        <v>3446</v>
      </c>
      <c r="B3442">
        <v>0.99876560204751996</v>
      </c>
      <c r="C3442">
        <v>0.778812755355201</v>
      </c>
      <c r="D3442">
        <v>0.60999959855281705</v>
      </c>
      <c r="E3442">
        <v>0.883143806605304</v>
      </c>
      <c r="F3442">
        <v>0.66936412125795297</v>
      </c>
      <c r="G3442">
        <v>0.61468042912106402</v>
      </c>
      <c r="H3442">
        <v>0.496873314661753</v>
      </c>
      <c r="I3442">
        <v>0.47500482345358302</v>
      </c>
      <c r="J3442">
        <v>0.54423310974372796</v>
      </c>
      <c r="K3442">
        <v>0.244032705016689</v>
      </c>
      <c r="L3442">
        <v>248.68822500923201</v>
      </c>
      <c r="M3442">
        <v>4.0106882979326599</v>
      </c>
      <c r="N3442">
        <v>62.006376965033901</v>
      </c>
      <c r="O3442">
        <v>50.9475044661013</v>
      </c>
      <c r="P3442">
        <v>-1.9931299997888199E-2</v>
      </c>
      <c r="Q3442">
        <v>0</v>
      </c>
      <c r="R3442">
        <v>0.73133066639440503</v>
      </c>
      <c r="S3442" t="s">
        <v>7738</v>
      </c>
      <c r="T3442" t="s">
        <v>8590</v>
      </c>
      <c r="U3442" t="s">
        <v>8590</v>
      </c>
      <c r="V3442" t="s">
        <v>8590</v>
      </c>
      <c r="W3442">
        <v>2</v>
      </c>
      <c r="X3442" t="s">
        <v>12032</v>
      </c>
      <c r="Y3442">
        <v>0.63324413778585542</v>
      </c>
      <c r="Z3442" t="str">
        <f>HYPERLINK("Melting_Curves/meltCurve_sp_Q9UM22_2_EPDR1_HUMAN_.pdf", "Melting_Curves/meltCurve_sp_Q9UM22_2_EPDR1_HUMAN_.pdf")</f>
        <v>Melting_Curves/meltCurve_sp_Q9UM22_2_EPDR1_HUMAN_.pdf</v>
      </c>
      <c r="AA3442" t="s">
        <v>16278</v>
      </c>
      <c r="AB3442" t="s">
        <v>20525</v>
      </c>
    </row>
    <row r="3443" spans="1:28" x14ac:dyDescent="0.25">
      <c r="A3443" t="s">
        <v>3447</v>
      </c>
      <c r="B3443">
        <v>0.99876560204751996</v>
      </c>
      <c r="C3443">
        <v>0.89818867866554497</v>
      </c>
      <c r="D3443">
        <v>0.99835833639760396</v>
      </c>
      <c r="E3443">
        <v>0.84968133296538795</v>
      </c>
      <c r="F3443">
        <v>0.84002618080906799</v>
      </c>
      <c r="G3443">
        <v>0.61980524198096998</v>
      </c>
      <c r="H3443">
        <v>0.59583044653981798</v>
      </c>
      <c r="I3443">
        <v>0.56162486415646395</v>
      </c>
      <c r="J3443">
        <v>0.69314263757044903</v>
      </c>
      <c r="K3443">
        <v>0.61875024787639898</v>
      </c>
      <c r="L3443">
        <v>1102.01528168152</v>
      </c>
      <c r="M3443">
        <v>21.069256977178199</v>
      </c>
      <c r="O3443">
        <v>51.840075772751099</v>
      </c>
      <c r="P3443">
        <v>-4.00170526539355E-2</v>
      </c>
      <c r="Q3443">
        <v>0.606168914129531</v>
      </c>
      <c r="R3443">
        <v>0.88902912286499403</v>
      </c>
      <c r="S3443" t="s">
        <v>7739</v>
      </c>
      <c r="T3443" t="s">
        <v>8590</v>
      </c>
      <c r="U3443" t="s">
        <v>8590</v>
      </c>
      <c r="V3443" t="s">
        <v>8590</v>
      </c>
      <c r="W3443">
        <v>6</v>
      </c>
      <c r="X3443" t="s">
        <v>12033</v>
      </c>
      <c r="Y3443">
        <v>0.77265629771310984</v>
      </c>
      <c r="Z3443" t="str">
        <f>HYPERLINK("Melting_Curves/meltCurve_sp_Q9UMS0_3_NFU1_HUMAN_.pdf", "Melting_Curves/meltCurve_sp_Q9UMS0_3_NFU1_HUMAN_.pdf")</f>
        <v>Melting_Curves/meltCurve_sp_Q9UMS0_3_NFU1_HUMAN_.pdf</v>
      </c>
      <c r="AA3443" t="s">
        <v>16279</v>
      </c>
      <c r="AB3443" t="s">
        <v>20526</v>
      </c>
    </row>
    <row r="3444" spans="1:28" x14ac:dyDescent="0.25">
      <c r="A3444" t="s">
        <v>3448</v>
      </c>
      <c r="B3444">
        <v>0.99876560204751996</v>
      </c>
      <c r="C3444">
        <v>1.0578508679090199</v>
      </c>
      <c r="D3444">
        <v>1.01043951663971</v>
      </c>
      <c r="E3444">
        <v>0.986597614746065</v>
      </c>
      <c r="F3444">
        <v>0.79246867278398703</v>
      </c>
      <c r="G3444">
        <v>0.50282286074247096</v>
      </c>
      <c r="H3444">
        <v>0.20651684017178701</v>
      </c>
      <c r="I3444">
        <v>0.12748765091360301</v>
      </c>
      <c r="J3444">
        <v>0.10109968692726901</v>
      </c>
      <c r="K3444">
        <v>8.1502872938202894E-2</v>
      </c>
      <c r="L3444">
        <v>1265.5125490602099</v>
      </c>
      <c r="M3444">
        <v>22.415837695219398</v>
      </c>
      <c r="N3444">
        <v>56.832823412319698</v>
      </c>
      <c r="O3444">
        <v>56.012602260190903</v>
      </c>
      <c r="P3444">
        <v>-9.3144391483021005E-2</v>
      </c>
      <c r="Q3444">
        <v>6.9023676179829602E-2</v>
      </c>
      <c r="R3444">
        <v>0.99602961950394797</v>
      </c>
      <c r="S3444" t="s">
        <v>7740</v>
      </c>
      <c r="T3444" t="s">
        <v>8590</v>
      </c>
      <c r="U3444" t="s">
        <v>8590</v>
      </c>
      <c r="V3444" t="s">
        <v>8590</v>
      </c>
      <c r="W3444">
        <v>12</v>
      </c>
      <c r="X3444" t="s">
        <v>12034</v>
      </c>
      <c r="Y3444">
        <v>0.58974113972082676</v>
      </c>
      <c r="Z3444" t="str">
        <f>HYPERLINK("Melting_Curves/meltCurve_sp_Q9UMS4_PRP19_HUMAN_.pdf", "Melting_Curves/meltCurve_sp_Q9UMS4_PRP19_HUMAN_.pdf")</f>
        <v>Melting_Curves/meltCurve_sp_Q9UMS4_PRP19_HUMAN_.pdf</v>
      </c>
      <c r="AA3444" t="s">
        <v>16280</v>
      </c>
      <c r="AB3444" t="s">
        <v>20527</v>
      </c>
    </row>
    <row r="3445" spans="1:28" x14ac:dyDescent="0.25">
      <c r="A3445" t="s">
        <v>3449</v>
      </c>
      <c r="B3445">
        <v>0.99876560204751996</v>
      </c>
      <c r="C3445">
        <v>0.99983600754366497</v>
      </c>
      <c r="D3445">
        <v>0.95285779402882698</v>
      </c>
      <c r="E3445">
        <v>0.88684211144804403</v>
      </c>
      <c r="F3445">
        <v>0.71377481603597503</v>
      </c>
      <c r="G3445">
        <v>0.50894294110173899</v>
      </c>
      <c r="H3445">
        <v>0.43106630330947299</v>
      </c>
      <c r="I3445">
        <v>0.38290229075680998</v>
      </c>
      <c r="J3445">
        <v>0.438262907721788</v>
      </c>
      <c r="K3445">
        <v>0.38664089901820697</v>
      </c>
      <c r="L3445">
        <v>1149.89060669936</v>
      </c>
      <c r="M3445">
        <v>21.597127442531701</v>
      </c>
      <c r="N3445">
        <v>57.360317963104102</v>
      </c>
      <c r="O3445">
        <v>52.792587674416197</v>
      </c>
      <c r="P3445">
        <v>-6.1988331811743701E-2</v>
      </c>
      <c r="Q3445">
        <v>0.39391093811706301</v>
      </c>
      <c r="R3445">
        <v>0.99529072235740301</v>
      </c>
      <c r="S3445" t="s">
        <v>7741</v>
      </c>
      <c r="T3445" t="s">
        <v>8590</v>
      </c>
      <c r="U3445" t="s">
        <v>8590</v>
      </c>
      <c r="V3445" t="s">
        <v>8590</v>
      </c>
      <c r="W3445">
        <v>8</v>
      </c>
      <c r="X3445" t="s">
        <v>12035</v>
      </c>
      <c r="Y3445">
        <v>0.66874127454327625</v>
      </c>
      <c r="Z3445" t="str">
        <f>HYPERLINK("Melting_Curves/meltCurve_sp_Q9UMX0_2_UBQL1_HUMAN_.pdf", "Melting_Curves/meltCurve_sp_Q9UMX0_2_UBQL1_HUMAN_.pdf")</f>
        <v>Melting_Curves/meltCurve_sp_Q9UMX0_2_UBQL1_HUMAN_.pdf</v>
      </c>
      <c r="AA3445" t="s">
        <v>16281</v>
      </c>
      <c r="AB3445" t="s">
        <v>20528</v>
      </c>
    </row>
    <row r="3446" spans="1:28" x14ac:dyDescent="0.25">
      <c r="A3446" t="s">
        <v>3450</v>
      </c>
      <c r="B3446">
        <v>0.99876560204751996</v>
      </c>
      <c r="C3446">
        <v>0.94172444948497402</v>
      </c>
      <c r="D3446">
        <v>0.96675569119171101</v>
      </c>
      <c r="E3446">
        <v>0.90179596586004296</v>
      </c>
      <c r="F3446">
        <v>0.84095825929874501</v>
      </c>
      <c r="G3446">
        <v>0.67309425771272802</v>
      </c>
      <c r="H3446">
        <v>0.58187184361611599</v>
      </c>
      <c r="I3446">
        <v>0.55970447093890097</v>
      </c>
      <c r="J3446">
        <v>0.64563977929144001</v>
      </c>
      <c r="K3446">
        <v>0.67063600714598404</v>
      </c>
      <c r="L3446">
        <v>1242.38639299746</v>
      </c>
      <c r="M3446">
        <v>23.3812672729958</v>
      </c>
      <c r="O3446">
        <v>52.7518611544808</v>
      </c>
      <c r="P3446">
        <v>-4.32829216304359E-2</v>
      </c>
      <c r="Q3446">
        <v>0.60939420395350696</v>
      </c>
      <c r="R3446">
        <v>0.94022699603209703</v>
      </c>
      <c r="S3446" t="s">
        <v>7742</v>
      </c>
      <c r="T3446" t="s">
        <v>8590</v>
      </c>
      <c r="U3446" t="s">
        <v>8590</v>
      </c>
      <c r="V3446" t="s">
        <v>8590</v>
      </c>
      <c r="W3446">
        <v>8</v>
      </c>
      <c r="X3446" t="s">
        <v>12036</v>
      </c>
      <c r="Y3446">
        <v>0.78450106958399102</v>
      </c>
      <c r="Z3446" t="str">
        <f>HYPERLINK("Melting_Curves/meltCurve_sp_Q9UMX5_NENF_HUMAN_.pdf", "Melting_Curves/meltCurve_sp_Q9UMX5_NENF_HUMAN_.pdf")</f>
        <v>Melting_Curves/meltCurve_sp_Q9UMX5_NENF_HUMAN_.pdf</v>
      </c>
      <c r="AA3446" t="s">
        <v>16282</v>
      </c>
      <c r="AB3446" t="s">
        <v>20529</v>
      </c>
    </row>
    <row r="3447" spans="1:28" x14ac:dyDescent="0.25">
      <c r="A3447" t="s">
        <v>3451</v>
      </c>
      <c r="B3447">
        <v>0.99876560204751996</v>
      </c>
      <c r="C3447">
        <v>0.92463574041943497</v>
      </c>
      <c r="D3447">
        <v>0.964796677990439</v>
      </c>
      <c r="E3447">
        <v>0.813500950402824</v>
      </c>
      <c r="F3447">
        <v>0.65609719857969595</v>
      </c>
      <c r="G3447">
        <v>0.32750425985982101</v>
      </c>
      <c r="H3447">
        <v>0.22514208437210201</v>
      </c>
      <c r="I3447">
        <v>0.14669183691306101</v>
      </c>
      <c r="J3447">
        <v>0.15472363923711399</v>
      </c>
      <c r="K3447">
        <v>0.147126639314695</v>
      </c>
      <c r="L3447">
        <v>1004.2535053544</v>
      </c>
      <c r="M3447">
        <v>18.6611854119421</v>
      </c>
      <c r="N3447">
        <v>54.658433589835902</v>
      </c>
      <c r="O3447">
        <v>53.208538648629101</v>
      </c>
      <c r="P3447">
        <v>-7.6714756427487804E-2</v>
      </c>
      <c r="Q3447">
        <v>0.12509195686914901</v>
      </c>
      <c r="R3447">
        <v>0.99406685366547998</v>
      </c>
      <c r="S3447" t="s">
        <v>7743</v>
      </c>
      <c r="T3447" t="s">
        <v>8590</v>
      </c>
      <c r="U3447" t="s">
        <v>8590</v>
      </c>
      <c r="V3447" t="s">
        <v>8590</v>
      </c>
      <c r="W3447">
        <v>4</v>
      </c>
      <c r="X3447" t="s">
        <v>12037</v>
      </c>
      <c r="Y3447">
        <v>0.54130299204520116</v>
      </c>
      <c r="Z3447" t="str">
        <f>HYPERLINK("Melting_Curves/meltCurve_sp_Q9UMY4_2_SNX12_HUMAN_.pdf", "Melting_Curves/meltCurve_sp_Q9UMY4_2_SNX12_HUMAN_.pdf")</f>
        <v>Melting_Curves/meltCurve_sp_Q9UMY4_2_SNX12_HUMAN_.pdf</v>
      </c>
      <c r="AA3447" t="s">
        <v>16283</v>
      </c>
      <c r="AB3447" t="s">
        <v>20530</v>
      </c>
    </row>
    <row r="3448" spans="1:28" x14ac:dyDescent="0.25">
      <c r="A3448" t="s">
        <v>3452</v>
      </c>
      <c r="B3448">
        <v>0.99876560204751996</v>
      </c>
      <c r="C3448">
        <v>1.02837350258786</v>
      </c>
      <c r="D3448">
        <v>0.87202968781453105</v>
      </c>
      <c r="E3448">
        <v>0.74301878221903195</v>
      </c>
      <c r="F3448">
        <v>0.63062559973824805</v>
      </c>
      <c r="G3448">
        <v>0.426087658842916</v>
      </c>
      <c r="H3448">
        <v>0.34990644745008898</v>
      </c>
      <c r="I3448">
        <v>0.25631294250900999</v>
      </c>
      <c r="J3448">
        <v>0.35468476139494698</v>
      </c>
      <c r="K3448">
        <v>0.215867252383971</v>
      </c>
      <c r="L3448">
        <v>713.25185519524598</v>
      </c>
      <c r="M3448">
        <v>13.5099636778322</v>
      </c>
      <c r="N3448">
        <v>55.365983403204503</v>
      </c>
      <c r="O3448">
        <v>51.678046419463001</v>
      </c>
      <c r="P3448">
        <v>-5.0134026334668402E-2</v>
      </c>
      <c r="Q3448">
        <v>0.233029884322489</v>
      </c>
      <c r="R3448">
        <v>0.98095005842831295</v>
      </c>
      <c r="S3448" t="s">
        <v>7744</v>
      </c>
      <c r="T3448" t="s">
        <v>8590</v>
      </c>
      <c r="U3448" t="s">
        <v>8590</v>
      </c>
      <c r="V3448" t="s">
        <v>8590</v>
      </c>
      <c r="W3448">
        <v>7</v>
      </c>
      <c r="X3448" t="s">
        <v>12038</v>
      </c>
      <c r="Y3448">
        <v>0.57931732769576105</v>
      </c>
      <c r="Z3448" t="str">
        <f>HYPERLINK("Melting_Curves/meltCurve_sp_Q9UMZ2_6_SYNRG_HUMAN_.pdf", "Melting_Curves/meltCurve_sp_Q9UMZ2_6_SYNRG_HUMAN_.pdf")</f>
        <v>Melting_Curves/meltCurve_sp_Q9UMZ2_6_SYNRG_HUMAN_.pdf</v>
      </c>
      <c r="AA3448" t="s">
        <v>16284</v>
      </c>
      <c r="AB3448" t="s">
        <v>20531</v>
      </c>
    </row>
    <row r="3449" spans="1:28" x14ac:dyDescent="0.25">
      <c r="A3449" t="s">
        <v>3453</v>
      </c>
      <c r="B3449">
        <v>0.99876560204751996</v>
      </c>
      <c r="C3449">
        <v>0.96699239706645701</v>
      </c>
      <c r="D3449">
        <v>0.80724967940218695</v>
      </c>
      <c r="E3449">
        <v>0.81013327925524503</v>
      </c>
      <c r="F3449">
        <v>0.59938595019797303</v>
      </c>
      <c r="G3449">
        <v>0.50863725451354602</v>
      </c>
      <c r="H3449">
        <v>0.22889124164553101</v>
      </c>
      <c r="I3449">
        <v>0.16843060439347801</v>
      </c>
      <c r="J3449">
        <v>0.20334891234782199</v>
      </c>
      <c r="K3449">
        <v>4.9776772695452498E-2</v>
      </c>
      <c r="L3449">
        <v>585.02419608042203</v>
      </c>
      <c r="M3449">
        <v>10.5281540977075</v>
      </c>
      <c r="N3449">
        <v>55.567594341283197</v>
      </c>
      <c r="O3449">
        <v>53.675132541891401</v>
      </c>
      <c r="P3449">
        <v>-4.9056043215079302E-2</v>
      </c>
      <c r="Q3449">
        <v>0</v>
      </c>
      <c r="R3449">
        <v>0.97575361515457204</v>
      </c>
      <c r="S3449" t="s">
        <v>7745</v>
      </c>
      <c r="T3449" t="s">
        <v>8590</v>
      </c>
      <c r="U3449" t="s">
        <v>8590</v>
      </c>
      <c r="V3449" t="s">
        <v>8590</v>
      </c>
      <c r="W3449">
        <v>14</v>
      </c>
      <c r="X3449" t="s">
        <v>12039</v>
      </c>
      <c r="Y3449">
        <v>0.54186859618228311</v>
      </c>
      <c r="Z3449" t="str">
        <f>HYPERLINK("Melting_Curves/meltCurve_sp_Q9UN36_2_NDRG2_HUMAN_.pdf", "Melting_Curves/meltCurve_sp_Q9UN36_2_NDRG2_HUMAN_.pdf")</f>
        <v>Melting_Curves/meltCurve_sp_Q9UN36_2_NDRG2_HUMAN_.pdf</v>
      </c>
      <c r="AA3449" t="s">
        <v>16285</v>
      </c>
      <c r="AB3449" t="s">
        <v>20532</v>
      </c>
    </row>
    <row r="3450" spans="1:28" x14ac:dyDescent="0.25">
      <c r="A3450" t="s">
        <v>3454</v>
      </c>
      <c r="B3450">
        <v>0.99876560204751996</v>
      </c>
      <c r="C3450">
        <v>0.97623546513113602</v>
      </c>
      <c r="D3450">
        <v>1.0819425329608401</v>
      </c>
      <c r="E3450">
        <v>0.96890374207302199</v>
      </c>
      <c r="F3450">
        <v>0.90360454460659001</v>
      </c>
      <c r="G3450">
        <v>0.45848208222869902</v>
      </c>
      <c r="H3450">
        <v>0.11334355387838101</v>
      </c>
      <c r="I3450">
        <v>6.2495610858207699E-2</v>
      </c>
      <c r="J3450">
        <v>5.0071244171502702E-2</v>
      </c>
      <c r="K3450">
        <v>4.1478606857141699E-2</v>
      </c>
      <c r="L3450">
        <v>1860.8907224899699</v>
      </c>
      <c r="M3450">
        <v>32.917503520307598</v>
      </c>
      <c r="N3450">
        <v>56.6780297317841</v>
      </c>
      <c r="O3450">
        <v>56.324538794636197</v>
      </c>
      <c r="P3450">
        <v>-0.14016476390080701</v>
      </c>
      <c r="Q3450">
        <v>4.0670877024460803E-2</v>
      </c>
      <c r="R3450">
        <v>0.99593494911965896</v>
      </c>
      <c r="S3450" t="s">
        <v>7746</v>
      </c>
      <c r="T3450" t="s">
        <v>8590</v>
      </c>
      <c r="U3450" t="s">
        <v>8590</v>
      </c>
      <c r="V3450" t="s">
        <v>8590</v>
      </c>
      <c r="W3450">
        <v>14</v>
      </c>
      <c r="X3450" t="s">
        <v>12040</v>
      </c>
      <c r="Y3450">
        <v>0.5747222674013881</v>
      </c>
      <c r="Z3450" t="str">
        <f>HYPERLINK("Melting_Curves/meltCurve_sp_Q9UN36_NDRG2_HUMAN_.pdf", "Melting_Curves/meltCurve_sp_Q9UN36_NDRG2_HUMAN_.pdf")</f>
        <v>Melting_Curves/meltCurve_sp_Q9UN36_NDRG2_HUMAN_.pdf</v>
      </c>
      <c r="AA3450" t="s">
        <v>16285</v>
      </c>
      <c r="AB3450" t="s">
        <v>20533</v>
      </c>
    </row>
    <row r="3451" spans="1:28" x14ac:dyDescent="0.25">
      <c r="A3451" t="s">
        <v>3455</v>
      </c>
      <c r="B3451">
        <v>0.99876560204751996</v>
      </c>
      <c r="C3451">
        <v>0.92769336474502995</v>
      </c>
      <c r="D3451">
        <v>0.96949432613005304</v>
      </c>
      <c r="E3451">
        <v>0.88878050050553903</v>
      </c>
      <c r="F3451">
        <v>0.81164239148472295</v>
      </c>
      <c r="G3451">
        <v>0.51226736408502804</v>
      </c>
      <c r="H3451">
        <v>0.37882846763383199</v>
      </c>
      <c r="I3451">
        <v>0.367013828989322</v>
      </c>
      <c r="J3451">
        <v>0.45324138251623503</v>
      </c>
      <c r="K3451">
        <v>0.523478202929193</v>
      </c>
      <c r="L3451">
        <v>1616.9428439351</v>
      </c>
      <c r="M3451">
        <v>30.042521696262</v>
      </c>
      <c r="N3451">
        <v>57.483497171915801</v>
      </c>
      <c r="O3451">
        <v>53.585031726384699</v>
      </c>
      <c r="P3451">
        <v>-8.0421278891189996E-2</v>
      </c>
      <c r="Q3451">
        <v>0.42623348536335298</v>
      </c>
      <c r="R3451">
        <v>0.95231899198824199</v>
      </c>
      <c r="S3451" t="s">
        <v>7747</v>
      </c>
      <c r="T3451" t="s">
        <v>8590</v>
      </c>
      <c r="U3451" t="s">
        <v>8590</v>
      </c>
      <c r="V3451" t="s">
        <v>8590</v>
      </c>
      <c r="W3451">
        <v>9</v>
      </c>
      <c r="X3451" t="s">
        <v>12041</v>
      </c>
      <c r="Y3451">
        <v>0.69433392016056283</v>
      </c>
      <c r="Z3451" t="str">
        <f>HYPERLINK("Melting_Curves/meltCurve_sp_Q9UN86_2_G3BP2_HUMAN_.pdf", "Melting_Curves/meltCurve_sp_Q9UN86_2_G3BP2_HUMAN_.pdf")</f>
        <v>Melting_Curves/meltCurve_sp_Q9UN86_2_G3BP2_HUMAN_.pdf</v>
      </c>
      <c r="AA3451" t="s">
        <v>16286</v>
      </c>
      <c r="AB3451" t="s">
        <v>20534</v>
      </c>
    </row>
    <row r="3452" spans="1:28" x14ac:dyDescent="0.25">
      <c r="A3452" t="s">
        <v>3456</v>
      </c>
      <c r="B3452">
        <v>0.99876560204751996</v>
      </c>
      <c r="C3452">
        <v>0.91747810738958802</v>
      </c>
      <c r="D3452">
        <v>0.75228666041132397</v>
      </c>
      <c r="E3452">
        <v>0.50519953556851505</v>
      </c>
      <c r="F3452">
        <v>0.30269034915992099</v>
      </c>
      <c r="G3452">
        <v>0.17320128721786299</v>
      </c>
      <c r="H3452">
        <v>0.12540268371624899</v>
      </c>
      <c r="I3452">
        <v>0.100475960977356</v>
      </c>
      <c r="J3452">
        <v>9.5270271689647607E-2</v>
      </c>
      <c r="K3452">
        <v>9.2398260399360901E-2</v>
      </c>
      <c r="L3452">
        <v>765.40770837993296</v>
      </c>
      <c r="M3452">
        <v>15.537505216742501</v>
      </c>
      <c r="N3452">
        <v>49.814217914417902</v>
      </c>
      <c r="O3452">
        <v>48.4675655256151</v>
      </c>
      <c r="P3452">
        <v>-7.3809379899085106E-2</v>
      </c>
      <c r="Q3452">
        <v>7.9119529344363504E-2</v>
      </c>
      <c r="R3452">
        <v>0.99887567848779701</v>
      </c>
      <c r="S3452" t="s">
        <v>7748</v>
      </c>
      <c r="T3452" t="s">
        <v>8590</v>
      </c>
      <c r="U3452" t="s">
        <v>8590</v>
      </c>
      <c r="V3452" t="s">
        <v>8590</v>
      </c>
      <c r="W3452">
        <v>11</v>
      </c>
      <c r="X3452" t="s">
        <v>12042</v>
      </c>
      <c r="Y3452">
        <v>0.38450481701537698</v>
      </c>
      <c r="Z3452" t="str">
        <f>HYPERLINK("Melting_Curves/meltCurve_sp_Q9UNE7_CHIP_HUMAN_.pdf", "Melting_Curves/meltCurve_sp_Q9UNE7_CHIP_HUMAN_.pdf")</f>
        <v>Melting_Curves/meltCurve_sp_Q9UNE7_CHIP_HUMAN_.pdf</v>
      </c>
      <c r="AA3452" t="s">
        <v>16287</v>
      </c>
      <c r="AB3452" t="s">
        <v>20535</v>
      </c>
    </row>
    <row r="3453" spans="1:28" x14ac:dyDescent="0.25">
      <c r="A3453" t="s">
        <v>3457</v>
      </c>
      <c r="B3453">
        <v>0.99876560204751996</v>
      </c>
      <c r="C3453">
        <v>0.97503416108153096</v>
      </c>
      <c r="D3453">
        <v>0.90713986481629605</v>
      </c>
      <c r="E3453">
        <v>0.61412865185100596</v>
      </c>
      <c r="F3453">
        <v>0.44563557736266801</v>
      </c>
      <c r="G3453">
        <v>0.28076211919449701</v>
      </c>
      <c r="H3453">
        <v>0.20951749589633401</v>
      </c>
      <c r="I3453">
        <v>0.175305874443487</v>
      </c>
      <c r="J3453">
        <v>0.190208227393771</v>
      </c>
      <c r="K3453">
        <v>0.17759702327361801</v>
      </c>
      <c r="L3453">
        <v>919.56304233897004</v>
      </c>
      <c r="M3453">
        <v>18.136100462563</v>
      </c>
      <c r="N3453">
        <v>51.918329930925204</v>
      </c>
      <c r="O3453">
        <v>50.099064022599599</v>
      </c>
      <c r="P3453">
        <v>-7.4855947795402097E-2</v>
      </c>
      <c r="Q3453">
        <v>0.17291298331771501</v>
      </c>
      <c r="R3453">
        <v>0.99851126197419704</v>
      </c>
      <c r="S3453" t="s">
        <v>7749</v>
      </c>
      <c r="T3453" t="s">
        <v>8590</v>
      </c>
      <c r="U3453" t="s">
        <v>8590</v>
      </c>
      <c r="V3453" t="s">
        <v>8590</v>
      </c>
      <c r="W3453">
        <v>18</v>
      </c>
      <c r="X3453" t="s">
        <v>12043</v>
      </c>
      <c r="Y3453">
        <v>0.48179493387900157</v>
      </c>
      <c r="Z3453" t="str">
        <f>HYPERLINK("Melting_Curves/meltCurve_sp_Q9UNF0_PACN2_HUMAN_.pdf", "Melting_Curves/meltCurve_sp_Q9UNF0_PACN2_HUMAN_.pdf")</f>
        <v>Melting_Curves/meltCurve_sp_Q9UNF0_PACN2_HUMAN_.pdf</v>
      </c>
      <c r="AA3453" t="s">
        <v>16288</v>
      </c>
      <c r="AB3453" t="s">
        <v>20536</v>
      </c>
    </row>
    <row r="3454" spans="1:28" x14ac:dyDescent="0.25">
      <c r="A3454" t="s">
        <v>3458</v>
      </c>
      <c r="B3454">
        <v>0.99876560204751996</v>
      </c>
      <c r="C3454">
        <v>0.883588958281597</v>
      </c>
      <c r="D3454">
        <v>0.71064414843750101</v>
      </c>
      <c r="E3454">
        <v>0.37644356080261798</v>
      </c>
      <c r="F3454">
        <v>0.14264136759894799</v>
      </c>
      <c r="G3454">
        <v>6.8498848682980604E-2</v>
      </c>
      <c r="H3454">
        <v>4.27614751995175E-2</v>
      </c>
      <c r="I3454">
        <v>2.9939579783566799E-2</v>
      </c>
      <c r="J3454">
        <v>2.5906308792346702E-2</v>
      </c>
      <c r="K3454">
        <v>2.1493927643442799E-2</v>
      </c>
      <c r="L3454">
        <v>883.62766782193103</v>
      </c>
      <c r="M3454">
        <v>18.3343724205433</v>
      </c>
      <c r="N3454">
        <v>48.283949300402298</v>
      </c>
      <c r="O3454">
        <v>47.632764416591399</v>
      </c>
      <c r="P3454">
        <v>-9.4636398126371396E-2</v>
      </c>
      <c r="Q3454">
        <v>1.6582337370040601E-2</v>
      </c>
      <c r="R3454">
        <v>0.99805170890668804</v>
      </c>
      <c r="S3454" t="s">
        <v>7750</v>
      </c>
      <c r="T3454" t="s">
        <v>8590</v>
      </c>
      <c r="U3454" t="s">
        <v>8590</v>
      </c>
      <c r="V3454" t="s">
        <v>8590</v>
      </c>
      <c r="W3454">
        <v>15</v>
      </c>
      <c r="X3454" t="s">
        <v>12044</v>
      </c>
      <c r="Y3454">
        <v>0.30192416230664409</v>
      </c>
      <c r="Z3454" t="str">
        <f>HYPERLINK("Melting_Curves/meltCurve_sp_Q9UNH7_SNX6_HUMAN_.pdf", "Melting_Curves/meltCurve_sp_Q9UNH7_SNX6_HUMAN_.pdf")</f>
        <v>Melting_Curves/meltCurve_sp_Q9UNH7_SNX6_HUMAN_.pdf</v>
      </c>
      <c r="AA3454" t="s">
        <v>16289</v>
      </c>
      <c r="AB3454" t="s">
        <v>20537</v>
      </c>
    </row>
    <row r="3455" spans="1:28" x14ac:dyDescent="0.25">
      <c r="A3455" t="s">
        <v>3459</v>
      </c>
      <c r="B3455">
        <v>0.99876560204751996</v>
      </c>
      <c r="C3455">
        <v>0.99125823597688101</v>
      </c>
      <c r="D3455">
        <v>0.83399855034396497</v>
      </c>
      <c r="E3455">
        <v>0.65127187162964995</v>
      </c>
      <c r="F3455">
        <v>0.300990567131803</v>
      </c>
      <c r="G3455">
        <v>0.113136027914524</v>
      </c>
      <c r="H3455">
        <v>6.9845071259588901E-2</v>
      </c>
      <c r="I3455">
        <v>5.17329511846659E-2</v>
      </c>
      <c r="J3455">
        <v>5.3077997828595E-2</v>
      </c>
      <c r="K3455">
        <v>4.0434435662468897E-2</v>
      </c>
      <c r="L3455">
        <v>1031.35601718764</v>
      </c>
      <c r="M3455">
        <v>20.2876334806895</v>
      </c>
      <c r="N3455">
        <v>51.016287755085202</v>
      </c>
      <c r="O3455">
        <v>50.350494075350099</v>
      </c>
      <c r="P3455">
        <v>-9.7263230190303807E-2</v>
      </c>
      <c r="Q3455">
        <v>3.4465940781763002E-2</v>
      </c>
      <c r="R3455">
        <v>0.99460211524116304</v>
      </c>
      <c r="S3455" t="s">
        <v>7751</v>
      </c>
      <c r="T3455" t="s">
        <v>8590</v>
      </c>
      <c r="U3455" t="s">
        <v>8590</v>
      </c>
      <c r="V3455" t="s">
        <v>8590</v>
      </c>
      <c r="W3455">
        <v>13</v>
      </c>
      <c r="X3455" t="s">
        <v>12045</v>
      </c>
      <c r="Y3455">
        <v>0.39629059506782299</v>
      </c>
      <c r="Z3455" t="str">
        <f>HYPERLINK("Melting_Curves/meltCurve_sp_Q9UNM6_PSD13_HUMAN_.pdf", "Melting_Curves/meltCurve_sp_Q9UNM6_PSD13_HUMAN_.pdf")</f>
        <v>Melting_Curves/meltCurve_sp_Q9UNM6_PSD13_HUMAN_.pdf</v>
      </c>
      <c r="AA3455" t="s">
        <v>16290</v>
      </c>
      <c r="AB3455" t="s">
        <v>20538</v>
      </c>
    </row>
    <row r="3456" spans="1:28" x14ac:dyDescent="0.25">
      <c r="A3456" t="s">
        <v>3460</v>
      </c>
      <c r="B3456">
        <v>0.99876560204751996</v>
      </c>
      <c r="C3456">
        <v>0.95908856139296095</v>
      </c>
      <c r="D3456">
        <v>0.95394351104294794</v>
      </c>
      <c r="E3456">
        <v>0.89127592343547801</v>
      </c>
      <c r="F3456">
        <v>0.85360002661771195</v>
      </c>
      <c r="G3456">
        <v>0.68955276070943305</v>
      </c>
      <c r="H3456">
        <v>0.34514277170248198</v>
      </c>
      <c r="I3456">
        <v>0.13682365716877701</v>
      </c>
      <c r="J3456">
        <v>0.10580870077027101</v>
      </c>
      <c r="K3456">
        <v>9.6247785086621296E-2</v>
      </c>
      <c r="L3456">
        <v>1047.3488648646701</v>
      </c>
      <c r="M3456">
        <v>17.828386263519999</v>
      </c>
      <c r="N3456">
        <v>58.794484257533199</v>
      </c>
      <c r="O3456">
        <v>58.021994257594599</v>
      </c>
      <c r="P3456">
        <v>-7.6262336702775005E-2</v>
      </c>
      <c r="Q3456">
        <v>7.2762137973761496E-3</v>
      </c>
      <c r="R3456">
        <v>0.98860411295748496</v>
      </c>
      <c r="S3456" t="s">
        <v>7752</v>
      </c>
      <c r="T3456" t="s">
        <v>8590</v>
      </c>
      <c r="U3456" t="s">
        <v>8590</v>
      </c>
      <c r="V3456" t="s">
        <v>8590</v>
      </c>
      <c r="W3456">
        <v>16</v>
      </c>
      <c r="X3456" t="s">
        <v>12046</v>
      </c>
      <c r="Y3456">
        <v>0.63864890146755449</v>
      </c>
      <c r="Z3456" t="str">
        <f>HYPERLINK("Melting_Curves/meltCurve_sp_Q9UNN5_FAF1_HUMAN_.pdf", "Melting_Curves/meltCurve_sp_Q9UNN5_FAF1_HUMAN_.pdf")</f>
        <v>Melting_Curves/meltCurve_sp_Q9UNN5_FAF1_HUMAN_.pdf</v>
      </c>
      <c r="AA3456" t="s">
        <v>16291</v>
      </c>
      <c r="AB3456" t="s">
        <v>20539</v>
      </c>
    </row>
    <row r="3457" spans="1:28" x14ac:dyDescent="0.25">
      <c r="A3457" t="s">
        <v>3461</v>
      </c>
      <c r="B3457">
        <v>0.99876560204751996</v>
      </c>
      <c r="C3457">
        <v>1.1028216555944299</v>
      </c>
      <c r="D3457">
        <v>0.98525417202896204</v>
      </c>
      <c r="E3457">
        <v>1.06295236618192</v>
      </c>
      <c r="F3457">
        <v>0.93886542617379698</v>
      </c>
      <c r="G3457">
        <v>0.48164475397107298</v>
      </c>
      <c r="H3457">
        <v>0.451548520894612</v>
      </c>
      <c r="I3457">
        <v>0.24320007487196799</v>
      </c>
      <c r="J3457">
        <v>0.103154018745204</v>
      </c>
      <c r="K3457">
        <v>6.7941430051642798E-2</v>
      </c>
      <c r="L3457">
        <v>1041.10035391821</v>
      </c>
      <c r="M3457">
        <v>17.796851345625601</v>
      </c>
      <c r="N3457">
        <v>58.788431805785102</v>
      </c>
      <c r="O3457">
        <v>57.775521699710502</v>
      </c>
      <c r="P3457">
        <v>-7.3783735176366994E-2</v>
      </c>
      <c r="Q3457">
        <v>4.1926296170827E-2</v>
      </c>
      <c r="R3457">
        <v>0.96065160116133297</v>
      </c>
      <c r="S3457" t="s">
        <v>7753</v>
      </c>
      <c r="T3457" t="s">
        <v>8590</v>
      </c>
      <c r="U3457" t="s">
        <v>8590</v>
      </c>
      <c r="V3457" t="s">
        <v>8590</v>
      </c>
      <c r="W3457">
        <v>12</v>
      </c>
      <c r="X3457" t="s">
        <v>12047</v>
      </c>
      <c r="Y3457">
        <v>0.64383072490241611</v>
      </c>
      <c r="Z3457" t="str">
        <f>HYPERLINK("Melting_Curves/meltCurve_sp_Q9UNS2_CSN3_HUMAN_.pdf", "Melting_Curves/meltCurve_sp_Q9UNS2_CSN3_HUMAN_.pdf")</f>
        <v>Melting_Curves/meltCurve_sp_Q9UNS2_CSN3_HUMAN_.pdf</v>
      </c>
      <c r="AA3457" t="s">
        <v>16292</v>
      </c>
      <c r="AB3457" t="s">
        <v>20540</v>
      </c>
    </row>
    <row r="3458" spans="1:28" x14ac:dyDescent="0.25">
      <c r="A3458" t="s">
        <v>3462</v>
      </c>
      <c r="B3458">
        <v>0.99876560204751996</v>
      </c>
      <c r="C3458">
        <v>0.98249505451365804</v>
      </c>
      <c r="D3458">
        <v>1.00792396559174</v>
      </c>
      <c r="E3458">
        <v>0.89274509695285398</v>
      </c>
      <c r="F3458">
        <v>0.82702787757238105</v>
      </c>
      <c r="G3458">
        <v>0.67760532604700796</v>
      </c>
      <c r="H3458">
        <v>0.483331432534018</v>
      </c>
      <c r="I3458">
        <v>0.29190487103406099</v>
      </c>
      <c r="J3458">
        <v>0.17339968739081599</v>
      </c>
      <c r="K3458">
        <v>0.138438216716817</v>
      </c>
      <c r="L3458">
        <v>777.63452781387196</v>
      </c>
      <c r="M3458">
        <v>12.964785837609901</v>
      </c>
      <c r="N3458">
        <v>59.980514830592902</v>
      </c>
      <c r="O3458">
        <v>58.607282224634901</v>
      </c>
      <c r="P3458">
        <v>-5.5313521537650602E-2</v>
      </c>
      <c r="Q3458">
        <v>0</v>
      </c>
      <c r="R3458">
        <v>0.99503325596648995</v>
      </c>
      <c r="S3458" t="s">
        <v>7754</v>
      </c>
      <c r="T3458" t="s">
        <v>8590</v>
      </c>
      <c r="U3458" t="s">
        <v>8590</v>
      </c>
      <c r="V3458" t="s">
        <v>8590</v>
      </c>
      <c r="W3458">
        <v>5</v>
      </c>
      <c r="X3458" t="s">
        <v>12048</v>
      </c>
      <c r="Y3458">
        <v>0.6704404592940395</v>
      </c>
      <c r="Z3458" t="str">
        <f>HYPERLINK("Melting_Curves/meltCurve_sp_Q9UNW1_MINP1_HUMAN_.pdf", "Melting_Curves/meltCurve_sp_Q9UNW1_MINP1_HUMAN_.pdf")</f>
        <v>Melting_Curves/meltCurve_sp_Q9UNW1_MINP1_HUMAN_.pdf</v>
      </c>
      <c r="AA3458" t="s">
        <v>16293</v>
      </c>
      <c r="AB3458" t="s">
        <v>20541</v>
      </c>
    </row>
    <row r="3459" spans="1:28" x14ac:dyDescent="0.25">
      <c r="A3459" t="s">
        <v>3463</v>
      </c>
      <c r="B3459">
        <v>0.99876560204751996</v>
      </c>
      <c r="C3459">
        <v>0.93387841170182695</v>
      </c>
      <c r="D3459">
        <v>0.94765260046489996</v>
      </c>
      <c r="E3459">
        <v>0.86801840352149895</v>
      </c>
      <c r="F3459">
        <v>0.84273491412577095</v>
      </c>
      <c r="G3459">
        <v>0.67426068444788501</v>
      </c>
      <c r="H3459">
        <v>0.53635175479521502</v>
      </c>
      <c r="I3459">
        <v>0.50664215715919403</v>
      </c>
      <c r="J3459">
        <v>0.57578079918160696</v>
      </c>
      <c r="K3459">
        <v>0.53267253374594903</v>
      </c>
      <c r="L3459">
        <v>807.33384046277604</v>
      </c>
      <c r="M3459">
        <v>14.863910271826001</v>
      </c>
      <c r="O3459">
        <v>53.3603522302963</v>
      </c>
      <c r="P3459">
        <v>-3.4791942474385003E-2</v>
      </c>
      <c r="Q3459">
        <v>0.50045017369341704</v>
      </c>
      <c r="R3459">
        <v>0.96304354691876304</v>
      </c>
      <c r="S3459" t="s">
        <v>7755</v>
      </c>
      <c r="T3459" t="s">
        <v>8590</v>
      </c>
      <c r="U3459" t="s">
        <v>8590</v>
      </c>
      <c r="V3459" t="s">
        <v>8590</v>
      </c>
      <c r="W3459">
        <v>25</v>
      </c>
      <c r="X3459" t="s">
        <v>12049</v>
      </c>
      <c r="Y3459">
        <v>0.74899767963285824</v>
      </c>
      <c r="Z3459" t="str">
        <f>HYPERLINK("Melting_Curves/meltCurve_sp_Q9UNZ2_NSF1C_HUMAN_.pdf", "Melting_Curves/meltCurve_sp_Q9UNZ2_NSF1C_HUMAN_.pdf")</f>
        <v>Melting_Curves/meltCurve_sp_Q9UNZ2_NSF1C_HUMAN_.pdf</v>
      </c>
      <c r="AA3459" t="s">
        <v>16294</v>
      </c>
      <c r="AB3459" t="s">
        <v>20542</v>
      </c>
    </row>
    <row r="3460" spans="1:28" x14ac:dyDescent="0.25">
      <c r="A3460" t="s">
        <v>3464</v>
      </c>
      <c r="B3460">
        <v>0.99876560204751996</v>
      </c>
      <c r="C3460">
        <v>1.01453647217041</v>
      </c>
      <c r="D3460">
        <v>0.82491380882901799</v>
      </c>
      <c r="E3460">
        <v>0.45545030047442803</v>
      </c>
      <c r="F3460">
        <v>0.19938946084755901</v>
      </c>
      <c r="G3460">
        <v>0.14078058495978399</v>
      </c>
      <c r="H3460">
        <v>7.3849088320779896E-2</v>
      </c>
      <c r="I3460">
        <v>6.1533306253047003E-2</v>
      </c>
      <c r="J3460">
        <v>3.7722829028941397E-2</v>
      </c>
      <c r="K3460">
        <v>3.0154628623127101E-2</v>
      </c>
      <c r="L3460">
        <v>1095.2879432509901</v>
      </c>
      <c r="M3460">
        <v>22.2223008596693</v>
      </c>
      <c r="N3460">
        <v>49.533687856655199</v>
      </c>
      <c r="O3460">
        <v>48.893851083999401</v>
      </c>
      <c r="P3460">
        <v>-0.10769329601554101</v>
      </c>
      <c r="Q3460">
        <v>5.2226279836482301E-2</v>
      </c>
      <c r="R3460">
        <v>0.99622705986218596</v>
      </c>
      <c r="S3460" t="s">
        <v>7756</v>
      </c>
      <c r="T3460" t="s">
        <v>8590</v>
      </c>
      <c r="U3460" t="s">
        <v>8590</v>
      </c>
      <c r="V3460" t="s">
        <v>8590</v>
      </c>
      <c r="W3460">
        <v>6</v>
      </c>
      <c r="X3460" t="s">
        <v>12050</v>
      </c>
      <c r="Y3460">
        <v>0.35635277806019328</v>
      </c>
      <c r="Z3460" t="str">
        <f>HYPERLINK("Melting_Curves/meltCurve_sp_Q9UP83_COG5_HUMAN_.pdf", "Melting_Curves/meltCurve_sp_Q9UP83_COG5_HUMAN_.pdf")</f>
        <v>Melting_Curves/meltCurve_sp_Q9UP83_COG5_HUMAN_.pdf</v>
      </c>
      <c r="AA3460" t="s">
        <v>16295</v>
      </c>
      <c r="AB3460" t="s">
        <v>20543</v>
      </c>
    </row>
    <row r="3461" spans="1:28" x14ac:dyDescent="0.25">
      <c r="A3461" t="s">
        <v>3465</v>
      </c>
      <c r="B3461">
        <v>0.99876560204751996</v>
      </c>
      <c r="C3461">
        <v>0.92126845389515299</v>
      </c>
      <c r="D3461">
        <v>0.90126319744314298</v>
      </c>
      <c r="E3461">
        <v>0.81704926432406899</v>
      </c>
      <c r="F3461">
        <v>0.76335794140430702</v>
      </c>
      <c r="G3461">
        <v>0.591987675329813</v>
      </c>
      <c r="H3461">
        <v>0.52293073187939498</v>
      </c>
      <c r="I3461">
        <v>0.48479256249533798</v>
      </c>
      <c r="J3461">
        <v>0.56484222766043102</v>
      </c>
      <c r="K3461">
        <v>0.57632617052225299</v>
      </c>
      <c r="L3461">
        <v>691.04150536734903</v>
      </c>
      <c r="M3461">
        <v>13.385195957361301</v>
      </c>
      <c r="O3461">
        <v>50.5157990869725</v>
      </c>
      <c r="P3461">
        <v>-3.2518700533023998E-2</v>
      </c>
      <c r="Q3461">
        <v>0.50917440680655301</v>
      </c>
      <c r="R3461">
        <v>0.95187189101722702</v>
      </c>
      <c r="S3461" t="s">
        <v>7757</v>
      </c>
      <c r="T3461" t="s">
        <v>8590</v>
      </c>
      <c r="U3461" t="s">
        <v>8590</v>
      </c>
      <c r="V3461" t="s">
        <v>8590</v>
      </c>
      <c r="W3461">
        <v>7</v>
      </c>
      <c r="X3461" t="s">
        <v>12051</v>
      </c>
      <c r="Y3461">
        <v>0.71261734154429091</v>
      </c>
      <c r="Z3461" t="str">
        <f>HYPERLINK("Melting_Curves/meltCurve_sp_Q9UPN6_SCAF8_HUMAN_.pdf", "Melting_Curves/meltCurve_sp_Q9UPN6_SCAF8_HUMAN_.pdf")</f>
        <v>Melting_Curves/meltCurve_sp_Q9UPN6_SCAF8_HUMAN_.pdf</v>
      </c>
      <c r="AA3461" t="s">
        <v>16296</v>
      </c>
      <c r="AB3461" t="s">
        <v>20544</v>
      </c>
    </row>
    <row r="3462" spans="1:28" x14ac:dyDescent="0.25">
      <c r="A3462" t="s">
        <v>3466</v>
      </c>
      <c r="B3462">
        <v>0.99876560204751996</v>
      </c>
      <c r="C3462">
        <v>1.2611777317299699</v>
      </c>
      <c r="D3462">
        <v>1.13801159178642</v>
      </c>
      <c r="E3462">
        <v>0.96788128368665904</v>
      </c>
      <c r="F3462">
        <v>0.79007145112519395</v>
      </c>
      <c r="G3462">
        <v>0.47461549532403202</v>
      </c>
      <c r="H3462">
        <v>0.22453850099421899</v>
      </c>
      <c r="I3462">
        <v>0.115434786980744</v>
      </c>
      <c r="J3462">
        <v>2.4038452352336901E-2</v>
      </c>
      <c r="K3462">
        <v>0.110262811055178</v>
      </c>
      <c r="L3462">
        <v>1276.15781044048</v>
      </c>
      <c r="M3462">
        <v>22.633960561055002</v>
      </c>
      <c r="N3462">
        <v>56.687929616798002</v>
      </c>
      <c r="O3462">
        <v>55.947847413711798</v>
      </c>
      <c r="P3462">
        <v>-9.53336752534166E-2</v>
      </c>
      <c r="Q3462">
        <v>5.7415090853464197E-2</v>
      </c>
      <c r="R3462">
        <v>0.95235824818184101</v>
      </c>
      <c r="S3462" t="s">
        <v>7758</v>
      </c>
      <c r="T3462" t="s">
        <v>8590</v>
      </c>
      <c r="U3462" t="s">
        <v>8590</v>
      </c>
      <c r="V3462" t="s">
        <v>8590</v>
      </c>
      <c r="W3462">
        <v>2</v>
      </c>
      <c r="X3462" t="s">
        <v>12052</v>
      </c>
      <c r="Y3462">
        <v>0.58218684736938653</v>
      </c>
      <c r="Z3462" t="str">
        <f>HYPERLINK("Melting_Curves/meltCurve_sp_Q9UPN7_PP6R1_HUMAN_.pdf", "Melting_Curves/meltCurve_sp_Q9UPN7_PP6R1_HUMAN_.pdf")</f>
        <v>Melting_Curves/meltCurve_sp_Q9UPN7_PP6R1_HUMAN_.pdf</v>
      </c>
      <c r="AA3462" t="s">
        <v>16297</v>
      </c>
      <c r="AB3462" t="s">
        <v>20545</v>
      </c>
    </row>
    <row r="3463" spans="1:28" x14ac:dyDescent="0.25">
      <c r="A3463" t="s">
        <v>3467</v>
      </c>
      <c r="B3463">
        <v>0.99876560204751996</v>
      </c>
      <c r="C3463">
        <v>0.90625103906667503</v>
      </c>
      <c r="D3463">
        <v>0.99118998641943901</v>
      </c>
      <c r="E3463">
        <v>0.72015270274827203</v>
      </c>
      <c r="F3463">
        <v>0.803013793104143</v>
      </c>
      <c r="G3463">
        <v>0.58598146324783396</v>
      </c>
      <c r="H3463">
        <v>0.48886420732291502</v>
      </c>
      <c r="I3463">
        <v>0.55759019757573702</v>
      </c>
      <c r="J3463">
        <v>0.59831439820148802</v>
      </c>
      <c r="K3463">
        <v>0.666636460748954</v>
      </c>
      <c r="L3463">
        <v>892.43623944184503</v>
      </c>
      <c r="M3463">
        <v>17.744217765753501</v>
      </c>
      <c r="O3463">
        <v>49.668757129802401</v>
      </c>
      <c r="P3463">
        <v>-3.8081613117749803E-2</v>
      </c>
      <c r="Q3463">
        <v>0.57363756206334904</v>
      </c>
      <c r="R3463">
        <v>0.84525079615909804</v>
      </c>
      <c r="S3463" t="s">
        <v>7759</v>
      </c>
      <c r="T3463" t="s">
        <v>8590</v>
      </c>
      <c r="U3463" t="s">
        <v>8590</v>
      </c>
      <c r="V3463" t="s">
        <v>8590</v>
      </c>
      <c r="W3463">
        <v>2</v>
      </c>
      <c r="X3463" t="s">
        <v>12053</v>
      </c>
      <c r="Y3463">
        <v>0.7273836913846653</v>
      </c>
      <c r="Z3463" t="str">
        <f>HYPERLINK("Melting_Curves/meltCurve_sp_Q9UPP1_4_PHF8_HUMAN_.pdf", "Melting_Curves/meltCurve_sp_Q9UPP1_4_PHF8_HUMAN_.pdf")</f>
        <v>Melting_Curves/meltCurve_sp_Q9UPP1_4_PHF8_HUMAN_.pdf</v>
      </c>
      <c r="AA3463" t="s">
        <v>16298</v>
      </c>
      <c r="AB3463" t="s">
        <v>20546</v>
      </c>
    </row>
    <row r="3464" spans="1:28" x14ac:dyDescent="0.25">
      <c r="A3464" t="s">
        <v>3468</v>
      </c>
      <c r="B3464">
        <v>0.99876560204751996</v>
      </c>
      <c r="C3464">
        <v>0.966032454996259</v>
      </c>
      <c r="D3464">
        <v>1.06738902094959</v>
      </c>
      <c r="E3464">
        <v>1.1583852970999899</v>
      </c>
      <c r="F3464">
        <v>1.42198204851628</v>
      </c>
      <c r="G3464">
        <v>0.76714068663108703</v>
      </c>
      <c r="H3464">
        <v>0.31145701388539898</v>
      </c>
      <c r="I3464">
        <v>0.32613249284826401</v>
      </c>
      <c r="J3464">
        <v>0.52650444647754802</v>
      </c>
      <c r="K3464">
        <v>0.49029228594466001</v>
      </c>
      <c r="L3464">
        <v>14273.801695427001</v>
      </c>
      <c r="M3464">
        <v>250</v>
      </c>
      <c r="N3464">
        <v>57.498991836656202</v>
      </c>
      <c r="O3464">
        <v>57.091558490924001</v>
      </c>
      <c r="P3464">
        <v>-0.64195513509847502</v>
      </c>
      <c r="Q3464">
        <v>0.41359655000942602</v>
      </c>
      <c r="R3464">
        <v>0.80945993047076903</v>
      </c>
      <c r="S3464" t="s">
        <v>7760</v>
      </c>
      <c r="T3464" t="s">
        <v>8590</v>
      </c>
      <c r="U3464" t="s">
        <v>8590</v>
      </c>
      <c r="V3464" t="s">
        <v>8590</v>
      </c>
      <c r="W3464">
        <v>2</v>
      </c>
      <c r="X3464" t="s">
        <v>12054</v>
      </c>
      <c r="Y3464">
        <v>0.74781158284158533</v>
      </c>
      <c r="Z3464" t="str">
        <f>HYPERLINK("Melting_Curves/meltCurve_sp_Q9UPQ3_2_AGAP1_HUMAN_.pdf", "Melting_Curves/meltCurve_sp_Q9UPQ3_2_AGAP1_HUMAN_.pdf")</f>
        <v>Melting_Curves/meltCurve_sp_Q9UPQ3_2_AGAP1_HUMAN_.pdf</v>
      </c>
      <c r="AA3464" t="s">
        <v>16299</v>
      </c>
      <c r="AB3464" t="s">
        <v>20547</v>
      </c>
    </row>
    <row r="3465" spans="1:28" x14ac:dyDescent="0.25">
      <c r="A3465" t="s">
        <v>3469</v>
      </c>
      <c r="B3465">
        <v>0.99876560204751996</v>
      </c>
      <c r="C3465">
        <v>1.0344321669788299</v>
      </c>
      <c r="D3465">
        <v>1.1174796479453699</v>
      </c>
      <c r="E3465">
        <v>0.95895824810504304</v>
      </c>
      <c r="F3465">
        <v>1.0822623642843401</v>
      </c>
      <c r="G3465">
        <v>0.75335246318163396</v>
      </c>
      <c r="H3465">
        <v>0.65275454788092102</v>
      </c>
      <c r="I3465">
        <v>0.49571979546780998</v>
      </c>
      <c r="J3465">
        <v>0.88979897581004996</v>
      </c>
      <c r="K3465">
        <v>0.80305578983533599</v>
      </c>
      <c r="L3465">
        <v>14150.461461252</v>
      </c>
      <c r="M3465">
        <v>250</v>
      </c>
      <c r="O3465">
        <v>56.598223702671497</v>
      </c>
      <c r="P3465">
        <v>-0.31987281256941902</v>
      </c>
      <c r="Q3465">
        <v>0.71033227230609397</v>
      </c>
      <c r="R3465">
        <v>0.68686458091389402</v>
      </c>
      <c r="S3465" t="s">
        <v>7761</v>
      </c>
      <c r="T3465" t="s">
        <v>8590</v>
      </c>
      <c r="U3465" t="s">
        <v>8590</v>
      </c>
      <c r="V3465" t="s">
        <v>8590</v>
      </c>
      <c r="W3465">
        <v>7</v>
      </c>
      <c r="X3465" t="s">
        <v>12055</v>
      </c>
      <c r="Y3465">
        <v>0.8706616786019471</v>
      </c>
      <c r="Z3465" t="str">
        <f>HYPERLINK("Melting_Curves/meltCurve_sp_Q9UPQ9_1_TNR6B_HUMAN_.pdf", "Melting_Curves/meltCurve_sp_Q9UPQ9_1_TNR6B_HUMAN_.pdf")</f>
        <v>Melting_Curves/meltCurve_sp_Q9UPQ9_1_TNR6B_HUMAN_.pdf</v>
      </c>
      <c r="AA3465" t="s">
        <v>16300</v>
      </c>
      <c r="AB3465" t="s">
        <v>20548</v>
      </c>
    </row>
    <row r="3466" spans="1:28" x14ac:dyDescent="0.25">
      <c r="A3466" t="s">
        <v>3470</v>
      </c>
      <c r="B3466">
        <v>0.99876560204751996</v>
      </c>
      <c r="C3466">
        <v>0.93988710471960901</v>
      </c>
      <c r="D3466">
        <v>1.1777461284784301</v>
      </c>
      <c r="E3466">
        <v>0.74718625963705998</v>
      </c>
      <c r="F3466">
        <v>0.98782895821065098</v>
      </c>
      <c r="G3466">
        <v>0.71672565805925803</v>
      </c>
      <c r="H3466">
        <v>0.65453814086987305</v>
      </c>
      <c r="I3466">
        <v>0.40429607541211099</v>
      </c>
      <c r="J3466">
        <v>0.61772889430130196</v>
      </c>
      <c r="K3466">
        <v>0.70160321144857496</v>
      </c>
      <c r="L3466">
        <v>1284.6299668526999</v>
      </c>
      <c r="M3466">
        <v>23.1898418130219</v>
      </c>
      <c r="O3466">
        <v>54.989243536257099</v>
      </c>
      <c r="P3466">
        <v>-4.44369213389188E-2</v>
      </c>
      <c r="Q3466">
        <v>0.57852101903590303</v>
      </c>
      <c r="R3466">
        <v>0.68319492029808104</v>
      </c>
      <c r="S3466" t="s">
        <v>7762</v>
      </c>
      <c r="T3466" t="s">
        <v>8590</v>
      </c>
      <c r="U3466" t="s">
        <v>8590</v>
      </c>
      <c r="V3466" t="s">
        <v>8590</v>
      </c>
      <c r="W3466">
        <v>1</v>
      </c>
      <c r="X3466" t="s">
        <v>12056</v>
      </c>
      <c r="Y3466">
        <v>0.79924212605592193</v>
      </c>
      <c r="Z3466" t="str">
        <f>HYPERLINK("Melting_Curves/meltCurve_sp_Q9UPR0_PLCL2_HUMAN_.pdf", "Melting_Curves/meltCurve_sp_Q9UPR0_PLCL2_HUMAN_.pdf")</f>
        <v>Melting_Curves/meltCurve_sp_Q9UPR0_PLCL2_HUMAN_.pdf</v>
      </c>
      <c r="AA3466" t="s">
        <v>16301</v>
      </c>
      <c r="AB3466" t="s">
        <v>20549</v>
      </c>
    </row>
    <row r="3467" spans="1:28" x14ac:dyDescent="0.25">
      <c r="A3467" t="s">
        <v>3471</v>
      </c>
      <c r="B3467">
        <v>0.99876560204751996</v>
      </c>
      <c r="C3467">
        <v>1.0049802978440701</v>
      </c>
      <c r="D3467">
        <v>0.88890691636027597</v>
      </c>
      <c r="E3467">
        <v>0.54119271361524601</v>
      </c>
      <c r="F3467">
        <v>0.20672076358392399</v>
      </c>
      <c r="G3467">
        <v>0.14349324914039899</v>
      </c>
      <c r="H3467">
        <v>8.2147901224605593E-2</v>
      </c>
      <c r="I3467">
        <v>6.5233749457234397E-2</v>
      </c>
      <c r="J3467">
        <v>7.1775822402631501E-2</v>
      </c>
      <c r="K3467">
        <v>6.3759569469674204E-2</v>
      </c>
      <c r="L3467">
        <v>1296.5637230646701</v>
      </c>
      <c r="M3467">
        <v>25.988874978971399</v>
      </c>
      <c r="N3467">
        <v>50.1892697745905</v>
      </c>
      <c r="O3467">
        <v>49.596612016829297</v>
      </c>
      <c r="P3467">
        <v>-0.12157593934635499</v>
      </c>
      <c r="Q3467">
        <v>7.1959052157088393E-2</v>
      </c>
      <c r="R3467">
        <v>0.99770052825198097</v>
      </c>
      <c r="S3467" t="s">
        <v>7763</v>
      </c>
      <c r="T3467" t="s">
        <v>8590</v>
      </c>
      <c r="U3467" t="s">
        <v>8590</v>
      </c>
      <c r="V3467" t="s">
        <v>8590</v>
      </c>
      <c r="W3467">
        <v>9</v>
      </c>
      <c r="X3467" t="s">
        <v>12057</v>
      </c>
      <c r="Y3467">
        <v>0.38553941988818519</v>
      </c>
      <c r="Z3467" t="str">
        <f>HYPERLINK("Melting_Curves/meltCurve_sp_Q9UPT5_2_EXOC7_HUMAN_.pdf", "Melting_Curves/meltCurve_sp_Q9UPT5_2_EXOC7_HUMAN_.pdf")</f>
        <v>Melting_Curves/meltCurve_sp_Q9UPT5_2_EXOC7_HUMAN_.pdf</v>
      </c>
      <c r="AA3467" t="s">
        <v>16302</v>
      </c>
      <c r="AB3467" t="s">
        <v>20550</v>
      </c>
    </row>
    <row r="3468" spans="1:28" x14ac:dyDescent="0.25">
      <c r="A3468" t="s">
        <v>3472</v>
      </c>
      <c r="B3468">
        <v>0.99876560204751996</v>
      </c>
      <c r="C3468">
        <v>0.93821763379502199</v>
      </c>
      <c r="D3468">
        <v>1.0008471215583601</v>
      </c>
      <c r="E3468">
        <v>0.871292942498895</v>
      </c>
      <c r="F3468">
        <v>0.97255047041064002</v>
      </c>
      <c r="G3468">
        <v>0.78144312626553203</v>
      </c>
      <c r="H3468">
        <v>0.78762987704882104</v>
      </c>
      <c r="I3468">
        <v>0.83926794207183397</v>
      </c>
      <c r="J3468">
        <v>0.95708921047149298</v>
      </c>
      <c r="K3468">
        <v>0.92634843338723205</v>
      </c>
      <c r="L3468">
        <v>1039.2947560863699</v>
      </c>
      <c r="M3468">
        <v>21.4781465308584</v>
      </c>
      <c r="O3468">
        <v>47.974859939405803</v>
      </c>
      <c r="P3468">
        <v>-1.4747427110044E-2</v>
      </c>
      <c r="Q3468">
        <v>0.86824031345762198</v>
      </c>
      <c r="R3468">
        <v>0.33988292333245501</v>
      </c>
      <c r="S3468" t="s">
        <v>7764</v>
      </c>
      <c r="T3468" t="s">
        <v>8590</v>
      </c>
      <c r="U3468" t="s">
        <v>8590</v>
      </c>
      <c r="V3468" t="s">
        <v>8590</v>
      </c>
      <c r="W3468">
        <v>11</v>
      </c>
      <c r="X3468" t="s">
        <v>12058</v>
      </c>
      <c r="Y3468">
        <v>0.9066841632860313</v>
      </c>
      <c r="Z3468" t="str">
        <f>HYPERLINK("Melting_Curves/meltCurve_sp_Q9UPT8_ZC3H4_HUMAN_.pdf", "Melting_Curves/meltCurve_sp_Q9UPT8_ZC3H4_HUMAN_.pdf")</f>
        <v>Melting_Curves/meltCurve_sp_Q9UPT8_ZC3H4_HUMAN_.pdf</v>
      </c>
      <c r="AA3468" t="s">
        <v>16303</v>
      </c>
      <c r="AB3468" t="s">
        <v>20551</v>
      </c>
    </row>
    <row r="3469" spans="1:28" x14ac:dyDescent="0.25">
      <c r="A3469" t="s">
        <v>3473</v>
      </c>
      <c r="B3469">
        <v>0.99876560204751996</v>
      </c>
      <c r="C3469">
        <v>1.1041163193638599</v>
      </c>
      <c r="D3469">
        <v>0.93879747665345503</v>
      </c>
      <c r="E3469">
        <v>0.65429444707411599</v>
      </c>
      <c r="F3469">
        <v>0.337244775715274</v>
      </c>
      <c r="G3469">
        <v>0.15356612444074899</v>
      </c>
      <c r="H3469">
        <v>0.11116678436529499</v>
      </c>
      <c r="I3469">
        <v>7.0773953856985899E-2</v>
      </c>
      <c r="J3469">
        <v>6.5436526514652593E-2</v>
      </c>
      <c r="K3469">
        <v>6.8991127174437894E-2</v>
      </c>
      <c r="L3469">
        <v>1283.5414563373499</v>
      </c>
      <c r="M3469">
        <v>25.132667681987101</v>
      </c>
      <c r="N3469">
        <v>51.406008502184598</v>
      </c>
      <c r="O3469">
        <v>50.750603830436702</v>
      </c>
      <c r="P3469">
        <v>-0.114445035550546</v>
      </c>
      <c r="Q3469">
        <v>7.5612953119514895E-2</v>
      </c>
      <c r="R3469">
        <v>0.99185828571913603</v>
      </c>
      <c r="S3469" t="s">
        <v>7765</v>
      </c>
      <c r="T3469" t="s">
        <v>8590</v>
      </c>
      <c r="U3469" t="s">
        <v>8590</v>
      </c>
      <c r="V3469" t="s">
        <v>8590</v>
      </c>
      <c r="W3469">
        <v>12</v>
      </c>
      <c r="X3469" t="s">
        <v>12059</v>
      </c>
      <c r="Y3469">
        <v>0.42500235435284878</v>
      </c>
      <c r="Z3469" t="str">
        <f>HYPERLINK("Melting_Curves/meltCurve_sp_Q9UPU5_UBP24_HUMAN_.pdf", "Melting_Curves/meltCurve_sp_Q9UPU5_UBP24_HUMAN_.pdf")</f>
        <v>Melting_Curves/meltCurve_sp_Q9UPU5_UBP24_HUMAN_.pdf</v>
      </c>
      <c r="AA3469" t="s">
        <v>16304</v>
      </c>
      <c r="AB3469" t="s">
        <v>20552</v>
      </c>
    </row>
    <row r="3470" spans="1:28" x14ac:dyDescent="0.25">
      <c r="A3470" t="s">
        <v>3474</v>
      </c>
      <c r="B3470">
        <v>0.99876560204751996</v>
      </c>
      <c r="C3470">
        <v>1.0527776781665401</v>
      </c>
      <c r="D3470">
        <v>0.97520131942980304</v>
      </c>
      <c r="E3470">
        <v>0.77747754544646397</v>
      </c>
      <c r="F3470">
        <v>0.54574070059218904</v>
      </c>
      <c r="G3470">
        <v>0.24519647808082101</v>
      </c>
      <c r="H3470">
        <v>0.134334505842859</v>
      </c>
      <c r="I3470">
        <v>6.3806010439073996E-2</v>
      </c>
      <c r="J3470">
        <v>7.1842265434444497E-2</v>
      </c>
      <c r="K3470">
        <v>4.4926702188521801E-2</v>
      </c>
      <c r="L3470">
        <v>1058.441684009</v>
      </c>
      <c r="M3470">
        <v>19.891669682773301</v>
      </c>
      <c r="N3470">
        <v>53.473585546023202</v>
      </c>
      <c r="O3470">
        <v>52.681275268664599</v>
      </c>
      <c r="P3470">
        <v>-8.9995770317240598E-2</v>
      </c>
      <c r="Q3470">
        <v>4.66493102114851E-2</v>
      </c>
      <c r="R3470">
        <v>0.99700935636754096</v>
      </c>
      <c r="S3470" t="s">
        <v>7766</v>
      </c>
      <c r="T3470" t="s">
        <v>8590</v>
      </c>
      <c r="U3470" t="s">
        <v>8590</v>
      </c>
      <c r="V3470" t="s">
        <v>8590</v>
      </c>
      <c r="W3470">
        <v>4</v>
      </c>
      <c r="X3470" t="s">
        <v>12060</v>
      </c>
      <c r="Y3470">
        <v>0.4796581132155554</v>
      </c>
      <c r="Z3470" t="str">
        <f>HYPERLINK("Melting_Curves/meltCurve_sp_Q9UPU7_TBD2B_HUMAN_.pdf", "Melting_Curves/meltCurve_sp_Q9UPU7_TBD2B_HUMAN_.pdf")</f>
        <v>Melting_Curves/meltCurve_sp_Q9UPU7_TBD2B_HUMAN_.pdf</v>
      </c>
      <c r="AA3470" t="s">
        <v>16305</v>
      </c>
      <c r="AB3470" t="s">
        <v>20553</v>
      </c>
    </row>
    <row r="3471" spans="1:28" x14ac:dyDescent="0.25">
      <c r="A3471" t="s">
        <v>3475</v>
      </c>
      <c r="B3471">
        <v>0.99876560204751996</v>
      </c>
      <c r="C3471">
        <v>0.90916126300071298</v>
      </c>
      <c r="D3471">
        <v>0.91788591032660705</v>
      </c>
      <c r="E3471">
        <v>0.82418286082096903</v>
      </c>
      <c r="F3471">
        <v>0.89295166568295004</v>
      </c>
      <c r="G3471">
        <v>0.61242167657730195</v>
      </c>
      <c r="H3471">
        <v>0.49790225612830802</v>
      </c>
      <c r="I3471">
        <v>0.33468451829381002</v>
      </c>
      <c r="J3471">
        <v>0.310475222586795</v>
      </c>
      <c r="K3471">
        <v>0.37949365740528201</v>
      </c>
      <c r="L3471">
        <v>705.19414450465695</v>
      </c>
      <c r="M3471">
        <v>12.336902697464099</v>
      </c>
      <c r="N3471">
        <v>60.355554930255302</v>
      </c>
      <c r="O3471">
        <v>55.721735143243002</v>
      </c>
      <c r="P3471">
        <v>-4.2090189941188801E-2</v>
      </c>
      <c r="Q3471">
        <v>0.23973439738652699</v>
      </c>
      <c r="R3471">
        <v>0.948904441373564</v>
      </c>
      <c r="S3471" t="s">
        <v>7767</v>
      </c>
      <c r="T3471" t="s">
        <v>8590</v>
      </c>
      <c r="U3471" t="s">
        <v>8590</v>
      </c>
      <c r="V3471" t="s">
        <v>8590</v>
      </c>
      <c r="W3471">
        <v>3</v>
      </c>
      <c r="X3471" t="s">
        <v>12061</v>
      </c>
      <c r="Y3471">
        <v>0.68698948856334885</v>
      </c>
      <c r="Z3471" t="str">
        <f>HYPERLINK("Melting_Curves/meltCurve_sp_Q9UPX8_3_SHAN2_HUMAN_.pdf", "Melting_Curves/meltCurve_sp_Q9UPX8_3_SHAN2_HUMAN_.pdf")</f>
        <v>Melting_Curves/meltCurve_sp_Q9UPX8_3_SHAN2_HUMAN_.pdf</v>
      </c>
      <c r="AA3471" t="s">
        <v>16306</v>
      </c>
      <c r="AB3471" t="s">
        <v>20554</v>
      </c>
    </row>
    <row r="3472" spans="1:28" x14ac:dyDescent="0.25">
      <c r="A3472" t="s">
        <v>3476</v>
      </c>
      <c r="B3472">
        <v>0.99876560204751996</v>
      </c>
      <c r="C3472">
        <v>1.4230678007745401</v>
      </c>
      <c r="D3472">
        <v>1.2306054149215999</v>
      </c>
      <c r="E3472">
        <v>0.95335925595140103</v>
      </c>
      <c r="F3472">
        <v>0.370125492558945</v>
      </c>
      <c r="G3472">
        <v>5.3237888711318203E-2</v>
      </c>
      <c r="H3472">
        <v>5.4808205790843001E-2</v>
      </c>
      <c r="I3472">
        <v>0.113800000244885</v>
      </c>
      <c r="J3472">
        <v>0.103374239945301</v>
      </c>
      <c r="K3472">
        <v>0</v>
      </c>
      <c r="L3472">
        <v>3340.78747800469</v>
      </c>
      <c r="M3472">
        <v>63.761148511577602</v>
      </c>
      <c r="N3472">
        <v>52.508306921757502</v>
      </c>
      <c r="O3472">
        <v>52.343891874432998</v>
      </c>
      <c r="P3472">
        <v>-0.28501543676126201</v>
      </c>
      <c r="Q3472">
        <v>6.4081544604880594E-2</v>
      </c>
      <c r="R3472">
        <v>0.914094762772519</v>
      </c>
      <c r="S3472" t="s">
        <v>7768</v>
      </c>
      <c r="T3472" t="s">
        <v>8590</v>
      </c>
      <c r="U3472" t="s">
        <v>8590</v>
      </c>
      <c r="V3472" t="s">
        <v>8590</v>
      </c>
      <c r="W3472">
        <v>3</v>
      </c>
      <c r="X3472" t="s">
        <v>12062</v>
      </c>
      <c r="Y3472">
        <v>0.45210993631149482</v>
      </c>
      <c r="Z3472" t="str">
        <f>HYPERLINK("Melting_Curves/meltCurve_sp_Q9UPY3_DICER_HUMAN_.pdf", "Melting_Curves/meltCurve_sp_Q9UPY3_DICER_HUMAN_.pdf")</f>
        <v>Melting_Curves/meltCurve_sp_Q9UPY3_DICER_HUMAN_.pdf</v>
      </c>
      <c r="AA3472" t="s">
        <v>16307</v>
      </c>
      <c r="AB3472" t="s">
        <v>20555</v>
      </c>
    </row>
    <row r="3473" spans="1:28" x14ac:dyDescent="0.25">
      <c r="A3473" t="s">
        <v>3477</v>
      </c>
      <c r="B3473">
        <v>0.99876560204751996</v>
      </c>
      <c r="C3473">
        <v>0.91644868306287697</v>
      </c>
      <c r="D3473">
        <v>0.95838734539474602</v>
      </c>
      <c r="E3473">
        <v>0.89626849146990495</v>
      </c>
      <c r="F3473">
        <v>0.743216130609337</v>
      </c>
      <c r="G3473">
        <v>0.64384554767479996</v>
      </c>
      <c r="H3473">
        <v>0.51505330173730102</v>
      </c>
      <c r="I3473">
        <v>0.44688052900259101</v>
      </c>
      <c r="J3473">
        <v>0.44571140175054402</v>
      </c>
      <c r="K3473">
        <v>0.48416564047781102</v>
      </c>
      <c r="L3473">
        <v>780.78178297008799</v>
      </c>
      <c r="M3473">
        <v>14.368402882198801</v>
      </c>
      <c r="N3473">
        <v>62.472423710199401</v>
      </c>
      <c r="O3473">
        <v>53.320130322822699</v>
      </c>
      <c r="P3473">
        <v>-3.8878527399949597E-2</v>
      </c>
      <c r="Q3473">
        <v>0.42296709010195899</v>
      </c>
      <c r="R3473">
        <v>0.97856824635131501</v>
      </c>
      <c r="S3473" t="s">
        <v>7769</v>
      </c>
      <c r="T3473" t="s">
        <v>8590</v>
      </c>
      <c r="U3473" t="s">
        <v>8590</v>
      </c>
      <c r="V3473" t="s">
        <v>8590</v>
      </c>
      <c r="W3473">
        <v>4</v>
      </c>
      <c r="X3473" t="s">
        <v>12063</v>
      </c>
      <c r="Y3473">
        <v>0.7109960706089401</v>
      </c>
      <c r="Z3473" t="str">
        <f>HYPERLINK("Melting_Curves/meltCurve_sp_Q9UPY8_2_MARE3_HUMAN_.pdf", "Melting_Curves/meltCurve_sp_Q9UPY8_2_MARE3_HUMAN_.pdf")</f>
        <v>Melting_Curves/meltCurve_sp_Q9UPY8_2_MARE3_HUMAN_.pdf</v>
      </c>
      <c r="AA3473" t="s">
        <v>16308</v>
      </c>
      <c r="AB3473" t="s">
        <v>20556</v>
      </c>
    </row>
    <row r="3474" spans="1:28" x14ac:dyDescent="0.25">
      <c r="A3474" t="s">
        <v>3478</v>
      </c>
      <c r="B3474">
        <v>0.99876560204751996</v>
      </c>
      <c r="C3474">
        <v>0.97871541803427997</v>
      </c>
      <c r="D3474">
        <v>1.0278030113121299</v>
      </c>
      <c r="E3474">
        <v>0.91310405254965599</v>
      </c>
      <c r="F3474">
        <v>0.86591443345159702</v>
      </c>
      <c r="G3474">
        <v>0.70891401769441298</v>
      </c>
      <c r="H3474">
        <v>0.62901953285601897</v>
      </c>
      <c r="I3474">
        <v>0.63832688067819698</v>
      </c>
      <c r="J3474">
        <v>0.80245081429245402</v>
      </c>
      <c r="K3474">
        <v>0.73203438838328805</v>
      </c>
      <c r="L3474">
        <v>1601.9245684990799</v>
      </c>
      <c r="M3474">
        <v>30.397643945110602</v>
      </c>
      <c r="O3474">
        <v>52.472476275296103</v>
      </c>
      <c r="P3474">
        <v>-4.3750801378770403E-2</v>
      </c>
      <c r="Q3474">
        <v>0.69791098396637996</v>
      </c>
      <c r="R3474">
        <v>0.87422272095618003</v>
      </c>
      <c r="S3474" t="s">
        <v>7770</v>
      </c>
      <c r="T3474" t="s">
        <v>8590</v>
      </c>
      <c r="U3474" t="s">
        <v>8590</v>
      </c>
      <c r="V3474" t="s">
        <v>8590</v>
      </c>
      <c r="W3474">
        <v>29</v>
      </c>
      <c r="X3474" t="s">
        <v>12064</v>
      </c>
      <c r="Y3474">
        <v>0.82768570854744039</v>
      </c>
      <c r="Z3474" t="str">
        <f>HYPERLINK("Melting_Curves/meltCurve_sp_Q9UQ35_SRRM2_HUMAN_.pdf", "Melting_Curves/meltCurve_sp_Q9UQ35_SRRM2_HUMAN_.pdf")</f>
        <v>Melting_Curves/meltCurve_sp_Q9UQ35_SRRM2_HUMAN_.pdf</v>
      </c>
      <c r="AA3474" t="s">
        <v>16309</v>
      </c>
      <c r="AB3474" t="s">
        <v>20557</v>
      </c>
    </row>
    <row r="3475" spans="1:28" x14ac:dyDescent="0.25">
      <c r="A3475" t="s">
        <v>3479</v>
      </c>
      <c r="B3475">
        <v>0.99876560204751996</v>
      </c>
      <c r="C3475">
        <v>0.82232469432684496</v>
      </c>
      <c r="D3475">
        <v>0.72402513531568902</v>
      </c>
      <c r="E3475">
        <v>0.59425530437581597</v>
      </c>
      <c r="F3475">
        <v>0.33884429481272099</v>
      </c>
      <c r="G3475">
        <v>0.26617770989909001</v>
      </c>
      <c r="H3475">
        <v>0.15365527268377699</v>
      </c>
      <c r="I3475">
        <v>0.113637656571985</v>
      </c>
      <c r="J3475">
        <v>3.5548800535668799E-2</v>
      </c>
      <c r="K3475">
        <v>8.8829893586792899E-2</v>
      </c>
      <c r="L3475">
        <v>524.51577563528895</v>
      </c>
      <c r="M3475">
        <v>10.3527790969216</v>
      </c>
      <c r="N3475">
        <v>50.711736058497102</v>
      </c>
      <c r="O3475">
        <v>48.883220149017397</v>
      </c>
      <c r="P3475">
        <v>-5.2713524494156901E-2</v>
      </c>
      <c r="Q3475">
        <v>4.8238349806740601E-3</v>
      </c>
      <c r="R3475">
        <v>0.98595947758848201</v>
      </c>
      <c r="S3475" t="s">
        <v>7771</v>
      </c>
      <c r="T3475" t="s">
        <v>8590</v>
      </c>
      <c r="U3475" t="s">
        <v>8590</v>
      </c>
      <c r="V3475" t="s">
        <v>8590</v>
      </c>
      <c r="W3475">
        <v>5</v>
      </c>
      <c r="X3475" t="s">
        <v>12065</v>
      </c>
      <c r="Y3475">
        <v>0.3992997374636571</v>
      </c>
      <c r="Z3475" t="str">
        <f>HYPERLINK("Melting_Curves/meltCurve_sp_Q9UQ80_PA2G4_HUMAN_.pdf", "Melting_Curves/meltCurve_sp_Q9UQ80_PA2G4_HUMAN_.pdf")</f>
        <v>Melting_Curves/meltCurve_sp_Q9UQ80_PA2G4_HUMAN_.pdf</v>
      </c>
      <c r="AA3475" t="s">
        <v>16310</v>
      </c>
      <c r="AB3475" t="s">
        <v>20558</v>
      </c>
    </row>
    <row r="3476" spans="1:28" x14ac:dyDescent="0.25">
      <c r="A3476" t="s">
        <v>3480</v>
      </c>
      <c r="B3476">
        <v>0.99876560204751996</v>
      </c>
      <c r="C3476">
        <v>0.97321549535461405</v>
      </c>
      <c r="D3476">
        <v>0.94932272848235</v>
      </c>
      <c r="E3476">
        <v>0.834318388128241</v>
      </c>
      <c r="F3476">
        <v>0.74369615311529802</v>
      </c>
      <c r="G3476">
        <v>0.41993066501262799</v>
      </c>
      <c r="H3476">
        <v>0.28262522175537202</v>
      </c>
      <c r="I3476">
        <v>0.254056133376868</v>
      </c>
      <c r="J3476">
        <v>0.29358904640726402</v>
      </c>
      <c r="K3476">
        <v>0.26431265375311103</v>
      </c>
      <c r="L3476">
        <v>1102.70772220617</v>
      </c>
      <c r="M3476">
        <v>20.425741930000498</v>
      </c>
      <c r="N3476">
        <v>55.828794317981199</v>
      </c>
      <c r="O3476">
        <v>53.476707332138503</v>
      </c>
      <c r="P3476">
        <v>-7.2076791189137304E-2</v>
      </c>
      <c r="Q3476">
        <v>0.245204596820879</v>
      </c>
      <c r="R3476">
        <v>0.99108382455694399</v>
      </c>
      <c r="S3476" t="s">
        <v>7772</v>
      </c>
      <c r="T3476" t="s">
        <v>8590</v>
      </c>
      <c r="U3476" t="s">
        <v>8590</v>
      </c>
      <c r="V3476" t="s">
        <v>8590</v>
      </c>
      <c r="W3476">
        <v>17</v>
      </c>
      <c r="X3476" t="s">
        <v>12066</v>
      </c>
      <c r="Y3476">
        <v>0.60701065185470093</v>
      </c>
      <c r="Z3476" t="str">
        <f>HYPERLINK("Melting_Curves/meltCurve_sp_Q9UQB8_5_BAIP2_HUMAN_.pdf", "Melting_Curves/meltCurve_sp_Q9UQB8_5_BAIP2_HUMAN_.pdf")</f>
        <v>Melting_Curves/meltCurve_sp_Q9UQB8_5_BAIP2_HUMAN_.pdf</v>
      </c>
      <c r="AA3476" t="s">
        <v>16311</v>
      </c>
      <c r="AB3476" t="s">
        <v>20559</v>
      </c>
    </row>
    <row r="3477" spans="1:28" x14ac:dyDescent="0.25">
      <c r="A3477" t="s">
        <v>3481</v>
      </c>
      <c r="B3477">
        <v>0.99876560204751996</v>
      </c>
      <c r="C3477">
        <v>0.97064324853418804</v>
      </c>
      <c r="D3477">
        <v>0.92902102059133995</v>
      </c>
      <c r="E3477">
        <v>0.70132617341603698</v>
      </c>
      <c r="F3477">
        <v>0.36667028209214603</v>
      </c>
      <c r="G3477">
        <v>0.19081759046871</v>
      </c>
      <c r="H3477">
        <v>0.108168726616232</v>
      </c>
      <c r="I3477">
        <v>9.1547586368150705E-2</v>
      </c>
      <c r="J3477">
        <v>9.2603146929867194E-2</v>
      </c>
      <c r="K3477">
        <v>6.9949347632058803E-2</v>
      </c>
      <c r="L3477">
        <v>1160.7187056892001</v>
      </c>
      <c r="M3477">
        <v>22.580360810159</v>
      </c>
      <c r="N3477">
        <v>51.812527507151501</v>
      </c>
      <c r="O3477">
        <v>51.005846247225001</v>
      </c>
      <c r="P3477">
        <v>-0.10165005377476</v>
      </c>
      <c r="Q3477">
        <v>8.1566313648149202E-2</v>
      </c>
      <c r="R3477">
        <v>0.99861469125685798</v>
      </c>
      <c r="S3477" t="s">
        <v>7773</v>
      </c>
      <c r="T3477" t="s">
        <v>8590</v>
      </c>
      <c r="U3477" t="s">
        <v>8590</v>
      </c>
      <c r="V3477" t="s">
        <v>8590</v>
      </c>
      <c r="W3477">
        <v>8</v>
      </c>
      <c r="X3477" t="s">
        <v>12067</v>
      </c>
      <c r="Y3477">
        <v>0.44083370951161849</v>
      </c>
      <c r="Z3477" t="str">
        <f>HYPERLINK("Melting_Curves/meltCurve_sp_Q9UQE7_SMC3_HUMAN_.pdf", "Melting_Curves/meltCurve_sp_Q9UQE7_SMC3_HUMAN_.pdf")</f>
        <v>Melting_Curves/meltCurve_sp_Q9UQE7_SMC3_HUMAN_.pdf</v>
      </c>
      <c r="AA3477" t="s">
        <v>16312</v>
      </c>
      <c r="AB3477" t="s">
        <v>20560</v>
      </c>
    </row>
    <row r="3478" spans="1:28" x14ac:dyDescent="0.25">
      <c r="A3478" t="s">
        <v>3482</v>
      </c>
      <c r="B3478">
        <v>0.99876560204751996</v>
      </c>
      <c r="C3478">
        <v>0.96942543668866199</v>
      </c>
      <c r="D3478">
        <v>0.89391869965217097</v>
      </c>
      <c r="E3478">
        <v>0.72965945894302597</v>
      </c>
      <c r="F3478">
        <v>0.248998275206438</v>
      </c>
      <c r="G3478">
        <v>0.19267560425540201</v>
      </c>
      <c r="H3478">
        <v>0.10409574324377199</v>
      </c>
      <c r="I3478">
        <v>7.2315381929085001E-2</v>
      </c>
      <c r="J3478">
        <v>6.5017865029288899E-2</v>
      </c>
      <c r="K3478">
        <v>5.8034726845779899E-2</v>
      </c>
      <c r="L3478">
        <v>1624.2149203096101</v>
      </c>
      <c r="M3478">
        <v>31.818661799512</v>
      </c>
      <c r="N3478">
        <v>51.344505720433197</v>
      </c>
      <c r="O3478">
        <v>50.8456251238307</v>
      </c>
      <c r="P3478">
        <v>-0.14323670926188301</v>
      </c>
      <c r="Q3478">
        <v>8.4446415720826201E-2</v>
      </c>
      <c r="R3478">
        <v>0.98764776025515999</v>
      </c>
      <c r="S3478" t="s">
        <v>7774</v>
      </c>
      <c r="T3478" t="s">
        <v>8590</v>
      </c>
      <c r="U3478" t="s">
        <v>8590</v>
      </c>
      <c r="V3478" t="s">
        <v>8590</v>
      </c>
      <c r="W3478">
        <v>5</v>
      </c>
      <c r="X3478" t="s">
        <v>12068</v>
      </c>
      <c r="Y3478">
        <v>0.4266723474550615</v>
      </c>
      <c r="Z3478" t="str">
        <f>HYPERLINK("Melting_Curves/meltCurve_sp_Q9Y217_MTMR6_HUMAN_.pdf", "Melting_Curves/meltCurve_sp_Q9Y217_MTMR6_HUMAN_.pdf")</f>
        <v>Melting_Curves/meltCurve_sp_Q9Y217_MTMR6_HUMAN_.pdf</v>
      </c>
      <c r="AA3478" t="s">
        <v>16313</v>
      </c>
      <c r="AB3478" t="s">
        <v>20561</v>
      </c>
    </row>
    <row r="3479" spans="1:28" x14ac:dyDescent="0.25">
      <c r="A3479" t="s">
        <v>3483</v>
      </c>
      <c r="B3479">
        <v>0.99876560204751996</v>
      </c>
      <c r="C3479">
        <v>0.76417033035668103</v>
      </c>
      <c r="D3479">
        <v>0.38147969981459401</v>
      </c>
      <c r="E3479">
        <v>0.22179656156295999</v>
      </c>
      <c r="F3479">
        <v>0.11200284204722701</v>
      </c>
      <c r="G3479">
        <v>7.2543876758439804E-2</v>
      </c>
      <c r="H3479">
        <v>5.4215158904751801E-2</v>
      </c>
      <c r="I3479">
        <v>4.6967501900814203E-2</v>
      </c>
      <c r="J3479">
        <v>4.2540296604811602E-2</v>
      </c>
      <c r="K3479">
        <v>3.4619340982084398E-2</v>
      </c>
      <c r="L3479">
        <v>962.30260710514403</v>
      </c>
      <c r="M3479">
        <v>21.355351483741199</v>
      </c>
      <c r="N3479">
        <v>45.317432990413799</v>
      </c>
      <c r="O3479">
        <v>44.671877384762297</v>
      </c>
      <c r="P3479">
        <v>-0.11272369529820001</v>
      </c>
      <c r="Q3479">
        <v>5.6826082239336002E-2</v>
      </c>
      <c r="R3479">
        <v>0.98986951570603599</v>
      </c>
      <c r="S3479" t="s">
        <v>7775</v>
      </c>
      <c r="T3479" t="s">
        <v>8590</v>
      </c>
      <c r="U3479" t="s">
        <v>8590</v>
      </c>
      <c r="V3479" t="s">
        <v>8590</v>
      </c>
      <c r="W3479">
        <v>14</v>
      </c>
      <c r="X3479" t="s">
        <v>12069</v>
      </c>
      <c r="Y3479">
        <v>0.22954927785631379</v>
      </c>
      <c r="Z3479" t="str">
        <f>HYPERLINK("Melting_Curves/meltCurve_sp_Q9Y223_2_GLCNE_HUMAN_.pdf", "Melting_Curves/meltCurve_sp_Q9Y223_2_GLCNE_HUMAN_.pdf")</f>
        <v>Melting_Curves/meltCurve_sp_Q9Y223_2_GLCNE_HUMAN_.pdf</v>
      </c>
      <c r="AA3479" t="s">
        <v>16314</v>
      </c>
      <c r="AB3479" t="s">
        <v>20562</v>
      </c>
    </row>
    <row r="3480" spans="1:28" x14ac:dyDescent="0.25">
      <c r="A3480" t="s">
        <v>3484</v>
      </c>
      <c r="B3480">
        <v>0.99876560204751996</v>
      </c>
      <c r="C3480">
        <v>1.0911246740121701</v>
      </c>
      <c r="D3480">
        <v>0.95527731555306905</v>
      </c>
      <c r="E3480">
        <v>0.69232685406540695</v>
      </c>
      <c r="F3480">
        <v>0.47087389869079299</v>
      </c>
      <c r="G3480">
        <v>0.425346517030321</v>
      </c>
      <c r="H3480">
        <v>0.28064347131144701</v>
      </c>
      <c r="I3480">
        <v>0.13880232570642201</v>
      </c>
      <c r="J3480">
        <v>8.7129180335260903E-2</v>
      </c>
      <c r="K3480">
        <v>6.4578993708626797E-2</v>
      </c>
      <c r="L3480">
        <v>682.32085835781902</v>
      </c>
      <c r="M3480">
        <v>12.693120898016399</v>
      </c>
      <c r="N3480">
        <v>54.1200995642956</v>
      </c>
      <c r="O3480">
        <v>52.473310158847497</v>
      </c>
      <c r="P3480">
        <v>-5.8005139092020701E-2</v>
      </c>
      <c r="Q3480">
        <v>4.1013879789141498E-2</v>
      </c>
      <c r="R3480">
        <v>0.97048745981127105</v>
      </c>
      <c r="S3480" t="s">
        <v>7776</v>
      </c>
      <c r="T3480" t="s">
        <v>8590</v>
      </c>
      <c r="U3480" t="s">
        <v>8590</v>
      </c>
      <c r="V3480" t="s">
        <v>8590</v>
      </c>
      <c r="W3480">
        <v>6</v>
      </c>
      <c r="X3480" t="s">
        <v>12070</v>
      </c>
      <c r="Y3480">
        <v>0.50492238444775606</v>
      </c>
      <c r="Z3480" t="str">
        <f>HYPERLINK("Melting_Curves/meltCurve_sp_Q9Y224_CN166_HUMAN_.pdf", "Melting_Curves/meltCurve_sp_Q9Y224_CN166_HUMAN_.pdf")</f>
        <v>Melting_Curves/meltCurve_sp_Q9Y224_CN166_HUMAN_.pdf</v>
      </c>
      <c r="AA3480" t="s">
        <v>16315</v>
      </c>
      <c r="AB3480" t="s">
        <v>20563</v>
      </c>
    </row>
    <row r="3481" spans="1:28" x14ac:dyDescent="0.25">
      <c r="A3481" t="s">
        <v>3485</v>
      </c>
      <c r="B3481">
        <v>0.99876560204751996</v>
      </c>
      <c r="C3481">
        <v>1.0821664584376101</v>
      </c>
      <c r="D3481">
        <v>1.0105461747276701</v>
      </c>
      <c r="E3481">
        <v>0.81060583134005404</v>
      </c>
      <c r="F3481">
        <v>0.41183977806148098</v>
      </c>
      <c r="G3481">
        <v>0.122676284511318</v>
      </c>
      <c r="H3481">
        <v>7.2761558966275203E-2</v>
      </c>
      <c r="I3481">
        <v>4.9268300986902797E-2</v>
      </c>
      <c r="J3481">
        <v>4.7853969013200402E-2</v>
      </c>
      <c r="K3481">
        <v>3.8933443101810503E-2</v>
      </c>
      <c r="L3481">
        <v>1651.1291504942301</v>
      </c>
      <c r="M3481">
        <v>31.623553844358501</v>
      </c>
      <c r="N3481">
        <v>52.388303298393197</v>
      </c>
      <c r="O3481">
        <v>52.004558737138801</v>
      </c>
      <c r="P3481">
        <v>-0.14435018569747499</v>
      </c>
      <c r="Q3481">
        <v>5.0476532641214801E-2</v>
      </c>
      <c r="R3481">
        <v>0.995802596492529</v>
      </c>
      <c r="S3481" t="s">
        <v>7777</v>
      </c>
      <c r="T3481" t="s">
        <v>8590</v>
      </c>
      <c r="U3481" t="s">
        <v>8590</v>
      </c>
      <c r="V3481" t="s">
        <v>8590</v>
      </c>
      <c r="W3481">
        <v>11</v>
      </c>
      <c r="X3481" t="s">
        <v>12071</v>
      </c>
      <c r="Y3481">
        <v>0.44247856530194052</v>
      </c>
      <c r="Z3481" t="str">
        <f>HYPERLINK("Melting_Curves/meltCurve_sp_Q9Y230_RUVB2_HUMAN_.pdf", "Melting_Curves/meltCurve_sp_Q9Y230_RUVB2_HUMAN_.pdf")</f>
        <v>Melting_Curves/meltCurve_sp_Q9Y230_RUVB2_HUMAN_.pdf</v>
      </c>
      <c r="AA3481" t="s">
        <v>16316</v>
      </c>
      <c r="AB3481" t="s">
        <v>20564</v>
      </c>
    </row>
    <row r="3482" spans="1:28" x14ac:dyDescent="0.25">
      <c r="A3482" t="s">
        <v>3486</v>
      </c>
      <c r="B3482">
        <v>0.99876560204751996</v>
      </c>
      <c r="C3482">
        <v>0.926010705070614</v>
      </c>
      <c r="D3482">
        <v>1.14988217877029</v>
      </c>
      <c r="E3482">
        <v>0.911480982163693</v>
      </c>
      <c r="F3482">
        <v>0.98641151954864503</v>
      </c>
      <c r="G3482">
        <v>0.78986304064172896</v>
      </c>
      <c r="H3482">
        <v>0.64659524090245302</v>
      </c>
      <c r="I3482">
        <v>0.56493832856765702</v>
      </c>
      <c r="J3482">
        <v>0.70365457270290299</v>
      </c>
      <c r="K3482">
        <v>0.70353457191262203</v>
      </c>
      <c r="L3482">
        <v>3800.7916601656302</v>
      </c>
      <c r="M3482">
        <v>67.129225500007195</v>
      </c>
      <c r="O3482">
        <v>56.5688480213161</v>
      </c>
      <c r="P3482">
        <v>-0.102618639778587</v>
      </c>
      <c r="Q3482">
        <v>0.65409899470544297</v>
      </c>
      <c r="R3482">
        <v>0.84135838860363199</v>
      </c>
      <c r="S3482" t="s">
        <v>7778</v>
      </c>
      <c r="T3482" t="s">
        <v>8590</v>
      </c>
      <c r="U3482" t="s">
        <v>8590</v>
      </c>
      <c r="V3482" t="s">
        <v>8590</v>
      </c>
      <c r="W3482">
        <v>5</v>
      </c>
      <c r="X3482" t="s">
        <v>12072</v>
      </c>
      <c r="Y3482">
        <v>0.84619499618485849</v>
      </c>
      <c r="Z3482" t="str">
        <f>HYPERLINK("Melting_Curves/meltCurve_sp_Q9Y237_PIN4_HUMAN_.pdf", "Melting_Curves/meltCurve_sp_Q9Y237_PIN4_HUMAN_.pdf")</f>
        <v>Melting_Curves/meltCurve_sp_Q9Y237_PIN4_HUMAN_.pdf</v>
      </c>
      <c r="AA3482" t="s">
        <v>16317</v>
      </c>
      <c r="AB3482" t="s">
        <v>20565</v>
      </c>
    </row>
    <row r="3483" spans="1:28" x14ac:dyDescent="0.25">
      <c r="A3483" t="s">
        <v>3487</v>
      </c>
      <c r="B3483">
        <v>0.99876560204751996</v>
      </c>
      <c r="C3483">
        <v>0.87083126476649497</v>
      </c>
      <c r="D3483">
        <v>0.84383276368994997</v>
      </c>
      <c r="E3483">
        <v>0.84802379668410799</v>
      </c>
      <c r="F3483">
        <v>0.83838076284910801</v>
      </c>
      <c r="G3483">
        <v>0.67877303909888298</v>
      </c>
      <c r="H3483">
        <v>0.39899297016190199</v>
      </c>
      <c r="I3483">
        <v>0.16257670175956501</v>
      </c>
      <c r="J3483">
        <v>0.118756006057255</v>
      </c>
      <c r="K3483">
        <v>9.7087576193358102E-2</v>
      </c>
      <c r="L3483">
        <v>846.55714039921304</v>
      </c>
      <c r="M3483">
        <v>14.4042397295178</v>
      </c>
      <c r="N3483">
        <v>58.771386725110197</v>
      </c>
      <c r="O3483">
        <v>57.673456695428797</v>
      </c>
      <c r="P3483">
        <v>-6.2446167246061099E-2</v>
      </c>
      <c r="Q3483">
        <v>0</v>
      </c>
      <c r="R3483">
        <v>0.95370609409251605</v>
      </c>
      <c r="S3483" t="s">
        <v>7779</v>
      </c>
      <c r="T3483" t="s">
        <v>8590</v>
      </c>
      <c r="U3483" t="s">
        <v>8590</v>
      </c>
      <c r="V3483" t="s">
        <v>8590</v>
      </c>
      <c r="W3483">
        <v>3</v>
      </c>
      <c r="X3483" t="s">
        <v>12073</v>
      </c>
      <c r="Y3483">
        <v>0.63675254286897787</v>
      </c>
      <c r="Z3483" t="str">
        <f>HYPERLINK("Melting_Curves/meltCurve_sp_Q9Y259_CHKB_HUMAN_.pdf", "Melting_Curves/meltCurve_sp_Q9Y259_CHKB_HUMAN_.pdf")</f>
        <v>Melting_Curves/meltCurve_sp_Q9Y259_CHKB_HUMAN_.pdf</v>
      </c>
      <c r="AA3483" t="s">
        <v>16318</v>
      </c>
      <c r="AB3483" t="s">
        <v>20566</v>
      </c>
    </row>
    <row r="3484" spans="1:28" x14ac:dyDescent="0.25">
      <c r="A3484" t="s">
        <v>3488</v>
      </c>
      <c r="B3484">
        <v>0.99876560204751996</v>
      </c>
      <c r="C3484">
        <v>1.09379002598081</v>
      </c>
      <c r="D3484">
        <v>1.00069830903492</v>
      </c>
      <c r="E3484">
        <v>0.90634652574058305</v>
      </c>
      <c r="F3484">
        <v>0.51334285973243399</v>
      </c>
      <c r="G3484">
        <v>0.199059016604647</v>
      </c>
      <c r="H3484">
        <v>0.127674702251135</v>
      </c>
      <c r="I3484">
        <v>0.10588129380071599</v>
      </c>
      <c r="J3484">
        <v>0.10856520181250801</v>
      </c>
      <c r="K3484">
        <v>0.11521203535505101</v>
      </c>
      <c r="L3484">
        <v>1872.4507034066</v>
      </c>
      <c r="M3484">
        <v>35.476295298506002</v>
      </c>
      <c r="N3484">
        <v>53.176499427582598</v>
      </c>
      <c r="O3484">
        <v>52.613473031289303</v>
      </c>
      <c r="P3484">
        <v>-0.148994705077857</v>
      </c>
      <c r="Q3484">
        <v>0.11613068786134299</v>
      </c>
      <c r="R3484">
        <v>0.99411922022301202</v>
      </c>
      <c r="S3484" t="s">
        <v>7780</v>
      </c>
      <c r="T3484" t="s">
        <v>8590</v>
      </c>
      <c r="U3484" t="s">
        <v>8590</v>
      </c>
      <c r="V3484" t="s">
        <v>8590</v>
      </c>
      <c r="W3484">
        <v>8</v>
      </c>
      <c r="X3484" t="s">
        <v>12074</v>
      </c>
      <c r="Y3484">
        <v>0.49676617810049711</v>
      </c>
      <c r="Z3484" t="str">
        <f>HYPERLINK("Melting_Curves/meltCurve_sp_Q9Y262_EIF3L_HUMAN_.pdf", "Melting_Curves/meltCurve_sp_Q9Y262_EIF3L_HUMAN_.pdf")</f>
        <v>Melting_Curves/meltCurve_sp_Q9Y262_EIF3L_HUMAN_.pdf</v>
      </c>
      <c r="AA3484" t="s">
        <v>16319</v>
      </c>
      <c r="AB3484" t="s">
        <v>20567</v>
      </c>
    </row>
    <row r="3485" spans="1:28" x14ac:dyDescent="0.25">
      <c r="A3485" t="s">
        <v>3489</v>
      </c>
      <c r="B3485">
        <v>0.99876560204751996</v>
      </c>
      <c r="C3485">
        <v>0.92316755174065801</v>
      </c>
      <c r="D3485">
        <v>0.90721685225674897</v>
      </c>
      <c r="E3485">
        <v>0.81466078627848204</v>
      </c>
      <c r="F3485">
        <v>0.46238358076050801</v>
      </c>
      <c r="G3485">
        <v>0.18727351142506601</v>
      </c>
      <c r="H3485">
        <v>7.1457030071444799E-2</v>
      </c>
      <c r="I3485">
        <v>5.7470475813897103E-2</v>
      </c>
      <c r="J3485">
        <v>4.49443921110897E-2</v>
      </c>
      <c r="K3485">
        <v>4.3326537527648298E-2</v>
      </c>
      <c r="L3485">
        <v>1183.7697225269401</v>
      </c>
      <c r="M3485">
        <v>22.485544176183499</v>
      </c>
      <c r="N3485">
        <v>52.823632766173198</v>
      </c>
      <c r="O3485">
        <v>52.234720180388599</v>
      </c>
      <c r="P3485">
        <v>-0.103697104322703</v>
      </c>
      <c r="Q3485">
        <v>3.6451471039430201E-2</v>
      </c>
      <c r="R3485">
        <v>0.99340464711440402</v>
      </c>
      <c r="S3485" t="s">
        <v>7781</v>
      </c>
      <c r="T3485" t="s">
        <v>8590</v>
      </c>
      <c r="U3485" t="s">
        <v>8590</v>
      </c>
      <c r="V3485" t="s">
        <v>8590</v>
      </c>
      <c r="W3485">
        <v>18</v>
      </c>
      <c r="X3485" t="s">
        <v>12075</v>
      </c>
      <c r="Y3485">
        <v>0.45339358669175772</v>
      </c>
      <c r="Z3485" t="str">
        <f>HYPERLINK("Melting_Curves/meltCurve_sp_Q9Y263_PLAP_HUMAN_.pdf", "Melting_Curves/meltCurve_sp_Q9Y263_PLAP_HUMAN_.pdf")</f>
        <v>Melting_Curves/meltCurve_sp_Q9Y263_PLAP_HUMAN_.pdf</v>
      </c>
      <c r="AA3485" t="s">
        <v>16320</v>
      </c>
      <c r="AB3485" t="s">
        <v>20568</v>
      </c>
    </row>
    <row r="3486" spans="1:28" x14ac:dyDescent="0.25">
      <c r="A3486" t="s">
        <v>3490</v>
      </c>
      <c r="B3486">
        <v>0.99876560204751996</v>
      </c>
      <c r="C3486">
        <v>1.0116989737717299</v>
      </c>
      <c r="D3486">
        <v>1.0113793746716999</v>
      </c>
      <c r="E3486">
        <v>0.81489544313803297</v>
      </c>
      <c r="F3486">
        <v>0.52528267778967497</v>
      </c>
      <c r="G3486">
        <v>0.17891440437930201</v>
      </c>
      <c r="H3486">
        <v>0.100185282324114</v>
      </c>
      <c r="I3486">
        <v>7.3566160000356706E-2</v>
      </c>
      <c r="J3486">
        <v>5.5415652348040599E-2</v>
      </c>
      <c r="K3486">
        <v>5.1547081365537803E-2</v>
      </c>
      <c r="L3486">
        <v>1357.6011696743001</v>
      </c>
      <c r="M3486">
        <v>25.656943627409799</v>
      </c>
      <c r="N3486">
        <v>53.164660515144199</v>
      </c>
      <c r="O3486">
        <v>52.595292486439199</v>
      </c>
      <c r="P3486">
        <v>-0.114997883577969</v>
      </c>
      <c r="Q3486">
        <v>5.7054716666662599E-2</v>
      </c>
      <c r="R3486">
        <v>0.99901449371130102</v>
      </c>
      <c r="S3486" t="s">
        <v>7782</v>
      </c>
      <c r="T3486" t="s">
        <v>8590</v>
      </c>
      <c r="U3486" t="s">
        <v>8590</v>
      </c>
      <c r="V3486" t="s">
        <v>8590</v>
      </c>
      <c r="W3486">
        <v>10</v>
      </c>
      <c r="X3486" t="s">
        <v>12076</v>
      </c>
      <c r="Y3486">
        <v>0.47121013428522929</v>
      </c>
      <c r="Z3486" t="str">
        <f>HYPERLINK("Melting_Curves/meltCurve_sp_Q9Y265_RUVB1_HUMAN_.pdf", "Melting_Curves/meltCurve_sp_Q9Y265_RUVB1_HUMAN_.pdf")</f>
        <v>Melting_Curves/meltCurve_sp_Q9Y265_RUVB1_HUMAN_.pdf</v>
      </c>
      <c r="AA3486" t="s">
        <v>16321</v>
      </c>
      <c r="AB3486" t="s">
        <v>20569</v>
      </c>
    </row>
    <row r="3487" spans="1:28" x14ac:dyDescent="0.25">
      <c r="A3487" t="s">
        <v>3491</v>
      </c>
      <c r="B3487">
        <v>0.99876560204751996</v>
      </c>
      <c r="C3487">
        <v>0.97254004984106901</v>
      </c>
      <c r="D3487">
        <v>1.0250009592651801</v>
      </c>
      <c r="E3487">
        <v>0.95753792505825697</v>
      </c>
      <c r="F3487">
        <v>0.76935331284730202</v>
      </c>
      <c r="G3487">
        <v>0.19727166114759201</v>
      </c>
      <c r="H3487">
        <v>0.108518500994781</v>
      </c>
      <c r="I3487">
        <v>7.4541245472353301E-2</v>
      </c>
      <c r="J3487">
        <v>7.6962083181503799E-2</v>
      </c>
      <c r="K3487">
        <v>7.1497567219017802E-2</v>
      </c>
      <c r="L3487">
        <v>2201.8635291191299</v>
      </c>
      <c r="M3487">
        <v>40.476516807110997</v>
      </c>
      <c r="N3487">
        <v>54.627865226004602</v>
      </c>
      <c r="O3487">
        <v>54.266281377255901</v>
      </c>
      <c r="P3487">
        <v>-0.17190230869784101</v>
      </c>
      <c r="Q3487">
        <v>7.8134288206217595E-2</v>
      </c>
      <c r="R3487">
        <v>0.99878251905595605</v>
      </c>
      <c r="S3487" t="s">
        <v>7783</v>
      </c>
      <c r="T3487" t="s">
        <v>8590</v>
      </c>
      <c r="U3487" t="s">
        <v>8590</v>
      </c>
      <c r="V3487" t="s">
        <v>8590</v>
      </c>
      <c r="W3487">
        <v>19</v>
      </c>
      <c r="X3487" t="s">
        <v>12077</v>
      </c>
      <c r="Y3487">
        <v>0.52396173330389761</v>
      </c>
      <c r="Z3487" t="str">
        <f>HYPERLINK("Melting_Curves/meltCurve_sp_Q9Y266_NUDC_HUMAN_.pdf", "Melting_Curves/meltCurve_sp_Q9Y266_NUDC_HUMAN_.pdf")</f>
        <v>Melting_Curves/meltCurve_sp_Q9Y266_NUDC_HUMAN_.pdf</v>
      </c>
      <c r="AA3487" t="s">
        <v>16322</v>
      </c>
      <c r="AB3487" t="s">
        <v>20570</v>
      </c>
    </row>
    <row r="3488" spans="1:28" x14ac:dyDescent="0.25">
      <c r="A3488" t="s">
        <v>3492</v>
      </c>
      <c r="B3488">
        <v>0.99876560204751996</v>
      </c>
      <c r="C3488">
        <v>0.91781446703544101</v>
      </c>
      <c r="D3488">
        <v>1.1372000080232301</v>
      </c>
      <c r="E3488">
        <v>0.95119572161435395</v>
      </c>
      <c r="F3488">
        <v>0.979317813389742</v>
      </c>
      <c r="G3488">
        <v>0.668350541519936</v>
      </c>
      <c r="H3488">
        <v>0.32130629474901301</v>
      </c>
      <c r="I3488">
        <v>0.186103152742881</v>
      </c>
      <c r="J3488">
        <v>0.165247629863881</v>
      </c>
      <c r="K3488">
        <v>0.147967971743626</v>
      </c>
      <c r="L3488">
        <v>1708.5343079193699</v>
      </c>
      <c r="M3488">
        <v>29.456696712963499</v>
      </c>
      <c r="N3488">
        <v>58.684254838020898</v>
      </c>
      <c r="O3488">
        <v>57.736215415100503</v>
      </c>
      <c r="P3488">
        <v>-0.10904573601763499</v>
      </c>
      <c r="Q3488">
        <v>0.14507131893681899</v>
      </c>
      <c r="R3488">
        <v>0.98007912288702004</v>
      </c>
      <c r="S3488" t="s">
        <v>7784</v>
      </c>
      <c r="T3488" t="s">
        <v>8590</v>
      </c>
      <c r="U3488" t="s">
        <v>8590</v>
      </c>
      <c r="V3488" t="s">
        <v>8590</v>
      </c>
      <c r="W3488">
        <v>14</v>
      </c>
      <c r="X3488" t="s">
        <v>12078</v>
      </c>
      <c r="Y3488">
        <v>0.66387168605982294</v>
      </c>
      <c r="Z3488" t="str">
        <f>HYPERLINK("Melting_Curves/meltCurve_sp_Q9Y281_COF2_HUMAN_.pdf", "Melting_Curves/meltCurve_sp_Q9Y281_COF2_HUMAN_.pdf")</f>
        <v>Melting_Curves/meltCurve_sp_Q9Y281_COF2_HUMAN_.pdf</v>
      </c>
      <c r="AA3488" t="s">
        <v>16323</v>
      </c>
      <c r="AB3488" t="s">
        <v>20571</v>
      </c>
    </row>
    <row r="3489" spans="1:28" x14ac:dyDescent="0.25">
      <c r="A3489" t="s">
        <v>3493</v>
      </c>
      <c r="B3489">
        <v>0.99876560204751996</v>
      </c>
      <c r="C3489">
        <v>0.94187022118870101</v>
      </c>
      <c r="D3489">
        <v>0.95170663773000697</v>
      </c>
      <c r="E3489">
        <v>0.84791121666505598</v>
      </c>
      <c r="F3489">
        <v>0.44413010801076502</v>
      </c>
      <c r="G3489">
        <v>0.1014222598656</v>
      </c>
      <c r="H3489">
        <v>5.6416565584515799E-2</v>
      </c>
      <c r="I3489">
        <v>3.6346456952155097E-2</v>
      </c>
      <c r="J3489">
        <v>2.81478624367217E-2</v>
      </c>
      <c r="K3489">
        <v>2.24340299911444E-2</v>
      </c>
      <c r="L3489">
        <v>1672.0935173339101</v>
      </c>
      <c r="M3489">
        <v>31.8317640373972</v>
      </c>
      <c r="N3489">
        <v>52.634420530792902</v>
      </c>
      <c r="O3489">
        <v>52.323082843507898</v>
      </c>
      <c r="P3489">
        <v>-0.14739986751795101</v>
      </c>
      <c r="Q3489">
        <v>3.08580262912585E-2</v>
      </c>
      <c r="R3489">
        <v>0.99708999796237396</v>
      </c>
      <c r="S3489" t="s">
        <v>7785</v>
      </c>
      <c r="T3489" t="s">
        <v>8590</v>
      </c>
      <c r="U3489" t="s">
        <v>8590</v>
      </c>
      <c r="V3489" t="s">
        <v>8590</v>
      </c>
      <c r="W3489">
        <v>10</v>
      </c>
      <c r="X3489" t="s">
        <v>12079</v>
      </c>
      <c r="Y3489">
        <v>0.44115865867156201</v>
      </c>
      <c r="Z3489" t="str">
        <f>HYPERLINK("Melting_Curves/meltCurve_sp_Q9Y295_DRG1_HUMAN_.pdf", "Melting_Curves/meltCurve_sp_Q9Y295_DRG1_HUMAN_.pdf")</f>
        <v>Melting_Curves/meltCurve_sp_Q9Y295_DRG1_HUMAN_.pdf</v>
      </c>
      <c r="AA3489" t="s">
        <v>16324</v>
      </c>
      <c r="AB3489" t="s">
        <v>20572</v>
      </c>
    </row>
    <row r="3490" spans="1:28" x14ac:dyDescent="0.25">
      <c r="A3490" t="s">
        <v>3494</v>
      </c>
      <c r="B3490">
        <v>0.99876560204751996</v>
      </c>
      <c r="C3490">
        <v>0.97517692240709097</v>
      </c>
      <c r="D3490">
        <v>0.96868251774732606</v>
      </c>
      <c r="E3490">
        <v>0.77860824644466797</v>
      </c>
      <c r="F3490">
        <v>0.58460566550243398</v>
      </c>
      <c r="G3490">
        <v>0.30992629657718401</v>
      </c>
      <c r="H3490">
        <v>0.118396577969169</v>
      </c>
      <c r="I3490">
        <v>0.156522895818514</v>
      </c>
      <c r="J3490">
        <v>7.8239051766404805E-2</v>
      </c>
      <c r="K3490">
        <v>5.3667157842378098E-2</v>
      </c>
      <c r="L3490">
        <v>931.83523354539</v>
      </c>
      <c r="M3490">
        <v>17.3669374851053</v>
      </c>
      <c r="N3490">
        <v>54.002372449213901</v>
      </c>
      <c r="O3490">
        <v>52.959452410964303</v>
      </c>
      <c r="P3490">
        <v>-7.7662400071787402E-2</v>
      </c>
      <c r="Q3490">
        <v>5.2746175471353803E-2</v>
      </c>
      <c r="R3490">
        <v>0.99656598771264404</v>
      </c>
      <c r="S3490" t="s">
        <v>7786</v>
      </c>
      <c r="T3490" t="s">
        <v>8590</v>
      </c>
      <c r="U3490" t="s">
        <v>8590</v>
      </c>
      <c r="V3490" t="s">
        <v>8590</v>
      </c>
      <c r="W3490">
        <v>3</v>
      </c>
      <c r="X3490" t="s">
        <v>12080</v>
      </c>
      <c r="Y3490">
        <v>0.50006535380754669</v>
      </c>
      <c r="Z3490" t="str">
        <f>HYPERLINK("Melting_Curves/meltCurve_sp_Q9Y296_TPPC4_HUMAN_.pdf", "Melting_Curves/meltCurve_sp_Q9Y296_TPPC4_HUMAN_.pdf")</f>
        <v>Melting_Curves/meltCurve_sp_Q9Y296_TPPC4_HUMAN_.pdf</v>
      </c>
      <c r="AA3490" t="s">
        <v>16325</v>
      </c>
      <c r="AB3490" t="s">
        <v>20573</v>
      </c>
    </row>
    <row r="3491" spans="1:28" x14ac:dyDescent="0.25">
      <c r="A3491" t="s">
        <v>3495</v>
      </c>
      <c r="B3491">
        <v>0.99876560204751996</v>
      </c>
      <c r="C3491">
        <v>1.08164905739186</v>
      </c>
      <c r="D3491">
        <v>1.0707520573842799</v>
      </c>
      <c r="E3491">
        <v>1.0131007872363</v>
      </c>
      <c r="F3491">
        <v>0.57705126098114001</v>
      </c>
      <c r="G3491">
        <v>0.17820163989711801</v>
      </c>
      <c r="H3491">
        <v>0.102077623990472</v>
      </c>
      <c r="I3491">
        <v>8.98632481704323E-2</v>
      </c>
      <c r="J3491">
        <v>6.8306308259281398E-2</v>
      </c>
      <c r="K3491">
        <v>5.9063077232353302E-2</v>
      </c>
      <c r="L3491">
        <v>2502.4329952262001</v>
      </c>
      <c r="M3491">
        <v>46.994016079638499</v>
      </c>
      <c r="N3491">
        <v>53.474507177669103</v>
      </c>
      <c r="O3491">
        <v>53.153860822070897</v>
      </c>
      <c r="P3491">
        <v>-0.20124410727654801</v>
      </c>
      <c r="Q3491">
        <v>8.9510222249079993E-2</v>
      </c>
      <c r="R3491">
        <v>0.99048881180327297</v>
      </c>
      <c r="S3491" t="s">
        <v>7787</v>
      </c>
      <c r="T3491" t="s">
        <v>8590</v>
      </c>
      <c r="U3491" t="s">
        <v>8590</v>
      </c>
      <c r="V3491" t="s">
        <v>8590</v>
      </c>
      <c r="W3491">
        <v>18</v>
      </c>
      <c r="X3491" t="s">
        <v>12081</v>
      </c>
      <c r="Y3491">
        <v>0.49406623065601241</v>
      </c>
      <c r="Z3491" t="str">
        <f>HYPERLINK("Melting_Curves/meltCurve_sp_Q9Y2A7_NCKP1_HUMAN_.pdf", "Melting_Curves/meltCurve_sp_Q9Y2A7_NCKP1_HUMAN_.pdf")</f>
        <v>Melting_Curves/meltCurve_sp_Q9Y2A7_NCKP1_HUMAN_.pdf</v>
      </c>
      <c r="AA3491" t="s">
        <v>16326</v>
      </c>
      <c r="AB3491" t="s">
        <v>20574</v>
      </c>
    </row>
    <row r="3492" spans="1:28" x14ac:dyDescent="0.25">
      <c r="A3492" t="s">
        <v>3496</v>
      </c>
      <c r="B3492">
        <v>0.99876560204751996</v>
      </c>
      <c r="C3492">
        <v>0.99406278304279705</v>
      </c>
      <c r="D3492">
        <v>1.13756630157608</v>
      </c>
      <c r="E3492">
        <v>0.93894016110011103</v>
      </c>
      <c r="F3492">
        <v>0.99641488796006505</v>
      </c>
      <c r="G3492">
        <v>0.75861216081274696</v>
      </c>
      <c r="H3492">
        <v>0.65561585291247504</v>
      </c>
      <c r="I3492">
        <v>0.72564638830279204</v>
      </c>
      <c r="J3492">
        <v>0.92869144981943197</v>
      </c>
      <c r="K3492">
        <v>0.88132781240271896</v>
      </c>
      <c r="L3492">
        <v>13464.792253818699</v>
      </c>
      <c r="M3492">
        <v>250</v>
      </c>
      <c r="O3492">
        <v>53.855716930385498</v>
      </c>
      <c r="P3492">
        <v>-0.24373140999425499</v>
      </c>
      <c r="Q3492">
        <v>0.78997870175916396</v>
      </c>
      <c r="R3492">
        <v>0.62736437729564398</v>
      </c>
      <c r="S3492" t="s">
        <v>7788</v>
      </c>
      <c r="T3492" t="s">
        <v>8590</v>
      </c>
      <c r="U3492" t="s">
        <v>8590</v>
      </c>
      <c r="V3492" t="s">
        <v>8590</v>
      </c>
      <c r="W3492">
        <v>14</v>
      </c>
      <c r="X3492" t="s">
        <v>12082</v>
      </c>
      <c r="Y3492">
        <v>0.88702257569726661</v>
      </c>
      <c r="Z3492" t="str">
        <f>HYPERLINK("Melting_Curves/meltCurve_sp_Q9Y2B0_CNPY2_HUMAN_.pdf", "Melting_Curves/meltCurve_sp_Q9Y2B0_CNPY2_HUMAN_.pdf")</f>
        <v>Melting_Curves/meltCurve_sp_Q9Y2B0_CNPY2_HUMAN_.pdf</v>
      </c>
      <c r="AA3492" t="s">
        <v>16327</v>
      </c>
      <c r="AB3492" t="s">
        <v>20575</v>
      </c>
    </row>
    <row r="3493" spans="1:28" x14ac:dyDescent="0.25">
      <c r="A3493" t="s">
        <v>3497</v>
      </c>
      <c r="B3493">
        <v>0.99876560204751996</v>
      </c>
      <c r="C3493">
        <v>1.0859075481234499</v>
      </c>
      <c r="D3493">
        <v>0.88840669009199602</v>
      </c>
      <c r="E3493">
        <v>0.56056617739279202</v>
      </c>
      <c r="F3493">
        <v>0.288166861195982</v>
      </c>
      <c r="G3493">
        <v>0.16935082660313799</v>
      </c>
      <c r="H3493">
        <v>9.07654554581626E-2</v>
      </c>
      <c r="I3493">
        <v>4.8556813712215902E-2</v>
      </c>
      <c r="J3493">
        <v>4.4820981795497199E-2</v>
      </c>
      <c r="K3493">
        <v>3.86143548634146E-2</v>
      </c>
      <c r="L3493">
        <v>1104.58430552143</v>
      </c>
      <c r="M3493">
        <v>21.9036542555815</v>
      </c>
      <c r="N3493">
        <v>50.6958528162072</v>
      </c>
      <c r="O3493">
        <v>50.014530718078902</v>
      </c>
      <c r="P3493">
        <v>-0.103531725889964</v>
      </c>
      <c r="Q3493">
        <v>5.44092855086604E-2</v>
      </c>
      <c r="R3493">
        <v>0.99113496019559499</v>
      </c>
      <c r="S3493" t="s">
        <v>7789</v>
      </c>
      <c r="T3493" t="s">
        <v>8590</v>
      </c>
      <c r="U3493" t="s">
        <v>8590</v>
      </c>
      <c r="V3493" t="s">
        <v>8590</v>
      </c>
      <c r="W3493">
        <v>2</v>
      </c>
      <c r="X3493" t="s">
        <v>12083</v>
      </c>
      <c r="Y3493">
        <v>0.394158220587986</v>
      </c>
      <c r="Z3493" t="str">
        <f>HYPERLINK("Melting_Curves/meltCurve_sp_Q9Y2D4_EXC6B_HUMAN_.pdf", "Melting_Curves/meltCurve_sp_Q9Y2D4_EXC6B_HUMAN_.pdf")</f>
        <v>Melting_Curves/meltCurve_sp_Q9Y2D4_EXC6B_HUMAN_.pdf</v>
      </c>
      <c r="AA3493" t="s">
        <v>16328</v>
      </c>
      <c r="AB3493" t="s">
        <v>20576</v>
      </c>
    </row>
    <row r="3494" spans="1:28" x14ac:dyDescent="0.25">
      <c r="A3494" t="s">
        <v>3498</v>
      </c>
      <c r="B3494">
        <v>0.99876560204751996</v>
      </c>
      <c r="C3494">
        <v>1.0085994736038899</v>
      </c>
      <c r="D3494">
        <v>1.05501765703588</v>
      </c>
      <c r="E3494">
        <v>0.96235008274779898</v>
      </c>
      <c r="F3494">
        <v>0.98446135321710104</v>
      </c>
      <c r="G3494">
        <v>0.750341409781623</v>
      </c>
      <c r="H3494">
        <v>0.65843478379991704</v>
      </c>
      <c r="I3494">
        <v>0.64488400421464098</v>
      </c>
      <c r="J3494">
        <v>0.80715361051156098</v>
      </c>
      <c r="K3494">
        <v>0.77337739807335704</v>
      </c>
      <c r="L3494">
        <v>3837.6073306981102</v>
      </c>
      <c r="M3494">
        <v>69.539450268635605</v>
      </c>
      <c r="O3494">
        <v>55.140485516048102</v>
      </c>
      <c r="P3494">
        <v>-8.7888969663733593E-2</v>
      </c>
      <c r="Q3494">
        <v>0.721238108181533</v>
      </c>
      <c r="R3494">
        <v>0.88603570069843596</v>
      </c>
      <c r="S3494" t="s">
        <v>7790</v>
      </c>
      <c r="T3494" t="s">
        <v>8590</v>
      </c>
      <c r="U3494" t="s">
        <v>8590</v>
      </c>
      <c r="V3494" t="s">
        <v>8590</v>
      </c>
      <c r="W3494">
        <v>39</v>
      </c>
      <c r="X3494" t="s">
        <v>12084</v>
      </c>
      <c r="Y3494">
        <v>0.86269767253003626</v>
      </c>
      <c r="Z3494" t="str">
        <f>HYPERLINK("Melting_Curves/meltCurve_sp_Q9Y2D5_6_AKAP2_HUMAN_.pdf", "Melting_Curves/meltCurve_sp_Q9Y2D5_6_AKAP2_HUMAN_.pdf")</f>
        <v>Melting_Curves/meltCurve_sp_Q9Y2D5_6_AKAP2_HUMAN_.pdf</v>
      </c>
      <c r="AA3494" t="s">
        <v>16329</v>
      </c>
      <c r="AB3494" t="s">
        <v>20577</v>
      </c>
    </row>
    <row r="3495" spans="1:28" x14ac:dyDescent="0.25">
      <c r="A3495" t="s">
        <v>3499</v>
      </c>
      <c r="B3495">
        <v>0.99876560204751996</v>
      </c>
      <c r="C3495">
        <v>1.2006184367480099</v>
      </c>
      <c r="D3495">
        <v>0.94330305642950696</v>
      </c>
      <c r="E3495">
        <v>1.16464077457344</v>
      </c>
      <c r="F3495">
        <v>0.72950443537107701</v>
      </c>
      <c r="G3495">
        <v>0.38126290234423599</v>
      </c>
      <c r="H3495">
        <v>0.29695914650602601</v>
      </c>
      <c r="I3495">
        <v>0.35843798540916</v>
      </c>
      <c r="J3495">
        <v>0.46014479818383403</v>
      </c>
      <c r="K3495">
        <v>0.46487683276313102</v>
      </c>
      <c r="L3495">
        <v>13261.6773356469</v>
      </c>
      <c r="M3495">
        <v>250</v>
      </c>
      <c r="N3495">
        <v>53.374543607630599</v>
      </c>
      <c r="O3495">
        <v>53.043314943925097</v>
      </c>
      <c r="P3495">
        <v>-0.71599936953047105</v>
      </c>
      <c r="Q3495">
        <v>0.39233632252624201</v>
      </c>
      <c r="R3495">
        <v>0.91815113582407604</v>
      </c>
      <c r="S3495" t="s">
        <v>7791</v>
      </c>
      <c r="T3495" t="s">
        <v>8590</v>
      </c>
      <c r="U3495" t="s">
        <v>8590</v>
      </c>
      <c r="V3495" t="s">
        <v>8590</v>
      </c>
      <c r="W3495">
        <v>4</v>
      </c>
      <c r="X3495" t="s">
        <v>12085</v>
      </c>
      <c r="Y3495">
        <v>0.65665993960962221</v>
      </c>
      <c r="Z3495" t="str">
        <f>HYPERLINK("Melting_Curves/meltCurve_sp_Q9Y2E4_DIP2C_HUMAN_.pdf", "Melting_Curves/meltCurve_sp_Q9Y2E4_DIP2C_HUMAN_.pdf")</f>
        <v>Melting_Curves/meltCurve_sp_Q9Y2E4_DIP2C_HUMAN_.pdf</v>
      </c>
      <c r="AA3495" t="s">
        <v>16330</v>
      </c>
      <c r="AB3495" t="s">
        <v>20578</v>
      </c>
    </row>
    <row r="3496" spans="1:28" x14ac:dyDescent="0.25">
      <c r="A3496" t="s">
        <v>3500</v>
      </c>
      <c r="B3496">
        <v>0.99876560204751996</v>
      </c>
      <c r="C3496">
        <v>0.99564413806331198</v>
      </c>
      <c r="D3496">
        <v>0.75853452335665295</v>
      </c>
      <c r="E3496">
        <v>0.48550632049577502</v>
      </c>
      <c r="F3496">
        <v>0.298774908739951</v>
      </c>
      <c r="G3496">
        <v>0.166763095061193</v>
      </c>
      <c r="H3496">
        <v>9.7371287185921002E-2</v>
      </c>
      <c r="I3496">
        <v>5.8229576946904997E-2</v>
      </c>
      <c r="J3496">
        <v>6.2092232678823203E-2</v>
      </c>
      <c r="K3496">
        <v>5.4463348577092299E-2</v>
      </c>
      <c r="L3496">
        <v>823.66972283286805</v>
      </c>
      <c r="M3496">
        <v>16.623484640481799</v>
      </c>
      <c r="N3496">
        <v>49.876211065812498</v>
      </c>
      <c r="O3496">
        <v>48.848184523278803</v>
      </c>
      <c r="P3496">
        <v>-8.0681989385099601E-2</v>
      </c>
      <c r="Q3496">
        <v>5.17264440176241E-2</v>
      </c>
      <c r="R3496">
        <v>0.99546440521111901</v>
      </c>
      <c r="S3496" t="s">
        <v>7792</v>
      </c>
      <c r="T3496" t="s">
        <v>8590</v>
      </c>
      <c r="U3496" t="s">
        <v>8590</v>
      </c>
      <c r="V3496" t="s">
        <v>8590</v>
      </c>
      <c r="W3496">
        <v>2</v>
      </c>
      <c r="X3496" t="s">
        <v>12086</v>
      </c>
      <c r="Y3496">
        <v>0.37250691325311602</v>
      </c>
      <c r="Z3496" t="str">
        <f>HYPERLINK("Melting_Curves/meltCurve_sp_Q9Y2G5_OFUT2_HUMAN_.pdf", "Melting_Curves/meltCurve_sp_Q9Y2G5_OFUT2_HUMAN_.pdf")</f>
        <v>Melting_Curves/meltCurve_sp_Q9Y2G5_OFUT2_HUMAN_.pdf</v>
      </c>
      <c r="AA3496" t="s">
        <v>16331</v>
      </c>
      <c r="AB3496" t="s">
        <v>20579</v>
      </c>
    </row>
    <row r="3497" spans="1:28" x14ac:dyDescent="0.25">
      <c r="A3497" t="s">
        <v>3501</v>
      </c>
      <c r="B3497">
        <v>0.99876560204751996</v>
      </c>
      <c r="C3497">
        <v>0.78817239175690701</v>
      </c>
      <c r="D3497">
        <v>0.95012548809063502</v>
      </c>
      <c r="E3497">
        <v>0.78201571667924896</v>
      </c>
      <c r="F3497">
        <v>0.379982179552667</v>
      </c>
      <c r="G3497">
        <v>0.27500642073026799</v>
      </c>
      <c r="H3497">
        <v>0.15078309750905</v>
      </c>
      <c r="I3497">
        <v>9.2205364880415003E-2</v>
      </c>
      <c r="J3497">
        <v>0.155499112710167</v>
      </c>
      <c r="K3497">
        <v>0.122096866805711</v>
      </c>
      <c r="L3497">
        <v>1160.0007656282401</v>
      </c>
      <c r="M3497">
        <v>22.4255389965858</v>
      </c>
      <c r="N3497">
        <v>52.391627295266801</v>
      </c>
      <c r="O3497">
        <v>51.320721169729502</v>
      </c>
      <c r="P3497">
        <v>-9.5716034840405598E-2</v>
      </c>
      <c r="Q3497">
        <v>0.123835679696653</v>
      </c>
      <c r="R3497">
        <v>0.95520927347226403</v>
      </c>
      <c r="S3497" t="s">
        <v>7793</v>
      </c>
      <c r="T3497" t="s">
        <v>8590</v>
      </c>
      <c r="U3497" t="s">
        <v>8590</v>
      </c>
      <c r="V3497" t="s">
        <v>8590</v>
      </c>
      <c r="W3497">
        <v>3</v>
      </c>
      <c r="X3497" t="s">
        <v>12087</v>
      </c>
      <c r="Y3497">
        <v>0.4761411888555151</v>
      </c>
      <c r="Z3497" t="str">
        <f>HYPERLINK("Melting_Curves/meltCurve_sp_Q9Y2I1_4_NISCH_HUMAN_.pdf", "Melting_Curves/meltCurve_sp_Q9Y2I1_4_NISCH_HUMAN_.pdf")</f>
        <v>Melting_Curves/meltCurve_sp_Q9Y2I1_4_NISCH_HUMAN_.pdf</v>
      </c>
      <c r="AA3497" t="s">
        <v>16332</v>
      </c>
      <c r="AB3497" t="s">
        <v>20580</v>
      </c>
    </row>
    <row r="3498" spans="1:28" x14ac:dyDescent="0.25">
      <c r="A3498" t="s">
        <v>3502</v>
      </c>
      <c r="B3498">
        <v>0.99876560204751996</v>
      </c>
      <c r="C3498">
        <v>1.00459211430455</v>
      </c>
      <c r="D3498">
        <v>1.07161937846734</v>
      </c>
      <c r="E3498">
        <v>0.83083087242037401</v>
      </c>
      <c r="F3498">
        <v>0.73709780903657196</v>
      </c>
      <c r="G3498">
        <v>0.56345407865501695</v>
      </c>
      <c r="H3498">
        <v>0.50769197003644395</v>
      </c>
      <c r="I3498">
        <v>0.44642140430917399</v>
      </c>
      <c r="J3498">
        <v>0.56372085642076097</v>
      </c>
      <c r="K3498">
        <v>0.50309189520117803</v>
      </c>
      <c r="L3498">
        <v>1275.05519425747</v>
      </c>
      <c r="M3498">
        <v>24.372753405514398</v>
      </c>
      <c r="O3498">
        <v>51.966411920528103</v>
      </c>
      <c r="P3498">
        <v>-5.8453988584970501E-2</v>
      </c>
      <c r="Q3498">
        <v>0.50147628968497204</v>
      </c>
      <c r="R3498">
        <v>0.96447884697087405</v>
      </c>
      <c r="S3498" t="s">
        <v>7794</v>
      </c>
      <c r="T3498" t="s">
        <v>8590</v>
      </c>
      <c r="U3498" t="s">
        <v>8590</v>
      </c>
      <c r="V3498" t="s">
        <v>8590</v>
      </c>
      <c r="W3498">
        <v>4</v>
      </c>
      <c r="X3498" t="s">
        <v>12088</v>
      </c>
      <c r="Y3498">
        <v>0.71090743635633824</v>
      </c>
      <c r="Z3498" t="str">
        <f>HYPERLINK("Melting_Curves/meltCurve_sp_Q9Y2J2_2_E41L3_HUMAN_.pdf", "Melting_Curves/meltCurve_sp_Q9Y2J2_2_E41L3_HUMAN_.pdf")</f>
        <v>Melting_Curves/meltCurve_sp_Q9Y2J2_2_E41L3_HUMAN_.pdf</v>
      </c>
      <c r="AA3498" t="s">
        <v>16333</v>
      </c>
      <c r="AB3498" t="s">
        <v>20581</v>
      </c>
    </row>
    <row r="3499" spans="1:28" x14ac:dyDescent="0.25">
      <c r="A3499" t="s">
        <v>3503</v>
      </c>
      <c r="B3499">
        <v>0.99876560204751996</v>
      </c>
      <c r="C3499">
        <v>0.87179279636955698</v>
      </c>
      <c r="D3499">
        <v>0.63064057685060904</v>
      </c>
      <c r="E3499">
        <v>0.81438729086482797</v>
      </c>
      <c r="F3499">
        <v>0.83049417883052901</v>
      </c>
      <c r="G3499">
        <v>0.60502929728875599</v>
      </c>
      <c r="H3499">
        <v>0.18495141053292299</v>
      </c>
      <c r="I3499">
        <v>0.102493993457937</v>
      </c>
      <c r="J3499">
        <v>0.23680612339955401</v>
      </c>
      <c r="K3499">
        <v>0.15582734234107001</v>
      </c>
      <c r="L3499">
        <v>558.74876862491499</v>
      </c>
      <c r="M3499">
        <v>9.8699414086479997</v>
      </c>
      <c r="N3499">
        <v>56.611160142369201</v>
      </c>
      <c r="O3499">
        <v>54.434145404970302</v>
      </c>
      <c r="P3499">
        <v>-4.5352912770561901E-2</v>
      </c>
      <c r="Q3499">
        <v>0</v>
      </c>
      <c r="R3499">
        <v>0.835432920605227</v>
      </c>
      <c r="S3499" t="s">
        <v>7795</v>
      </c>
      <c r="T3499" t="s">
        <v>8590</v>
      </c>
      <c r="U3499" t="s">
        <v>8590</v>
      </c>
      <c r="V3499" t="s">
        <v>8590</v>
      </c>
      <c r="W3499">
        <v>1</v>
      </c>
      <c r="X3499" t="s">
        <v>12089</v>
      </c>
      <c r="Y3499">
        <v>0.57154425834742895</v>
      </c>
      <c r="Z3499" t="str">
        <f>HYPERLINK("Melting_Curves/meltCurve_sp_Q9Y2K7_4_KDM2A_HUMAN_.pdf", "Melting_Curves/meltCurve_sp_Q9Y2K7_4_KDM2A_HUMAN_.pdf")</f>
        <v>Melting_Curves/meltCurve_sp_Q9Y2K7_4_KDM2A_HUMAN_.pdf</v>
      </c>
      <c r="AA3499" t="s">
        <v>16334</v>
      </c>
      <c r="AB3499" t="s">
        <v>20582</v>
      </c>
    </row>
    <row r="3500" spans="1:28" x14ac:dyDescent="0.25">
      <c r="A3500" t="s">
        <v>3504</v>
      </c>
      <c r="B3500">
        <v>0.99876560204751996</v>
      </c>
      <c r="C3500">
        <v>1.0020132215620801</v>
      </c>
      <c r="D3500">
        <v>0.90516249604474497</v>
      </c>
      <c r="E3500">
        <v>0.89471726045946198</v>
      </c>
      <c r="F3500">
        <v>0.38248410419080398</v>
      </c>
      <c r="G3500">
        <v>0.14865175964114599</v>
      </c>
      <c r="H3500">
        <v>0.102988027544553</v>
      </c>
      <c r="I3500">
        <v>9.5862667210560804E-2</v>
      </c>
      <c r="J3500">
        <v>8.7788858634582495E-2</v>
      </c>
      <c r="K3500">
        <v>8.0183123265288203E-2</v>
      </c>
      <c r="L3500">
        <v>2323.0082473504799</v>
      </c>
      <c r="M3500">
        <v>44.562520330292799</v>
      </c>
      <c r="N3500">
        <v>52.385229352383099</v>
      </c>
      <c r="O3500">
        <v>52.024542024892902</v>
      </c>
      <c r="P3500">
        <v>-0.19318671014060601</v>
      </c>
      <c r="Q3500">
        <v>9.7857440248644095E-2</v>
      </c>
      <c r="R3500">
        <v>0.99369772042642401</v>
      </c>
      <c r="S3500" t="s">
        <v>7796</v>
      </c>
      <c r="T3500" t="s">
        <v>8590</v>
      </c>
      <c r="U3500" t="s">
        <v>8590</v>
      </c>
      <c r="V3500" t="s">
        <v>8590</v>
      </c>
      <c r="W3500">
        <v>15</v>
      </c>
      <c r="X3500" t="s">
        <v>12090</v>
      </c>
      <c r="Y3500">
        <v>0.465214123923478</v>
      </c>
      <c r="Z3500" t="str">
        <f>HYPERLINK("Melting_Curves/meltCurve_sp_Q9Y2L1_RRP44_HUMAN_.pdf", "Melting_Curves/meltCurve_sp_Q9Y2L1_RRP44_HUMAN_.pdf")</f>
        <v>Melting_Curves/meltCurve_sp_Q9Y2L1_RRP44_HUMAN_.pdf</v>
      </c>
      <c r="AA3500" t="s">
        <v>16335</v>
      </c>
      <c r="AB3500" t="s">
        <v>20583</v>
      </c>
    </row>
    <row r="3501" spans="1:28" x14ac:dyDescent="0.25">
      <c r="A3501" t="s">
        <v>3505</v>
      </c>
      <c r="B3501">
        <v>0.99876560204751996</v>
      </c>
      <c r="C3501">
        <v>0.93784308274490102</v>
      </c>
      <c r="D3501">
        <v>0.86697361592603395</v>
      </c>
      <c r="E3501">
        <v>0.59209410900973902</v>
      </c>
      <c r="F3501">
        <v>0.50286075809313102</v>
      </c>
      <c r="G3501">
        <v>0.24340329330734001</v>
      </c>
      <c r="H3501">
        <v>0.22311346683278199</v>
      </c>
      <c r="I3501">
        <v>6.1737126204297103E-2</v>
      </c>
      <c r="J3501">
        <v>5.2992567155916701E-2</v>
      </c>
      <c r="K3501">
        <v>6.7983806420925094E-2</v>
      </c>
      <c r="L3501">
        <v>639.55478935456597</v>
      </c>
      <c r="M3501">
        <v>12.2262363558118</v>
      </c>
      <c r="N3501">
        <v>52.384838712335899</v>
      </c>
      <c r="O3501">
        <v>50.969638862936598</v>
      </c>
      <c r="P3501">
        <v>-5.9462448521282601E-2</v>
      </c>
      <c r="Q3501">
        <v>8.6564686794134999E-3</v>
      </c>
      <c r="R3501">
        <v>0.990154693628578</v>
      </c>
      <c r="S3501" t="s">
        <v>7797</v>
      </c>
      <c r="T3501" t="s">
        <v>8590</v>
      </c>
      <c r="U3501" t="s">
        <v>8590</v>
      </c>
      <c r="V3501" t="s">
        <v>8590</v>
      </c>
      <c r="W3501">
        <v>1</v>
      </c>
      <c r="X3501" t="s">
        <v>12091</v>
      </c>
      <c r="Y3501">
        <v>0.44445688061445759</v>
      </c>
      <c r="Z3501" t="str">
        <f>HYPERLINK("Melting_Curves/meltCurve_sp_Q9Y2L9_2_LRCH1_HUMAN_.pdf", "Melting_Curves/meltCurve_sp_Q9Y2L9_2_LRCH1_HUMAN_.pdf")</f>
        <v>Melting_Curves/meltCurve_sp_Q9Y2L9_2_LRCH1_HUMAN_.pdf</v>
      </c>
      <c r="AA3501" t="s">
        <v>16336</v>
      </c>
      <c r="AB3501" t="s">
        <v>20584</v>
      </c>
    </row>
    <row r="3502" spans="1:28" x14ac:dyDescent="0.25">
      <c r="A3502" t="s">
        <v>3506</v>
      </c>
      <c r="B3502">
        <v>0.99876560204751996</v>
      </c>
      <c r="C3502">
        <v>0.98306954574898597</v>
      </c>
      <c r="D3502">
        <v>0.61805327197792304</v>
      </c>
      <c r="E3502">
        <v>0.44629072534269698</v>
      </c>
      <c r="F3502">
        <v>0.20146602474644401</v>
      </c>
      <c r="G3502">
        <v>8.5010965685825501E-2</v>
      </c>
      <c r="H3502">
        <v>7.2210787106385996E-2</v>
      </c>
      <c r="I3502">
        <v>4.97536389219791E-2</v>
      </c>
      <c r="J3502">
        <v>4.0455696434094503E-2</v>
      </c>
      <c r="K3502">
        <v>3.2478978050730502E-2</v>
      </c>
      <c r="L3502">
        <v>810.54566070915303</v>
      </c>
      <c r="M3502">
        <v>16.756575709453301</v>
      </c>
      <c r="N3502">
        <v>48.562628464546698</v>
      </c>
      <c r="O3502">
        <v>47.698623445824197</v>
      </c>
      <c r="P3502">
        <v>-8.5032579209828402E-2</v>
      </c>
      <c r="Q3502">
        <v>3.1861455917146897E-2</v>
      </c>
      <c r="R3502">
        <v>0.98445324908964704</v>
      </c>
      <c r="S3502" t="s">
        <v>7798</v>
      </c>
      <c r="T3502" t="s">
        <v>8590</v>
      </c>
      <c r="U3502" t="s">
        <v>8590</v>
      </c>
      <c r="V3502" t="s">
        <v>8590</v>
      </c>
      <c r="W3502">
        <v>8</v>
      </c>
      <c r="X3502" t="s">
        <v>12092</v>
      </c>
      <c r="Y3502">
        <v>0.32169956313402109</v>
      </c>
      <c r="Z3502" t="str">
        <f>HYPERLINK("Melting_Curves/meltCurve_sp_Q9Y2P5_S27A5_HUMAN_.pdf", "Melting_Curves/meltCurve_sp_Q9Y2P5_S27A5_HUMAN_.pdf")</f>
        <v>Melting_Curves/meltCurve_sp_Q9Y2P5_S27A5_HUMAN_.pdf</v>
      </c>
      <c r="AA3502" t="s">
        <v>16337</v>
      </c>
      <c r="AB3502" t="s">
        <v>20585</v>
      </c>
    </row>
    <row r="3503" spans="1:28" x14ac:dyDescent="0.25">
      <c r="A3503" t="s">
        <v>3507</v>
      </c>
      <c r="B3503">
        <v>0.99876560204751996</v>
      </c>
      <c r="C3503">
        <v>0.95564193629387595</v>
      </c>
      <c r="D3503">
        <v>0.96946665556318501</v>
      </c>
      <c r="E3503">
        <v>0.62443694573587905</v>
      </c>
      <c r="F3503">
        <v>0.210362747117814</v>
      </c>
      <c r="G3503">
        <v>8.3924697065589193E-2</v>
      </c>
      <c r="H3503">
        <v>5.12987992242495E-2</v>
      </c>
      <c r="I3503">
        <v>3.8297273548969397E-2</v>
      </c>
      <c r="J3503">
        <v>3.7224224097884499E-2</v>
      </c>
      <c r="K3503">
        <v>2.9333308768528899E-2</v>
      </c>
      <c r="L3503">
        <v>1685.0283440978901</v>
      </c>
      <c r="M3503">
        <v>33.275716498574702</v>
      </c>
      <c r="N3503">
        <v>50.770025192989301</v>
      </c>
      <c r="O3503">
        <v>50.4565439322282</v>
      </c>
      <c r="P3503">
        <v>-0.15805974627517899</v>
      </c>
      <c r="Q3503">
        <v>4.1329257477760901E-2</v>
      </c>
      <c r="R3503">
        <v>0.99854919936312203</v>
      </c>
      <c r="S3503" t="s">
        <v>7799</v>
      </c>
      <c r="T3503" t="s">
        <v>8590</v>
      </c>
      <c r="U3503" t="s">
        <v>8590</v>
      </c>
      <c r="V3503" t="s">
        <v>8590</v>
      </c>
      <c r="W3503">
        <v>17</v>
      </c>
      <c r="X3503" t="s">
        <v>12093</v>
      </c>
      <c r="Y3503">
        <v>0.3861495658832651</v>
      </c>
      <c r="Z3503" t="str">
        <f>HYPERLINK("Melting_Curves/meltCurve_sp_Q9Y2Q3_GSTK1_HUMAN_.pdf", "Melting_Curves/meltCurve_sp_Q9Y2Q3_GSTK1_HUMAN_.pdf")</f>
        <v>Melting_Curves/meltCurve_sp_Q9Y2Q3_GSTK1_HUMAN_.pdf</v>
      </c>
      <c r="AA3503" t="s">
        <v>16338</v>
      </c>
      <c r="AB3503" t="s">
        <v>20586</v>
      </c>
    </row>
    <row r="3504" spans="1:28" x14ac:dyDescent="0.25">
      <c r="A3504" t="s">
        <v>3508</v>
      </c>
      <c r="B3504">
        <v>0.99876560204751996</v>
      </c>
      <c r="C3504">
        <v>0.95491874617987205</v>
      </c>
      <c r="D3504">
        <v>1.0140705343407399</v>
      </c>
      <c r="E3504">
        <v>0.86597559396226098</v>
      </c>
      <c r="F3504">
        <v>0.75009761818034804</v>
      </c>
      <c r="G3504">
        <v>0.63553910122727397</v>
      </c>
      <c r="H3504">
        <v>0.41412968064505201</v>
      </c>
      <c r="I3504">
        <v>0.30766771488542199</v>
      </c>
      <c r="J3504">
        <v>0.15274975499587401</v>
      </c>
      <c r="K3504">
        <v>7.1168238603550898E-2</v>
      </c>
      <c r="L3504">
        <v>721.58715613094</v>
      </c>
      <c r="M3504">
        <v>12.254911710389599</v>
      </c>
      <c r="N3504">
        <v>58.881465131570202</v>
      </c>
      <c r="O3504">
        <v>57.379445371597498</v>
      </c>
      <c r="P3504">
        <v>-5.3406036555213997E-2</v>
      </c>
      <c r="Q3504">
        <v>0</v>
      </c>
      <c r="R3504">
        <v>0.98854281685780598</v>
      </c>
      <c r="S3504" t="s">
        <v>7800</v>
      </c>
      <c r="T3504" t="s">
        <v>8590</v>
      </c>
      <c r="U3504" t="s">
        <v>8590</v>
      </c>
      <c r="V3504" t="s">
        <v>8590</v>
      </c>
      <c r="W3504">
        <v>3</v>
      </c>
      <c r="X3504" t="s">
        <v>12094</v>
      </c>
      <c r="Y3504">
        <v>0.6382560002330554</v>
      </c>
      <c r="Z3504" t="str">
        <f>HYPERLINK("Melting_Curves/meltCurve_sp_Q9Y2Q5_LTOR2_HUMAN_.pdf", "Melting_Curves/meltCurve_sp_Q9Y2Q5_LTOR2_HUMAN_.pdf")</f>
        <v>Melting_Curves/meltCurve_sp_Q9Y2Q5_LTOR2_HUMAN_.pdf</v>
      </c>
      <c r="AA3504" t="s">
        <v>16339</v>
      </c>
      <c r="AB3504" t="s">
        <v>20587</v>
      </c>
    </row>
    <row r="3505" spans="1:28" x14ac:dyDescent="0.25">
      <c r="A3505" t="s">
        <v>3509</v>
      </c>
      <c r="B3505">
        <v>0.99876560204751996</v>
      </c>
      <c r="C3505">
        <v>1.0940033868525401</v>
      </c>
      <c r="D3505">
        <v>0.97084275440432199</v>
      </c>
      <c r="E3505">
        <v>0.56777823019816598</v>
      </c>
      <c r="F3505">
        <v>0.25920175883789798</v>
      </c>
      <c r="G3505">
        <v>0.19280757414587801</v>
      </c>
      <c r="H3505">
        <v>0.16599424310765301</v>
      </c>
      <c r="I3505">
        <v>0.12869257086289301</v>
      </c>
      <c r="J3505">
        <v>0.140395313863486</v>
      </c>
      <c r="K3505">
        <v>0.142310829265439</v>
      </c>
      <c r="L3505">
        <v>1755.3853662705701</v>
      </c>
      <c r="M3505">
        <v>35.114024826976802</v>
      </c>
      <c r="N3505">
        <v>50.511464110070101</v>
      </c>
      <c r="O3505">
        <v>49.829693146380698</v>
      </c>
      <c r="P3505">
        <v>-0.149429637434531</v>
      </c>
      <c r="Q3505">
        <v>0.15179101693778799</v>
      </c>
      <c r="R3505">
        <v>0.99232957310763203</v>
      </c>
      <c r="S3505" t="s">
        <v>7801</v>
      </c>
      <c r="T3505" t="s">
        <v>8590</v>
      </c>
      <c r="U3505" t="s">
        <v>8590</v>
      </c>
      <c r="V3505" t="s">
        <v>8590</v>
      </c>
      <c r="W3505">
        <v>3</v>
      </c>
      <c r="X3505" t="s">
        <v>12095</v>
      </c>
      <c r="Y3505">
        <v>0.43808774836588749</v>
      </c>
      <c r="Z3505" t="str">
        <f>HYPERLINK("Melting_Curves/meltCurve_sp_Q9Y2R9_RT07_HUMAN_.pdf", "Melting_Curves/meltCurve_sp_Q9Y2R9_RT07_HUMAN_.pdf")</f>
        <v>Melting_Curves/meltCurve_sp_Q9Y2R9_RT07_HUMAN_.pdf</v>
      </c>
      <c r="AA3505" t="s">
        <v>16340</v>
      </c>
      <c r="AB3505" t="s">
        <v>20588</v>
      </c>
    </row>
    <row r="3506" spans="1:28" x14ac:dyDescent="0.25">
      <c r="A3506" t="s">
        <v>3510</v>
      </c>
      <c r="B3506">
        <v>0.99876560204751996</v>
      </c>
      <c r="C3506">
        <v>0.94814373927367601</v>
      </c>
      <c r="D3506">
        <v>0.961427606990924</v>
      </c>
      <c r="E3506">
        <v>0.78356495814369298</v>
      </c>
      <c r="F3506">
        <v>0.259739799267655</v>
      </c>
      <c r="G3506">
        <v>0.102096839567205</v>
      </c>
      <c r="H3506">
        <v>5.9324788357769602E-2</v>
      </c>
      <c r="I3506">
        <v>5.0244903808720202E-2</v>
      </c>
      <c r="J3506">
        <v>4.6034405079683101E-2</v>
      </c>
      <c r="K3506">
        <v>3.9361152183690601E-2</v>
      </c>
      <c r="L3506">
        <v>2120.35111138192</v>
      </c>
      <c r="M3506">
        <v>41.234867567085097</v>
      </c>
      <c r="N3506">
        <v>51.565801227008002</v>
      </c>
      <c r="O3506">
        <v>51.3008188433095</v>
      </c>
      <c r="P3506">
        <v>-0.18998371576611001</v>
      </c>
      <c r="Q3506">
        <v>5.45571989949808E-2</v>
      </c>
      <c r="R3506">
        <v>0.99704191997146896</v>
      </c>
      <c r="S3506" t="s">
        <v>7802</v>
      </c>
      <c r="T3506" t="s">
        <v>8590</v>
      </c>
      <c r="U3506" t="s">
        <v>8590</v>
      </c>
      <c r="V3506" t="s">
        <v>8590</v>
      </c>
      <c r="W3506">
        <v>23</v>
      </c>
      <c r="X3506" t="s">
        <v>12096</v>
      </c>
      <c r="Y3506">
        <v>0.41765745629648759</v>
      </c>
      <c r="Z3506" t="str">
        <f>HYPERLINK("Melting_Curves/meltCurve_sp_Q9Y2S2_CRYL1_HUMAN_.pdf", "Melting_Curves/meltCurve_sp_Q9Y2S2_CRYL1_HUMAN_.pdf")</f>
        <v>Melting_Curves/meltCurve_sp_Q9Y2S2_CRYL1_HUMAN_.pdf</v>
      </c>
      <c r="AA3506" t="s">
        <v>16341</v>
      </c>
      <c r="AB3506" t="s">
        <v>20589</v>
      </c>
    </row>
    <row r="3507" spans="1:28" x14ac:dyDescent="0.25">
      <c r="A3507" t="s">
        <v>3511</v>
      </c>
      <c r="B3507">
        <v>0.99876560204751996</v>
      </c>
      <c r="C3507">
        <v>0.94221207095578996</v>
      </c>
      <c r="D3507">
        <v>1.2137768738070001</v>
      </c>
      <c r="E3507">
        <v>0.99888717609011302</v>
      </c>
      <c r="F3507">
        <v>1.1761935023350401</v>
      </c>
      <c r="G3507">
        <v>0.92028902348933705</v>
      </c>
      <c r="H3507">
        <v>0.81888293635620202</v>
      </c>
      <c r="I3507">
        <v>0.85630956227942601</v>
      </c>
      <c r="J3507">
        <v>1.1396882434248501</v>
      </c>
      <c r="K3507">
        <v>1.18013342351256</v>
      </c>
      <c r="L3507">
        <v>15000</v>
      </c>
      <c r="M3507">
        <v>225.116312695836</v>
      </c>
      <c r="O3507">
        <v>66.626962818053201</v>
      </c>
      <c r="P3507">
        <v>0.152199569229584</v>
      </c>
      <c r="Q3507">
        <v>1.1801840994455901</v>
      </c>
      <c r="R3507">
        <v>0.24723403757644499</v>
      </c>
      <c r="S3507" t="s">
        <v>7803</v>
      </c>
      <c r="T3507" t="s">
        <v>8590</v>
      </c>
      <c r="U3507" t="s">
        <v>8590</v>
      </c>
      <c r="V3507" t="s">
        <v>8590</v>
      </c>
      <c r="W3507">
        <v>5</v>
      </c>
      <c r="X3507" t="s">
        <v>12097</v>
      </c>
      <c r="Y3507">
        <v>1.0202013899633029</v>
      </c>
      <c r="Z3507" t="str">
        <f>HYPERLINK("Melting_Curves/meltCurve_sp_Q9Y2S6_TMA7_HUMAN_.pdf", "Melting_Curves/meltCurve_sp_Q9Y2S6_TMA7_HUMAN_.pdf")</f>
        <v>Melting_Curves/meltCurve_sp_Q9Y2S6_TMA7_HUMAN_.pdf</v>
      </c>
      <c r="AA3507" t="s">
        <v>16342</v>
      </c>
      <c r="AB3507" t="s">
        <v>20590</v>
      </c>
    </row>
    <row r="3508" spans="1:28" x14ac:dyDescent="0.25">
      <c r="A3508" t="s">
        <v>3512</v>
      </c>
      <c r="B3508">
        <v>0.99876560204751996</v>
      </c>
      <c r="C3508">
        <v>0.93555888137383603</v>
      </c>
      <c r="D3508">
        <v>0.974040244645071</v>
      </c>
      <c r="E3508">
        <v>0.75066207419734199</v>
      </c>
      <c r="F3508">
        <v>0.42196148964304597</v>
      </c>
      <c r="G3508">
        <v>0.13647207896018601</v>
      </c>
      <c r="H3508">
        <v>6.6048276178111306E-2</v>
      </c>
      <c r="I3508">
        <v>4.8268022447634402E-2</v>
      </c>
      <c r="J3508">
        <v>4.5965060903831997E-2</v>
      </c>
      <c r="K3508">
        <v>3.7734123082936E-2</v>
      </c>
      <c r="L3508">
        <v>1292.92203215518</v>
      </c>
      <c r="M3508">
        <v>24.8108823086318</v>
      </c>
      <c r="N3508">
        <v>52.280554553915501</v>
      </c>
      <c r="O3508">
        <v>51.776069155424203</v>
      </c>
      <c r="P3508">
        <v>-0.115171103642354</v>
      </c>
      <c r="Q3508">
        <v>3.8643260349056602E-2</v>
      </c>
      <c r="R3508">
        <v>0.99775258787832799</v>
      </c>
      <c r="S3508" t="s">
        <v>7804</v>
      </c>
      <c r="T3508" t="s">
        <v>8590</v>
      </c>
      <c r="U3508" t="s">
        <v>8590</v>
      </c>
      <c r="V3508" t="s">
        <v>8590</v>
      </c>
      <c r="W3508">
        <v>13</v>
      </c>
      <c r="X3508" t="s">
        <v>12098</v>
      </c>
      <c r="Y3508">
        <v>0.4356602872870301</v>
      </c>
      <c r="Z3508" t="str">
        <f>HYPERLINK("Melting_Curves/meltCurve_sp_Q9Y2S7_PDIP2_HUMAN_.pdf", "Melting_Curves/meltCurve_sp_Q9Y2S7_PDIP2_HUMAN_.pdf")</f>
        <v>Melting_Curves/meltCurve_sp_Q9Y2S7_PDIP2_HUMAN_.pdf</v>
      </c>
      <c r="AA3508" t="s">
        <v>16343</v>
      </c>
      <c r="AB3508" t="s">
        <v>20591</v>
      </c>
    </row>
    <row r="3509" spans="1:28" x14ac:dyDescent="0.25">
      <c r="A3509" t="s">
        <v>3513</v>
      </c>
      <c r="B3509">
        <v>0.99876560204751996</v>
      </c>
      <c r="C3509">
        <v>0.97233117896287302</v>
      </c>
      <c r="D3509">
        <v>0.82558992474239601</v>
      </c>
      <c r="E3509">
        <v>0.72721131149006402</v>
      </c>
      <c r="F3509">
        <v>0.34458543736857999</v>
      </c>
      <c r="G3509">
        <v>0.110542427368696</v>
      </c>
      <c r="H3509">
        <v>5.4592738058142201E-2</v>
      </c>
      <c r="I3509">
        <v>9.9725012315736092E-3</v>
      </c>
      <c r="J3509">
        <v>1.66583029298626E-2</v>
      </c>
      <c r="K3509">
        <v>1.40164437889629E-2</v>
      </c>
      <c r="L3509">
        <v>1028.05446346797</v>
      </c>
      <c r="M3509">
        <v>19.915271849642899</v>
      </c>
      <c r="N3509">
        <v>51.621395733730999</v>
      </c>
      <c r="O3509">
        <v>51.109381203603803</v>
      </c>
      <c r="P3509">
        <v>-9.7418176847969801E-2</v>
      </c>
      <c r="Q3509">
        <v>0</v>
      </c>
      <c r="R3509">
        <v>0.990412895568895</v>
      </c>
      <c r="S3509" t="s">
        <v>7805</v>
      </c>
      <c r="T3509" t="s">
        <v>8590</v>
      </c>
      <c r="U3509" t="s">
        <v>8590</v>
      </c>
      <c r="V3509" t="s">
        <v>8590</v>
      </c>
      <c r="W3509">
        <v>5</v>
      </c>
      <c r="X3509" t="s">
        <v>12099</v>
      </c>
      <c r="Y3509">
        <v>0.40134591612405612</v>
      </c>
      <c r="Z3509" t="str">
        <f>HYPERLINK("Melting_Curves/meltCurve_sp_Q9Y2T2_AP3M1_HUMAN_.pdf", "Melting_Curves/meltCurve_sp_Q9Y2T2_AP3M1_HUMAN_.pdf")</f>
        <v>Melting_Curves/meltCurve_sp_Q9Y2T2_AP3M1_HUMAN_.pdf</v>
      </c>
      <c r="AA3509" t="s">
        <v>16344</v>
      </c>
      <c r="AB3509" t="s">
        <v>20592</v>
      </c>
    </row>
    <row r="3510" spans="1:28" x14ac:dyDescent="0.25">
      <c r="A3510" t="s">
        <v>3514</v>
      </c>
      <c r="B3510">
        <v>0.99876560204751996</v>
      </c>
      <c r="C3510">
        <v>0.99272838972466804</v>
      </c>
      <c r="D3510">
        <v>0.96999192469247297</v>
      </c>
      <c r="E3510">
        <v>0.97559395814882399</v>
      </c>
      <c r="F3510">
        <v>0.91966892388757004</v>
      </c>
      <c r="G3510">
        <v>0.73216892996670502</v>
      </c>
      <c r="H3510">
        <v>0.59956285195848302</v>
      </c>
      <c r="I3510">
        <v>0.55449409037923902</v>
      </c>
      <c r="J3510">
        <v>0.46208129678786702</v>
      </c>
      <c r="K3510">
        <v>0.24876421647997701</v>
      </c>
      <c r="L3510">
        <v>636.53405369165398</v>
      </c>
      <c r="M3510">
        <v>9.89542653665392</v>
      </c>
      <c r="N3510">
        <v>64.326070922787693</v>
      </c>
      <c r="O3510">
        <v>61.864320579590498</v>
      </c>
      <c r="P3510">
        <v>-4.0008666975731598E-2</v>
      </c>
      <c r="Q3510">
        <v>0</v>
      </c>
      <c r="R3510">
        <v>0.97786168775440496</v>
      </c>
      <c r="S3510" t="s">
        <v>7806</v>
      </c>
      <c r="T3510" t="s">
        <v>8590</v>
      </c>
      <c r="U3510" t="s">
        <v>8590</v>
      </c>
      <c r="V3510" t="s">
        <v>8590</v>
      </c>
      <c r="W3510">
        <v>20</v>
      </c>
      <c r="X3510" t="s">
        <v>12100</v>
      </c>
      <c r="Y3510">
        <v>0.76390178642338857</v>
      </c>
      <c r="Z3510" t="str">
        <f>HYPERLINK("Melting_Curves/meltCurve_sp_Q9Y2T3_3_GUAD_HUMAN_.pdf", "Melting_Curves/meltCurve_sp_Q9Y2T3_3_GUAD_HUMAN_.pdf")</f>
        <v>Melting_Curves/meltCurve_sp_Q9Y2T3_3_GUAD_HUMAN_.pdf</v>
      </c>
      <c r="AA3510" t="s">
        <v>16345</v>
      </c>
      <c r="AB3510" t="s">
        <v>20593</v>
      </c>
    </row>
    <row r="3511" spans="1:28" x14ac:dyDescent="0.25">
      <c r="A3511" t="s">
        <v>3515</v>
      </c>
      <c r="B3511">
        <v>0.99876560204751996</v>
      </c>
      <c r="C3511">
        <v>0.876950077441493</v>
      </c>
      <c r="D3511">
        <v>0.93202664867539398</v>
      </c>
      <c r="E3511">
        <v>0.73027840986080905</v>
      </c>
      <c r="F3511">
        <v>0.668053349138787</v>
      </c>
      <c r="G3511">
        <v>0.428382615600854</v>
      </c>
      <c r="H3511">
        <v>0.36772063895855001</v>
      </c>
      <c r="I3511">
        <v>0.31242073303335299</v>
      </c>
      <c r="J3511">
        <v>0.27763957836487702</v>
      </c>
      <c r="K3511">
        <v>0.30782689614137498</v>
      </c>
      <c r="L3511">
        <v>645.95555550695497</v>
      </c>
      <c r="M3511">
        <v>12.1955311871332</v>
      </c>
      <c r="N3511">
        <v>55.953995002761999</v>
      </c>
      <c r="O3511">
        <v>51.602787272475297</v>
      </c>
      <c r="P3511">
        <v>-4.4956827808354201E-2</v>
      </c>
      <c r="Q3511">
        <v>0.23927101944493201</v>
      </c>
      <c r="R3511">
        <v>0.98090902413347802</v>
      </c>
      <c r="S3511" t="s">
        <v>7807</v>
      </c>
      <c r="T3511" t="s">
        <v>8590</v>
      </c>
      <c r="U3511" t="s">
        <v>8590</v>
      </c>
      <c r="V3511" t="s">
        <v>8590</v>
      </c>
      <c r="W3511">
        <v>1</v>
      </c>
      <c r="X3511" t="s">
        <v>12101</v>
      </c>
      <c r="Y3511">
        <v>0.58939403893658415</v>
      </c>
      <c r="Z3511" t="str">
        <f>HYPERLINK("Melting_Curves/meltCurve_sp_Q9Y2U5_M3K2_HUMAN_.pdf", "Melting_Curves/meltCurve_sp_Q9Y2U5_M3K2_HUMAN_.pdf")</f>
        <v>Melting_Curves/meltCurve_sp_Q9Y2U5_M3K2_HUMAN_.pdf</v>
      </c>
      <c r="AA3511" t="s">
        <v>16346</v>
      </c>
      <c r="AB3511" t="s">
        <v>20594</v>
      </c>
    </row>
    <row r="3512" spans="1:28" x14ac:dyDescent="0.25">
      <c r="A3512" t="s">
        <v>3516</v>
      </c>
      <c r="B3512">
        <v>0.99876560204751996</v>
      </c>
      <c r="C3512">
        <v>1.0089972954178901</v>
      </c>
      <c r="D3512">
        <v>0.96342370573106095</v>
      </c>
      <c r="E3512">
        <v>1.0151846699785101</v>
      </c>
      <c r="F3512">
        <v>0.785189355938407</v>
      </c>
      <c r="G3512">
        <v>0.67352199074975505</v>
      </c>
      <c r="H3512">
        <v>0.36898521281938701</v>
      </c>
      <c r="I3512">
        <v>0.254840624743427</v>
      </c>
      <c r="J3512">
        <v>0.24401698280605</v>
      </c>
      <c r="K3512">
        <v>0.230861054137808</v>
      </c>
      <c r="L3512">
        <v>1091.67401518772</v>
      </c>
      <c r="M3512">
        <v>19.018995949598299</v>
      </c>
      <c r="N3512">
        <v>58.841075006602502</v>
      </c>
      <c r="O3512">
        <v>56.775864060090598</v>
      </c>
      <c r="P3512">
        <v>-6.8149390663322998E-2</v>
      </c>
      <c r="Q3512">
        <v>0.18626894570139099</v>
      </c>
      <c r="R3512">
        <v>0.98606387614123503</v>
      </c>
      <c r="S3512" t="s">
        <v>7808</v>
      </c>
      <c r="T3512" t="s">
        <v>8590</v>
      </c>
      <c r="U3512" t="s">
        <v>8590</v>
      </c>
      <c r="V3512" t="s">
        <v>8590</v>
      </c>
      <c r="W3512">
        <v>4</v>
      </c>
      <c r="X3512" t="s">
        <v>12102</v>
      </c>
      <c r="Y3512">
        <v>0.66843061377483193</v>
      </c>
      <c r="Z3512" t="str">
        <f>HYPERLINK("Melting_Curves/meltCurve_sp_Q9Y2U8_MAN1_HUMAN_.pdf", "Melting_Curves/meltCurve_sp_Q9Y2U8_MAN1_HUMAN_.pdf")</f>
        <v>Melting_Curves/meltCurve_sp_Q9Y2U8_MAN1_HUMAN_.pdf</v>
      </c>
      <c r="AA3512" t="s">
        <v>16347</v>
      </c>
      <c r="AB3512" t="s">
        <v>20595</v>
      </c>
    </row>
    <row r="3513" spans="1:28" x14ac:dyDescent="0.25">
      <c r="A3513" t="s">
        <v>3517</v>
      </c>
      <c r="B3513">
        <v>0.99876560204751996</v>
      </c>
      <c r="C3513">
        <v>0.975616186199464</v>
      </c>
      <c r="D3513">
        <v>1.0254289291091201</v>
      </c>
      <c r="E3513">
        <v>0.99241035848382997</v>
      </c>
      <c r="F3513">
        <v>1.09313405570938</v>
      </c>
      <c r="G3513">
        <v>0.88307489737279499</v>
      </c>
      <c r="H3513">
        <v>0.82498302211588803</v>
      </c>
      <c r="I3513">
        <v>0.88478104283847803</v>
      </c>
      <c r="J3513">
        <v>1.0428084307415499</v>
      </c>
      <c r="K3513">
        <v>1.1056681107905399</v>
      </c>
      <c r="L3513">
        <v>2338.23757585253</v>
      </c>
      <c r="M3513">
        <v>42.4683897633847</v>
      </c>
      <c r="O3513">
        <v>54.936644982975302</v>
      </c>
      <c r="P3513">
        <v>-9.0854602666497006E-3</v>
      </c>
      <c r="Q3513">
        <v>0.95298866820898898</v>
      </c>
      <c r="R3513">
        <v>9.3800513313014394E-2</v>
      </c>
      <c r="S3513" t="s">
        <v>7809</v>
      </c>
      <c r="T3513" t="s">
        <v>8590</v>
      </c>
      <c r="U3513" t="s">
        <v>8590</v>
      </c>
      <c r="V3513" t="s">
        <v>8590</v>
      </c>
      <c r="W3513">
        <v>10</v>
      </c>
      <c r="X3513" t="s">
        <v>12103</v>
      </c>
      <c r="Y3513">
        <v>0.97674390448145354</v>
      </c>
      <c r="Z3513" t="str">
        <f>HYPERLINK("Melting_Curves/meltCurve_sp_Q9Y2V2_CHSP1_HUMAN_.pdf", "Melting_Curves/meltCurve_sp_Q9Y2V2_CHSP1_HUMAN_.pdf")</f>
        <v>Melting_Curves/meltCurve_sp_Q9Y2V2_CHSP1_HUMAN_.pdf</v>
      </c>
      <c r="AA3513" t="s">
        <v>16348</v>
      </c>
      <c r="AB3513" t="s">
        <v>20596</v>
      </c>
    </row>
    <row r="3514" spans="1:28" x14ac:dyDescent="0.25">
      <c r="A3514" t="s">
        <v>3518</v>
      </c>
      <c r="B3514">
        <v>0.99876560204751996</v>
      </c>
      <c r="C3514">
        <v>1.00275218262179</v>
      </c>
      <c r="D3514">
        <v>0.86357782235881497</v>
      </c>
      <c r="E3514">
        <v>0.46250373307155401</v>
      </c>
      <c r="F3514">
        <v>0.29400226974731403</v>
      </c>
      <c r="G3514">
        <v>0.150341082091905</v>
      </c>
      <c r="H3514">
        <v>9.8091091600256697E-2</v>
      </c>
      <c r="I3514">
        <v>0.107860074346545</v>
      </c>
      <c r="J3514">
        <v>0.10881466387941</v>
      </c>
      <c r="K3514">
        <v>4.4875368190350103E-2</v>
      </c>
      <c r="L3514">
        <v>1069.43982605466</v>
      </c>
      <c r="M3514">
        <v>21.6067711114896</v>
      </c>
      <c r="N3514">
        <v>49.944687844960001</v>
      </c>
      <c r="O3514">
        <v>49.077445500660701</v>
      </c>
      <c r="P3514">
        <v>-0.100349546248063</v>
      </c>
      <c r="Q3514">
        <v>8.8288875871341793E-2</v>
      </c>
      <c r="R3514">
        <v>0.99578105731505095</v>
      </c>
      <c r="S3514" t="s">
        <v>7810</v>
      </c>
      <c r="T3514" t="s">
        <v>8590</v>
      </c>
      <c r="U3514" t="s">
        <v>8590</v>
      </c>
      <c r="V3514" t="s">
        <v>8590</v>
      </c>
      <c r="W3514">
        <v>5</v>
      </c>
      <c r="X3514" t="s">
        <v>12104</v>
      </c>
      <c r="Y3514">
        <v>0.38776175433301169</v>
      </c>
      <c r="Z3514" t="str">
        <f>HYPERLINK("Melting_Curves/meltCurve_sp_Q9Y2V7_COG6_HUMAN_.pdf", "Melting_Curves/meltCurve_sp_Q9Y2V7_COG6_HUMAN_.pdf")</f>
        <v>Melting_Curves/meltCurve_sp_Q9Y2V7_COG6_HUMAN_.pdf</v>
      </c>
      <c r="AA3514" t="s">
        <v>16349</v>
      </c>
      <c r="AB3514" t="s">
        <v>20597</v>
      </c>
    </row>
    <row r="3515" spans="1:28" x14ac:dyDescent="0.25">
      <c r="A3515" t="s">
        <v>3519</v>
      </c>
      <c r="B3515">
        <v>0.99876560204751996</v>
      </c>
      <c r="C3515">
        <v>0.92115770123491802</v>
      </c>
      <c r="D3515">
        <v>0.96575143968608801</v>
      </c>
      <c r="E3515">
        <v>0.909841302524101</v>
      </c>
      <c r="F3515">
        <v>1.0488155108430299</v>
      </c>
      <c r="G3515">
        <v>0.83670153955682502</v>
      </c>
      <c r="H3515">
        <v>0.77390156786596098</v>
      </c>
      <c r="I3515">
        <v>0.84985013734127601</v>
      </c>
      <c r="J3515">
        <v>1.1040455084751599</v>
      </c>
      <c r="K3515">
        <v>1.10379276038021</v>
      </c>
      <c r="L3515">
        <v>15000</v>
      </c>
      <c r="M3515">
        <v>227.021937695763</v>
      </c>
      <c r="O3515">
        <v>66.0677900545802</v>
      </c>
      <c r="P3515">
        <v>9.1074338084481496E-2</v>
      </c>
      <c r="Q3515">
        <v>1.10601758758699</v>
      </c>
      <c r="R3515">
        <v>-1.8835635606526499E-2</v>
      </c>
      <c r="S3515" t="s">
        <v>7811</v>
      </c>
      <c r="T3515" t="s">
        <v>8590</v>
      </c>
      <c r="U3515" t="s">
        <v>8590</v>
      </c>
      <c r="V3515" t="s">
        <v>8590</v>
      </c>
      <c r="W3515">
        <v>18</v>
      </c>
      <c r="X3515" t="s">
        <v>12105</v>
      </c>
      <c r="Y3515">
        <v>1.013863115902621</v>
      </c>
      <c r="Z3515" t="str">
        <f>HYPERLINK("Melting_Curves/meltCurve_sp_Q9Y2W1_TR150_HUMAN_.pdf", "Melting_Curves/meltCurve_sp_Q9Y2W1_TR150_HUMAN_.pdf")</f>
        <v>Melting_Curves/meltCurve_sp_Q9Y2W1_TR150_HUMAN_.pdf</v>
      </c>
      <c r="AA3515" t="s">
        <v>16350</v>
      </c>
      <c r="AB3515" t="s">
        <v>20598</v>
      </c>
    </row>
    <row r="3516" spans="1:28" x14ac:dyDescent="0.25">
      <c r="A3516" t="s">
        <v>3520</v>
      </c>
      <c r="B3516">
        <v>0.99876560204751996</v>
      </c>
      <c r="C3516">
        <v>0.9452077015839</v>
      </c>
      <c r="D3516">
        <v>0.99832165287961705</v>
      </c>
      <c r="E3516">
        <v>0.95493859285940197</v>
      </c>
      <c r="F3516">
        <v>1.00771325332349</v>
      </c>
      <c r="G3516">
        <v>0.86833939790105497</v>
      </c>
      <c r="H3516">
        <v>0.76011235697664004</v>
      </c>
      <c r="I3516">
        <v>0.78394116586604901</v>
      </c>
      <c r="J3516">
        <v>0.88363433845157402</v>
      </c>
      <c r="K3516">
        <v>1.0054232578971001</v>
      </c>
      <c r="L3516">
        <v>14103.4245569082</v>
      </c>
      <c r="M3516">
        <v>250</v>
      </c>
      <c r="O3516">
        <v>56.410088268611297</v>
      </c>
      <c r="P3516">
        <v>-0.15702224734602099</v>
      </c>
      <c r="Q3516">
        <v>0.85827777919978598</v>
      </c>
      <c r="R3516">
        <v>0.44913199317942998</v>
      </c>
      <c r="S3516" t="s">
        <v>7812</v>
      </c>
      <c r="T3516" t="s">
        <v>8590</v>
      </c>
      <c r="U3516" t="s">
        <v>8590</v>
      </c>
      <c r="V3516" t="s">
        <v>8590</v>
      </c>
      <c r="W3516">
        <v>5</v>
      </c>
      <c r="X3516" t="s">
        <v>12106</v>
      </c>
      <c r="Y3516">
        <v>0.93583133591009338</v>
      </c>
      <c r="Z3516" t="str">
        <f>HYPERLINK("Melting_Curves/meltCurve_sp_Q9Y2X3_NOP58_HUMAN_.pdf", "Melting_Curves/meltCurve_sp_Q9Y2X3_NOP58_HUMAN_.pdf")</f>
        <v>Melting_Curves/meltCurve_sp_Q9Y2X3_NOP58_HUMAN_.pdf</v>
      </c>
      <c r="AA3516" t="s">
        <v>16351</v>
      </c>
      <c r="AB3516" t="s">
        <v>20599</v>
      </c>
    </row>
    <row r="3517" spans="1:28" x14ac:dyDescent="0.25">
      <c r="A3517" t="s">
        <v>3521</v>
      </c>
      <c r="B3517">
        <v>0.99876560204751996</v>
      </c>
      <c r="C3517">
        <v>1.0105995838188599</v>
      </c>
      <c r="D3517">
        <v>1.0026795769585499</v>
      </c>
      <c r="E3517">
        <v>0.96996944056253298</v>
      </c>
      <c r="F3517">
        <v>0.87966054399173899</v>
      </c>
      <c r="G3517">
        <v>0.69174104930671898</v>
      </c>
      <c r="H3517">
        <v>0.55941763008261203</v>
      </c>
      <c r="I3517">
        <v>0.48154113401577298</v>
      </c>
      <c r="J3517">
        <v>0.46731830288076498</v>
      </c>
      <c r="K3517">
        <v>0.38772931003757699</v>
      </c>
      <c r="L3517">
        <v>980.29320056100096</v>
      </c>
      <c r="M3517">
        <v>17.108387575615399</v>
      </c>
      <c r="N3517">
        <v>62.920287391890803</v>
      </c>
      <c r="O3517">
        <v>56.533313950004498</v>
      </c>
      <c r="P3517">
        <v>-4.6034616773252199E-2</v>
      </c>
      <c r="Q3517">
        <v>0.39156566811629001</v>
      </c>
      <c r="R3517">
        <v>0.99540350137825695</v>
      </c>
      <c r="S3517" t="s">
        <v>7813</v>
      </c>
      <c r="T3517" t="s">
        <v>8590</v>
      </c>
      <c r="U3517" t="s">
        <v>8590</v>
      </c>
      <c r="V3517" t="s">
        <v>8590</v>
      </c>
      <c r="W3517">
        <v>11</v>
      </c>
      <c r="X3517" t="s">
        <v>12107</v>
      </c>
      <c r="Y3517">
        <v>0.75089432265701772</v>
      </c>
      <c r="Z3517" t="str">
        <f>HYPERLINK("Melting_Curves/meltCurve_sp_Q9Y2Z0_SUGT1_HUMAN_.pdf", "Melting_Curves/meltCurve_sp_Q9Y2Z0_SUGT1_HUMAN_.pdf")</f>
        <v>Melting_Curves/meltCurve_sp_Q9Y2Z0_SUGT1_HUMAN_.pdf</v>
      </c>
      <c r="AA3517" t="s">
        <v>16352</v>
      </c>
      <c r="AB3517" t="s">
        <v>20600</v>
      </c>
    </row>
    <row r="3518" spans="1:28" x14ac:dyDescent="0.25">
      <c r="A3518" t="s">
        <v>3522</v>
      </c>
      <c r="B3518">
        <v>0.99876560204751996</v>
      </c>
      <c r="C3518">
        <v>1.04212119340846</v>
      </c>
      <c r="D3518">
        <v>0.91184813096852901</v>
      </c>
      <c r="E3518">
        <v>0.68567098627496503</v>
      </c>
      <c r="F3518">
        <v>0.57683815535493299</v>
      </c>
      <c r="G3518">
        <v>0.227853061591027</v>
      </c>
      <c r="H3518">
        <v>0.16214856277842299</v>
      </c>
      <c r="I3518">
        <v>0.12127883075064499</v>
      </c>
      <c r="J3518">
        <v>7.4331689676652796E-2</v>
      </c>
      <c r="K3518">
        <v>5.8088413851898398E-2</v>
      </c>
      <c r="L3518">
        <v>852.22965347162801</v>
      </c>
      <c r="M3518">
        <v>16.1116714872032</v>
      </c>
      <c r="N3518">
        <v>53.228490996598502</v>
      </c>
      <c r="O3518">
        <v>52.100436072007902</v>
      </c>
      <c r="P3518">
        <v>-7.3606543523711099E-2</v>
      </c>
      <c r="Q3518">
        <v>4.7984481782908102E-2</v>
      </c>
      <c r="R3518">
        <v>0.99123164594743196</v>
      </c>
      <c r="S3518" t="s">
        <v>7814</v>
      </c>
      <c r="T3518" t="s">
        <v>8590</v>
      </c>
      <c r="U3518" t="s">
        <v>8590</v>
      </c>
      <c r="V3518" t="s">
        <v>8590</v>
      </c>
      <c r="W3518">
        <v>5</v>
      </c>
      <c r="X3518" t="s">
        <v>12108</v>
      </c>
      <c r="Y3518">
        <v>0.47574916076928692</v>
      </c>
      <c r="Z3518" t="str">
        <f>HYPERLINK("Melting_Curves/meltCurve_sp_Q9Y2Z2_5_MTO1_HUMAN_.pdf", "Melting_Curves/meltCurve_sp_Q9Y2Z2_5_MTO1_HUMAN_.pdf")</f>
        <v>Melting_Curves/meltCurve_sp_Q9Y2Z2_5_MTO1_HUMAN_.pdf</v>
      </c>
      <c r="AA3518" t="s">
        <v>16353</v>
      </c>
      <c r="AB3518" t="s">
        <v>20601</v>
      </c>
    </row>
    <row r="3519" spans="1:28" x14ac:dyDescent="0.25">
      <c r="A3519" t="s">
        <v>3523</v>
      </c>
      <c r="B3519">
        <v>0.99876560204751996</v>
      </c>
      <c r="C3519">
        <v>0.933493056546702</v>
      </c>
      <c r="D3519">
        <v>0.847762771876585</v>
      </c>
      <c r="E3519">
        <v>0.41318403216275601</v>
      </c>
      <c r="F3519">
        <v>0.18511117484940401</v>
      </c>
      <c r="G3519">
        <v>8.89362264707734E-2</v>
      </c>
      <c r="H3519">
        <v>4.6934699479143797E-2</v>
      </c>
      <c r="I3519">
        <v>4.7464649372525203E-2</v>
      </c>
      <c r="J3519">
        <v>4.9203514801639897E-2</v>
      </c>
      <c r="K3519">
        <v>4.1324896968205203E-2</v>
      </c>
      <c r="L3519">
        <v>1142.70191550969</v>
      </c>
      <c r="M3519">
        <v>23.2943254451678</v>
      </c>
      <c r="N3519">
        <v>49.247696085266298</v>
      </c>
      <c r="O3519">
        <v>48.697716795033003</v>
      </c>
      <c r="P3519">
        <v>-0.11437811561924199</v>
      </c>
      <c r="Q3519">
        <v>4.3568966603187903E-2</v>
      </c>
      <c r="R3519">
        <v>0.99892234980594197</v>
      </c>
      <c r="S3519" t="s">
        <v>7815</v>
      </c>
      <c r="T3519" t="s">
        <v>8590</v>
      </c>
      <c r="U3519" t="s">
        <v>8590</v>
      </c>
      <c r="V3519" t="s">
        <v>8590</v>
      </c>
      <c r="W3519">
        <v>6</v>
      </c>
      <c r="X3519" t="s">
        <v>12109</v>
      </c>
      <c r="Y3519">
        <v>0.34205470432180679</v>
      </c>
      <c r="Z3519" t="str">
        <f>HYPERLINK("Melting_Curves/meltCurve_sp_Q9Y2Z4_SYYM_HUMAN_.pdf", "Melting_Curves/meltCurve_sp_Q9Y2Z4_SYYM_HUMAN_.pdf")</f>
        <v>Melting_Curves/meltCurve_sp_Q9Y2Z4_SYYM_HUMAN_.pdf</v>
      </c>
      <c r="AA3519" t="s">
        <v>16354</v>
      </c>
      <c r="AB3519" t="s">
        <v>20602</v>
      </c>
    </row>
    <row r="3520" spans="1:28" x14ac:dyDescent="0.25">
      <c r="A3520" t="s">
        <v>3524</v>
      </c>
      <c r="B3520">
        <v>0.99876560204751996</v>
      </c>
      <c r="C3520">
        <v>1.3133474723033201</v>
      </c>
      <c r="D3520">
        <v>2.1384602279984599</v>
      </c>
      <c r="E3520">
        <v>3.2226909890148199</v>
      </c>
      <c r="F3520">
        <v>6.1852785957080103</v>
      </c>
      <c r="G3520">
        <v>4.8493407078080102</v>
      </c>
      <c r="H3520">
        <v>2.6719077798396902</v>
      </c>
      <c r="I3520">
        <v>1.9786395605978599</v>
      </c>
      <c r="J3520">
        <v>1.80450913770977</v>
      </c>
      <c r="K3520">
        <v>1.6386060308739001</v>
      </c>
      <c r="S3520" t="s">
        <v>7816</v>
      </c>
      <c r="T3520" t="s">
        <v>8590</v>
      </c>
      <c r="U3520" t="s">
        <v>8591</v>
      </c>
      <c r="V3520" t="s">
        <v>8590</v>
      </c>
      <c r="W3520">
        <v>2</v>
      </c>
      <c r="X3520" t="s">
        <v>12110</v>
      </c>
      <c r="Z3520" t="str">
        <f>HYPERLINK("Melting_Curves/meltCurve_sp_Q9Y2Z9_3_COQ6_HUMAN_.pdf", "Melting_Curves/meltCurve_sp_Q9Y2Z9_3_COQ6_HUMAN_.pdf")</f>
        <v>Melting_Curves/meltCurve_sp_Q9Y2Z9_3_COQ6_HUMAN_.pdf</v>
      </c>
      <c r="AA3520" t="s">
        <v>16355</v>
      </c>
      <c r="AB3520" t="s">
        <v>20603</v>
      </c>
    </row>
    <row r="3521" spans="1:28" x14ac:dyDescent="0.25">
      <c r="A3521" t="s">
        <v>3525</v>
      </c>
      <c r="B3521">
        <v>0.99876560204751996</v>
      </c>
      <c r="C3521">
        <v>1.0728768746938999</v>
      </c>
      <c r="D3521">
        <v>1.0235909857271599</v>
      </c>
      <c r="E3521">
        <v>0.866421179351342</v>
      </c>
      <c r="F3521">
        <v>0.556335144266492</v>
      </c>
      <c r="G3521">
        <v>0.30007603607775402</v>
      </c>
      <c r="H3521">
        <v>8.1947933479281407E-2</v>
      </c>
      <c r="I3521">
        <v>4.2765967153332501E-2</v>
      </c>
      <c r="J3521">
        <v>5.2380527129652202E-2</v>
      </c>
      <c r="K3521">
        <v>2.85552174961291E-2</v>
      </c>
      <c r="L3521">
        <v>1168.4554192677799</v>
      </c>
      <c r="M3521">
        <v>21.684507671422601</v>
      </c>
      <c r="N3521">
        <v>54.0195529677652</v>
      </c>
      <c r="O3521">
        <v>53.432359085863297</v>
      </c>
      <c r="P3521">
        <v>-9.8779947072559396E-2</v>
      </c>
      <c r="Q3521">
        <v>2.6416304482999999E-2</v>
      </c>
      <c r="R3521">
        <v>0.99287493857998699</v>
      </c>
      <c r="S3521" t="s">
        <v>7817</v>
      </c>
      <c r="T3521" t="s">
        <v>8590</v>
      </c>
      <c r="U3521" t="s">
        <v>8590</v>
      </c>
      <c r="V3521" t="s">
        <v>8590</v>
      </c>
      <c r="W3521">
        <v>4</v>
      </c>
      <c r="X3521" t="s">
        <v>12111</v>
      </c>
      <c r="Y3521">
        <v>0.48858760162043419</v>
      </c>
      <c r="Z3521" t="str">
        <f>HYPERLINK("Melting_Curves/meltCurve_sp_Q9Y303_NAGA_HUMAN_.pdf", "Melting_Curves/meltCurve_sp_Q9Y303_NAGA_HUMAN_.pdf")</f>
        <v>Melting_Curves/meltCurve_sp_Q9Y303_NAGA_HUMAN_.pdf</v>
      </c>
      <c r="AA3521" t="s">
        <v>16356</v>
      </c>
      <c r="AB3521" t="s">
        <v>20604</v>
      </c>
    </row>
    <row r="3522" spans="1:28" x14ac:dyDescent="0.25">
      <c r="A3522" t="s">
        <v>3526</v>
      </c>
      <c r="B3522">
        <v>0.99876560204751996</v>
      </c>
      <c r="C3522">
        <v>0.64481649845101696</v>
      </c>
      <c r="D3522">
        <v>0.44452058109232001</v>
      </c>
      <c r="E3522">
        <v>0.31036448101054798</v>
      </c>
      <c r="F3522">
        <v>0.19908206324220001</v>
      </c>
      <c r="G3522">
        <v>7.7000898688925207E-2</v>
      </c>
      <c r="H3522">
        <v>5.7622921955717901E-2</v>
      </c>
      <c r="I3522">
        <v>4.40781471383766E-2</v>
      </c>
      <c r="J3522">
        <v>4.9219793648645503E-2</v>
      </c>
      <c r="K3522">
        <v>3.49942222086271E-2</v>
      </c>
      <c r="L3522">
        <v>627.52170541957196</v>
      </c>
      <c r="M3522">
        <v>13.764579359325101</v>
      </c>
      <c r="N3522">
        <v>45.847862061372702</v>
      </c>
      <c r="O3522">
        <v>44.659656678179502</v>
      </c>
      <c r="P3522">
        <v>-7.4188854348492705E-2</v>
      </c>
      <c r="Q3522">
        <v>3.7302849343716298E-2</v>
      </c>
      <c r="R3522">
        <v>0.97190217005353197</v>
      </c>
      <c r="S3522" t="s">
        <v>7818</v>
      </c>
      <c r="T3522" t="s">
        <v>8590</v>
      </c>
      <c r="U3522" t="s">
        <v>8590</v>
      </c>
      <c r="V3522" t="s">
        <v>8590</v>
      </c>
      <c r="W3522">
        <v>9</v>
      </c>
      <c r="X3522" t="s">
        <v>12112</v>
      </c>
      <c r="Y3522">
        <v>0.25148261338579458</v>
      </c>
      <c r="Z3522" t="str">
        <f>HYPERLINK("Melting_Curves/meltCurve_sp_Q9Y305_ACOT9_HUMAN_.pdf", "Melting_Curves/meltCurve_sp_Q9Y305_ACOT9_HUMAN_.pdf")</f>
        <v>Melting_Curves/meltCurve_sp_Q9Y305_ACOT9_HUMAN_.pdf</v>
      </c>
      <c r="AA3522" t="s">
        <v>16357</v>
      </c>
      <c r="AB3522" t="s">
        <v>20605</v>
      </c>
    </row>
    <row r="3523" spans="1:28" x14ac:dyDescent="0.25">
      <c r="A3523" t="s">
        <v>3527</v>
      </c>
      <c r="B3523">
        <v>0.99876560204751996</v>
      </c>
      <c r="C3523">
        <v>0.80197302739402199</v>
      </c>
      <c r="D3523">
        <v>0.87332318616067595</v>
      </c>
      <c r="E3523">
        <v>0.73028293587253701</v>
      </c>
      <c r="F3523">
        <v>0.57311131750026201</v>
      </c>
      <c r="G3523">
        <v>0.24601007678947701</v>
      </c>
      <c r="H3523">
        <v>0.15744189869261899</v>
      </c>
      <c r="I3523">
        <v>0.105100167813544</v>
      </c>
      <c r="J3523">
        <v>0.111040177631961</v>
      </c>
      <c r="K3523">
        <v>9.3786476842913899E-2</v>
      </c>
      <c r="L3523">
        <v>663.02390547037703</v>
      </c>
      <c r="M3523">
        <v>12.4866642170009</v>
      </c>
      <c r="N3523">
        <v>53.265685154268802</v>
      </c>
      <c r="O3523">
        <v>51.791853319435802</v>
      </c>
      <c r="P3523">
        <v>-5.9127736712435597E-2</v>
      </c>
      <c r="Q3523">
        <v>1.9208846370472099E-2</v>
      </c>
      <c r="R3523">
        <v>0.97095779147745898</v>
      </c>
      <c r="S3523" t="s">
        <v>7819</v>
      </c>
      <c r="T3523" t="s">
        <v>8590</v>
      </c>
      <c r="U3523" t="s">
        <v>8590</v>
      </c>
      <c r="V3523" t="s">
        <v>8590</v>
      </c>
      <c r="W3523">
        <v>2</v>
      </c>
      <c r="X3523" t="s">
        <v>12113</v>
      </c>
      <c r="Y3523">
        <v>0.47393768762784982</v>
      </c>
      <c r="Z3523" t="str">
        <f>HYPERLINK("Melting_Curves/meltCurve_sp_Q9Y312_AAR2_HUMAN_.pdf", "Melting_Curves/meltCurve_sp_Q9Y312_AAR2_HUMAN_.pdf")</f>
        <v>Melting_Curves/meltCurve_sp_Q9Y312_AAR2_HUMAN_.pdf</v>
      </c>
      <c r="AA3523" t="s">
        <v>16358</v>
      </c>
      <c r="AB3523" t="s">
        <v>20606</v>
      </c>
    </row>
    <row r="3524" spans="1:28" x14ac:dyDescent="0.25">
      <c r="A3524" t="s">
        <v>3528</v>
      </c>
      <c r="B3524">
        <v>0.99876560204751996</v>
      </c>
      <c r="C3524">
        <v>1.00851846819994</v>
      </c>
      <c r="D3524">
        <v>0.97227581444955302</v>
      </c>
      <c r="E3524">
        <v>0.708781349681743</v>
      </c>
      <c r="F3524">
        <v>0.49020683146439997</v>
      </c>
      <c r="G3524">
        <v>0.243777864556735</v>
      </c>
      <c r="H3524">
        <v>0.17914190759044199</v>
      </c>
      <c r="I3524">
        <v>0.173073431864122</v>
      </c>
      <c r="J3524">
        <v>0.219006590371677</v>
      </c>
      <c r="K3524">
        <v>0.17984585684030599</v>
      </c>
      <c r="L3524">
        <v>1206.7635888703501</v>
      </c>
      <c r="M3524">
        <v>23.402188971607401</v>
      </c>
      <c r="N3524">
        <v>52.5576632008652</v>
      </c>
      <c r="O3524">
        <v>51.194163873401401</v>
      </c>
      <c r="P3524">
        <v>-9.3890329701274894E-2</v>
      </c>
      <c r="Q3524">
        <v>0.178443888522588</v>
      </c>
      <c r="R3524">
        <v>0.996672905285934</v>
      </c>
      <c r="S3524" t="s">
        <v>7820</v>
      </c>
      <c r="T3524" t="s">
        <v>8590</v>
      </c>
      <c r="U3524" t="s">
        <v>8590</v>
      </c>
      <c r="V3524" t="s">
        <v>8590</v>
      </c>
      <c r="W3524">
        <v>4</v>
      </c>
      <c r="X3524" t="s">
        <v>12114</v>
      </c>
      <c r="Y3524">
        <v>0.5036710210883889</v>
      </c>
      <c r="Z3524" t="str">
        <f>HYPERLINK("Melting_Curves/meltCurve_sp_Q9Y314_NOSIP_HUMAN_.pdf", "Melting_Curves/meltCurve_sp_Q9Y314_NOSIP_HUMAN_.pdf")</f>
        <v>Melting_Curves/meltCurve_sp_Q9Y314_NOSIP_HUMAN_.pdf</v>
      </c>
      <c r="AA3524" t="s">
        <v>16359</v>
      </c>
      <c r="AB3524" t="s">
        <v>20607</v>
      </c>
    </row>
    <row r="3525" spans="1:28" x14ac:dyDescent="0.25">
      <c r="A3525" t="s">
        <v>3529</v>
      </c>
      <c r="B3525">
        <v>0.99876560204751996</v>
      </c>
      <c r="C3525">
        <v>1.0410987065490001</v>
      </c>
      <c r="D3525">
        <v>1.03162981286126</v>
      </c>
      <c r="E3525">
        <v>0.91900413302783401</v>
      </c>
      <c r="F3525">
        <v>0.69477987514855399</v>
      </c>
      <c r="G3525">
        <v>0.66347041968471598</v>
      </c>
      <c r="H3525">
        <v>0.406787461056765</v>
      </c>
      <c r="I3525">
        <v>0.268883479313136</v>
      </c>
      <c r="J3525">
        <v>9.9839197148325898E-2</v>
      </c>
      <c r="K3525">
        <v>7.9061155674136394E-2</v>
      </c>
      <c r="L3525">
        <v>784.52206165769803</v>
      </c>
      <c r="M3525">
        <v>13.3606364812583</v>
      </c>
      <c r="N3525">
        <v>58.7189138827287</v>
      </c>
      <c r="O3525">
        <v>57.450251429202098</v>
      </c>
      <c r="P3525">
        <v>-5.8149259222050297E-2</v>
      </c>
      <c r="Q3525">
        <v>0</v>
      </c>
      <c r="R3525">
        <v>0.97862546893443503</v>
      </c>
      <c r="S3525" t="s">
        <v>7821</v>
      </c>
      <c r="T3525" t="s">
        <v>8590</v>
      </c>
      <c r="U3525" t="s">
        <v>8590</v>
      </c>
      <c r="V3525" t="s">
        <v>8590</v>
      </c>
      <c r="W3525">
        <v>10</v>
      </c>
      <c r="X3525" t="s">
        <v>12115</v>
      </c>
      <c r="Y3525">
        <v>0.63465123397941914</v>
      </c>
      <c r="Z3525" t="str">
        <f>HYPERLINK("Melting_Curves/meltCurve_sp_Q9Y315_DEOC_HUMAN_.pdf", "Melting_Curves/meltCurve_sp_Q9Y315_DEOC_HUMAN_.pdf")</f>
        <v>Melting_Curves/meltCurve_sp_Q9Y315_DEOC_HUMAN_.pdf</v>
      </c>
      <c r="AA3525" t="s">
        <v>16360</v>
      </c>
      <c r="AB3525" t="s">
        <v>20608</v>
      </c>
    </row>
    <row r="3526" spans="1:28" x14ac:dyDescent="0.25">
      <c r="A3526" t="s">
        <v>3530</v>
      </c>
      <c r="B3526">
        <v>0.99876560204751996</v>
      </c>
      <c r="C3526">
        <v>0.94082044939420395</v>
      </c>
      <c r="D3526">
        <v>0.90636741627655204</v>
      </c>
      <c r="E3526">
        <v>0.82776347888655799</v>
      </c>
      <c r="F3526">
        <v>0.59997501239913198</v>
      </c>
      <c r="G3526">
        <v>0.24367246009934701</v>
      </c>
      <c r="H3526">
        <v>0.175781046061045</v>
      </c>
      <c r="I3526">
        <v>0.136973741334289</v>
      </c>
      <c r="J3526">
        <v>0.159616851618432</v>
      </c>
      <c r="K3526">
        <v>0.13419771640908701</v>
      </c>
      <c r="L3526">
        <v>1197.2021038806699</v>
      </c>
      <c r="M3526">
        <v>22.555541558799799</v>
      </c>
      <c r="N3526">
        <v>53.785989720859803</v>
      </c>
      <c r="O3526">
        <v>52.666027478541501</v>
      </c>
      <c r="P3526">
        <v>-9.3318020676215099E-2</v>
      </c>
      <c r="Q3526">
        <v>0.128446544122502</v>
      </c>
      <c r="R3526">
        <v>0.99184534906228305</v>
      </c>
      <c r="S3526" t="s">
        <v>7822</v>
      </c>
      <c r="T3526" t="s">
        <v>8590</v>
      </c>
      <c r="U3526" t="s">
        <v>8590</v>
      </c>
      <c r="V3526" t="s">
        <v>8590</v>
      </c>
      <c r="W3526">
        <v>5</v>
      </c>
      <c r="X3526" t="s">
        <v>12116</v>
      </c>
      <c r="Y3526">
        <v>0.51808662762926438</v>
      </c>
      <c r="Z3526" t="str">
        <f>HYPERLINK("Melting_Curves/meltCurve_sp_Q9Y316_MEMO1_HUMAN_.pdf", "Melting_Curves/meltCurve_sp_Q9Y316_MEMO1_HUMAN_.pdf")</f>
        <v>Melting_Curves/meltCurve_sp_Q9Y316_MEMO1_HUMAN_.pdf</v>
      </c>
      <c r="AA3526" t="s">
        <v>16361</v>
      </c>
      <c r="AB3526" t="s">
        <v>20609</v>
      </c>
    </row>
    <row r="3527" spans="1:28" x14ac:dyDescent="0.25">
      <c r="A3527" t="s">
        <v>3531</v>
      </c>
      <c r="B3527">
        <v>0.99876560204751996</v>
      </c>
      <c r="C3527">
        <v>0.96912433175156898</v>
      </c>
      <c r="D3527">
        <v>0.85983389280796796</v>
      </c>
      <c r="E3527">
        <v>0.88068780479864806</v>
      </c>
      <c r="F3527">
        <v>0.66371778214349697</v>
      </c>
      <c r="G3527">
        <v>0.47924441651001598</v>
      </c>
      <c r="H3527">
        <v>0.35555525375507901</v>
      </c>
      <c r="I3527">
        <v>0.29819653981154298</v>
      </c>
      <c r="J3527">
        <v>0.26165039184697497</v>
      </c>
      <c r="K3527">
        <v>6.31804674085506E-2</v>
      </c>
      <c r="L3527">
        <v>559.225009548618</v>
      </c>
      <c r="M3527">
        <v>9.7574884443494199</v>
      </c>
      <c r="N3527">
        <v>57.312402246191098</v>
      </c>
      <c r="O3527">
        <v>55.0605909981835</v>
      </c>
      <c r="P3527">
        <v>-4.4327068155703898E-2</v>
      </c>
      <c r="Q3527">
        <v>0</v>
      </c>
      <c r="R3527">
        <v>0.97729019289875696</v>
      </c>
      <c r="S3527" t="s">
        <v>7823</v>
      </c>
      <c r="T3527" t="s">
        <v>8590</v>
      </c>
      <c r="U3527" t="s">
        <v>8590</v>
      </c>
      <c r="V3527" t="s">
        <v>8590</v>
      </c>
      <c r="W3527">
        <v>3</v>
      </c>
      <c r="X3527" t="s">
        <v>12117</v>
      </c>
      <c r="Y3527">
        <v>0.59075096570866648</v>
      </c>
      <c r="Z3527" t="str">
        <f>HYPERLINK("Melting_Curves/meltCurve_sp_Q9Y333_LSM2_HUMAN_.pdf", "Melting_Curves/meltCurve_sp_Q9Y333_LSM2_HUMAN_.pdf")</f>
        <v>Melting_Curves/meltCurve_sp_Q9Y333_LSM2_HUMAN_.pdf</v>
      </c>
      <c r="AA3527" t="s">
        <v>16362</v>
      </c>
      <c r="AB3527" t="s">
        <v>20610</v>
      </c>
    </row>
    <row r="3528" spans="1:28" x14ac:dyDescent="0.25">
      <c r="A3528" t="s">
        <v>3532</v>
      </c>
      <c r="B3528">
        <v>0.99876560204751996</v>
      </c>
      <c r="C3528">
        <v>0.80541067024415802</v>
      </c>
      <c r="D3528">
        <v>0.76918135713825098</v>
      </c>
      <c r="E3528">
        <v>0.53435899530301301</v>
      </c>
      <c r="F3528">
        <v>0.19399175616379999</v>
      </c>
      <c r="G3528">
        <v>0.13593061547275601</v>
      </c>
      <c r="H3528">
        <v>7.2025167188626796E-2</v>
      </c>
      <c r="I3528">
        <v>5.5121489641363902E-2</v>
      </c>
      <c r="J3528">
        <v>4.1217231592090099E-2</v>
      </c>
      <c r="K3528">
        <v>4.8291355534354E-2</v>
      </c>
      <c r="L3528">
        <v>726.81015058456205</v>
      </c>
      <c r="M3528">
        <v>14.7489886558193</v>
      </c>
      <c r="N3528">
        <v>49.410078190878799</v>
      </c>
      <c r="O3528">
        <v>48.399330044487499</v>
      </c>
      <c r="P3528">
        <v>-7.4726366957190801E-2</v>
      </c>
      <c r="Q3528">
        <v>1.9236932059473199E-2</v>
      </c>
      <c r="R3528">
        <v>0.98120216332701005</v>
      </c>
      <c r="S3528" t="s">
        <v>7824</v>
      </c>
      <c r="T3528" t="s">
        <v>8590</v>
      </c>
      <c r="U3528" t="s">
        <v>8590</v>
      </c>
      <c r="V3528" t="s">
        <v>8590</v>
      </c>
      <c r="W3528">
        <v>2</v>
      </c>
      <c r="X3528" t="s">
        <v>12118</v>
      </c>
      <c r="Y3528">
        <v>0.3472949840338066</v>
      </c>
      <c r="Z3528" t="str">
        <f>HYPERLINK("Melting_Curves/meltCurve_sp_Q9Y371_SHLB1_HUMAN_.pdf", "Melting_Curves/meltCurve_sp_Q9Y371_SHLB1_HUMAN_.pdf")</f>
        <v>Melting_Curves/meltCurve_sp_Q9Y371_SHLB1_HUMAN_.pdf</v>
      </c>
      <c r="AA3528" t="s">
        <v>16363</v>
      </c>
      <c r="AB3528" t="s">
        <v>20611</v>
      </c>
    </row>
    <row r="3529" spans="1:28" x14ac:dyDescent="0.25">
      <c r="A3529" t="s">
        <v>3533</v>
      </c>
      <c r="B3529">
        <v>0.99876560204751996</v>
      </c>
      <c r="C3529">
        <v>0.95936120741878295</v>
      </c>
      <c r="D3529">
        <v>1.0589536604283201</v>
      </c>
      <c r="E3529">
        <v>0.92004836415223901</v>
      </c>
      <c r="F3529">
        <v>0.87970707378289803</v>
      </c>
      <c r="G3529">
        <v>0.67801377731415202</v>
      </c>
      <c r="H3529">
        <v>0.37838844067071498</v>
      </c>
      <c r="I3529">
        <v>0.14368274795865801</v>
      </c>
      <c r="J3529">
        <v>0.13943537388597499</v>
      </c>
      <c r="K3529">
        <v>0.13604038036532901</v>
      </c>
      <c r="L3529">
        <v>1196.5198611606299</v>
      </c>
      <c r="M3529">
        <v>20.4561287947942</v>
      </c>
      <c r="N3529">
        <v>58.945438748309002</v>
      </c>
      <c r="O3529">
        <v>57.941615000636801</v>
      </c>
      <c r="P3529">
        <v>-8.1838861654825706E-2</v>
      </c>
      <c r="Q3529">
        <v>7.2799134859006895E-2</v>
      </c>
      <c r="R3529">
        <v>0.988940887757916</v>
      </c>
      <c r="S3529" t="s">
        <v>7825</v>
      </c>
      <c r="T3529" t="s">
        <v>8590</v>
      </c>
      <c r="U3529" t="s">
        <v>8590</v>
      </c>
      <c r="V3529" t="s">
        <v>8590</v>
      </c>
      <c r="W3529">
        <v>12</v>
      </c>
      <c r="X3529" t="s">
        <v>12119</v>
      </c>
      <c r="Y3529">
        <v>0.65411378499209705</v>
      </c>
      <c r="Z3529" t="str">
        <f>HYPERLINK("Melting_Curves/meltCurve_sp_Q9Y376_CAB39_HUMAN_.pdf", "Melting_Curves/meltCurve_sp_Q9Y376_CAB39_HUMAN_.pdf")</f>
        <v>Melting_Curves/meltCurve_sp_Q9Y376_CAB39_HUMAN_.pdf</v>
      </c>
      <c r="AA3529" t="s">
        <v>16364</v>
      </c>
      <c r="AB3529" t="s">
        <v>20612</v>
      </c>
    </row>
    <row r="3530" spans="1:28" x14ac:dyDescent="0.25">
      <c r="A3530" t="s">
        <v>3534</v>
      </c>
      <c r="B3530">
        <v>0.99876560204751996</v>
      </c>
      <c r="C3530">
        <v>0.89052890819501995</v>
      </c>
      <c r="D3530">
        <v>0.86436269226870499</v>
      </c>
      <c r="E3530">
        <v>0.73987183457372396</v>
      </c>
      <c r="F3530">
        <v>0.53209964575260504</v>
      </c>
      <c r="G3530">
        <v>0.39550270733350601</v>
      </c>
      <c r="H3530">
        <v>0.29116587614881401</v>
      </c>
      <c r="I3530">
        <v>0.38648360768701001</v>
      </c>
      <c r="J3530">
        <v>0.344374261445753</v>
      </c>
      <c r="K3530">
        <v>0.41653674797170698</v>
      </c>
      <c r="L3530">
        <v>834.55945399531095</v>
      </c>
      <c r="M3530">
        <v>16.598455540199399</v>
      </c>
      <c r="N3530">
        <v>54.005806012978198</v>
      </c>
      <c r="O3530">
        <v>49.566542258316503</v>
      </c>
      <c r="P3530">
        <v>-5.5179209833161998E-2</v>
      </c>
      <c r="Q3530">
        <v>0.34093697880232399</v>
      </c>
      <c r="R3530">
        <v>0.96407741099642996</v>
      </c>
      <c r="S3530" t="s">
        <v>7826</v>
      </c>
      <c r="T3530" t="s">
        <v>8590</v>
      </c>
      <c r="U3530" t="s">
        <v>8590</v>
      </c>
      <c r="V3530" t="s">
        <v>8590</v>
      </c>
      <c r="W3530">
        <v>15</v>
      </c>
      <c r="X3530" t="s">
        <v>12120</v>
      </c>
      <c r="Y3530">
        <v>0.57976919970532348</v>
      </c>
      <c r="Z3530" t="str">
        <f>HYPERLINK("Melting_Curves/meltCurve_sp_Q9Y383_LC7L2_HUMAN_.pdf", "Melting_Curves/meltCurve_sp_Q9Y383_LC7L2_HUMAN_.pdf")</f>
        <v>Melting_Curves/meltCurve_sp_Q9Y383_LC7L2_HUMAN_.pdf</v>
      </c>
      <c r="AA3530" t="s">
        <v>16365</v>
      </c>
      <c r="AB3530" t="s">
        <v>20613</v>
      </c>
    </row>
    <row r="3531" spans="1:28" x14ac:dyDescent="0.25">
      <c r="A3531" t="s">
        <v>3535</v>
      </c>
      <c r="B3531">
        <v>0.99876560204751996</v>
      </c>
      <c r="C3531">
        <v>0.94139970839070097</v>
      </c>
      <c r="D3531">
        <v>1.2862560589407199</v>
      </c>
      <c r="E3531">
        <v>1.0066790773669401</v>
      </c>
      <c r="F3531">
        <v>0.84628575150348395</v>
      </c>
      <c r="G3531">
        <v>0.52970981615605905</v>
      </c>
      <c r="H3531">
        <v>0.26581885119012499</v>
      </c>
      <c r="I3531">
        <v>0.18398769478969701</v>
      </c>
      <c r="J3531">
        <v>0.12874416860038401</v>
      </c>
      <c r="K3531">
        <v>0.12573447599488899</v>
      </c>
      <c r="L3531">
        <v>1421.9441832079599</v>
      </c>
      <c r="M3531">
        <v>25.077996959263</v>
      </c>
      <c r="N3531">
        <v>57.355379081832702</v>
      </c>
      <c r="O3531">
        <v>56.343998837698301</v>
      </c>
      <c r="P3531">
        <v>-9.7426968501018202E-2</v>
      </c>
      <c r="Q3531">
        <v>0.124435108005068</v>
      </c>
      <c r="R3531">
        <v>0.94746597272584498</v>
      </c>
      <c r="S3531" t="s">
        <v>7827</v>
      </c>
      <c r="T3531" t="s">
        <v>8590</v>
      </c>
      <c r="U3531" t="s">
        <v>8590</v>
      </c>
      <c r="V3531" t="s">
        <v>8590</v>
      </c>
      <c r="W3531">
        <v>2</v>
      </c>
      <c r="X3531" t="s">
        <v>12121</v>
      </c>
      <c r="Y3531">
        <v>0.61976237179321125</v>
      </c>
      <c r="Z3531" t="str">
        <f>HYPERLINK("Melting_Curves/meltCurve_sp_Q9Y385_UB2J1_HUMAN_.pdf", "Melting_Curves/meltCurve_sp_Q9Y385_UB2J1_HUMAN_.pdf")</f>
        <v>Melting_Curves/meltCurve_sp_Q9Y385_UB2J1_HUMAN_.pdf</v>
      </c>
      <c r="AA3531" t="s">
        <v>16366</v>
      </c>
      <c r="AB3531" t="s">
        <v>20614</v>
      </c>
    </row>
    <row r="3532" spans="1:28" x14ac:dyDescent="0.25">
      <c r="A3532" t="s">
        <v>3536</v>
      </c>
      <c r="B3532">
        <v>0.99876560204751996</v>
      </c>
      <c r="C3532">
        <v>0.952954758991996</v>
      </c>
      <c r="D3532">
        <v>0.94972030162392995</v>
      </c>
      <c r="E3532">
        <v>0.93685709999512701</v>
      </c>
      <c r="F3532">
        <v>0.96986617451686596</v>
      </c>
      <c r="G3532">
        <v>0.78222427326184196</v>
      </c>
      <c r="H3532">
        <v>0.51577240546275105</v>
      </c>
      <c r="I3532">
        <v>0.24842279136005099</v>
      </c>
      <c r="J3532">
        <v>0.13322228351174101</v>
      </c>
      <c r="K3532">
        <v>7.0458263826598297E-2</v>
      </c>
      <c r="L3532">
        <v>1228.1535398619401</v>
      </c>
      <c r="M3532">
        <v>20.1797663018185</v>
      </c>
      <c r="N3532">
        <v>60.8606486130071</v>
      </c>
      <c r="O3532">
        <v>60.272457500070303</v>
      </c>
      <c r="P3532">
        <v>-8.3704929785126406E-2</v>
      </c>
      <c r="Q3532">
        <v>0</v>
      </c>
      <c r="R3532">
        <v>0.99304301596309497</v>
      </c>
      <c r="S3532" t="s">
        <v>7828</v>
      </c>
      <c r="T3532" t="s">
        <v>8590</v>
      </c>
      <c r="U3532" t="s">
        <v>8590</v>
      </c>
      <c r="V3532" t="s">
        <v>8590</v>
      </c>
      <c r="W3532">
        <v>2</v>
      </c>
      <c r="X3532" t="s">
        <v>12122</v>
      </c>
      <c r="Y3532">
        <v>0.70182315314111021</v>
      </c>
      <c r="Z3532" t="str">
        <f>HYPERLINK("Melting_Curves/meltCurve_sp_Q9Y3A3_2_PHOCN_HUMAN_.pdf", "Melting_Curves/meltCurve_sp_Q9Y3A3_2_PHOCN_HUMAN_.pdf")</f>
        <v>Melting_Curves/meltCurve_sp_Q9Y3A3_2_PHOCN_HUMAN_.pdf</v>
      </c>
      <c r="AA3532" t="s">
        <v>16367</v>
      </c>
      <c r="AB3532" t="s">
        <v>20615</v>
      </c>
    </row>
    <row r="3533" spans="1:28" x14ac:dyDescent="0.25">
      <c r="A3533" t="s">
        <v>3537</v>
      </c>
      <c r="B3533">
        <v>0.99876560204751996</v>
      </c>
      <c r="C3533">
        <v>1.00698335946355</v>
      </c>
      <c r="D3533">
        <v>1.0115713671131401</v>
      </c>
      <c r="E3533">
        <v>0.85880909115605497</v>
      </c>
      <c r="F3533">
        <v>0.68892084658837704</v>
      </c>
      <c r="G3533">
        <v>0.26675525595883698</v>
      </c>
      <c r="H3533">
        <v>0.16215522287958001</v>
      </c>
      <c r="I3533">
        <v>0.102227413540925</v>
      </c>
      <c r="J3533">
        <v>0.12887434359564501</v>
      </c>
      <c r="K3533">
        <v>7.5945981967382906E-2</v>
      </c>
      <c r="L3533">
        <v>1350.7860810714801</v>
      </c>
      <c r="M3533">
        <v>24.977436970087101</v>
      </c>
      <c r="N3533">
        <v>54.536063506509301</v>
      </c>
      <c r="O3533">
        <v>53.737172834031099</v>
      </c>
      <c r="P3533">
        <v>-0.105256427019361</v>
      </c>
      <c r="Q3533">
        <v>9.4205464254734694E-2</v>
      </c>
      <c r="R3533">
        <v>0.996803086709106</v>
      </c>
      <c r="S3533" t="s">
        <v>7829</v>
      </c>
      <c r="T3533" t="s">
        <v>8590</v>
      </c>
      <c r="U3533" t="s">
        <v>8590</v>
      </c>
      <c r="V3533" t="s">
        <v>8590</v>
      </c>
      <c r="W3533">
        <v>8</v>
      </c>
      <c r="X3533" t="s">
        <v>12123</v>
      </c>
      <c r="Y3533">
        <v>0.52773007238719838</v>
      </c>
      <c r="Z3533" t="str">
        <f>HYPERLINK("Melting_Curves/meltCurve_sp_Q9Y3A5_SBDS_HUMAN_.pdf", "Melting_Curves/meltCurve_sp_Q9Y3A5_SBDS_HUMAN_.pdf")</f>
        <v>Melting_Curves/meltCurve_sp_Q9Y3A5_SBDS_HUMAN_.pdf</v>
      </c>
      <c r="AA3533" t="s">
        <v>16368</v>
      </c>
      <c r="AB3533" t="s">
        <v>20616</v>
      </c>
    </row>
    <row r="3534" spans="1:28" x14ac:dyDescent="0.25">
      <c r="A3534" t="s">
        <v>3538</v>
      </c>
      <c r="B3534">
        <v>0.99876560204751996</v>
      </c>
      <c r="C3534">
        <v>0.97622972654394302</v>
      </c>
      <c r="D3534">
        <v>1.3280716322161401</v>
      </c>
      <c r="E3534">
        <v>1.0744792217891901</v>
      </c>
      <c r="F3534">
        <v>1.60444868198177</v>
      </c>
      <c r="G3534">
        <v>1.37353465571432</v>
      </c>
      <c r="H3534">
        <v>1.6221497416698201</v>
      </c>
      <c r="I3534">
        <v>2.0797489899131198</v>
      </c>
      <c r="J3534">
        <v>2.3787286522657198</v>
      </c>
      <c r="K3534">
        <v>2.7741526517151498</v>
      </c>
      <c r="L3534">
        <v>1014.9742805923501</v>
      </c>
      <c r="M3534">
        <v>21.070892049026</v>
      </c>
      <c r="O3534">
        <v>47.741926244224302</v>
      </c>
      <c r="P3534">
        <v>5.5170191988331403E-2</v>
      </c>
      <c r="Q3534">
        <v>1.5</v>
      </c>
      <c r="R3534">
        <v>0.13545388288055399</v>
      </c>
      <c r="S3534" t="s">
        <v>7830</v>
      </c>
      <c r="T3534" t="s">
        <v>8590</v>
      </c>
      <c r="U3534" t="s">
        <v>8590</v>
      </c>
      <c r="V3534" t="s">
        <v>8590</v>
      </c>
      <c r="W3534">
        <v>2</v>
      </c>
      <c r="X3534" t="s">
        <v>12124</v>
      </c>
      <c r="Y3534">
        <v>1.3574974711291541</v>
      </c>
      <c r="Z3534" t="str">
        <f>HYPERLINK("Melting_Curves/meltCurve_sp_Q9Y3B9_RRP15_HUMAN_.pdf", "Melting_Curves/meltCurve_sp_Q9Y3B9_RRP15_HUMAN_.pdf")</f>
        <v>Melting_Curves/meltCurve_sp_Q9Y3B9_RRP15_HUMAN_.pdf</v>
      </c>
      <c r="AA3534" t="s">
        <v>16369</v>
      </c>
      <c r="AB3534" t="s">
        <v>20617</v>
      </c>
    </row>
    <row r="3535" spans="1:28" x14ac:dyDescent="0.25">
      <c r="A3535" t="s">
        <v>3539</v>
      </c>
      <c r="B3535">
        <v>0.99876560204751996</v>
      </c>
      <c r="C3535">
        <v>0.892112860894829</v>
      </c>
      <c r="D3535">
        <v>1.1307736209905299</v>
      </c>
      <c r="E3535">
        <v>0.90266376881498001</v>
      </c>
      <c r="F3535">
        <v>1.0036199255888101</v>
      </c>
      <c r="G3535">
        <v>0.78903138517485305</v>
      </c>
      <c r="H3535">
        <v>0.80100036000876496</v>
      </c>
      <c r="I3535">
        <v>0.75425175085924101</v>
      </c>
      <c r="J3535">
        <v>0.90777006554336503</v>
      </c>
      <c r="K3535">
        <v>0.91711459926318994</v>
      </c>
      <c r="L3535">
        <v>13665.2479376625</v>
      </c>
      <c r="M3535">
        <v>250</v>
      </c>
      <c r="O3535">
        <v>54.657493823947497</v>
      </c>
      <c r="P3535">
        <v>-0.190009314712831</v>
      </c>
      <c r="Q3535">
        <v>0.83383307311142996</v>
      </c>
      <c r="R3535">
        <v>0.48490794688034899</v>
      </c>
      <c r="S3535" t="s">
        <v>7831</v>
      </c>
      <c r="T3535" t="s">
        <v>8590</v>
      </c>
      <c r="U3535" t="s">
        <v>8590</v>
      </c>
      <c r="V3535" t="s">
        <v>8590</v>
      </c>
      <c r="W3535">
        <v>4</v>
      </c>
      <c r="X3535" t="s">
        <v>12125</v>
      </c>
      <c r="Y3535">
        <v>0.91505474484824012</v>
      </c>
      <c r="Z3535" t="str">
        <f>HYPERLINK("Melting_Curves/meltCurve_sp_Q9Y3C1_NOP16_HUMAN_.pdf", "Melting_Curves/meltCurve_sp_Q9Y3C1_NOP16_HUMAN_.pdf")</f>
        <v>Melting_Curves/meltCurve_sp_Q9Y3C1_NOP16_HUMAN_.pdf</v>
      </c>
      <c r="AA3535" t="s">
        <v>16370</v>
      </c>
      <c r="AB3535" t="s">
        <v>20618</v>
      </c>
    </row>
    <row r="3536" spans="1:28" x14ac:dyDescent="0.25">
      <c r="A3536" t="s">
        <v>3540</v>
      </c>
      <c r="B3536">
        <v>0.99876560204751996</v>
      </c>
      <c r="C3536">
        <v>0.96822600448989105</v>
      </c>
      <c r="D3536">
        <v>0.888639617364686</v>
      </c>
      <c r="E3536">
        <v>0.74273107591532594</v>
      </c>
      <c r="F3536">
        <v>0.38893137657240501</v>
      </c>
      <c r="G3536">
        <v>0.169887688218856</v>
      </c>
      <c r="H3536">
        <v>8.0507051877656999E-2</v>
      </c>
      <c r="I3536">
        <v>3.97116671526705E-2</v>
      </c>
      <c r="J3536">
        <v>3.44532744795195E-2</v>
      </c>
      <c r="K3536">
        <v>2.82651029691172E-2</v>
      </c>
      <c r="L3536">
        <v>1048.99574473286</v>
      </c>
      <c r="M3536">
        <v>20.1758311173473</v>
      </c>
      <c r="N3536">
        <v>52.117094937096098</v>
      </c>
      <c r="O3536">
        <v>51.490000219713899</v>
      </c>
      <c r="P3536">
        <v>-9.5659759115364604E-2</v>
      </c>
      <c r="Q3536">
        <v>2.35116459515484E-2</v>
      </c>
      <c r="R3536">
        <v>0.996539359520763</v>
      </c>
      <c r="S3536" t="s">
        <v>7832</v>
      </c>
      <c r="T3536" t="s">
        <v>8590</v>
      </c>
      <c r="U3536" t="s">
        <v>8590</v>
      </c>
      <c r="V3536" t="s">
        <v>8590</v>
      </c>
      <c r="W3536">
        <v>2</v>
      </c>
      <c r="X3536" t="s">
        <v>12126</v>
      </c>
      <c r="Y3536">
        <v>0.42717207846572602</v>
      </c>
      <c r="Z3536" t="str">
        <f>HYPERLINK("Melting_Curves/meltCurve_sp_Q9Y3C4_2_TPRKB_HUMAN_.pdf", "Melting_Curves/meltCurve_sp_Q9Y3C4_2_TPRKB_HUMAN_.pdf")</f>
        <v>Melting_Curves/meltCurve_sp_Q9Y3C4_2_TPRKB_HUMAN_.pdf</v>
      </c>
      <c r="AA3536" t="s">
        <v>16371</v>
      </c>
      <c r="AB3536" t="s">
        <v>20619</v>
      </c>
    </row>
    <row r="3537" spans="1:28" x14ac:dyDescent="0.25">
      <c r="A3537" t="s">
        <v>3541</v>
      </c>
      <c r="B3537">
        <v>0.99876560204751996</v>
      </c>
      <c r="C3537">
        <v>0.89687236569149897</v>
      </c>
      <c r="D3537">
        <v>0.95037050789067801</v>
      </c>
      <c r="E3537">
        <v>0.60173417529742501</v>
      </c>
      <c r="F3537">
        <v>0.35506865928419001</v>
      </c>
      <c r="G3537">
        <v>0.199356591700177</v>
      </c>
      <c r="H3537">
        <v>0.115572955761091</v>
      </c>
      <c r="I3537">
        <v>9.0816079270342895E-2</v>
      </c>
      <c r="J3537">
        <v>9.1421656233828294E-2</v>
      </c>
      <c r="K3537">
        <v>7.5369336511621296E-2</v>
      </c>
      <c r="L3537">
        <v>1007.64901287082</v>
      </c>
      <c r="M3537">
        <v>19.824286116884199</v>
      </c>
      <c r="N3537">
        <v>51.288420838144297</v>
      </c>
      <c r="O3537">
        <v>50.3202993819895</v>
      </c>
      <c r="P3537">
        <v>-9.0481468088439404E-2</v>
      </c>
      <c r="Q3537">
        <v>8.1349033980862295E-2</v>
      </c>
      <c r="R3537">
        <v>0.99257477759309298</v>
      </c>
      <c r="S3537" t="s">
        <v>7833</v>
      </c>
      <c r="T3537" t="s">
        <v>8590</v>
      </c>
      <c r="U3537" t="s">
        <v>8590</v>
      </c>
      <c r="V3537" t="s">
        <v>8590</v>
      </c>
      <c r="W3537">
        <v>6</v>
      </c>
      <c r="X3537" t="s">
        <v>12127</v>
      </c>
      <c r="Y3537">
        <v>0.42592337450349549</v>
      </c>
      <c r="Z3537" t="str">
        <f>HYPERLINK("Melting_Curves/meltCurve_sp_Q9Y3C6_PPIL1_HUMAN_.pdf", "Melting_Curves/meltCurve_sp_Q9Y3C6_PPIL1_HUMAN_.pdf")</f>
        <v>Melting_Curves/meltCurve_sp_Q9Y3C6_PPIL1_HUMAN_.pdf</v>
      </c>
      <c r="AA3537" t="s">
        <v>16372</v>
      </c>
      <c r="AB3537" t="s">
        <v>20620</v>
      </c>
    </row>
    <row r="3538" spans="1:28" x14ac:dyDescent="0.25">
      <c r="A3538" t="s">
        <v>3542</v>
      </c>
      <c r="B3538">
        <v>0.99876560204751996</v>
      </c>
      <c r="C3538">
        <v>0.89150611003261004</v>
      </c>
      <c r="D3538">
        <v>1.0316303590295599</v>
      </c>
      <c r="E3538">
        <v>0.90106837156488295</v>
      </c>
      <c r="F3538">
        <v>0.92971965426303105</v>
      </c>
      <c r="G3538">
        <v>0.71375486591160597</v>
      </c>
      <c r="H3538">
        <v>0.37435972355001301</v>
      </c>
      <c r="I3538">
        <v>0.19605740178268599</v>
      </c>
      <c r="J3538">
        <v>0.12545291547524001</v>
      </c>
      <c r="K3538">
        <v>0.122719517032105</v>
      </c>
      <c r="L3538">
        <v>1288.4018444672399</v>
      </c>
      <c r="M3538">
        <v>21.867452433276199</v>
      </c>
      <c r="N3538">
        <v>59.355386972939399</v>
      </c>
      <c r="O3538">
        <v>58.4326092267573</v>
      </c>
      <c r="P3538">
        <v>-8.6608462791297802E-2</v>
      </c>
      <c r="Q3538">
        <v>7.43059314570957E-2</v>
      </c>
      <c r="R3538">
        <v>0.98436385304605101</v>
      </c>
      <c r="S3538" t="s">
        <v>7834</v>
      </c>
      <c r="T3538" t="s">
        <v>8590</v>
      </c>
      <c r="U3538" t="s">
        <v>8590</v>
      </c>
      <c r="V3538" t="s">
        <v>8590</v>
      </c>
      <c r="W3538">
        <v>4</v>
      </c>
      <c r="X3538" t="s">
        <v>12128</v>
      </c>
      <c r="Y3538">
        <v>0.66686014253094794</v>
      </c>
      <c r="Z3538" t="str">
        <f>HYPERLINK("Melting_Curves/meltCurve_sp_Q9Y3C8_UFC1_HUMAN_.pdf", "Melting_Curves/meltCurve_sp_Q9Y3C8_UFC1_HUMAN_.pdf")</f>
        <v>Melting_Curves/meltCurve_sp_Q9Y3C8_UFC1_HUMAN_.pdf</v>
      </c>
      <c r="AA3538" t="s">
        <v>16373</v>
      </c>
      <c r="AB3538" t="s">
        <v>20621</v>
      </c>
    </row>
    <row r="3539" spans="1:28" x14ac:dyDescent="0.25">
      <c r="A3539" t="s">
        <v>3543</v>
      </c>
      <c r="B3539">
        <v>0.99876560204751996</v>
      </c>
      <c r="C3539">
        <v>0.88922126579266503</v>
      </c>
      <c r="D3539">
        <v>0.87232884986655501</v>
      </c>
      <c r="E3539">
        <v>0.75534471141345805</v>
      </c>
      <c r="F3539">
        <v>0.49843987789640898</v>
      </c>
      <c r="G3539">
        <v>0.310528709559239</v>
      </c>
      <c r="H3539">
        <v>0.236328584130783</v>
      </c>
      <c r="I3539">
        <v>0.16334020925297299</v>
      </c>
      <c r="J3539">
        <v>0.17521808496387301</v>
      </c>
      <c r="K3539">
        <v>0.117070737192647</v>
      </c>
      <c r="L3539">
        <v>701.74648281564305</v>
      </c>
      <c r="M3539">
        <v>13.356778265191901</v>
      </c>
      <c r="N3539">
        <v>53.4271894046271</v>
      </c>
      <c r="O3539">
        <v>51.402839069500999</v>
      </c>
      <c r="P3539">
        <v>-5.8500394368433503E-2</v>
      </c>
      <c r="Q3539">
        <v>9.9600734078954895E-2</v>
      </c>
      <c r="R3539">
        <v>0.98994361395265995</v>
      </c>
      <c r="S3539" t="s">
        <v>7835</v>
      </c>
      <c r="T3539" t="s">
        <v>8590</v>
      </c>
      <c r="U3539" t="s">
        <v>8590</v>
      </c>
      <c r="V3539" t="s">
        <v>8590</v>
      </c>
      <c r="W3539">
        <v>3</v>
      </c>
      <c r="X3539" t="s">
        <v>12129</v>
      </c>
      <c r="Y3539">
        <v>0.49911704145089758</v>
      </c>
      <c r="Z3539" t="str">
        <f>HYPERLINK("Melting_Curves/meltCurve_sp_Q9Y3D0_MIP18_HUMAN_.pdf", "Melting_Curves/meltCurve_sp_Q9Y3D0_MIP18_HUMAN_.pdf")</f>
        <v>Melting_Curves/meltCurve_sp_Q9Y3D0_MIP18_HUMAN_.pdf</v>
      </c>
      <c r="AA3539" t="s">
        <v>16374</v>
      </c>
      <c r="AB3539" t="s">
        <v>20622</v>
      </c>
    </row>
    <row r="3540" spans="1:28" x14ac:dyDescent="0.25">
      <c r="A3540" t="s">
        <v>3544</v>
      </c>
      <c r="B3540">
        <v>0.99876560204751996</v>
      </c>
      <c r="C3540">
        <v>0.88450984303091695</v>
      </c>
      <c r="D3540">
        <v>0.88735371673359198</v>
      </c>
      <c r="E3540">
        <v>0.78806636028077603</v>
      </c>
      <c r="F3540">
        <v>0.70086584095439797</v>
      </c>
      <c r="G3540">
        <v>0.60229113447982696</v>
      </c>
      <c r="H3540">
        <v>0.52215499256843501</v>
      </c>
      <c r="I3540">
        <v>0.50433323973167199</v>
      </c>
      <c r="J3540">
        <v>0.61979586648865803</v>
      </c>
      <c r="K3540">
        <v>0.61452131968498402</v>
      </c>
      <c r="L3540">
        <v>647.46571905734004</v>
      </c>
      <c r="M3540">
        <v>13.074352507893799</v>
      </c>
      <c r="O3540">
        <v>48.406255265010302</v>
      </c>
      <c r="P3540">
        <v>-3.0486369798866202E-2</v>
      </c>
      <c r="Q3540">
        <v>0.54858917789744599</v>
      </c>
      <c r="R3540">
        <v>0.92130019345619696</v>
      </c>
      <c r="S3540" t="s">
        <v>7836</v>
      </c>
      <c r="T3540" t="s">
        <v>8590</v>
      </c>
      <c r="U3540" t="s">
        <v>8590</v>
      </c>
      <c r="V3540" t="s">
        <v>8590</v>
      </c>
      <c r="W3540">
        <v>10</v>
      </c>
      <c r="X3540" t="s">
        <v>12130</v>
      </c>
      <c r="Y3540">
        <v>0.705803897311019</v>
      </c>
      <c r="Z3540" t="str">
        <f>HYPERLINK("Melting_Curves/meltCurve_sp_Q9Y3D2_MSRB2_HUMAN_.pdf", "Melting_Curves/meltCurve_sp_Q9Y3D2_MSRB2_HUMAN_.pdf")</f>
        <v>Melting_Curves/meltCurve_sp_Q9Y3D2_MSRB2_HUMAN_.pdf</v>
      </c>
      <c r="AA3540" t="s">
        <v>16375</v>
      </c>
      <c r="AB3540" t="s">
        <v>20623</v>
      </c>
    </row>
    <row r="3541" spans="1:28" x14ac:dyDescent="0.25">
      <c r="A3541" t="s">
        <v>3545</v>
      </c>
      <c r="B3541">
        <v>0.99876560204751996</v>
      </c>
      <c r="C3541">
        <v>0.956245678356753</v>
      </c>
      <c r="D3541">
        <v>1.0201139759894</v>
      </c>
      <c r="E3541">
        <v>0.86039648698973403</v>
      </c>
      <c r="F3541">
        <v>0.910069290316461</v>
      </c>
      <c r="G3541">
        <v>0.85299890418561897</v>
      </c>
      <c r="H3541">
        <v>0.80778138660807297</v>
      </c>
      <c r="I3541">
        <v>0.797197084685069</v>
      </c>
      <c r="J3541">
        <v>1.1324126823021701</v>
      </c>
      <c r="K3541">
        <v>0.84171410908966904</v>
      </c>
      <c r="L3541">
        <v>11973.7777090741</v>
      </c>
      <c r="M3541">
        <v>250</v>
      </c>
      <c r="O3541">
        <v>47.892045769189998</v>
      </c>
      <c r="P3541">
        <v>-0.14866616516310499</v>
      </c>
      <c r="Q3541">
        <v>0.88608117131999697</v>
      </c>
      <c r="R3541">
        <v>0.22212049539029499</v>
      </c>
      <c r="S3541" t="s">
        <v>7837</v>
      </c>
      <c r="T3541" t="s">
        <v>8590</v>
      </c>
      <c r="U3541" t="s">
        <v>8590</v>
      </c>
      <c r="V3541" t="s">
        <v>8590</v>
      </c>
      <c r="W3541">
        <v>3</v>
      </c>
      <c r="X3541" t="s">
        <v>12131</v>
      </c>
      <c r="Y3541">
        <v>0.91607080607929881</v>
      </c>
      <c r="Z3541" t="str">
        <f>HYPERLINK("Melting_Curves/meltCurve_sp_Q9Y3D6_FIS1_HUMAN_.pdf", "Melting_Curves/meltCurve_sp_Q9Y3D6_FIS1_HUMAN_.pdf")</f>
        <v>Melting_Curves/meltCurve_sp_Q9Y3D6_FIS1_HUMAN_.pdf</v>
      </c>
      <c r="AA3541" t="s">
        <v>16376</v>
      </c>
      <c r="AB3541" t="s">
        <v>20624</v>
      </c>
    </row>
    <row r="3542" spans="1:28" x14ac:dyDescent="0.25">
      <c r="A3542" t="s">
        <v>3546</v>
      </c>
      <c r="B3542">
        <v>0.99876560204751996</v>
      </c>
      <c r="C3542">
        <v>0.87145915396805795</v>
      </c>
      <c r="D3542">
        <v>0.76882983592534304</v>
      </c>
      <c r="E3542">
        <v>0.74653340193136497</v>
      </c>
      <c r="F3542">
        <v>0.41545362715371897</v>
      </c>
      <c r="G3542">
        <v>0.28797258732789399</v>
      </c>
      <c r="H3542">
        <v>0.16079461442342899</v>
      </c>
      <c r="I3542">
        <v>0.13753081509099899</v>
      </c>
      <c r="J3542">
        <v>0.13508192146776399</v>
      </c>
      <c r="K3542">
        <v>0.15659246871676699</v>
      </c>
      <c r="L3542">
        <v>635.97643488228402</v>
      </c>
      <c r="M3542">
        <v>12.337259026999201</v>
      </c>
      <c r="N3542">
        <v>52.274748914480597</v>
      </c>
      <c r="O3542">
        <v>50.251046234772403</v>
      </c>
      <c r="P3542">
        <v>-5.6560929749220799E-2</v>
      </c>
      <c r="Q3542">
        <v>7.8683462468163004E-2</v>
      </c>
      <c r="R3542">
        <v>0.97357119697272398</v>
      </c>
      <c r="S3542" t="s">
        <v>7838</v>
      </c>
      <c r="T3542" t="s">
        <v>8590</v>
      </c>
      <c r="U3542" t="s">
        <v>8590</v>
      </c>
      <c r="V3542" t="s">
        <v>8590</v>
      </c>
      <c r="W3542">
        <v>2</v>
      </c>
      <c r="X3542" t="s">
        <v>12132</v>
      </c>
      <c r="Y3542">
        <v>0.46132605930424941</v>
      </c>
      <c r="Z3542" t="str">
        <f>HYPERLINK("Melting_Curves/meltCurve_sp_Q9Y3D8_2_KAD6_HUMAN_.pdf", "Melting_Curves/meltCurve_sp_Q9Y3D8_2_KAD6_HUMAN_.pdf")</f>
        <v>Melting_Curves/meltCurve_sp_Q9Y3D8_2_KAD6_HUMAN_.pdf</v>
      </c>
      <c r="AA3542" t="s">
        <v>16377</v>
      </c>
      <c r="AB3542" t="s">
        <v>20625</v>
      </c>
    </row>
    <row r="3543" spans="1:28" x14ac:dyDescent="0.25">
      <c r="A3543" t="s">
        <v>3547</v>
      </c>
      <c r="B3543">
        <v>0.99876560204751996</v>
      </c>
      <c r="C3543">
        <v>1.28398422334512</v>
      </c>
      <c r="D3543">
        <v>0.93221031471350901</v>
      </c>
      <c r="E3543">
        <v>1.4600941609910301</v>
      </c>
      <c r="F3543">
        <v>1.23413592710843</v>
      </c>
      <c r="G3543">
        <v>0.31738782165419199</v>
      </c>
      <c r="H3543">
        <v>0.149947939133699</v>
      </c>
      <c r="I3543">
        <v>6.8750158976135095E-2</v>
      </c>
      <c r="J3543">
        <v>1.6947704074107301E-2</v>
      </c>
      <c r="K3543">
        <v>7.0790692195628301E-3</v>
      </c>
      <c r="L3543">
        <v>14194.254404802999</v>
      </c>
      <c r="M3543">
        <v>250</v>
      </c>
      <c r="N3543">
        <v>56.8064075824255</v>
      </c>
      <c r="O3543">
        <v>56.7733904407404</v>
      </c>
      <c r="P3543">
        <v>-1.0340659495139499</v>
      </c>
      <c r="Q3543">
        <v>6.0681224786545002E-2</v>
      </c>
      <c r="R3543">
        <v>0.88289647520151304</v>
      </c>
      <c r="S3543" t="s">
        <v>7839</v>
      </c>
      <c r="T3543" t="s">
        <v>8590</v>
      </c>
      <c r="U3543" t="s">
        <v>8590</v>
      </c>
      <c r="V3543" t="s">
        <v>8590</v>
      </c>
      <c r="W3543">
        <v>1</v>
      </c>
      <c r="X3543" t="s">
        <v>12133</v>
      </c>
      <c r="Y3543">
        <v>0.58607374251651023</v>
      </c>
      <c r="Z3543" t="str">
        <f>HYPERLINK("Melting_Curves/meltCurve_sp_Q9Y3D9_RT23_HUMAN_.pdf", "Melting_Curves/meltCurve_sp_Q9Y3D9_RT23_HUMAN_.pdf")</f>
        <v>Melting_Curves/meltCurve_sp_Q9Y3D9_RT23_HUMAN_.pdf</v>
      </c>
      <c r="AA3543" t="s">
        <v>16378</v>
      </c>
      <c r="AB3543" t="s">
        <v>20626</v>
      </c>
    </row>
    <row r="3544" spans="1:28" x14ac:dyDescent="0.25">
      <c r="A3544" t="s">
        <v>3548</v>
      </c>
      <c r="B3544">
        <v>0.99876560204751996</v>
      </c>
      <c r="C3544">
        <v>0.95165525804029205</v>
      </c>
      <c r="D3544">
        <v>1.0279608162901801</v>
      </c>
      <c r="E3544">
        <v>0.85146405480226395</v>
      </c>
      <c r="F3544">
        <v>0.87754972650565699</v>
      </c>
      <c r="G3544">
        <v>0.71551572111969997</v>
      </c>
      <c r="H3544">
        <v>0.67694523436485698</v>
      </c>
      <c r="I3544">
        <v>0.68253711862076205</v>
      </c>
      <c r="J3544">
        <v>0.77403069093458099</v>
      </c>
      <c r="K3544">
        <v>0.77672292060007797</v>
      </c>
      <c r="L3544">
        <v>1171.5214159453501</v>
      </c>
      <c r="M3544">
        <v>22.8142574703866</v>
      </c>
      <c r="O3544">
        <v>50.960782069900198</v>
      </c>
      <c r="P3544">
        <v>-3.0919811376567501E-2</v>
      </c>
      <c r="Q3544">
        <v>0.723740024081162</v>
      </c>
      <c r="R3544">
        <v>0.85280457385201403</v>
      </c>
      <c r="S3544" t="s">
        <v>7840</v>
      </c>
      <c r="T3544" t="s">
        <v>8590</v>
      </c>
      <c r="U3544" t="s">
        <v>8590</v>
      </c>
      <c r="V3544" t="s">
        <v>8590</v>
      </c>
      <c r="W3544">
        <v>4</v>
      </c>
      <c r="X3544" t="s">
        <v>12134</v>
      </c>
      <c r="Y3544">
        <v>0.83125263886939016</v>
      </c>
      <c r="Z3544" t="str">
        <f>HYPERLINK("Melting_Curves/meltCurve_sp_Q9Y3E2_BOLA1_HUMAN_.pdf", "Melting_Curves/meltCurve_sp_Q9Y3E2_BOLA1_HUMAN_.pdf")</f>
        <v>Melting_Curves/meltCurve_sp_Q9Y3E2_BOLA1_HUMAN_.pdf</v>
      </c>
      <c r="AA3544" t="s">
        <v>16379</v>
      </c>
      <c r="AB3544" t="s">
        <v>20627</v>
      </c>
    </row>
    <row r="3545" spans="1:28" x14ac:dyDescent="0.25">
      <c r="A3545" t="s">
        <v>3549</v>
      </c>
      <c r="B3545">
        <v>0.99876560204751996</v>
      </c>
      <c r="C3545">
        <v>0.98176463025560601</v>
      </c>
      <c r="D3545">
        <v>1.04165868824671</v>
      </c>
      <c r="E3545">
        <v>0.88023281909100604</v>
      </c>
      <c r="F3545">
        <v>0.80331913157523704</v>
      </c>
      <c r="G3545">
        <v>0.46879138069296</v>
      </c>
      <c r="H3545">
        <v>0.15450852408736299</v>
      </c>
      <c r="I3545">
        <v>7.54451383446548E-2</v>
      </c>
      <c r="J3545">
        <v>7.0022892625803301E-2</v>
      </c>
      <c r="K3545">
        <v>5.8248571775932803E-2</v>
      </c>
      <c r="L3545">
        <v>1205.1633344884399</v>
      </c>
      <c r="M3545">
        <v>21.4251256132785</v>
      </c>
      <c r="N3545">
        <v>56.397140403801103</v>
      </c>
      <c r="O3545">
        <v>55.766844918225999</v>
      </c>
      <c r="P3545">
        <v>-9.3439304186183805E-2</v>
      </c>
      <c r="Q3545">
        <v>2.7182179449726399E-2</v>
      </c>
      <c r="R3545">
        <v>0.99505568911457698</v>
      </c>
      <c r="S3545" t="s">
        <v>7841</v>
      </c>
      <c r="T3545" t="s">
        <v>8590</v>
      </c>
      <c r="U3545" t="s">
        <v>8590</v>
      </c>
      <c r="V3545" t="s">
        <v>8590</v>
      </c>
      <c r="W3545">
        <v>16</v>
      </c>
      <c r="X3545" t="s">
        <v>12135</v>
      </c>
      <c r="Y3545">
        <v>0.56540311006613253</v>
      </c>
      <c r="Z3545" t="str">
        <f>HYPERLINK("Melting_Curves/meltCurve_sp_Q9Y3F4_STRAP_HUMAN_.pdf", "Melting_Curves/meltCurve_sp_Q9Y3F4_STRAP_HUMAN_.pdf")</f>
        <v>Melting_Curves/meltCurve_sp_Q9Y3F4_STRAP_HUMAN_.pdf</v>
      </c>
      <c r="AA3545" t="s">
        <v>16380</v>
      </c>
      <c r="AB3545" t="s">
        <v>20628</v>
      </c>
    </row>
    <row r="3546" spans="1:28" x14ac:dyDescent="0.25">
      <c r="A3546" t="s">
        <v>3550</v>
      </c>
      <c r="B3546">
        <v>0.99876560204751996</v>
      </c>
      <c r="C3546">
        <v>0.973322107660474</v>
      </c>
      <c r="D3546">
        <v>0.82719369303293999</v>
      </c>
      <c r="E3546">
        <v>0.55723431350285002</v>
      </c>
      <c r="F3546">
        <v>0.27561568115110802</v>
      </c>
      <c r="G3546">
        <v>0.147727658233438</v>
      </c>
      <c r="H3546">
        <v>7.5807796139966604E-2</v>
      </c>
      <c r="I3546">
        <v>5.3865878806004401E-2</v>
      </c>
      <c r="J3546">
        <v>4.13659666851093E-2</v>
      </c>
      <c r="K3546">
        <v>3.2626727200426399E-2</v>
      </c>
      <c r="L3546">
        <v>914.33102515257997</v>
      </c>
      <c r="M3546">
        <v>18.2112127191327</v>
      </c>
      <c r="N3546">
        <v>50.400884393344299</v>
      </c>
      <c r="O3546">
        <v>49.613366765815002</v>
      </c>
      <c r="P3546">
        <v>-8.8666016883371904E-2</v>
      </c>
      <c r="Q3546">
        <v>3.3822881840316101E-2</v>
      </c>
      <c r="R3546">
        <v>0.99855898802918697</v>
      </c>
      <c r="S3546" t="s">
        <v>7842</v>
      </c>
      <c r="T3546" t="s">
        <v>8590</v>
      </c>
      <c r="U3546" t="s">
        <v>8590</v>
      </c>
      <c r="V3546" t="s">
        <v>8590</v>
      </c>
      <c r="W3546">
        <v>20</v>
      </c>
      <c r="X3546" t="s">
        <v>12136</v>
      </c>
      <c r="Y3546">
        <v>0.37862606286068062</v>
      </c>
      <c r="Z3546" t="str">
        <f>HYPERLINK("Melting_Curves/meltCurve_sp_Q9Y3I0_RTCB_HUMAN_.pdf", "Melting_Curves/meltCurve_sp_Q9Y3I0_RTCB_HUMAN_.pdf")</f>
        <v>Melting_Curves/meltCurve_sp_Q9Y3I0_RTCB_HUMAN_.pdf</v>
      </c>
      <c r="AA3546" t="s">
        <v>16381</v>
      </c>
      <c r="AB3546" t="s">
        <v>20629</v>
      </c>
    </row>
    <row r="3547" spans="1:28" x14ac:dyDescent="0.25">
      <c r="A3547" t="s">
        <v>3551</v>
      </c>
      <c r="B3547">
        <v>0.99876560204751996</v>
      </c>
      <c r="C3547">
        <v>0.981338208139237</v>
      </c>
      <c r="D3547">
        <v>0.98391113134455599</v>
      </c>
      <c r="E3547">
        <v>0.84575107685992801</v>
      </c>
      <c r="F3547">
        <v>0.67099522653589105</v>
      </c>
      <c r="G3547">
        <v>0.40733605142894902</v>
      </c>
      <c r="H3547">
        <v>0.147899943322435</v>
      </c>
      <c r="I3547">
        <v>9.4183498988313394E-2</v>
      </c>
      <c r="J3547">
        <v>0.10992856180827</v>
      </c>
      <c r="K3547">
        <v>5.6191126329208002E-2</v>
      </c>
      <c r="L3547">
        <v>967.49367783628998</v>
      </c>
      <c r="M3547">
        <v>17.5780339292284</v>
      </c>
      <c r="N3547">
        <v>55.277746428334801</v>
      </c>
      <c r="O3547">
        <v>54.342406443289804</v>
      </c>
      <c r="P3547">
        <v>-7.7926189771529097E-2</v>
      </c>
      <c r="Q3547">
        <v>3.6418459311697397E-2</v>
      </c>
      <c r="R3547">
        <v>0.99722898538869897</v>
      </c>
      <c r="S3547" t="s">
        <v>7843</v>
      </c>
      <c r="T3547" t="s">
        <v>8590</v>
      </c>
      <c r="U3547" t="s">
        <v>8590</v>
      </c>
      <c r="V3547" t="s">
        <v>8590</v>
      </c>
      <c r="W3547">
        <v>5</v>
      </c>
      <c r="X3547" t="s">
        <v>12137</v>
      </c>
      <c r="Y3547">
        <v>0.53484931904912902</v>
      </c>
      <c r="Z3547" t="str">
        <f>HYPERLINK("Melting_Curves/meltCurve_sp_Q9Y3I1_FBX7_HUMAN_.pdf", "Melting_Curves/meltCurve_sp_Q9Y3I1_FBX7_HUMAN_.pdf")</f>
        <v>Melting_Curves/meltCurve_sp_Q9Y3I1_FBX7_HUMAN_.pdf</v>
      </c>
      <c r="AA3547" t="s">
        <v>16382</v>
      </c>
      <c r="AB3547" t="s">
        <v>20630</v>
      </c>
    </row>
    <row r="3548" spans="1:28" x14ac:dyDescent="0.25">
      <c r="A3548" t="s">
        <v>3552</v>
      </c>
      <c r="B3548">
        <v>0.99876560204751996</v>
      </c>
      <c r="C3548">
        <v>0.83848449021162397</v>
      </c>
      <c r="D3548">
        <v>0.70176496715050996</v>
      </c>
      <c r="E3548">
        <v>0.51611167113640399</v>
      </c>
      <c r="F3548">
        <v>0.36654381012522702</v>
      </c>
      <c r="G3548">
        <v>0.285601808874418</v>
      </c>
      <c r="H3548">
        <v>0.21961048220823701</v>
      </c>
      <c r="I3548">
        <v>0.152545193938632</v>
      </c>
      <c r="J3548">
        <v>0.17426842624122199</v>
      </c>
      <c r="K3548">
        <v>9.7203346609966698E-2</v>
      </c>
      <c r="L3548">
        <v>551.683330807066</v>
      </c>
      <c r="M3548">
        <v>11.2127719315682</v>
      </c>
      <c r="N3548">
        <v>50.257331629269501</v>
      </c>
      <c r="O3548">
        <v>47.714228817129303</v>
      </c>
      <c r="P3548">
        <v>-5.2600213498186901E-2</v>
      </c>
      <c r="Q3548">
        <v>0.104951969470467</v>
      </c>
      <c r="R3548">
        <v>0.99101504282430397</v>
      </c>
      <c r="S3548" t="s">
        <v>7844</v>
      </c>
      <c r="T3548" t="s">
        <v>8590</v>
      </c>
      <c r="U3548" t="s">
        <v>8590</v>
      </c>
      <c r="V3548" t="s">
        <v>8590</v>
      </c>
      <c r="W3548">
        <v>3</v>
      </c>
      <c r="X3548" t="s">
        <v>12138</v>
      </c>
      <c r="Y3548">
        <v>0.41572428269164552</v>
      </c>
      <c r="Z3548" t="str">
        <f>HYPERLINK("Melting_Curves/meltCurve_sp_Q9Y3L5_RAP2C_HUMAN_.pdf", "Melting_Curves/meltCurve_sp_Q9Y3L5_RAP2C_HUMAN_.pdf")</f>
        <v>Melting_Curves/meltCurve_sp_Q9Y3L5_RAP2C_HUMAN_.pdf</v>
      </c>
      <c r="AA3548" t="s">
        <v>16383</v>
      </c>
      <c r="AB3548" t="s">
        <v>20631</v>
      </c>
    </row>
    <row r="3549" spans="1:28" x14ac:dyDescent="0.25">
      <c r="A3549" t="s">
        <v>3553</v>
      </c>
      <c r="B3549">
        <v>0.99876560204751996</v>
      </c>
      <c r="C3549">
        <v>1.0233057610207299</v>
      </c>
      <c r="D3549">
        <v>0.96386574805899095</v>
      </c>
      <c r="E3549">
        <v>0.93120656292853998</v>
      </c>
      <c r="F3549">
        <v>0.759104492984916</v>
      </c>
      <c r="G3549">
        <v>0.42364301412488198</v>
      </c>
      <c r="H3549">
        <v>0.25275698976665301</v>
      </c>
      <c r="I3549">
        <v>0.21939276795430501</v>
      </c>
      <c r="J3549">
        <v>0.23822737673012401</v>
      </c>
      <c r="K3549">
        <v>0.22385748271755801</v>
      </c>
      <c r="L3549">
        <v>1406.01109851706</v>
      </c>
      <c r="M3549">
        <v>25.722896782363499</v>
      </c>
      <c r="N3549">
        <v>55.883596315403501</v>
      </c>
      <c r="O3549">
        <v>54.332769417289299</v>
      </c>
      <c r="P3549">
        <v>-9.2873852727148098E-2</v>
      </c>
      <c r="Q3549">
        <v>0.21532444680042601</v>
      </c>
      <c r="R3549">
        <v>0.99814098485828495</v>
      </c>
      <c r="S3549" t="s">
        <v>7845</v>
      </c>
      <c r="T3549" t="s">
        <v>8590</v>
      </c>
      <c r="U3549" t="s">
        <v>8590</v>
      </c>
      <c r="V3549" t="s">
        <v>8590</v>
      </c>
      <c r="W3549">
        <v>11</v>
      </c>
      <c r="X3549" t="s">
        <v>12139</v>
      </c>
      <c r="Y3549">
        <v>0.60567094492555962</v>
      </c>
      <c r="Z3549" t="str">
        <f>HYPERLINK("Melting_Curves/meltCurve_sp_Q9Y3P9_RBGP1_HUMAN_.pdf", "Melting_Curves/meltCurve_sp_Q9Y3P9_RBGP1_HUMAN_.pdf")</f>
        <v>Melting_Curves/meltCurve_sp_Q9Y3P9_RBGP1_HUMAN_.pdf</v>
      </c>
      <c r="AA3549" t="s">
        <v>16384</v>
      </c>
      <c r="AB3549" t="s">
        <v>20632</v>
      </c>
    </row>
    <row r="3550" spans="1:28" x14ac:dyDescent="0.25">
      <c r="A3550" t="s">
        <v>3554</v>
      </c>
      <c r="B3550">
        <v>0.99876560204751996</v>
      </c>
      <c r="C3550">
        <v>0.83809453136048095</v>
      </c>
      <c r="D3550">
        <v>0.81837481059629702</v>
      </c>
      <c r="E3550">
        <v>0.77365676841363495</v>
      </c>
      <c r="F3550">
        <v>0.79125884018267401</v>
      </c>
      <c r="G3550">
        <v>0.64810124479323705</v>
      </c>
      <c r="H3550">
        <v>0.54199375535983296</v>
      </c>
      <c r="I3550">
        <v>0.61300456346548204</v>
      </c>
      <c r="J3550">
        <v>0.68409042841602596</v>
      </c>
      <c r="K3550">
        <v>0.65201254049040003</v>
      </c>
      <c r="L3550">
        <v>454.746775554262</v>
      </c>
      <c r="M3550">
        <v>9.5567815728630592</v>
      </c>
      <c r="O3550">
        <v>45.640079904794298</v>
      </c>
      <c r="P3550">
        <v>-2.0726142369825298E-2</v>
      </c>
      <c r="Q3550">
        <v>0.60430366159308402</v>
      </c>
      <c r="R3550">
        <v>0.81727421474234996</v>
      </c>
      <c r="S3550" t="s">
        <v>7846</v>
      </c>
      <c r="T3550" t="s">
        <v>8590</v>
      </c>
      <c r="U3550" t="s">
        <v>8590</v>
      </c>
      <c r="V3550" t="s">
        <v>8590</v>
      </c>
      <c r="W3550">
        <v>4</v>
      </c>
      <c r="X3550" t="s">
        <v>12140</v>
      </c>
      <c r="Y3550">
        <v>0.72757962274468169</v>
      </c>
      <c r="Z3550" t="str">
        <f>HYPERLINK("Melting_Curves/meltCurve_sp_Q9Y3S2_ZN330_HUMAN_.pdf", "Melting_Curves/meltCurve_sp_Q9Y3S2_ZN330_HUMAN_.pdf")</f>
        <v>Melting_Curves/meltCurve_sp_Q9Y3S2_ZN330_HUMAN_.pdf</v>
      </c>
      <c r="AA3550" t="s">
        <v>16385</v>
      </c>
      <c r="AB3550" t="s">
        <v>20633</v>
      </c>
    </row>
    <row r="3551" spans="1:28" x14ac:dyDescent="0.25">
      <c r="A3551" t="s">
        <v>3555</v>
      </c>
      <c r="B3551">
        <v>0.99876560204751996</v>
      </c>
      <c r="C3551">
        <v>0.99717635516239</v>
      </c>
      <c r="D3551">
        <v>1.1919526273210199</v>
      </c>
      <c r="E3551">
        <v>0.86777945478921004</v>
      </c>
      <c r="F3551">
        <v>0.85893303652563802</v>
      </c>
      <c r="G3551">
        <v>0.65083327668330004</v>
      </c>
      <c r="H3551">
        <v>0.55934291757126597</v>
      </c>
      <c r="I3551">
        <v>0.52150225319259502</v>
      </c>
      <c r="J3551">
        <v>0.67593696731753905</v>
      </c>
      <c r="K3551">
        <v>0.629304557221947</v>
      </c>
      <c r="L3551">
        <v>1524.98075402377</v>
      </c>
      <c r="M3551">
        <v>28.521347692573599</v>
      </c>
      <c r="O3551">
        <v>53.207248030513298</v>
      </c>
      <c r="P3551">
        <v>-5.4396075676010298E-2</v>
      </c>
      <c r="Q3551">
        <v>0.59409443028221898</v>
      </c>
      <c r="R3551">
        <v>0.85919554446327595</v>
      </c>
      <c r="S3551" t="s">
        <v>7847</v>
      </c>
      <c r="T3551" t="s">
        <v>8590</v>
      </c>
      <c r="U3551" t="s">
        <v>8590</v>
      </c>
      <c r="V3551" t="s">
        <v>8590</v>
      </c>
      <c r="W3551">
        <v>4</v>
      </c>
      <c r="X3551" t="s">
        <v>12141</v>
      </c>
      <c r="Y3551">
        <v>0.77924087042734624</v>
      </c>
      <c r="Z3551" t="str">
        <f>HYPERLINK("Melting_Curves/meltCurve_sp_Q9Y3X0_CCDC9_HUMAN_.pdf", "Melting_Curves/meltCurve_sp_Q9Y3X0_CCDC9_HUMAN_.pdf")</f>
        <v>Melting_Curves/meltCurve_sp_Q9Y3X0_CCDC9_HUMAN_.pdf</v>
      </c>
      <c r="AA3551" t="s">
        <v>16386</v>
      </c>
      <c r="AB3551" t="s">
        <v>20634</v>
      </c>
    </row>
    <row r="3552" spans="1:28" x14ac:dyDescent="0.25">
      <c r="A3552" t="s">
        <v>3556</v>
      </c>
      <c r="B3552">
        <v>0.99876560204751996</v>
      </c>
      <c r="C3552">
        <v>1.03401269447535</v>
      </c>
      <c r="D3552">
        <v>0.96648904192090501</v>
      </c>
      <c r="E3552">
        <v>0.97087391047599503</v>
      </c>
      <c r="F3552">
        <v>0.92428011095221696</v>
      </c>
      <c r="G3552">
        <v>0.73186045222077301</v>
      </c>
      <c r="H3552">
        <v>0.65215139318556303</v>
      </c>
      <c r="I3552">
        <v>0.60841203845749503</v>
      </c>
      <c r="J3552">
        <v>0.84946744549312403</v>
      </c>
      <c r="K3552">
        <v>0.70461288986197101</v>
      </c>
      <c r="L3552">
        <v>2556.93364939093</v>
      </c>
      <c r="M3552">
        <v>47.226985573652001</v>
      </c>
      <c r="O3552">
        <v>54.044560520045103</v>
      </c>
      <c r="P3552">
        <v>-6.4671243960745098E-2</v>
      </c>
      <c r="Q3552">
        <v>0.703972194435453</v>
      </c>
      <c r="R3552">
        <v>0.83777814005658602</v>
      </c>
      <c r="S3552" t="s">
        <v>7848</v>
      </c>
      <c r="T3552" t="s">
        <v>8590</v>
      </c>
      <c r="U3552" t="s">
        <v>8590</v>
      </c>
      <c r="V3552" t="s">
        <v>8590</v>
      </c>
      <c r="W3552">
        <v>3</v>
      </c>
      <c r="X3552" t="s">
        <v>12142</v>
      </c>
      <c r="Y3552">
        <v>0.84430599739840517</v>
      </c>
      <c r="Z3552" t="str">
        <f>HYPERLINK("Melting_Curves/meltCurve_sp_Q9Y3Y2_4_CHTOP_HUMAN_.pdf", "Melting_Curves/meltCurve_sp_Q9Y3Y2_4_CHTOP_HUMAN_.pdf")</f>
        <v>Melting_Curves/meltCurve_sp_Q9Y3Y2_4_CHTOP_HUMAN_.pdf</v>
      </c>
      <c r="AA3552" t="s">
        <v>16387</v>
      </c>
      <c r="AB3552" t="s">
        <v>20635</v>
      </c>
    </row>
    <row r="3553" spans="1:28" x14ac:dyDescent="0.25">
      <c r="A3553" t="s">
        <v>3557</v>
      </c>
      <c r="B3553">
        <v>0.99876560204751996</v>
      </c>
      <c r="C3553">
        <v>0.71444040449796098</v>
      </c>
      <c r="D3553">
        <v>0.47884951732659298</v>
      </c>
      <c r="E3553">
        <v>0.36205751466710701</v>
      </c>
      <c r="F3553">
        <v>0.19839765147678101</v>
      </c>
      <c r="G3553">
        <v>0.100705195471084</v>
      </c>
      <c r="H3553">
        <v>7.6737430401356999E-2</v>
      </c>
      <c r="I3553">
        <v>6.7751437610328993E-2</v>
      </c>
      <c r="J3553">
        <v>5.9626676159406401E-2</v>
      </c>
      <c r="K3553">
        <v>4.6966474789684097E-2</v>
      </c>
      <c r="L3553">
        <v>630.03871860708205</v>
      </c>
      <c r="M3553">
        <v>13.63467118006</v>
      </c>
      <c r="N3553">
        <v>46.547871049936496</v>
      </c>
      <c r="O3553">
        <v>45.248568954562799</v>
      </c>
      <c r="P3553">
        <v>-7.1779122901112699E-2</v>
      </c>
      <c r="Q3553">
        <v>4.7303329987538598E-2</v>
      </c>
      <c r="R3553">
        <v>0.97950362669319901</v>
      </c>
      <c r="S3553" t="s">
        <v>7849</v>
      </c>
      <c r="T3553" t="s">
        <v>8590</v>
      </c>
      <c r="U3553" t="s">
        <v>8590</v>
      </c>
      <c r="V3553" t="s">
        <v>8590</v>
      </c>
      <c r="W3553">
        <v>7</v>
      </c>
      <c r="X3553" t="s">
        <v>12143</v>
      </c>
      <c r="Y3553">
        <v>0.27774252714250491</v>
      </c>
      <c r="Z3553" t="str">
        <f>HYPERLINK("Melting_Curves/meltCurve_sp_Q9Y3Z3_SAMH1_HUMAN_.pdf", "Melting_Curves/meltCurve_sp_Q9Y3Z3_SAMH1_HUMAN_.pdf")</f>
        <v>Melting_Curves/meltCurve_sp_Q9Y3Z3_SAMH1_HUMAN_.pdf</v>
      </c>
      <c r="AA3553" t="s">
        <v>16388</v>
      </c>
      <c r="AB3553" t="s">
        <v>20636</v>
      </c>
    </row>
    <row r="3554" spans="1:28" x14ac:dyDescent="0.25">
      <c r="A3554" t="s">
        <v>3558</v>
      </c>
      <c r="B3554">
        <v>0.99876560204751996</v>
      </c>
      <c r="C3554">
        <v>0.96359095178255205</v>
      </c>
      <c r="D3554">
        <v>1.1833675152012499</v>
      </c>
      <c r="E3554">
        <v>0.88979591039963002</v>
      </c>
      <c r="F3554">
        <v>0.94849598621117504</v>
      </c>
      <c r="G3554">
        <v>0.62095913925711499</v>
      </c>
      <c r="H3554">
        <v>0.51225772279950699</v>
      </c>
      <c r="I3554">
        <v>0.47269274096875202</v>
      </c>
      <c r="J3554">
        <v>0.54084379642719305</v>
      </c>
      <c r="K3554">
        <v>0.54300512834380499</v>
      </c>
      <c r="L3554">
        <v>2350.3392886740298</v>
      </c>
      <c r="M3554">
        <v>42.488086475229203</v>
      </c>
      <c r="O3554">
        <v>55.1955013734879</v>
      </c>
      <c r="P3554">
        <v>-9.3435184093726198E-2</v>
      </c>
      <c r="Q3554">
        <v>0.51448111658490403</v>
      </c>
      <c r="R3554">
        <v>0.915474541142139</v>
      </c>
      <c r="S3554" t="s">
        <v>7850</v>
      </c>
      <c r="T3554" t="s">
        <v>8590</v>
      </c>
      <c r="U3554" t="s">
        <v>8590</v>
      </c>
      <c r="V3554" t="s">
        <v>8590</v>
      </c>
      <c r="W3554">
        <v>5</v>
      </c>
      <c r="X3554" t="s">
        <v>12144</v>
      </c>
      <c r="Y3554">
        <v>0.76402009119253789</v>
      </c>
      <c r="Z3554" t="str">
        <f>HYPERLINK("Melting_Curves/meltCurve_sp_Q9Y450_4_HBS1L_HUMAN_.pdf", "Melting_Curves/meltCurve_sp_Q9Y450_4_HBS1L_HUMAN_.pdf")</f>
        <v>Melting_Curves/meltCurve_sp_Q9Y450_4_HBS1L_HUMAN_.pdf</v>
      </c>
      <c r="AA3554" t="s">
        <v>16389</v>
      </c>
      <c r="AB3554" t="s">
        <v>20637</v>
      </c>
    </row>
    <row r="3555" spans="1:28" x14ac:dyDescent="0.25">
      <c r="A3555" t="s">
        <v>3559</v>
      </c>
      <c r="B3555">
        <v>0.99876560204751996</v>
      </c>
      <c r="C3555">
        <v>1.0524284546514999</v>
      </c>
      <c r="D3555">
        <v>0.96634234976814104</v>
      </c>
      <c r="E3555">
        <v>0.96384533912913894</v>
      </c>
      <c r="F3555">
        <v>0.59318612753466105</v>
      </c>
      <c r="G3555">
        <v>0.37149359951889899</v>
      </c>
      <c r="H3555">
        <v>0.12940814372631801</v>
      </c>
      <c r="I3555">
        <v>9.02878949541987E-2</v>
      </c>
      <c r="J3555">
        <v>8.1417666412484296E-2</v>
      </c>
      <c r="K3555">
        <v>6.6871187299361895E-2</v>
      </c>
      <c r="L3555">
        <v>1189.1060085996601</v>
      </c>
      <c r="M3555">
        <v>21.829569657941398</v>
      </c>
      <c r="N3555">
        <v>54.806165867612798</v>
      </c>
      <c r="O3555">
        <v>54.021321679057898</v>
      </c>
      <c r="P3555">
        <v>-9.4734900323505095E-2</v>
      </c>
      <c r="Q3555">
        <v>6.2265325721511798E-2</v>
      </c>
      <c r="R3555">
        <v>0.98894178764321405</v>
      </c>
      <c r="S3555" t="s">
        <v>7851</v>
      </c>
      <c r="T3555" t="s">
        <v>8590</v>
      </c>
      <c r="U3555" t="s">
        <v>8590</v>
      </c>
      <c r="V3555" t="s">
        <v>8590</v>
      </c>
      <c r="W3555">
        <v>119</v>
      </c>
      <c r="X3555" t="s">
        <v>12145</v>
      </c>
      <c r="Y3555">
        <v>0.52561289323427896</v>
      </c>
      <c r="Z3555" t="str">
        <f>HYPERLINK("Melting_Curves/meltCurve_sp_Q9Y490_TLN1_HUMAN_.pdf", "Melting_Curves/meltCurve_sp_Q9Y490_TLN1_HUMAN_.pdf")</f>
        <v>Melting_Curves/meltCurve_sp_Q9Y490_TLN1_HUMAN_.pdf</v>
      </c>
      <c r="AA3555" t="s">
        <v>16390</v>
      </c>
      <c r="AB3555" t="s">
        <v>20638</v>
      </c>
    </row>
    <row r="3556" spans="1:28" x14ac:dyDescent="0.25">
      <c r="A3556" t="s">
        <v>3560</v>
      </c>
      <c r="B3556">
        <v>0.99876560204751996</v>
      </c>
      <c r="C3556">
        <v>1.1420278839259901</v>
      </c>
      <c r="D3556">
        <v>1.06394510459628</v>
      </c>
      <c r="E3556">
        <v>0.908368265217257</v>
      </c>
      <c r="F3556">
        <v>0.73668401270124595</v>
      </c>
      <c r="G3556">
        <v>0.478908168323809</v>
      </c>
      <c r="H3556">
        <v>0.34574631677268403</v>
      </c>
      <c r="I3556">
        <v>0.306602596198779</v>
      </c>
      <c r="J3556">
        <v>0.36096863436093801</v>
      </c>
      <c r="K3556">
        <v>0.32164676834259798</v>
      </c>
      <c r="L3556">
        <v>1388.1373077718899</v>
      </c>
      <c r="M3556">
        <v>25.705480416499402</v>
      </c>
      <c r="N3556">
        <v>56.281085338954</v>
      </c>
      <c r="O3556">
        <v>53.677969275104502</v>
      </c>
      <c r="P3556">
        <v>-8.0995832937589801E-2</v>
      </c>
      <c r="Q3556">
        <v>0.32346886116811402</v>
      </c>
      <c r="R3556">
        <v>0.97289316694651595</v>
      </c>
      <c r="S3556" t="s">
        <v>7852</v>
      </c>
      <c r="T3556" t="s">
        <v>8590</v>
      </c>
      <c r="U3556" t="s">
        <v>8590</v>
      </c>
      <c r="V3556" t="s">
        <v>8590</v>
      </c>
      <c r="W3556">
        <v>7</v>
      </c>
      <c r="X3556" t="s">
        <v>12146</v>
      </c>
      <c r="Y3556">
        <v>0.6451691037741315</v>
      </c>
      <c r="Z3556" t="str">
        <f>HYPERLINK("Melting_Curves/meltCurve_sp_Q9Y4B6_3_VPRBP_HUMAN_.pdf", "Melting_Curves/meltCurve_sp_Q9Y4B6_3_VPRBP_HUMAN_.pdf")</f>
        <v>Melting_Curves/meltCurve_sp_Q9Y4B6_3_VPRBP_HUMAN_.pdf</v>
      </c>
      <c r="AA3556" t="s">
        <v>16391</v>
      </c>
      <c r="AB3556" t="s">
        <v>20639</v>
      </c>
    </row>
    <row r="3557" spans="1:28" x14ac:dyDescent="0.25">
      <c r="A3557" t="s">
        <v>3561</v>
      </c>
      <c r="B3557">
        <v>0.99876560204751996</v>
      </c>
      <c r="C3557">
        <v>0.96736373937704301</v>
      </c>
      <c r="D3557">
        <v>0.667609945704707</v>
      </c>
      <c r="E3557">
        <v>0.44701384416224699</v>
      </c>
      <c r="F3557">
        <v>0.29082164923574799</v>
      </c>
      <c r="G3557">
        <v>0.16239450516672399</v>
      </c>
      <c r="H3557">
        <v>9.8144250330456401E-2</v>
      </c>
      <c r="I3557">
        <v>0.104317686296291</v>
      </c>
      <c r="J3557">
        <v>8.6454125625287995E-2</v>
      </c>
      <c r="K3557">
        <v>7.7263034695917707E-2</v>
      </c>
      <c r="L3557">
        <v>772.89112498930501</v>
      </c>
      <c r="M3557">
        <v>15.910541435784999</v>
      </c>
      <c r="N3557">
        <v>49.097257265167997</v>
      </c>
      <c r="O3557">
        <v>47.829315476518403</v>
      </c>
      <c r="P3557">
        <v>-7.67212856494177E-2</v>
      </c>
      <c r="Q3557">
        <v>7.7533785896259005E-2</v>
      </c>
      <c r="R3557">
        <v>0.99142067066850303</v>
      </c>
      <c r="S3557" t="s">
        <v>7853</v>
      </c>
      <c r="T3557" t="s">
        <v>8590</v>
      </c>
      <c r="U3557" t="s">
        <v>8590</v>
      </c>
      <c r="V3557" t="s">
        <v>8590</v>
      </c>
      <c r="W3557">
        <v>6</v>
      </c>
      <c r="X3557" t="s">
        <v>12147</v>
      </c>
      <c r="Y3557">
        <v>0.36191353683432959</v>
      </c>
      <c r="Z3557" t="str">
        <f>HYPERLINK("Melting_Curves/meltCurve_sp_Q9Y4C2_2_F115A_HUMAN_.pdf", "Melting_Curves/meltCurve_sp_Q9Y4C2_2_F115A_HUMAN_.pdf")</f>
        <v>Melting_Curves/meltCurve_sp_Q9Y4C2_2_F115A_HUMAN_.pdf</v>
      </c>
      <c r="AA3557" t="s">
        <v>16392</v>
      </c>
      <c r="AB3557" t="s">
        <v>20640</v>
      </c>
    </row>
    <row r="3558" spans="1:28" x14ac:dyDescent="0.25">
      <c r="A3558" t="s">
        <v>3562</v>
      </c>
      <c r="B3558">
        <v>0.99876560204751996</v>
      </c>
      <c r="C3558">
        <v>1.0216994156741099</v>
      </c>
      <c r="D3558">
        <v>0.945522453117146</v>
      </c>
      <c r="E3558">
        <v>0.88370952210937903</v>
      </c>
      <c r="F3558">
        <v>0.52383339125730599</v>
      </c>
      <c r="G3558">
        <v>0.22660180065018501</v>
      </c>
      <c r="H3558">
        <v>0.124271445830231</v>
      </c>
      <c r="I3558">
        <v>8.2937021833988406E-2</v>
      </c>
      <c r="J3558">
        <v>7.5082484005591102E-2</v>
      </c>
      <c r="K3558">
        <v>6.5876762273730599E-2</v>
      </c>
      <c r="L3558">
        <v>1391.2866897194699</v>
      </c>
      <c r="M3558">
        <v>26.196905918771201</v>
      </c>
      <c r="N3558">
        <v>53.450196631249099</v>
      </c>
      <c r="O3558">
        <v>52.802243993732397</v>
      </c>
      <c r="P3558">
        <v>-0.11447962680809</v>
      </c>
      <c r="Q3558">
        <v>7.7033951387691604E-2</v>
      </c>
      <c r="R3558">
        <v>0.997031799923907</v>
      </c>
      <c r="S3558" t="s">
        <v>7854</v>
      </c>
      <c r="T3558" t="s">
        <v>8590</v>
      </c>
      <c r="U3558" t="s">
        <v>8590</v>
      </c>
      <c r="V3558" t="s">
        <v>8590</v>
      </c>
      <c r="W3558">
        <v>20</v>
      </c>
      <c r="X3558" t="s">
        <v>12148</v>
      </c>
      <c r="Y3558">
        <v>0.48812026756151039</v>
      </c>
      <c r="Z3558" t="str">
        <f>HYPERLINK("Melting_Curves/meltCurve_sp_Q9Y4E8_2_UBP15_HUMAN_.pdf", "Melting_Curves/meltCurve_sp_Q9Y4E8_2_UBP15_HUMAN_.pdf")</f>
        <v>Melting_Curves/meltCurve_sp_Q9Y4E8_2_UBP15_HUMAN_.pdf</v>
      </c>
      <c r="AA3558" t="s">
        <v>16393</v>
      </c>
      <c r="AB3558" t="s">
        <v>20641</v>
      </c>
    </row>
    <row r="3559" spans="1:28" x14ac:dyDescent="0.25">
      <c r="A3559" t="s">
        <v>3563</v>
      </c>
      <c r="B3559">
        <v>0.99876560204751996</v>
      </c>
      <c r="C3559">
        <v>0.93790534799425995</v>
      </c>
      <c r="D3559">
        <v>0.90182369388983497</v>
      </c>
      <c r="E3559">
        <v>0.75686656871340197</v>
      </c>
      <c r="F3559">
        <v>0.51446290128176198</v>
      </c>
      <c r="G3559">
        <v>0.189728794492867</v>
      </c>
      <c r="H3559">
        <v>9.2270825264362699E-2</v>
      </c>
      <c r="I3559">
        <v>8.9067168103509897E-2</v>
      </c>
      <c r="J3559">
        <v>7.9523847663760805E-2</v>
      </c>
      <c r="K3559">
        <v>6.4110442173598195E-2</v>
      </c>
      <c r="L3559">
        <v>1025.29041407771</v>
      </c>
      <c r="M3559">
        <v>19.496938236092198</v>
      </c>
      <c r="N3559">
        <v>52.875684177932499</v>
      </c>
      <c r="O3559">
        <v>52.043405477655597</v>
      </c>
      <c r="P3559">
        <v>-8.8935911804110798E-2</v>
      </c>
      <c r="Q3559">
        <v>5.0443500899718302E-2</v>
      </c>
      <c r="R3559">
        <v>0.99520505634906298</v>
      </c>
      <c r="S3559" t="s">
        <v>7855</v>
      </c>
      <c r="T3559" t="s">
        <v>8590</v>
      </c>
      <c r="U3559" t="s">
        <v>8590</v>
      </c>
      <c r="V3559" t="s">
        <v>8590</v>
      </c>
      <c r="W3559">
        <v>10</v>
      </c>
      <c r="X3559" t="s">
        <v>12149</v>
      </c>
      <c r="Y3559">
        <v>0.46254500370533502</v>
      </c>
      <c r="Z3559" t="str">
        <f>HYPERLINK("Melting_Curves/meltCurve_sp_Q9Y4F1_FARP1_HUMAN_.pdf", "Melting_Curves/meltCurve_sp_Q9Y4F1_FARP1_HUMAN_.pdf")</f>
        <v>Melting_Curves/meltCurve_sp_Q9Y4F1_FARP1_HUMAN_.pdf</v>
      </c>
      <c r="AA3559" t="s">
        <v>16394</v>
      </c>
      <c r="AB3559" t="s">
        <v>20642</v>
      </c>
    </row>
    <row r="3560" spans="1:28" x14ac:dyDescent="0.25">
      <c r="A3560" t="s">
        <v>3564</v>
      </c>
      <c r="B3560">
        <v>0.99876560204751996</v>
      </c>
      <c r="C3560">
        <v>0.98328933726138701</v>
      </c>
      <c r="D3560">
        <v>0.86686529155706504</v>
      </c>
      <c r="E3560">
        <v>0.81051246225251306</v>
      </c>
      <c r="F3560">
        <v>0.40514087630192602</v>
      </c>
      <c r="G3560">
        <v>0.183173032785094</v>
      </c>
      <c r="H3560">
        <v>9.4479801457354406E-2</v>
      </c>
      <c r="I3560">
        <v>9.1095316286013903E-2</v>
      </c>
      <c r="J3560">
        <v>7.4663442611598893E-2</v>
      </c>
      <c r="K3560">
        <v>7.3913610037502006E-2</v>
      </c>
      <c r="L3560">
        <v>1297.14539656893</v>
      </c>
      <c r="M3560">
        <v>24.908782788428201</v>
      </c>
      <c r="N3560">
        <v>52.415141086618199</v>
      </c>
      <c r="O3560">
        <v>51.743666011435401</v>
      </c>
      <c r="P3560">
        <v>-0.111387552535787</v>
      </c>
      <c r="Q3560">
        <v>7.4459684779770302E-2</v>
      </c>
      <c r="R3560">
        <v>0.99045873038258603</v>
      </c>
      <c r="S3560" t="s">
        <v>7856</v>
      </c>
      <c r="T3560" t="s">
        <v>8590</v>
      </c>
      <c r="U3560" t="s">
        <v>8590</v>
      </c>
      <c r="V3560" t="s">
        <v>8590</v>
      </c>
      <c r="W3560">
        <v>22</v>
      </c>
      <c r="X3560" t="s">
        <v>12150</v>
      </c>
      <c r="Y3560">
        <v>0.45553013494500938</v>
      </c>
      <c r="Z3560" t="str">
        <f>HYPERLINK("Melting_Curves/meltCurve_sp_Q9Y4G6_TLN2_HUMAN_.pdf", "Melting_Curves/meltCurve_sp_Q9Y4G6_TLN2_HUMAN_.pdf")</f>
        <v>Melting_Curves/meltCurve_sp_Q9Y4G6_TLN2_HUMAN_.pdf</v>
      </c>
      <c r="AA3560" t="s">
        <v>16395</v>
      </c>
      <c r="AB3560" t="s">
        <v>20643</v>
      </c>
    </row>
    <row r="3561" spans="1:28" x14ac:dyDescent="0.25">
      <c r="A3561" t="s">
        <v>3565</v>
      </c>
      <c r="B3561">
        <v>0.99876560204751996</v>
      </c>
      <c r="C3561">
        <v>0.98755606629256398</v>
      </c>
      <c r="D3561">
        <v>0.891831337860713</v>
      </c>
      <c r="E3561">
        <v>0.94181630277530703</v>
      </c>
      <c r="F3561">
        <v>0.88454167240805803</v>
      </c>
      <c r="G3561">
        <v>0.65250044803010199</v>
      </c>
      <c r="H3561">
        <v>0.58205026842202501</v>
      </c>
      <c r="I3561">
        <v>0.57881567244791798</v>
      </c>
      <c r="J3561">
        <v>0.84375043982312603</v>
      </c>
      <c r="K3561">
        <v>0.776237373446092</v>
      </c>
      <c r="L3561">
        <v>4025.65799588458</v>
      </c>
      <c r="M3561">
        <v>75.453186631775907</v>
      </c>
      <c r="O3561">
        <v>53.315601901932098</v>
      </c>
      <c r="P3561">
        <v>-0.11096583173899099</v>
      </c>
      <c r="Q3561">
        <v>0.68636392266784596</v>
      </c>
      <c r="R3561">
        <v>0.68732171762963601</v>
      </c>
      <c r="S3561" t="s">
        <v>7857</v>
      </c>
      <c r="T3561" t="s">
        <v>8590</v>
      </c>
      <c r="U3561" t="s">
        <v>8590</v>
      </c>
      <c r="V3561" t="s">
        <v>8590</v>
      </c>
      <c r="W3561">
        <v>6</v>
      </c>
      <c r="X3561" t="s">
        <v>12151</v>
      </c>
      <c r="Y3561">
        <v>0.82628701934078308</v>
      </c>
      <c r="Z3561" t="str">
        <f>HYPERLINK("Melting_Curves/meltCurve_sp_Q9Y4H2_IRS2_HUMAN_.pdf", "Melting_Curves/meltCurve_sp_Q9Y4H2_IRS2_HUMAN_.pdf")</f>
        <v>Melting_Curves/meltCurve_sp_Q9Y4H2_IRS2_HUMAN_.pdf</v>
      </c>
      <c r="AA3561" t="s">
        <v>16396</v>
      </c>
      <c r="AB3561" t="s">
        <v>20644</v>
      </c>
    </row>
    <row r="3562" spans="1:28" x14ac:dyDescent="0.25">
      <c r="A3562" t="s">
        <v>3566</v>
      </c>
      <c r="B3562">
        <v>0.99876560204751996</v>
      </c>
      <c r="C3562">
        <v>0.88626056011274301</v>
      </c>
      <c r="D3562">
        <v>0.85262643493898804</v>
      </c>
      <c r="E3562">
        <v>0.85612774589915097</v>
      </c>
      <c r="F3562">
        <v>0.76538074929917499</v>
      </c>
      <c r="G3562">
        <v>0.314881757641578</v>
      </c>
      <c r="H3562">
        <v>0.16852550834235999</v>
      </c>
      <c r="I3562">
        <v>7.9693723503726305E-2</v>
      </c>
      <c r="J3562">
        <v>0.100288931898601</v>
      </c>
      <c r="K3562">
        <v>0.10884340983440199</v>
      </c>
      <c r="L3562">
        <v>1190.2144223325399</v>
      </c>
      <c r="M3562">
        <v>21.724092893437401</v>
      </c>
      <c r="N3562">
        <v>55.186891085111903</v>
      </c>
      <c r="O3562">
        <v>54.329850585806298</v>
      </c>
      <c r="P3562">
        <v>-9.2698989394728995E-2</v>
      </c>
      <c r="Q3562">
        <v>7.2697013885246506E-2</v>
      </c>
      <c r="R3562">
        <v>0.97078863843902297</v>
      </c>
      <c r="S3562" t="s">
        <v>7858</v>
      </c>
      <c r="T3562" t="s">
        <v>8590</v>
      </c>
      <c r="U3562" t="s">
        <v>8590</v>
      </c>
      <c r="V3562" t="s">
        <v>8590</v>
      </c>
      <c r="W3562">
        <v>2</v>
      </c>
      <c r="X3562" t="s">
        <v>12152</v>
      </c>
      <c r="Y3562">
        <v>0.54068521144228421</v>
      </c>
      <c r="Z3562" t="str">
        <f>HYPERLINK("Melting_Curves/meltCurve_sp_Q9Y4I1_2_MYO5A_HUMAN_.pdf", "Melting_Curves/meltCurve_sp_Q9Y4I1_2_MYO5A_HUMAN_.pdf")</f>
        <v>Melting_Curves/meltCurve_sp_Q9Y4I1_2_MYO5A_HUMAN_.pdf</v>
      </c>
      <c r="AA3562" t="s">
        <v>16397</v>
      </c>
      <c r="AB3562" t="s">
        <v>20645</v>
      </c>
    </row>
    <row r="3563" spans="1:28" x14ac:dyDescent="0.25">
      <c r="A3563" t="s">
        <v>3567</v>
      </c>
      <c r="B3563">
        <v>0.99876560204751996</v>
      </c>
      <c r="C3563">
        <v>0.92128061742554201</v>
      </c>
      <c r="D3563">
        <v>0.98191623642944303</v>
      </c>
      <c r="E3563">
        <v>0.87201618729694197</v>
      </c>
      <c r="F3563">
        <v>0.90417648453947996</v>
      </c>
      <c r="G3563">
        <v>0.71774480136933205</v>
      </c>
      <c r="H3563">
        <v>0.61697754415988404</v>
      </c>
      <c r="I3563">
        <v>0.61098818442296698</v>
      </c>
      <c r="J3563">
        <v>0.788147674609181</v>
      </c>
      <c r="K3563">
        <v>0.740306541211599</v>
      </c>
      <c r="L3563">
        <v>1144.54029400845</v>
      </c>
      <c r="M3563">
        <v>21.710634389769702</v>
      </c>
      <c r="O3563">
        <v>52.276806512761297</v>
      </c>
      <c r="P3563">
        <v>-3.2654257438866498E-2</v>
      </c>
      <c r="Q3563">
        <v>0.685496036788382</v>
      </c>
      <c r="R3563">
        <v>0.77532244817769103</v>
      </c>
      <c r="S3563" t="s">
        <v>7859</v>
      </c>
      <c r="T3563" t="s">
        <v>8590</v>
      </c>
      <c r="U3563" t="s">
        <v>8590</v>
      </c>
      <c r="V3563" t="s">
        <v>8590</v>
      </c>
      <c r="W3563">
        <v>4</v>
      </c>
      <c r="X3563" t="s">
        <v>12153</v>
      </c>
      <c r="Y3563">
        <v>0.82257447809829032</v>
      </c>
      <c r="Z3563" t="str">
        <f>HYPERLINK("Melting_Curves/meltCurve_sp_Q9Y4K1_AIM1_HUMAN_.pdf", "Melting_Curves/meltCurve_sp_Q9Y4K1_AIM1_HUMAN_.pdf")</f>
        <v>Melting_Curves/meltCurve_sp_Q9Y4K1_AIM1_HUMAN_.pdf</v>
      </c>
      <c r="AA3563" t="s">
        <v>16398</v>
      </c>
      <c r="AB3563" t="s">
        <v>20646</v>
      </c>
    </row>
    <row r="3564" spans="1:28" x14ac:dyDescent="0.25">
      <c r="A3564" t="s">
        <v>3568</v>
      </c>
      <c r="B3564">
        <v>0.99876560204751996</v>
      </c>
      <c r="C3564">
        <v>0.79686931720074705</v>
      </c>
      <c r="D3564">
        <v>0.80529360434661501</v>
      </c>
      <c r="E3564">
        <v>0.85529118397774295</v>
      </c>
      <c r="F3564">
        <v>0.48594250964274099</v>
      </c>
      <c r="G3564">
        <v>0.21171050702893801</v>
      </c>
      <c r="H3564">
        <v>0.11639115691747</v>
      </c>
      <c r="I3564">
        <v>7.5691954385499194E-2</v>
      </c>
      <c r="J3564">
        <v>5.7097748667807403E-2</v>
      </c>
      <c r="K3564">
        <v>5.2660163212307001E-2</v>
      </c>
      <c r="L3564">
        <v>777.29873547807301</v>
      </c>
      <c r="M3564">
        <v>14.645183021906901</v>
      </c>
      <c r="N3564">
        <v>53.075391608948898</v>
      </c>
      <c r="O3564">
        <v>52.115254596621</v>
      </c>
      <c r="P3564">
        <v>-7.02616159380514E-2</v>
      </c>
      <c r="Q3564">
        <v>0</v>
      </c>
      <c r="R3564">
        <v>0.95119595730034001</v>
      </c>
      <c r="S3564" t="s">
        <v>7860</v>
      </c>
      <c r="T3564" t="s">
        <v>8590</v>
      </c>
      <c r="U3564" t="s">
        <v>8590</v>
      </c>
      <c r="V3564" t="s">
        <v>8590</v>
      </c>
      <c r="W3564">
        <v>6</v>
      </c>
      <c r="X3564" t="s">
        <v>12154</v>
      </c>
      <c r="Y3564">
        <v>0.45800919601645879</v>
      </c>
      <c r="Z3564" t="str">
        <f>HYPERLINK("Melting_Curves/meltCurve_sp_Q9Y4K3_TRAF6_HUMAN_.pdf", "Melting_Curves/meltCurve_sp_Q9Y4K3_TRAF6_HUMAN_.pdf")</f>
        <v>Melting_Curves/meltCurve_sp_Q9Y4K3_TRAF6_HUMAN_.pdf</v>
      </c>
      <c r="AA3564" t="s">
        <v>16399</v>
      </c>
      <c r="AB3564" t="s">
        <v>20647</v>
      </c>
    </row>
    <row r="3565" spans="1:28" x14ac:dyDescent="0.25">
      <c r="A3565" t="s">
        <v>3569</v>
      </c>
      <c r="B3565">
        <v>0.99876560204751996</v>
      </c>
      <c r="C3565">
        <v>0.99937954900133896</v>
      </c>
      <c r="D3565">
        <v>0.96075621330149596</v>
      </c>
      <c r="E3565">
        <v>0.72963556080193803</v>
      </c>
      <c r="F3565">
        <v>0.43342639136772798</v>
      </c>
      <c r="G3565">
        <v>0.28799489451340099</v>
      </c>
      <c r="H3565">
        <v>0.19819102595945401</v>
      </c>
      <c r="I3565">
        <v>0.15117805000531201</v>
      </c>
      <c r="J3565">
        <v>0.14737937646414101</v>
      </c>
      <c r="K3565">
        <v>5.58401765284917E-2</v>
      </c>
      <c r="L3565">
        <v>994.95103685163895</v>
      </c>
      <c r="M3565">
        <v>19.1400613323373</v>
      </c>
      <c r="N3565">
        <v>52.715119714188098</v>
      </c>
      <c r="O3565">
        <v>51.4251702790976</v>
      </c>
      <c r="P3565">
        <v>-8.2187175531312606E-2</v>
      </c>
      <c r="Q3565">
        <v>0.116758021148218</v>
      </c>
      <c r="R3565">
        <v>0.99237686552841797</v>
      </c>
      <c r="S3565" t="s">
        <v>7861</v>
      </c>
      <c r="T3565" t="s">
        <v>8590</v>
      </c>
      <c r="U3565" t="s">
        <v>8590</v>
      </c>
      <c r="V3565" t="s">
        <v>8590</v>
      </c>
      <c r="W3565">
        <v>6</v>
      </c>
      <c r="X3565" t="s">
        <v>12155</v>
      </c>
      <c r="Y3565">
        <v>0.48276043561094639</v>
      </c>
      <c r="Z3565" t="str">
        <f>HYPERLINK("Melting_Curves/meltCurve_sp_Q9Y4P8_4_WIPI2_HUMAN_.pdf", "Melting_Curves/meltCurve_sp_Q9Y4P8_4_WIPI2_HUMAN_.pdf")</f>
        <v>Melting_Curves/meltCurve_sp_Q9Y4P8_4_WIPI2_HUMAN_.pdf</v>
      </c>
      <c r="AA3565" t="s">
        <v>16400</v>
      </c>
      <c r="AB3565" t="s">
        <v>20648</v>
      </c>
    </row>
    <row r="3566" spans="1:28" x14ac:dyDescent="0.25">
      <c r="A3566" t="s">
        <v>3570</v>
      </c>
      <c r="B3566">
        <v>0.99876560204751996</v>
      </c>
      <c r="C3566">
        <v>0.76346601663489</v>
      </c>
      <c r="D3566">
        <v>0.827732869838402</v>
      </c>
      <c r="E3566">
        <v>0.63327916895064396</v>
      </c>
      <c r="F3566">
        <v>0.42203563357014301</v>
      </c>
      <c r="G3566">
        <v>0.271428214093763</v>
      </c>
      <c r="H3566">
        <v>0.159750468383629</v>
      </c>
      <c r="I3566">
        <v>0.147414862255771</v>
      </c>
      <c r="J3566">
        <v>5.0057088799834303E-2</v>
      </c>
      <c r="K3566">
        <v>8.7163583994330399E-2</v>
      </c>
      <c r="L3566">
        <v>527.25314579903204</v>
      </c>
      <c r="M3566">
        <v>10.1869335399011</v>
      </c>
      <c r="N3566">
        <v>51.757777294752302</v>
      </c>
      <c r="O3566">
        <v>49.882134888015102</v>
      </c>
      <c r="P3566">
        <v>-5.1078153513873799E-2</v>
      </c>
      <c r="Q3566">
        <v>0</v>
      </c>
      <c r="R3566">
        <v>0.97591482643621397</v>
      </c>
      <c r="S3566" t="s">
        <v>7862</v>
      </c>
      <c r="T3566" t="s">
        <v>8590</v>
      </c>
      <c r="U3566" t="s">
        <v>8590</v>
      </c>
      <c r="V3566" t="s">
        <v>8590</v>
      </c>
      <c r="W3566">
        <v>1</v>
      </c>
      <c r="X3566" t="s">
        <v>12156</v>
      </c>
      <c r="Y3566">
        <v>0.42997238433656421</v>
      </c>
      <c r="Z3566" t="str">
        <f>HYPERLINK("Melting_Curves/meltCurve_sp_Q9Y4U1_MMAC_HUMAN_.pdf", "Melting_Curves/meltCurve_sp_Q9Y4U1_MMAC_HUMAN_.pdf")</f>
        <v>Melting_Curves/meltCurve_sp_Q9Y4U1_MMAC_HUMAN_.pdf</v>
      </c>
      <c r="AA3566" t="s">
        <v>16401</v>
      </c>
      <c r="AB3566" t="s">
        <v>20649</v>
      </c>
    </row>
    <row r="3567" spans="1:28" x14ac:dyDescent="0.25">
      <c r="A3567" t="s">
        <v>3571</v>
      </c>
      <c r="B3567">
        <v>0.99876560204751996</v>
      </c>
      <c r="C3567">
        <v>0.92765384856219602</v>
      </c>
      <c r="D3567">
        <v>0.90353289377517199</v>
      </c>
      <c r="E3567">
        <v>0.66480758190643496</v>
      </c>
      <c r="F3567">
        <v>0.30741034460580302</v>
      </c>
      <c r="G3567">
        <v>0.157526058684266</v>
      </c>
      <c r="H3567">
        <v>0.102988335647631</v>
      </c>
      <c r="I3567">
        <v>0.103187771597911</v>
      </c>
      <c r="J3567">
        <v>6.4312065389601297E-2</v>
      </c>
      <c r="K3567">
        <v>7.6469276043500303E-2</v>
      </c>
      <c r="L3567">
        <v>1163.3012296731599</v>
      </c>
      <c r="M3567">
        <v>22.865039867244501</v>
      </c>
      <c r="N3567">
        <v>51.250873339776</v>
      </c>
      <c r="O3567">
        <v>50.492485681539897</v>
      </c>
      <c r="P3567">
        <v>-0.104512649515518</v>
      </c>
      <c r="Q3567">
        <v>7.6843525631648896E-2</v>
      </c>
      <c r="R3567">
        <v>0.99504047771674498</v>
      </c>
      <c r="S3567" t="s">
        <v>7863</v>
      </c>
      <c r="T3567" t="s">
        <v>8590</v>
      </c>
      <c r="U3567" t="s">
        <v>8590</v>
      </c>
      <c r="V3567" t="s">
        <v>8590</v>
      </c>
      <c r="W3567">
        <v>3</v>
      </c>
      <c r="X3567" t="s">
        <v>12157</v>
      </c>
      <c r="Y3567">
        <v>0.42146491346008541</v>
      </c>
      <c r="Z3567" t="str">
        <f>HYPERLINK("Melting_Curves/meltCurve_sp_Q9Y4W6_AFG32_HUMAN_.pdf", "Melting_Curves/meltCurve_sp_Q9Y4W6_AFG32_HUMAN_.pdf")</f>
        <v>Melting_Curves/meltCurve_sp_Q9Y4W6_AFG32_HUMAN_.pdf</v>
      </c>
      <c r="AA3567" t="s">
        <v>16402</v>
      </c>
      <c r="AB3567" t="s">
        <v>20650</v>
      </c>
    </row>
    <row r="3568" spans="1:28" x14ac:dyDescent="0.25">
      <c r="A3568" t="s">
        <v>3572</v>
      </c>
      <c r="B3568">
        <v>0.99876560204751996</v>
      </c>
      <c r="C3568">
        <v>0.92730127210788305</v>
      </c>
      <c r="D3568">
        <v>0.87367565923323798</v>
      </c>
      <c r="E3568">
        <v>0.87502036608349898</v>
      </c>
      <c r="F3568">
        <v>0.77145612564102495</v>
      </c>
      <c r="G3568">
        <v>0.64584623114614004</v>
      </c>
      <c r="H3568">
        <v>0.38180609082078498</v>
      </c>
      <c r="I3568">
        <v>0.162042040244081</v>
      </c>
      <c r="J3568">
        <v>0.10934514014411099</v>
      </c>
      <c r="K3568">
        <v>9.7798797841490703E-2</v>
      </c>
      <c r="L3568">
        <v>790.67160284494503</v>
      </c>
      <c r="M3568">
        <v>13.575217853005</v>
      </c>
      <c r="N3568">
        <v>58.243750665875801</v>
      </c>
      <c r="O3568">
        <v>57.023448965670902</v>
      </c>
      <c r="P3568">
        <v>-5.9524816825144398E-2</v>
      </c>
      <c r="Q3568">
        <v>0</v>
      </c>
      <c r="R3568">
        <v>0.97682718475558505</v>
      </c>
      <c r="S3568" t="s">
        <v>7864</v>
      </c>
      <c r="T3568" t="s">
        <v>8590</v>
      </c>
      <c r="U3568" t="s">
        <v>8590</v>
      </c>
      <c r="V3568" t="s">
        <v>8590</v>
      </c>
      <c r="W3568">
        <v>7</v>
      </c>
      <c r="X3568" t="s">
        <v>12158</v>
      </c>
      <c r="Y3568">
        <v>0.62071220293685225</v>
      </c>
      <c r="Z3568" t="str">
        <f>HYPERLINK("Melting_Curves/meltCurve_sp_Q9Y4X5_ARI1_HUMAN_.pdf", "Melting_Curves/meltCurve_sp_Q9Y4X5_ARI1_HUMAN_.pdf")</f>
        <v>Melting_Curves/meltCurve_sp_Q9Y4X5_ARI1_HUMAN_.pdf</v>
      </c>
      <c r="AA3568" t="s">
        <v>16403</v>
      </c>
      <c r="AB3568" t="s">
        <v>20651</v>
      </c>
    </row>
    <row r="3569" spans="1:28" x14ac:dyDescent="0.25">
      <c r="A3569" t="s">
        <v>3573</v>
      </c>
      <c r="B3569">
        <v>0.99876560204751996</v>
      </c>
      <c r="C3569">
        <v>0.95536032546859495</v>
      </c>
      <c r="D3569">
        <v>0.97383083403381099</v>
      </c>
      <c r="E3569">
        <v>0.92806154279757103</v>
      </c>
      <c r="F3569">
        <v>0.86902266802949701</v>
      </c>
      <c r="G3569">
        <v>0.74165809845738595</v>
      </c>
      <c r="H3569">
        <v>0.503316840802148</v>
      </c>
      <c r="I3569">
        <v>0.45241322317288801</v>
      </c>
      <c r="J3569">
        <v>0.33233959930586399</v>
      </c>
      <c r="K3569">
        <v>0.20232744350240101</v>
      </c>
      <c r="L3569">
        <v>668.77629471455896</v>
      </c>
      <c r="M3569">
        <v>10.7705314738642</v>
      </c>
      <c r="N3569">
        <v>62.093156359378597</v>
      </c>
      <c r="O3569">
        <v>60.067530636904301</v>
      </c>
      <c r="P3569">
        <v>-4.4843164586250303E-2</v>
      </c>
      <c r="Q3569">
        <v>0</v>
      </c>
      <c r="R3569">
        <v>0.99266218671848605</v>
      </c>
      <c r="S3569" t="s">
        <v>7865</v>
      </c>
      <c r="T3569" t="s">
        <v>8590</v>
      </c>
      <c r="U3569" t="s">
        <v>8590</v>
      </c>
      <c r="V3569" t="s">
        <v>8590</v>
      </c>
      <c r="W3569">
        <v>5</v>
      </c>
      <c r="X3569" t="s">
        <v>12159</v>
      </c>
      <c r="Y3569">
        <v>0.71873582659661772</v>
      </c>
      <c r="Z3569" t="str">
        <f>HYPERLINK("Melting_Curves/meltCurve_sp_Q9Y4Z0_LSM4_HUMAN_.pdf", "Melting_Curves/meltCurve_sp_Q9Y4Z0_LSM4_HUMAN_.pdf")</f>
        <v>Melting_Curves/meltCurve_sp_Q9Y4Z0_LSM4_HUMAN_.pdf</v>
      </c>
      <c r="AA3569" t="s">
        <v>16404</v>
      </c>
      <c r="AB3569" t="s">
        <v>20652</v>
      </c>
    </row>
    <row r="3570" spans="1:28" x14ac:dyDescent="0.25">
      <c r="A3570" t="s">
        <v>3574</v>
      </c>
      <c r="B3570">
        <v>0.99876560204751996</v>
      </c>
      <c r="C3570">
        <v>0.82451176932423598</v>
      </c>
      <c r="D3570">
        <v>0.83042459315274397</v>
      </c>
      <c r="E3570">
        <v>0.77725957775443399</v>
      </c>
      <c r="F3570">
        <v>0.66815852063247405</v>
      </c>
      <c r="G3570">
        <v>0.63135750071159402</v>
      </c>
      <c r="H3570">
        <v>0.505379053876166</v>
      </c>
      <c r="I3570">
        <v>0.53657921985853696</v>
      </c>
      <c r="J3570">
        <v>0.56056094342081897</v>
      </c>
      <c r="K3570">
        <v>0.58066720316944198</v>
      </c>
      <c r="L3570">
        <v>462.21763906392903</v>
      </c>
      <c r="M3570">
        <v>9.4399971763861892</v>
      </c>
      <c r="O3570">
        <v>46.917386534783802</v>
      </c>
      <c r="P3570">
        <v>-2.46161698270927E-2</v>
      </c>
      <c r="Q3570">
        <v>0.51092073528414195</v>
      </c>
      <c r="R3570">
        <v>0.92174904098273502</v>
      </c>
      <c r="S3570" t="s">
        <v>7866</v>
      </c>
      <c r="T3570" t="s">
        <v>8590</v>
      </c>
      <c r="U3570" t="s">
        <v>8590</v>
      </c>
      <c r="V3570" t="s">
        <v>8590</v>
      </c>
      <c r="W3570">
        <v>4</v>
      </c>
      <c r="X3570" t="s">
        <v>12160</v>
      </c>
      <c r="Y3570">
        <v>0.68313823818856412</v>
      </c>
      <c r="Z3570" t="str">
        <f>HYPERLINK("Melting_Curves/meltCurve_sp_Q9Y508_RN114_HUMAN_.pdf", "Melting_Curves/meltCurve_sp_Q9Y508_RN114_HUMAN_.pdf")</f>
        <v>Melting_Curves/meltCurve_sp_Q9Y508_RN114_HUMAN_.pdf</v>
      </c>
      <c r="AA3570" t="s">
        <v>16405</v>
      </c>
      <c r="AB3570" t="s">
        <v>20653</v>
      </c>
    </row>
    <row r="3571" spans="1:28" x14ac:dyDescent="0.25">
      <c r="A3571" t="s">
        <v>3575</v>
      </c>
      <c r="B3571">
        <v>0.99876560204751996</v>
      </c>
      <c r="C3571">
        <v>0.95126274820619805</v>
      </c>
      <c r="D3571">
        <v>0.99069360478856805</v>
      </c>
      <c r="E3571">
        <v>0.90540728582290297</v>
      </c>
      <c r="F3571">
        <v>0.95553626339847098</v>
      </c>
      <c r="G3571">
        <v>0.767879043583377</v>
      </c>
      <c r="H3571">
        <v>0.65205885230321403</v>
      </c>
      <c r="I3571">
        <v>0.66921138174052897</v>
      </c>
      <c r="J3571">
        <v>0.84938151594022604</v>
      </c>
      <c r="K3571">
        <v>0.78996947142183105</v>
      </c>
      <c r="L3571">
        <v>2588.9029667429199</v>
      </c>
      <c r="M3571">
        <v>47.544339287371102</v>
      </c>
      <c r="O3571">
        <v>54.356320835302498</v>
      </c>
      <c r="P3571">
        <v>-5.6828367654089898E-2</v>
      </c>
      <c r="Q3571">
        <v>0.74011815652688095</v>
      </c>
      <c r="R3571">
        <v>0.74176110261260597</v>
      </c>
      <c r="S3571" t="s">
        <v>7867</v>
      </c>
      <c r="T3571" t="s">
        <v>8590</v>
      </c>
      <c r="U3571" t="s">
        <v>8590</v>
      </c>
      <c r="V3571" t="s">
        <v>8590</v>
      </c>
      <c r="W3571">
        <v>23</v>
      </c>
      <c r="X3571" t="s">
        <v>12161</v>
      </c>
      <c r="Y3571">
        <v>0.86600561767340456</v>
      </c>
      <c r="Z3571" t="str">
        <f>HYPERLINK("Melting_Curves/meltCurve_sp_Q9Y520_4_PRC2C_HUMAN_.pdf", "Melting_Curves/meltCurve_sp_Q9Y520_4_PRC2C_HUMAN_.pdf")</f>
        <v>Melting_Curves/meltCurve_sp_Q9Y520_4_PRC2C_HUMAN_.pdf</v>
      </c>
      <c r="AA3571" t="s">
        <v>16406</v>
      </c>
      <c r="AB3571" t="s">
        <v>20654</v>
      </c>
    </row>
    <row r="3572" spans="1:28" x14ac:dyDescent="0.25">
      <c r="A3572" t="s">
        <v>3576</v>
      </c>
      <c r="B3572">
        <v>0.99876560204751996</v>
      </c>
      <c r="C3572">
        <v>0.88701111401533905</v>
      </c>
      <c r="D3572">
        <v>0.94632137202741395</v>
      </c>
      <c r="E3572">
        <v>0.83047043975676205</v>
      </c>
      <c r="F3572">
        <v>0.72529030975168696</v>
      </c>
      <c r="G3572">
        <v>0.44555480649295398</v>
      </c>
      <c r="H3572">
        <v>0.19410045283333899</v>
      </c>
      <c r="I3572">
        <v>8.7227254025603801E-2</v>
      </c>
      <c r="J3572">
        <v>9.3737570214984495E-2</v>
      </c>
      <c r="K3572">
        <v>7.4717848312780902E-2</v>
      </c>
      <c r="L3572">
        <v>847.01932521862204</v>
      </c>
      <c r="M3572">
        <v>15.166712239784699</v>
      </c>
      <c r="N3572">
        <v>55.8711355252563</v>
      </c>
      <c r="O3572">
        <v>54.903364548485698</v>
      </c>
      <c r="P3572">
        <v>-6.8844540551761299E-2</v>
      </c>
      <c r="Q3572">
        <v>3.2299155144263399E-3</v>
      </c>
      <c r="R3572">
        <v>0.98805233813954996</v>
      </c>
      <c r="S3572" t="s">
        <v>7868</v>
      </c>
      <c r="T3572" t="s">
        <v>8590</v>
      </c>
      <c r="U3572" t="s">
        <v>8590</v>
      </c>
      <c r="V3572" t="s">
        <v>8590</v>
      </c>
      <c r="W3572">
        <v>3</v>
      </c>
      <c r="X3572" t="s">
        <v>12162</v>
      </c>
      <c r="Y3572">
        <v>0.54753125609417208</v>
      </c>
      <c r="Z3572" t="str">
        <f>HYPERLINK("Melting_Curves/meltCurve_sp_Q9Y547_HSB11_HUMAN_.pdf", "Melting_Curves/meltCurve_sp_Q9Y547_HSB11_HUMAN_.pdf")</f>
        <v>Melting_Curves/meltCurve_sp_Q9Y547_HSB11_HUMAN_.pdf</v>
      </c>
      <c r="AA3572" t="s">
        <v>16407</v>
      </c>
      <c r="AB3572" t="s">
        <v>20655</v>
      </c>
    </row>
    <row r="3573" spans="1:28" x14ac:dyDescent="0.25">
      <c r="A3573" t="s">
        <v>3577</v>
      </c>
      <c r="B3573">
        <v>0.99876560204751996</v>
      </c>
      <c r="C3573">
        <v>0.95002586105989495</v>
      </c>
      <c r="D3573">
        <v>0.94908630574686204</v>
      </c>
      <c r="E3573">
        <v>0.85615797629160595</v>
      </c>
      <c r="F3573">
        <v>0.64765439097258104</v>
      </c>
      <c r="G3573">
        <v>0.27307817585382799</v>
      </c>
      <c r="H3573">
        <v>7.9578555995811207E-2</v>
      </c>
      <c r="I3573">
        <v>6.3845886232726606E-2</v>
      </c>
      <c r="J3573">
        <v>6.2938097569630494E-2</v>
      </c>
      <c r="K3573">
        <v>5.28963609903087E-2</v>
      </c>
      <c r="L3573">
        <v>1208.61717084259</v>
      </c>
      <c r="M3573">
        <v>22.326416147261199</v>
      </c>
      <c r="N3573">
        <v>54.3159198059045</v>
      </c>
      <c r="O3573">
        <v>53.7052732848299</v>
      </c>
      <c r="P3573">
        <v>-0.10018736780766301</v>
      </c>
      <c r="Q3573">
        <v>3.6033974645611803E-2</v>
      </c>
      <c r="R3573">
        <v>0.99698061048629105</v>
      </c>
      <c r="S3573" t="s">
        <v>7869</v>
      </c>
      <c r="T3573" t="s">
        <v>8590</v>
      </c>
      <c r="U3573" t="s">
        <v>8590</v>
      </c>
      <c r="V3573" t="s">
        <v>8590</v>
      </c>
      <c r="W3573">
        <v>5</v>
      </c>
      <c r="X3573" t="s">
        <v>12163</v>
      </c>
      <c r="Y3573">
        <v>0.50108371683871455</v>
      </c>
      <c r="Z3573" t="str">
        <f>HYPERLINK("Melting_Curves/meltCurve_sp_Q9Y570_PPME1_HUMAN_.pdf", "Melting_Curves/meltCurve_sp_Q9Y570_PPME1_HUMAN_.pdf")</f>
        <v>Melting_Curves/meltCurve_sp_Q9Y570_PPME1_HUMAN_.pdf</v>
      </c>
      <c r="AA3573" t="s">
        <v>16408</v>
      </c>
      <c r="AB3573" t="s">
        <v>20656</v>
      </c>
    </row>
    <row r="3574" spans="1:28" x14ac:dyDescent="0.25">
      <c r="A3574" t="s">
        <v>3578</v>
      </c>
      <c r="B3574">
        <v>0.99876560204751996</v>
      </c>
      <c r="C3574">
        <v>0.98695504755250996</v>
      </c>
      <c r="D3574">
        <v>0.88856979126700097</v>
      </c>
      <c r="E3574">
        <v>0.809112236354396</v>
      </c>
      <c r="F3574">
        <v>0.866448640582831</v>
      </c>
      <c r="G3574">
        <v>0.54545203595316505</v>
      </c>
      <c r="H3574">
        <v>0.49495119234360602</v>
      </c>
      <c r="I3574">
        <v>0.47162589858826098</v>
      </c>
      <c r="J3574">
        <v>0.59957329566892303</v>
      </c>
      <c r="K3574">
        <v>0.58884312118460103</v>
      </c>
      <c r="L3574">
        <v>890.76445935969002</v>
      </c>
      <c r="M3574">
        <v>16.986390150037298</v>
      </c>
      <c r="O3574">
        <v>51.7292789146735</v>
      </c>
      <c r="P3574">
        <v>-3.95281426761767E-2</v>
      </c>
      <c r="Q3574">
        <v>0.51852382320949997</v>
      </c>
      <c r="R3574">
        <v>0.87848397892343699</v>
      </c>
      <c r="S3574" t="s">
        <v>7870</v>
      </c>
      <c r="T3574" t="s">
        <v>8590</v>
      </c>
      <c r="U3574" t="s">
        <v>8590</v>
      </c>
      <c r="V3574" t="s">
        <v>8590</v>
      </c>
      <c r="W3574">
        <v>2</v>
      </c>
      <c r="X3574" t="s">
        <v>12164</v>
      </c>
      <c r="Y3574">
        <v>0.72692463593705503</v>
      </c>
      <c r="Z3574" t="str">
        <f>HYPERLINK("Melting_Curves/meltCurve_sp_Q9Y597_2_KCTD3_HUMAN_.pdf", "Melting_Curves/meltCurve_sp_Q9Y597_2_KCTD3_HUMAN_.pdf")</f>
        <v>Melting_Curves/meltCurve_sp_Q9Y597_2_KCTD3_HUMAN_.pdf</v>
      </c>
      <c r="AA3574" t="s">
        <v>16409</v>
      </c>
      <c r="AB3574" t="s">
        <v>20657</v>
      </c>
    </row>
    <row r="3575" spans="1:28" x14ac:dyDescent="0.25">
      <c r="A3575" t="s">
        <v>3579</v>
      </c>
      <c r="B3575">
        <v>0.99876560204751996</v>
      </c>
      <c r="C3575">
        <v>1.1124576218416999</v>
      </c>
      <c r="D3575">
        <v>1.03211705965585</v>
      </c>
      <c r="E3575">
        <v>0.83461483478974396</v>
      </c>
      <c r="F3575">
        <v>0.439276686758241</v>
      </c>
      <c r="G3575">
        <v>0.236143072357614</v>
      </c>
      <c r="H3575">
        <v>0.14074656222743101</v>
      </c>
      <c r="I3575">
        <v>9.7293587235840806E-2</v>
      </c>
      <c r="J3575">
        <v>8.1415675856980105E-2</v>
      </c>
      <c r="K3575">
        <v>7.9187344624888495E-2</v>
      </c>
      <c r="L3575">
        <v>1517.3149683004101</v>
      </c>
      <c r="M3575">
        <v>28.9784052107265</v>
      </c>
      <c r="N3575">
        <v>52.780368369490198</v>
      </c>
      <c r="O3575">
        <v>52.1127489738344</v>
      </c>
      <c r="P3575">
        <v>-0.124698440320986</v>
      </c>
      <c r="Q3575">
        <v>0.10301069413722699</v>
      </c>
      <c r="R3575">
        <v>0.98752257475760297</v>
      </c>
      <c r="S3575" t="s">
        <v>7871</v>
      </c>
      <c r="T3575" t="s">
        <v>8590</v>
      </c>
      <c r="U3575" t="s">
        <v>8590</v>
      </c>
      <c r="V3575" t="s">
        <v>8590</v>
      </c>
      <c r="W3575">
        <v>7</v>
      </c>
      <c r="X3575" t="s">
        <v>12165</v>
      </c>
      <c r="Y3575">
        <v>0.4787462242174868</v>
      </c>
      <c r="Z3575" t="str">
        <f>HYPERLINK("Melting_Curves/meltCurve_sp_Q9Y5A7_2_NUB1_HUMAN_.pdf", "Melting_Curves/meltCurve_sp_Q9Y5A7_2_NUB1_HUMAN_.pdf")</f>
        <v>Melting_Curves/meltCurve_sp_Q9Y5A7_2_NUB1_HUMAN_.pdf</v>
      </c>
      <c r="AA3575" t="s">
        <v>16410</v>
      </c>
      <c r="AB3575" t="s">
        <v>20658</v>
      </c>
    </row>
    <row r="3576" spans="1:28" x14ac:dyDescent="0.25">
      <c r="A3576" t="s">
        <v>3580</v>
      </c>
      <c r="B3576">
        <v>0.99876560204751996</v>
      </c>
      <c r="C3576">
        <v>0.83385109049890604</v>
      </c>
      <c r="D3576">
        <v>0.80176685795483205</v>
      </c>
      <c r="E3576">
        <v>0.77170310447983004</v>
      </c>
      <c r="F3576">
        <v>0.75165457526000501</v>
      </c>
      <c r="G3576">
        <v>0.628658983322123</v>
      </c>
      <c r="H3576">
        <v>0.51469089723596395</v>
      </c>
      <c r="I3576">
        <v>0.50855858772032903</v>
      </c>
      <c r="J3576">
        <v>0.46304308468224598</v>
      </c>
      <c r="K3576">
        <v>0.52657260855242005</v>
      </c>
      <c r="L3576">
        <v>345.92587754568098</v>
      </c>
      <c r="M3576">
        <v>6.4267266714650697</v>
      </c>
      <c r="N3576">
        <v>66.5990350357728</v>
      </c>
      <c r="O3576">
        <v>49.324049647151597</v>
      </c>
      <c r="P3576">
        <v>-2.1088582849730701E-2</v>
      </c>
      <c r="Q3576">
        <v>0.35422866580761803</v>
      </c>
      <c r="R3576">
        <v>0.93319760700525101</v>
      </c>
      <c r="S3576" t="s">
        <v>7872</v>
      </c>
      <c r="T3576" t="s">
        <v>8590</v>
      </c>
      <c r="U3576" t="s">
        <v>8590</v>
      </c>
      <c r="V3576" t="s">
        <v>8590</v>
      </c>
      <c r="W3576">
        <v>3</v>
      </c>
      <c r="X3576" t="s">
        <v>12166</v>
      </c>
      <c r="Y3576">
        <v>0.67653147857606988</v>
      </c>
      <c r="Z3576" t="str">
        <f>HYPERLINK("Melting_Curves/meltCurve_sp_Q9Y5A9_2_YTHD2_HUMAN_.pdf", "Melting_Curves/meltCurve_sp_Q9Y5A9_2_YTHD2_HUMAN_.pdf")</f>
        <v>Melting_Curves/meltCurve_sp_Q9Y5A9_2_YTHD2_HUMAN_.pdf</v>
      </c>
      <c r="AA3576" t="s">
        <v>16411</v>
      </c>
      <c r="AB3576" t="s">
        <v>20659</v>
      </c>
    </row>
    <row r="3577" spans="1:28" x14ac:dyDescent="0.25">
      <c r="A3577" t="s">
        <v>3581</v>
      </c>
      <c r="B3577">
        <v>0.99876560204751996</v>
      </c>
      <c r="C3577">
        <v>0.90113404720534096</v>
      </c>
      <c r="D3577">
        <v>0.75244216002502695</v>
      </c>
      <c r="E3577">
        <v>0.56678992247294102</v>
      </c>
      <c r="F3577">
        <v>0.55389983006394705</v>
      </c>
      <c r="G3577">
        <v>0.25206168307974203</v>
      </c>
      <c r="H3577">
        <v>0.194567521837336</v>
      </c>
      <c r="I3577">
        <v>0.174087450441228</v>
      </c>
      <c r="J3577">
        <v>0.102617499113524</v>
      </c>
      <c r="K3577">
        <v>0.16000171930123</v>
      </c>
      <c r="L3577">
        <v>550.55602585810595</v>
      </c>
      <c r="M3577">
        <v>10.729296355009399</v>
      </c>
      <c r="N3577">
        <v>52.011191859253401</v>
      </c>
      <c r="O3577">
        <v>49.6271806138651</v>
      </c>
      <c r="P3577">
        <v>-5.0444840017921801E-2</v>
      </c>
      <c r="Q3577">
        <v>6.7038236290575995E-2</v>
      </c>
      <c r="R3577">
        <v>0.979860207555871</v>
      </c>
      <c r="S3577" t="s">
        <v>7873</v>
      </c>
      <c r="T3577" t="s">
        <v>8590</v>
      </c>
      <c r="U3577" t="s">
        <v>8590</v>
      </c>
      <c r="V3577" t="s">
        <v>8590</v>
      </c>
      <c r="W3577">
        <v>5</v>
      </c>
      <c r="X3577" t="s">
        <v>12167</v>
      </c>
      <c r="Y3577">
        <v>0.45349203515316472</v>
      </c>
      <c r="Z3577" t="str">
        <f>HYPERLINK("Melting_Curves/meltCurve_sp_Q9Y5B0_CTDP1_HUMAN_.pdf", "Melting_Curves/meltCurve_sp_Q9Y5B0_CTDP1_HUMAN_.pdf")</f>
        <v>Melting_Curves/meltCurve_sp_Q9Y5B0_CTDP1_HUMAN_.pdf</v>
      </c>
      <c r="AA3577" t="s">
        <v>16412</v>
      </c>
      <c r="AB3577" t="s">
        <v>20660</v>
      </c>
    </row>
    <row r="3578" spans="1:28" x14ac:dyDescent="0.25">
      <c r="A3578" t="s">
        <v>3582</v>
      </c>
      <c r="B3578">
        <v>0.99876560204751996</v>
      </c>
      <c r="C3578">
        <v>0.94228885586127697</v>
      </c>
      <c r="D3578">
        <v>0.84032706397809498</v>
      </c>
      <c r="E3578">
        <v>0.79573250659717798</v>
      </c>
      <c r="F3578">
        <v>0.30716301023327602</v>
      </c>
      <c r="G3578">
        <v>0.1559753920683</v>
      </c>
      <c r="H3578">
        <v>0.102551091675131</v>
      </c>
      <c r="I3578">
        <v>8.2149627707965203E-2</v>
      </c>
      <c r="J3578">
        <v>5.3534757471591199E-2</v>
      </c>
      <c r="K3578">
        <v>3.7951374908867998E-2</v>
      </c>
      <c r="L3578">
        <v>1521.49345477879</v>
      </c>
      <c r="M3578">
        <v>29.506849047603801</v>
      </c>
      <c r="N3578">
        <v>51.822435179343103</v>
      </c>
      <c r="O3578">
        <v>51.3289590274684</v>
      </c>
      <c r="P3578">
        <v>-0.13388532026970901</v>
      </c>
      <c r="Q3578">
        <v>6.8399506226775403E-2</v>
      </c>
      <c r="R3578">
        <v>0.97976875169491995</v>
      </c>
      <c r="S3578" t="s">
        <v>7874</v>
      </c>
      <c r="T3578" t="s">
        <v>8590</v>
      </c>
      <c r="U3578" t="s">
        <v>8590</v>
      </c>
      <c r="V3578" t="s">
        <v>8590</v>
      </c>
      <c r="W3578">
        <v>3</v>
      </c>
      <c r="X3578" t="s">
        <v>12168</v>
      </c>
      <c r="Y3578">
        <v>0.43361245157386202</v>
      </c>
      <c r="Z3578" t="str">
        <f>HYPERLINK("Melting_Curves/meltCurve_sp_Q9Y5B9_SP16H_HUMAN_.pdf", "Melting_Curves/meltCurve_sp_Q9Y5B9_SP16H_HUMAN_.pdf")</f>
        <v>Melting_Curves/meltCurve_sp_Q9Y5B9_SP16H_HUMAN_.pdf</v>
      </c>
      <c r="AA3578" t="s">
        <v>16413</v>
      </c>
      <c r="AB3578" t="s">
        <v>20661</v>
      </c>
    </row>
    <row r="3579" spans="1:28" x14ac:dyDescent="0.25">
      <c r="A3579" t="s">
        <v>3583</v>
      </c>
      <c r="B3579">
        <v>0.99876560204751996</v>
      </c>
      <c r="C3579">
        <v>0.91683044563398797</v>
      </c>
      <c r="D3579">
        <v>0.93588801068224503</v>
      </c>
      <c r="E3579">
        <v>0.86610652775011099</v>
      </c>
      <c r="F3579">
        <v>0.80153674058476498</v>
      </c>
      <c r="G3579">
        <v>0.643859541802279</v>
      </c>
      <c r="H3579">
        <v>0.49539629658997197</v>
      </c>
      <c r="I3579">
        <v>0.45160351031558599</v>
      </c>
      <c r="J3579">
        <v>0.50412284584029499</v>
      </c>
      <c r="K3579">
        <v>0.399816229912692</v>
      </c>
      <c r="L3579">
        <v>630.33745653632798</v>
      </c>
      <c r="M3579">
        <v>11.3097839382848</v>
      </c>
      <c r="N3579">
        <v>62.737500667418701</v>
      </c>
      <c r="O3579">
        <v>54.076641292783798</v>
      </c>
      <c r="P3579">
        <v>-3.35496807502959E-2</v>
      </c>
      <c r="Q3579">
        <v>0.358536189129182</v>
      </c>
      <c r="R3579">
        <v>0.97538457660598399</v>
      </c>
      <c r="S3579" t="s">
        <v>7875</v>
      </c>
      <c r="T3579" t="s">
        <v>8590</v>
      </c>
      <c r="U3579" t="s">
        <v>8590</v>
      </c>
      <c r="V3579" t="s">
        <v>8590</v>
      </c>
      <c r="W3579">
        <v>5</v>
      </c>
      <c r="X3579" t="s">
        <v>12169</v>
      </c>
      <c r="Y3579">
        <v>0.70892887912166913</v>
      </c>
      <c r="Z3579" t="str">
        <f>HYPERLINK("Melting_Curves/meltCurve_sp_Q9Y5J7_TIM9_HUMAN_.pdf", "Melting_Curves/meltCurve_sp_Q9Y5J7_TIM9_HUMAN_.pdf")</f>
        <v>Melting_Curves/meltCurve_sp_Q9Y5J7_TIM9_HUMAN_.pdf</v>
      </c>
      <c r="AA3579" t="s">
        <v>16414</v>
      </c>
      <c r="AB3579" t="s">
        <v>20662</v>
      </c>
    </row>
    <row r="3580" spans="1:28" x14ac:dyDescent="0.25">
      <c r="A3580" t="s">
        <v>3584</v>
      </c>
      <c r="B3580">
        <v>0.99876560204751996</v>
      </c>
      <c r="C3580">
        <v>0.96382259490887001</v>
      </c>
      <c r="D3580">
        <v>0.92143312494291696</v>
      </c>
      <c r="E3580">
        <v>0.75410474889351098</v>
      </c>
      <c r="F3580">
        <v>0.47909434878757801</v>
      </c>
      <c r="G3580">
        <v>0.210074451302947</v>
      </c>
      <c r="H3580">
        <v>0.11358269786748799</v>
      </c>
      <c r="I3580">
        <v>7.8149213407121096E-2</v>
      </c>
      <c r="J3580">
        <v>6.6395059876039997E-2</v>
      </c>
      <c r="K3580">
        <v>4.3488064268093901E-2</v>
      </c>
      <c r="L3580">
        <v>999.74296473706795</v>
      </c>
      <c r="M3580">
        <v>19.0259309204978</v>
      </c>
      <c r="N3580">
        <v>52.801201370722403</v>
      </c>
      <c r="O3580">
        <v>51.976143032426101</v>
      </c>
      <c r="P3580">
        <v>-8.75015486672749E-2</v>
      </c>
      <c r="Q3580">
        <v>4.3870287789984197E-2</v>
      </c>
      <c r="R3580">
        <v>0.99902013772090403</v>
      </c>
      <c r="S3580" t="s">
        <v>7876</v>
      </c>
      <c r="T3580" t="s">
        <v>8590</v>
      </c>
      <c r="U3580" t="s">
        <v>8590</v>
      </c>
      <c r="V3580" t="s">
        <v>8590</v>
      </c>
      <c r="W3580">
        <v>11</v>
      </c>
      <c r="X3580" t="s">
        <v>12170</v>
      </c>
      <c r="Y3580">
        <v>0.45811545310752527</v>
      </c>
      <c r="Z3580" t="str">
        <f>HYPERLINK("Melting_Curves/meltCurve_sp_Q9Y5K5_2_UCHL5_HUMAN_.pdf", "Melting_Curves/meltCurve_sp_Q9Y5K5_2_UCHL5_HUMAN_.pdf")</f>
        <v>Melting_Curves/meltCurve_sp_Q9Y5K5_2_UCHL5_HUMAN_.pdf</v>
      </c>
      <c r="AA3580" t="s">
        <v>16415</v>
      </c>
      <c r="AB3580" t="s">
        <v>20663</v>
      </c>
    </row>
    <row r="3581" spans="1:28" x14ac:dyDescent="0.25">
      <c r="A3581" t="s">
        <v>3585</v>
      </c>
      <c r="B3581">
        <v>0.99876560204751996</v>
      </c>
      <c r="C3581">
        <v>0.78678345917824499</v>
      </c>
      <c r="D3581">
        <v>0.97524909768978996</v>
      </c>
      <c r="E3581">
        <v>0.90173783643011596</v>
      </c>
      <c r="F3581">
        <v>0.85930401717749405</v>
      </c>
      <c r="G3581">
        <v>0.70564601495411405</v>
      </c>
      <c r="H3581">
        <v>0.59245422130800796</v>
      </c>
      <c r="I3581">
        <v>0.54922688118666296</v>
      </c>
      <c r="J3581">
        <v>0.65057113826283697</v>
      </c>
      <c r="K3581">
        <v>0.65442167518827599</v>
      </c>
      <c r="L3581">
        <v>921.52725280964501</v>
      </c>
      <c r="M3581">
        <v>17.181049294239202</v>
      </c>
      <c r="O3581">
        <v>52.925469721610803</v>
      </c>
      <c r="P3581">
        <v>-3.28557866030873E-2</v>
      </c>
      <c r="Q3581">
        <v>0.59518087466210001</v>
      </c>
      <c r="R3581">
        <v>0.75607732854114196</v>
      </c>
      <c r="S3581" t="s">
        <v>7877</v>
      </c>
      <c r="T3581" t="s">
        <v>8590</v>
      </c>
      <c r="U3581" t="s">
        <v>8590</v>
      </c>
      <c r="V3581" t="s">
        <v>8590</v>
      </c>
      <c r="W3581">
        <v>13</v>
      </c>
      <c r="X3581" t="s">
        <v>12171</v>
      </c>
      <c r="Y3581">
        <v>0.78619973430986501</v>
      </c>
      <c r="Z3581" t="str">
        <f>HYPERLINK("Melting_Curves/meltCurve_sp_Q9Y5K6_CD2AP_HUMAN_.pdf", "Melting_Curves/meltCurve_sp_Q9Y5K6_CD2AP_HUMAN_.pdf")</f>
        <v>Melting_Curves/meltCurve_sp_Q9Y5K6_CD2AP_HUMAN_.pdf</v>
      </c>
      <c r="AA3581" t="s">
        <v>16416</v>
      </c>
      <c r="AB3581" t="s">
        <v>20664</v>
      </c>
    </row>
    <row r="3582" spans="1:28" x14ac:dyDescent="0.25">
      <c r="A3582" t="s">
        <v>3586</v>
      </c>
      <c r="B3582">
        <v>0.99876560204751996</v>
      </c>
      <c r="C3582">
        <v>1.16647150992034</v>
      </c>
      <c r="D3582">
        <v>1.00057611620023</v>
      </c>
      <c r="E3582">
        <v>1.1016247159408099</v>
      </c>
      <c r="F3582">
        <v>0.904165912922681</v>
      </c>
      <c r="G3582">
        <v>0.69696322157078505</v>
      </c>
      <c r="H3582">
        <v>0.32110797310983002</v>
      </c>
      <c r="I3582">
        <v>0.119003980827106</v>
      </c>
      <c r="J3582">
        <v>7.06394433486323E-2</v>
      </c>
      <c r="K3582">
        <v>6.5045293102375404E-2</v>
      </c>
      <c r="L3582">
        <v>1514.5626457181299</v>
      </c>
      <c r="M3582">
        <v>25.7842534558607</v>
      </c>
      <c r="N3582">
        <v>58.914800139604999</v>
      </c>
      <c r="O3582">
        <v>58.389918221865102</v>
      </c>
      <c r="P3582">
        <v>-0.106328881332901</v>
      </c>
      <c r="Q3582">
        <v>3.6860086457962203E-2</v>
      </c>
      <c r="R3582">
        <v>0.97683048082945201</v>
      </c>
      <c r="S3582" t="s">
        <v>7878</v>
      </c>
      <c r="T3582" t="s">
        <v>8590</v>
      </c>
      <c r="U3582" t="s">
        <v>8590</v>
      </c>
      <c r="V3582" t="s">
        <v>8590</v>
      </c>
      <c r="W3582">
        <v>6</v>
      </c>
      <c r="X3582" t="s">
        <v>12172</v>
      </c>
      <c r="Y3582">
        <v>0.64622634940611134</v>
      </c>
      <c r="Z3582" t="str">
        <f>HYPERLINK("Melting_Curves/meltCurve_sp_Q9Y5K8_VATD_HUMAN_.pdf", "Melting_Curves/meltCurve_sp_Q9Y5K8_VATD_HUMAN_.pdf")</f>
        <v>Melting_Curves/meltCurve_sp_Q9Y5K8_VATD_HUMAN_.pdf</v>
      </c>
      <c r="AA3582" t="s">
        <v>16417</v>
      </c>
      <c r="AB3582" t="s">
        <v>20665</v>
      </c>
    </row>
    <row r="3583" spans="1:28" x14ac:dyDescent="0.25">
      <c r="A3583" t="s">
        <v>3587</v>
      </c>
      <c r="B3583">
        <v>0.99876560204751996</v>
      </c>
      <c r="C3583">
        <v>0.99896131358722096</v>
      </c>
      <c r="D3583">
        <v>0.94798962144719601</v>
      </c>
      <c r="E3583">
        <v>0.90153905378347898</v>
      </c>
      <c r="F3583">
        <v>0.45020091666928502</v>
      </c>
      <c r="G3583">
        <v>0.156731735687728</v>
      </c>
      <c r="H3583">
        <v>8.6685265804938294E-2</v>
      </c>
      <c r="I3583">
        <v>6.42650610883964E-2</v>
      </c>
      <c r="J3583">
        <v>5.7939299805718499E-2</v>
      </c>
      <c r="K3583">
        <v>4.1080472621121897E-2</v>
      </c>
      <c r="L3583">
        <v>1886.9334916681401</v>
      </c>
      <c r="M3583">
        <v>35.874932464097199</v>
      </c>
      <c r="N3583">
        <v>52.807873031302499</v>
      </c>
      <c r="O3583">
        <v>52.434918394854598</v>
      </c>
      <c r="P3583">
        <v>-0.15965864440087599</v>
      </c>
      <c r="Q3583">
        <v>6.6572606153595698E-2</v>
      </c>
      <c r="R3583">
        <v>0.99685629082891603</v>
      </c>
      <c r="S3583" t="s">
        <v>7879</v>
      </c>
      <c r="T3583" t="s">
        <v>8590</v>
      </c>
      <c r="U3583" t="s">
        <v>8590</v>
      </c>
      <c r="V3583" t="s">
        <v>8590</v>
      </c>
      <c r="W3583">
        <v>17</v>
      </c>
      <c r="X3583" t="s">
        <v>12173</v>
      </c>
      <c r="Y3583">
        <v>0.46275379239983622</v>
      </c>
      <c r="Z3583" t="str">
        <f>HYPERLINK("Melting_Curves/meltCurve_sp_Q9Y5L0_TNPO3_HUMAN_.pdf", "Melting_Curves/meltCurve_sp_Q9Y5L0_TNPO3_HUMAN_.pdf")</f>
        <v>Melting_Curves/meltCurve_sp_Q9Y5L0_TNPO3_HUMAN_.pdf</v>
      </c>
      <c r="AA3583" t="s">
        <v>16418</v>
      </c>
      <c r="AB3583" t="s">
        <v>20666</v>
      </c>
    </row>
    <row r="3584" spans="1:28" x14ac:dyDescent="0.25">
      <c r="A3584" t="s">
        <v>3588</v>
      </c>
      <c r="B3584">
        <v>0.99876560204751996</v>
      </c>
      <c r="C3584">
        <v>0.98138726235448104</v>
      </c>
      <c r="D3584">
        <v>0.93763803207674201</v>
      </c>
      <c r="E3584">
        <v>0.95759233657416698</v>
      </c>
      <c r="F3584">
        <v>0.763384597852512</v>
      </c>
      <c r="G3584">
        <v>0.55661253616719097</v>
      </c>
      <c r="H3584">
        <v>0.65510040377345802</v>
      </c>
      <c r="I3584">
        <v>0.446259443922358</v>
      </c>
      <c r="J3584">
        <v>0.54537394330628097</v>
      </c>
      <c r="K3584">
        <v>0.444873390562251</v>
      </c>
      <c r="L3584">
        <v>1206.7193596575501</v>
      </c>
      <c r="M3584">
        <v>22.554823927786401</v>
      </c>
      <c r="O3584">
        <v>53.086359220227699</v>
      </c>
      <c r="P3584">
        <v>-5.30687143706422E-2</v>
      </c>
      <c r="Q3584">
        <v>0.500387486491364</v>
      </c>
      <c r="R3584">
        <v>0.93141245660132999</v>
      </c>
      <c r="S3584" t="s">
        <v>7880</v>
      </c>
      <c r="T3584" t="s">
        <v>8590</v>
      </c>
      <c r="U3584" t="s">
        <v>8590</v>
      </c>
      <c r="V3584" t="s">
        <v>8590</v>
      </c>
      <c r="W3584">
        <v>6</v>
      </c>
      <c r="X3584" t="s">
        <v>12174</v>
      </c>
      <c r="Y3584">
        <v>0.73080078471908583</v>
      </c>
      <c r="Z3584" t="str">
        <f>HYPERLINK("Melting_Curves/meltCurve_sp_Q9Y5L4_TIM13_HUMAN_.pdf", "Melting_Curves/meltCurve_sp_Q9Y5L4_TIM13_HUMAN_.pdf")</f>
        <v>Melting_Curves/meltCurve_sp_Q9Y5L4_TIM13_HUMAN_.pdf</v>
      </c>
      <c r="AA3584" t="s">
        <v>16419</v>
      </c>
      <c r="AB3584" t="s">
        <v>20667</v>
      </c>
    </row>
    <row r="3585" spans="1:28" x14ac:dyDescent="0.25">
      <c r="A3585" t="s">
        <v>3589</v>
      </c>
      <c r="B3585">
        <v>0.99876560204751996</v>
      </c>
      <c r="C3585">
        <v>0.93834216757032196</v>
      </c>
      <c r="D3585">
        <v>0.84977396791956095</v>
      </c>
      <c r="E3585">
        <v>0.73582725583616404</v>
      </c>
      <c r="F3585">
        <v>0.46092174152056198</v>
      </c>
      <c r="G3585">
        <v>0.40015778870545099</v>
      </c>
      <c r="H3585">
        <v>0.33209741531286902</v>
      </c>
      <c r="I3585">
        <v>0.36566870824911701</v>
      </c>
      <c r="J3585">
        <v>0.416741467840619</v>
      </c>
      <c r="K3585">
        <v>0.433235119732364</v>
      </c>
      <c r="L3585">
        <v>1001.95442462388</v>
      </c>
      <c r="M3585">
        <v>20.193504905428298</v>
      </c>
      <c r="N3585">
        <v>53.268544695052199</v>
      </c>
      <c r="O3585">
        <v>49.1387415426777</v>
      </c>
      <c r="P3585">
        <v>-6.4242131782998896E-2</v>
      </c>
      <c r="Q3585">
        <v>0.37471389707046598</v>
      </c>
      <c r="R3585">
        <v>0.96770644046672705</v>
      </c>
      <c r="S3585" t="s">
        <v>7881</v>
      </c>
      <c r="T3585" t="s">
        <v>8590</v>
      </c>
      <c r="U3585" t="s">
        <v>8590</v>
      </c>
      <c r="V3585" t="s">
        <v>8590</v>
      </c>
      <c r="W3585">
        <v>7</v>
      </c>
      <c r="X3585" t="s">
        <v>12175</v>
      </c>
      <c r="Y3585">
        <v>0.58372854690313603</v>
      </c>
      <c r="Z3585" t="str">
        <f>HYPERLINK("Melting_Curves/meltCurve_sp_Q9Y5P4_2_C43BP_HUMAN_.pdf", "Melting_Curves/meltCurve_sp_Q9Y5P4_2_C43BP_HUMAN_.pdf")</f>
        <v>Melting_Curves/meltCurve_sp_Q9Y5P4_2_C43BP_HUMAN_.pdf</v>
      </c>
      <c r="AA3585" t="s">
        <v>16420</v>
      </c>
      <c r="AB3585" t="s">
        <v>20668</v>
      </c>
    </row>
    <row r="3586" spans="1:28" x14ac:dyDescent="0.25">
      <c r="A3586" t="s">
        <v>3590</v>
      </c>
      <c r="B3586">
        <v>0.99876560204751996</v>
      </c>
      <c r="C3586">
        <v>0.99061131984688999</v>
      </c>
      <c r="D3586">
        <v>0.92064103266389796</v>
      </c>
      <c r="E3586">
        <v>0.81625760032307304</v>
      </c>
      <c r="F3586">
        <v>0.47039870857055499</v>
      </c>
      <c r="G3586">
        <v>0.185914371914249</v>
      </c>
      <c r="H3586">
        <v>0.112835818346121</v>
      </c>
      <c r="I3586">
        <v>8.3237635286889405E-2</v>
      </c>
      <c r="J3586">
        <v>7.9938744597050901E-2</v>
      </c>
      <c r="K3586">
        <v>7.2756034577728307E-2</v>
      </c>
      <c r="L3586">
        <v>1310.07280505263</v>
      </c>
      <c r="M3586">
        <v>24.962074013507099</v>
      </c>
      <c r="N3586">
        <v>52.827663680718501</v>
      </c>
      <c r="O3586">
        <v>52.149182025528297</v>
      </c>
      <c r="P3586">
        <v>-0.110664536045603</v>
      </c>
      <c r="Q3586">
        <v>7.5239197687344397E-2</v>
      </c>
      <c r="R3586">
        <v>0.997639079421342</v>
      </c>
      <c r="S3586" t="s">
        <v>7882</v>
      </c>
      <c r="T3586" t="s">
        <v>8590</v>
      </c>
      <c r="U3586" t="s">
        <v>8590</v>
      </c>
      <c r="V3586" t="s">
        <v>8590</v>
      </c>
      <c r="W3586">
        <v>10</v>
      </c>
      <c r="X3586" t="s">
        <v>12176</v>
      </c>
      <c r="Y3586">
        <v>0.46852203001581599</v>
      </c>
      <c r="Z3586" t="str">
        <f>HYPERLINK("Melting_Curves/meltCurve_sp_Q9Y5P6_GMPPB_HUMAN_.pdf", "Melting_Curves/meltCurve_sp_Q9Y5P6_GMPPB_HUMAN_.pdf")</f>
        <v>Melting_Curves/meltCurve_sp_Q9Y5P6_GMPPB_HUMAN_.pdf</v>
      </c>
      <c r="AA3586" t="s">
        <v>16421</v>
      </c>
      <c r="AB3586" t="s">
        <v>20669</v>
      </c>
    </row>
    <row r="3587" spans="1:28" x14ac:dyDescent="0.25">
      <c r="A3587" t="s">
        <v>3591</v>
      </c>
      <c r="B3587">
        <v>0.99876560204751996</v>
      </c>
      <c r="C3587">
        <v>0.96965576634238504</v>
      </c>
      <c r="D3587">
        <v>0.72287216032635604</v>
      </c>
      <c r="E3587">
        <v>0.58478982099899202</v>
      </c>
      <c r="F3587">
        <v>0.44972222772707299</v>
      </c>
      <c r="G3587">
        <v>0.279713422367319</v>
      </c>
      <c r="H3587">
        <v>0.14319272497493801</v>
      </c>
      <c r="I3587">
        <v>0.123213669574193</v>
      </c>
      <c r="J3587">
        <v>0.121316573273259</v>
      </c>
      <c r="K3587">
        <v>9.2740058984354903E-2</v>
      </c>
      <c r="L3587">
        <v>602.69276723686698</v>
      </c>
      <c r="M3587">
        <v>11.813036268247201</v>
      </c>
      <c r="N3587">
        <v>51.511667953158302</v>
      </c>
      <c r="O3587">
        <v>49.623115303329399</v>
      </c>
      <c r="P3587">
        <v>-5.6350975790284898E-2</v>
      </c>
      <c r="Q3587">
        <v>5.3386656955478499E-2</v>
      </c>
      <c r="R3587">
        <v>0.98918415929178105</v>
      </c>
      <c r="S3587" t="s">
        <v>7883</v>
      </c>
      <c r="T3587" t="s">
        <v>8590</v>
      </c>
      <c r="U3587" t="s">
        <v>8590</v>
      </c>
      <c r="V3587" t="s">
        <v>8590</v>
      </c>
      <c r="W3587">
        <v>12</v>
      </c>
      <c r="X3587" t="s">
        <v>12177</v>
      </c>
      <c r="Y3587">
        <v>0.43261940510972591</v>
      </c>
      <c r="Z3587" t="str">
        <f>HYPERLINK("Melting_Curves/meltCurve_sp_Q9Y5S2_MRCKB_HUMAN_.pdf", "Melting_Curves/meltCurve_sp_Q9Y5S2_MRCKB_HUMAN_.pdf")</f>
        <v>Melting_Curves/meltCurve_sp_Q9Y5S2_MRCKB_HUMAN_.pdf</v>
      </c>
      <c r="AA3587" t="s">
        <v>16422</v>
      </c>
      <c r="AB3587" t="s">
        <v>20670</v>
      </c>
    </row>
    <row r="3588" spans="1:28" x14ac:dyDescent="0.25">
      <c r="A3588" t="s">
        <v>3592</v>
      </c>
      <c r="B3588">
        <v>0.99876560204751996</v>
      </c>
      <c r="C3588">
        <v>1.14845847765134</v>
      </c>
      <c r="D3588">
        <v>1.0014621265991599</v>
      </c>
      <c r="E3588">
        <v>1.1046352946654401</v>
      </c>
      <c r="F3588">
        <v>0.98758441400763697</v>
      </c>
      <c r="G3588">
        <v>1.05050322130004</v>
      </c>
      <c r="H3588">
        <v>0.883758121080088</v>
      </c>
      <c r="I3588">
        <v>0.96828196438246805</v>
      </c>
      <c r="J3588">
        <v>1.0579804123388701</v>
      </c>
      <c r="K3588">
        <v>1.0703749038985</v>
      </c>
      <c r="L3588">
        <v>15000</v>
      </c>
      <c r="M3588">
        <v>225.419083697004</v>
      </c>
      <c r="O3588">
        <v>66.537495566299995</v>
      </c>
      <c r="P3588">
        <v>5.9621930909647701E-2</v>
      </c>
      <c r="Q3588">
        <v>1.0703949884994199</v>
      </c>
      <c r="R3588">
        <v>1.8106722674826801E-2</v>
      </c>
      <c r="S3588" t="s">
        <v>7884</v>
      </c>
      <c r="T3588" t="s">
        <v>8590</v>
      </c>
      <c r="U3588" t="s">
        <v>8590</v>
      </c>
      <c r="V3588" t="s">
        <v>8590</v>
      </c>
      <c r="W3588">
        <v>5</v>
      </c>
      <c r="X3588" t="s">
        <v>12178</v>
      </c>
      <c r="Y3588">
        <v>1.008102394789901</v>
      </c>
      <c r="Z3588" t="str">
        <f>HYPERLINK("Melting_Curves/meltCurve_sp_Q9Y5S9_RBM8A_HUMAN_.pdf", "Melting_Curves/meltCurve_sp_Q9Y5S9_RBM8A_HUMAN_.pdf")</f>
        <v>Melting_Curves/meltCurve_sp_Q9Y5S9_RBM8A_HUMAN_.pdf</v>
      </c>
      <c r="AA3588" t="s">
        <v>16423</v>
      </c>
      <c r="AB3588" t="s">
        <v>20671</v>
      </c>
    </row>
    <row r="3589" spans="1:28" x14ac:dyDescent="0.25">
      <c r="A3589" t="s">
        <v>3593</v>
      </c>
      <c r="B3589">
        <v>0.99876560204751996</v>
      </c>
      <c r="C3589">
        <v>0.88214576029524505</v>
      </c>
      <c r="D3589">
        <v>0.87639780993428096</v>
      </c>
      <c r="E3589">
        <v>0.85141182311601904</v>
      </c>
      <c r="F3589">
        <v>0.60367947686706003</v>
      </c>
      <c r="G3589">
        <v>0.64952261142726597</v>
      </c>
      <c r="H3589">
        <v>0.47384253437932</v>
      </c>
      <c r="I3589">
        <v>0.62494291950494896</v>
      </c>
      <c r="J3589">
        <v>0.73246091907012301</v>
      </c>
      <c r="K3589">
        <v>0.73341743000707005</v>
      </c>
      <c r="L3589">
        <v>806.83718528393501</v>
      </c>
      <c r="M3589">
        <v>16.890918475964099</v>
      </c>
      <c r="O3589">
        <v>47.113043559797099</v>
      </c>
      <c r="P3589">
        <v>-3.2913516826124201E-2</v>
      </c>
      <c r="Q3589">
        <v>0.632806775152296</v>
      </c>
      <c r="R3589">
        <v>0.69157146563622995</v>
      </c>
      <c r="S3589" t="s">
        <v>7885</v>
      </c>
      <c r="T3589" t="s">
        <v>8590</v>
      </c>
      <c r="U3589" t="s">
        <v>8590</v>
      </c>
      <c r="V3589" t="s">
        <v>8590</v>
      </c>
      <c r="W3589">
        <v>1</v>
      </c>
      <c r="X3589" t="s">
        <v>12179</v>
      </c>
      <c r="Y3589">
        <v>0.73537877226107529</v>
      </c>
      <c r="Z3589" t="str">
        <f>HYPERLINK("Melting_Curves/meltCurve_sp_Q9Y5U2_2_TSSC4_HUMAN_.pdf", "Melting_Curves/meltCurve_sp_Q9Y5U2_2_TSSC4_HUMAN_.pdf")</f>
        <v>Melting_Curves/meltCurve_sp_Q9Y5U2_2_TSSC4_HUMAN_.pdf</v>
      </c>
      <c r="AA3589" t="s">
        <v>16424</v>
      </c>
      <c r="AB3589" t="s">
        <v>20672</v>
      </c>
    </row>
    <row r="3590" spans="1:28" x14ac:dyDescent="0.25">
      <c r="A3590" t="s">
        <v>3594</v>
      </c>
      <c r="B3590">
        <v>0.99876560204751996</v>
      </c>
      <c r="C3590">
        <v>0.80248095323219804</v>
      </c>
      <c r="D3590">
        <v>0.93053878476841501</v>
      </c>
      <c r="E3590">
        <v>0.766125866593792</v>
      </c>
      <c r="F3590">
        <v>0.82884499334492201</v>
      </c>
      <c r="G3590">
        <v>0.68226227275517803</v>
      </c>
      <c r="H3590">
        <v>0.63129229279391497</v>
      </c>
      <c r="I3590">
        <v>0.75408039197641696</v>
      </c>
      <c r="J3590">
        <v>0.82241943764202396</v>
      </c>
      <c r="K3590">
        <v>0.95644562164519797</v>
      </c>
      <c r="L3590">
        <v>719.86185535880395</v>
      </c>
      <c r="M3590">
        <v>16.698668394729999</v>
      </c>
      <c r="O3590">
        <v>42.504933696666598</v>
      </c>
      <c r="P3590">
        <v>-2.1820494275680401E-2</v>
      </c>
      <c r="Q3590">
        <v>0.77784642999715803</v>
      </c>
      <c r="R3590">
        <v>0.29280636837998097</v>
      </c>
      <c r="S3590" t="s">
        <v>7886</v>
      </c>
      <c r="T3590" t="s">
        <v>8590</v>
      </c>
      <c r="U3590" t="s">
        <v>8590</v>
      </c>
      <c r="V3590" t="s">
        <v>8590</v>
      </c>
      <c r="W3590">
        <v>3</v>
      </c>
      <c r="X3590" t="s">
        <v>12180</v>
      </c>
      <c r="Y3590">
        <v>0.80831339483609788</v>
      </c>
      <c r="Z3590" t="str">
        <f>HYPERLINK("Melting_Curves/meltCurve_sp_Q9Y5V0_ZN706_HUMAN_.pdf", "Melting_Curves/meltCurve_sp_Q9Y5V0_ZN706_HUMAN_.pdf")</f>
        <v>Melting_Curves/meltCurve_sp_Q9Y5V0_ZN706_HUMAN_.pdf</v>
      </c>
      <c r="AA3590" t="s">
        <v>16425</v>
      </c>
      <c r="AB3590" t="s">
        <v>20673</v>
      </c>
    </row>
    <row r="3591" spans="1:28" x14ac:dyDescent="0.25">
      <c r="A3591" t="s">
        <v>3595</v>
      </c>
      <c r="B3591">
        <v>0.99876560204751996</v>
      </c>
      <c r="C3591">
        <v>0.93552732259156102</v>
      </c>
      <c r="D3591">
        <v>0.81126642986533504</v>
      </c>
      <c r="E3591">
        <v>0.60147765512701001</v>
      </c>
      <c r="F3591">
        <v>0.33445265523680801</v>
      </c>
      <c r="G3591">
        <v>0.203719718026382</v>
      </c>
      <c r="H3591">
        <v>0.15573283743129601</v>
      </c>
      <c r="I3591">
        <v>0.13798581648312599</v>
      </c>
      <c r="J3591">
        <v>0.133990425329026</v>
      </c>
      <c r="K3591">
        <v>0.120234121539274</v>
      </c>
      <c r="L3591">
        <v>840.09465319531</v>
      </c>
      <c r="M3591">
        <v>16.788511715152499</v>
      </c>
      <c r="N3591">
        <v>50.813337012342501</v>
      </c>
      <c r="O3591">
        <v>49.346052758671703</v>
      </c>
      <c r="P3591">
        <v>-7.5469358450577603E-2</v>
      </c>
      <c r="Q3591">
        <v>0.112756808122322</v>
      </c>
      <c r="R3591">
        <v>0.99687492372405295</v>
      </c>
      <c r="S3591" t="s">
        <v>7887</v>
      </c>
      <c r="T3591" t="s">
        <v>8590</v>
      </c>
      <c r="U3591" t="s">
        <v>8590</v>
      </c>
      <c r="V3591" t="s">
        <v>8590</v>
      </c>
      <c r="W3591">
        <v>10</v>
      </c>
      <c r="X3591" t="s">
        <v>12181</v>
      </c>
      <c r="Y3591">
        <v>0.4269151557273182</v>
      </c>
      <c r="Z3591" t="str">
        <f>HYPERLINK("Melting_Curves/meltCurve_sp_Q9Y5X1_SNX9_HUMAN_.pdf", "Melting_Curves/meltCurve_sp_Q9Y5X1_SNX9_HUMAN_.pdf")</f>
        <v>Melting_Curves/meltCurve_sp_Q9Y5X1_SNX9_HUMAN_.pdf</v>
      </c>
      <c r="AA3591" t="s">
        <v>16426</v>
      </c>
      <c r="AB3591" t="s">
        <v>20674</v>
      </c>
    </row>
    <row r="3592" spans="1:28" x14ac:dyDescent="0.25">
      <c r="A3592" t="s">
        <v>3596</v>
      </c>
      <c r="B3592">
        <v>0.99876560204751996</v>
      </c>
      <c r="C3592">
        <v>0.95491513028533004</v>
      </c>
      <c r="D3592">
        <v>1.03281468863785</v>
      </c>
      <c r="E3592">
        <v>0.73776011678466802</v>
      </c>
      <c r="F3592">
        <v>0.53786819485028603</v>
      </c>
      <c r="G3592">
        <v>0.36834408676774499</v>
      </c>
      <c r="H3592">
        <v>0.308823422137596</v>
      </c>
      <c r="I3592">
        <v>0.30425597172346203</v>
      </c>
      <c r="J3592">
        <v>0.359507295671539</v>
      </c>
      <c r="K3592">
        <v>0.37746136873859898</v>
      </c>
      <c r="L3592">
        <v>1439.97780812718</v>
      </c>
      <c r="M3592">
        <v>28.188808937457399</v>
      </c>
      <c r="N3592">
        <v>53.200272171406802</v>
      </c>
      <c r="O3592">
        <v>50.828302429970101</v>
      </c>
      <c r="P3592">
        <v>-9.1904891273913797E-2</v>
      </c>
      <c r="Q3592">
        <v>0.33713685725327103</v>
      </c>
      <c r="R3592">
        <v>0.98614015842440805</v>
      </c>
      <c r="S3592" t="s">
        <v>7888</v>
      </c>
      <c r="T3592" t="s">
        <v>8590</v>
      </c>
      <c r="U3592" t="s">
        <v>8590</v>
      </c>
      <c r="V3592" t="s">
        <v>8590</v>
      </c>
      <c r="W3592">
        <v>14</v>
      </c>
      <c r="X3592" t="s">
        <v>12182</v>
      </c>
      <c r="Y3592">
        <v>0.58675361466065357</v>
      </c>
      <c r="Z3592" t="str">
        <f>HYPERLINK("Melting_Curves/meltCurve_sp_Q9Y5X3_SNX5_HUMAN_.pdf", "Melting_Curves/meltCurve_sp_Q9Y5X3_SNX5_HUMAN_.pdf")</f>
        <v>Melting_Curves/meltCurve_sp_Q9Y5X3_SNX5_HUMAN_.pdf</v>
      </c>
      <c r="AA3592" t="s">
        <v>16427</v>
      </c>
      <c r="AB3592" t="s">
        <v>20675</v>
      </c>
    </row>
    <row r="3593" spans="1:28" x14ac:dyDescent="0.25">
      <c r="A3593" t="s">
        <v>3597</v>
      </c>
      <c r="B3593">
        <v>0.99876560204751996</v>
      </c>
      <c r="C3593">
        <v>0.835699571297989</v>
      </c>
      <c r="D3593">
        <v>0.74509513193836396</v>
      </c>
      <c r="E3593">
        <v>0.64949966908266799</v>
      </c>
      <c r="F3593">
        <v>0.32785218130858401</v>
      </c>
      <c r="G3593">
        <v>0.15717043759153099</v>
      </c>
      <c r="H3593">
        <v>8.2196152479408993E-2</v>
      </c>
      <c r="I3593">
        <v>7.6017790507099794E-2</v>
      </c>
      <c r="J3593">
        <v>0</v>
      </c>
      <c r="K3593">
        <v>2.0394938843739201E-2</v>
      </c>
      <c r="L3593">
        <v>663.45036202972801</v>
      </c>
      <c r="M3593">
        <v>13.100138001971899</v>
      </c>
      <c r="N3593">
        <v>50.6445317104344</v>
      </c>
      <c r="O3593">
        <v>49.507998092377299</v>
      </c>
      <c r="P3593">
        <v>-6.6162967116520296E-2</v>
      </c>
      <c r="Q3593">
        <v>0</v>
      </c>
      <c r="R3593">
        <v>0.98125804530418603</v>
      </c>
      <c r="S3593" t="s">
        <v>7889</v>
      </c>
      <c r="T3593" t="s">
        <v>8590</v>
      </c>
      <c r="U3593" t="s">
        <v>8590</v>
      </c>
      <c r="V3593" t="s">
        <v>8590</v>
      </c>
      <c r="W3593">
        <v>1</v>
      </c>
      <c r="X3593" t="s">
        <v>12183</v>
      </c>
      <c r="Y3593">
        <v>0.38396851554259109</v>
      </c>
      <c r="Z3593" t="str">
        <f>HYPERLINK("Melting_Curves/meltCurve_sp_Q9Y5Y2_NUBP2_HUMAN_.pdf", "Melting_Curves/meltCurve_sp_Q9Y5Y2_NUBP2_HUMAN_.pdf")</f>
        <v>Melting_Curves/meltCurve_sp_Q9Y5Y2_NUBP2_HUMAN_.pdf</v>
      </c>
      <c r="AA3593" t="s">
        <v>16428</v>
      </c>
      <c r="AB3593" t="s">
        <v>20676</v>
      </c>
    </row>
    <row r="3594" spans="1:28" x14ac:dyDescent="0.25">
      <c r="A3594" t="s">
        <v>3598</v>
      </c>
      <c r="B3594">
        <v>0.99876560204751996</v>
      </c>
      <c r="C3594">
        <v>0.90747432950116202</v>
      </c>
      <c r="D3594">
        <v>0.975497592247342</v>
      </c>
      <c r="E3594">
        <v>0.91533504139726096</v>
      </c>
      <c r="F3594">
        <v>0.88838690242177298</v>
      </c>
      <c r="G3594">
        <v>0.75158569667003094</v>
      </c>
      <c r="H3594">
        <v>0.68137148405396997</v>
      </c>
      <c r="I3594">
        <v>0.70316747789379996</v>
      </c>
      <c r="J3594">
        <v>0.83952135038411502</v>
      </c>
      <c r="K3594">
        <v>0.86546392942320105</v>
      </c>
      <c r="L3594">
        <v>1363.7758083364799</v>
      </c>
      <c r="M3594">
        <v>26.363420000466501</v>
      </c>
      <c r="O3594">
        <v>51.434976802644996</v>
      </c>
      <c r="P3594">
        <v>-2.9717600900517699E-2</v>
      </c>
      <c r="Q3594">
        <v>0.76808667998861102</v>
      </c>
      <c r="R3594">
        <v>0.63599585729215302</v>
      </c>
      <c r="S3594" t="s">
        <v>7890</v>
      </c>
      <c r="T3594" t="s">
        <v>8590</v>
      </c>
      <c r="U3594" t="s">
        <v>8590</v>
      </c>
      <c r="V3594" t="s">
        <v>8590</v>
      </c>
      <c r="W3594">
        <v>12</v>
      </c>
      <c r="X3594" t="s">
        <v>12184</v>
      </c>
      <c r="Y3594">
        <v>0.86066773495342475</v>
      </c>
      <c r="Z3594" t="str">
        <f>HYPERLINK("Melting_Curves/meltCurve_sp_Q9Y5Z4_HEBP2_HUMAN_.pdf", "Melting_Curves/meltCurve_sp_Q9Y5Z4_HEBP2_HUMAN_.pdf")</f>
        <v>Melting_Curves/meltCurve_sp_Q9Y5Z4_HEBP2_HUMAN_.pdf</v>
      </c>
      <c r="AA3594" t="s">
        <v>16429</v>
      </c>
      <c r="AB3594" t="s">
        <v>20677</v>
      </c>
    </row>
    <row r="3595" spans="1:28" x14ac:dyDescent="0.25">
      <c r="A3595" t="s">
        <v>3599</v>
      </c>
      <c r="B3595">
        <v>0.99876560204751996</v>
      </c>
      <c r="C3595">
        <v>0.96813305567025498</v>
      </c>
      <c r="D3595">
        <v>0.88035893179314295</v>
      </c>
      <c r="E3595">
        <v>0.85176973900338004</v>
      </c>
      <c r="F3595">
        <v>0.79873437129664904</v>
      </c>
      <c r="G3595">
        <v>0.60456513714045601</v>
      </c>
      <c r="H3595">
        <v>0.53692828827110095</v>
      </c>
      <c r="I3595">
        <v>0.54422504053855902</v>
      </c>
      <c r="J3595">
        <v>0.70482066705852997</v>
      </c>
      <c r="K3595">
        <v>0.67982701710500604</v>
      </c>
      <c r="L3595">
        <v>855.36910446900902</v>
      </c>
      <c r="M3595">
        <v>16.8418430357885</v>
      </c>
      <c r="O3595">
        <v>50.088505310173701</v>
      </c>
      <c r="P3595">
        <v>-3.3181190359262501E-2</v>
      </c>
      <c r="Q3595">
        <v>0.60529506060096705</v>
      </c>
      <c r="R3595">
        <v>0.84821806606494698</v>
      </c>
      <c r="S3595" t="s">
        <v>7891</v>
      </c>
      <c r="T3595" t="s">
        <v>8590</v>
      </c>
      <c r="U3595" t="s">
        <v>8590</v>
      </c>
      <c r="V3595" t="s">
        <v>8590</v>
      </c>
      <c r="W3595">
        <v>8</v>
      </c>
      <c r="X3595" t="s">
        <v>12185</v>
      </c>
      <c r="Y3595">
        <v>0.75475019323996284</v>
      </c>
      <c r="Z3595" t="str">
        <f>HYPERLINK("Melting_Curves/meltCurve_sp_Q9Y608_4_LRRF2_HUMAN_.pdf", "Melting_Curves/meltCurve_sp_Q9Y608_4_LRRF2_HUMAN_.pdf")</f>
        <v>Melting_Curves/meltCurve_sp_Q9Y608_4_LRRF2_HUMAN_.pdf</v>
      </c>
      <c r="AA3595" t="s">
        <v>16430</v>
      </c>
      <c r="AB3595" t="s">
        <v>20678</v>
      </c>
    </row>
    <row r="3596" spans="1:28" x14ac:dyDescent="0.25">
      <c r="A3596" t="s">
        <v>3600</v>
      </c>
      <c r="B3596">
        <v>0.99876560204751996</v>
      </c>
      <c r="C3596">
        <v>1.0062968994149</v>
      </c>
      <c r="D3596">
        <v>1.030613125133</v>
      </c>
      <c r="E3596">
        <v>1.0162223255127001</v>
      </c>
      <c r="F3596">
        <v>0.98909942515334204</v>
      </c>
      <c r="G3596">
        <v>0.75908837288511399</v>
      </c>
      <c r="H3596">
        <v>0.44121148859041698</v>
      </c>
      <c r="I3596">
        <v>0.235139982031769</v>
      </c>
      <c r="J3596">
        <v>0.12683716521744701</v>
      </c>
      <c r="K3596">
        <v>8.6113694799238694E-2</v>
      </c>
      <c r="L3596">
        <v>1394.2326383930099</v>
      </c>
      <c r="M3596">
        <v>23.2624621628166</v>
      </c>
      <c r="N3596">
        <v>60.239908546484401</v>
      </c>
      <c r="O3596">
        <v>59.497205210939299</v>
      </c>
      <c r="P3596">
        <v>-9.2316888494638399E-2</v>
      </c>
      <c r="Q3596">
        <v>5.5559900439717098E-2</v>
      </c>
      <c r="R3596">
        <v>0.99774981769257998</v>
      </c>
      <c r="S3596" t="s">
        <v>7892</v>
      </c>
      <c r="T3596" t="s">
        <v>8590</v>
      </c>
      <c r="U3596" t="s">
        <v>8590</v>
      </c>
      <c r="V3596" t="s">
        <v>8590</v>
      </c>
      <c r="W3596">
        <v>22</v>
      </c>
      <c r="X3596" t="s">
        <v>12186</v>
      </c>
      <c r="Y3596">
        <v>0.6906215311660483</v>
      </c>
      <c r="Z3596" t="str">
        <f>HYPERLINK("Melting_Curves/meltCurve_sp_Q9Y617_SERC_HUMAN_.pdf", "Melting_Curves/meltCurve_sp_Q9Y617_SERC_HUMAN_.pdf")</f>
        <v>Melting_Curves/meltCurve_sp_Q9Y617_SERC_HUMAN_.pdf</v>
      </c>
      <c r="AA3596" t="s">
        <v>16431</v>
      </c>
      <c r="AB3596" t="s">
        <v>20679</v>
      </c>
    </row>
    <row r="3597" spans="1:28" x14ac:dyDescent="0.25">
      <c r="A3597" t="s">
        <v>3601</v>
      </c>
      <c r="B3597">
        <v>0.99876560204751996</v>
      </c>
      <c r="C3597">
        <v>0.96044954071364697</v>
      </c>
      <c r="D3597">
        <v>0.96437647559219297</v>
      </c>
      <c r="E3597">
        <v>0.94608393353049003</v>
      </c>
      <c r="F3597">
        <v>0.84290618008929497</v>
      </c>
      <c r="G3597">
        <v>0.69587426005058495</v>
      </c>
      <c r="H3597">
        <v>0.59471797027524997</v>
      </c>
      <c r="I3597">
        <v>0.58042483390807897</v>
      </c>
      <c r="J3597">
        <v>0.64627709262164201</v>
      </c>
      <c r="K3597">
        <v>0.55120896241101403</v>
      </c>
      <c r="L3597">
        <v>1154.2666293908201</v>
      </c>
      <c r="M3597">
        <v>21.275265837513398</v>
      </c>
      <c r="O3597">
        <v>53.7814194523095</v>
      </c>
      <c r="P3597">
        <v>-4.16394144460073E-2</v>
      </c>
      <c r="Q3597">
        <v>0.57897217707909499</v>
      </c>
      <c r="R3597">
        <v>0.974967215149805</v>
      </c>
      <c r="S3597" t="s">
        <v>7893</v>
      </c>
      <c r="T3597" t="s">
        <v>8590</v>
      </c>
      <c r="U3597" t="s">
        <v>8590</v>
      </c>
      <c r="V3597" t="s">
        <v>8590</v>
      </c>
      <c r="W3597">
        <v>9</v>
      </c>
      <c r="X3597" t="s">
        <v>12187</v>
      </c>
      <c r="Y3597">
        <v>0.78417087497509952</v>
      </c>
      <c r="Z3597" t="str">
        <f>HYPERLINK("Melting_Curves/meltCurve_sp_Q9Y646_CBPQ_HUMAN_.pdf", "Melting_Curves/meltCurve_sp_Q9Y646_CBPQ_HUMAN_.pdf")</f>
        <v>Melting_Curves/meltCurve_sp_Q9Y646_CBPQ_HUMAN_.pdf</v>
      </c>
      <c r="AA3597" t="s">
        <v>16432</v>
      </c>
      <c r="AB3597" t="s">
        <v>20680</v>
      </c>
    </row>
    <row r="3598" spans="1:28" x14ac:dyDescent="0.25">
      <c r="A3598" t="s">
        <v>3602</v>
      </c>
      <c r="B3598">
        <v>0.99876560204751996</v>
      </c>
      <c r="C3598">
        <v>0.94518777880076499</v>
      </c>
      <c r="D3598">
        <v>0.93911792999969401</v>
      </c>
      <c r="E3598">
        <v>0.85163736270111401</v>
      </c>
      <c r="F3598">
        <v>0.48063891132551101</v>
      </c>
      <c r="G3598">
        <v>0.19073175932435499</v>
      </c>
      <c r="H3598">
        <v>7.2032189134952296E-2</v>
      </c>
      <c r="I3598">
        <v>5.4054841374065202E-2</v>
      </c>
      <c r="J3598">
        <v>5.0114771911543003E-2</v>
      </c>
      <c r="K3598">
        <v>3.8921132384835598E-2</v>
      </c>
      <c r="L3598">
        <v>1350.7967754507399</v>
      </c>
      <c r="M3598">
        <v>25.559551692189501</v>
      </c>
      <c r="N3598">
        <v>53.040179092913903</v>
      </c>
      <c r="O3598">
        <v>52.528678085544897</v>
      </c>
      <c r="P3598">
        <v>-0.116294081069986</v>
      </c>
      <c r="Q3598">
        <v>4.4005273290127898E-2</v>
      </c>
      <c r="R3598">
        <v>0.99613604966673996</v>
      </c>
      <c r="S3598" t="s">
        <v>7894</v>
      </c>
      <c r="T3598" t="s">
        <v>8590</v>
      </c>
      <c r="U3598" t="s">
        <v>8590</v>
      </c>
      <c r="V3598" t="s">
        <v>8590</v>
      </c>
      <c r="W3598">
        <v>38</v>
      </c>
      <c r="X3598" t="s">
        <v>12188</v>
      </c>
      <c r="Y3598">
        <v>0.46188970815144947</v>
      </c>
      <c r="Z3598" t="str">
        <f>HYPERLINK("Melting_Curves/meltCurve_sp_Q9Y678_COPG1_HUMAN_.pdf", "Melting_Curves/meltCurve_sp_Q9Y678_COPG1_HUMAN_.pdf")</f>
        <v>Melting_Curves/meltCurve_sp_Q9Y678_COPG1_HUMAN_.pdf</v>
      </c>
      <c r="AA3598" t="s">
        <v>16433</v>
      </c>
      <c r="AB3598" t="s">
        <v>20681</v>
      </c>
    </row>
    <row r="3599" spans="1:28" x14ac:dyDescent="0.25">
      <c r="A3599" t="s">
        <v>3603</v>
      </c>
      <c r="B3599">
        <v>0.99876560204751996</v>
      </c>
      <c r="C3599">
        <v>0.71904485559301801</v>
      </c>
      <c r="D3599">
        <v>0.74872694536658602</v>
      </c>
      <c r="E3599">
        <v>0.692451675524556</v>
      </c>
      <c r="F3599">
        <v>0.71362906802384896</v>
      </c>
      <c r="G3599">
        <v>0.444870937707183</v>
      </c>
      <c r="H3599">
        <v>0.38418433268415703</v>
      </c>
      <c r="I3599">
        <v>0.36186241750085002</v>
      </c>
      <c r="J3599">
        <v>0.48833381425046302</v>
      </c>
      <c r="K3599">
        <v>0.33073429850387498</v>
      </c>
      <c r="L3599">
        <v>329.61469688256898</v>
      </c>
      <c r="M3599">
        <v>6.3139941959963304</v>
      </c>
      <c r="N3599">
        <v>57.659203288359897</v>
      </c>
      <c r="O3599">
        <v>47.701781345425701</v>
      </c>
      <c r="P3599">
        <v>-2.5718734955031099E-2</v>
      </c>
      <c r="Q3599">
        <v>0.224877706672237</v>
      </c>
      <c r="R3599">
        <v>0.85169503469205798</v>
      </c>
      <c r="S3599" t="s">
        <v>7895</v>
      </c>
      <c r="T3599" t="s">
        <v>8590</v>
      </c>
      <c r="U3599" t="s">
        <v>8590</v>
      </c>
      <c r="V3599" t="s">
        <v>8590</v>
      </c>
      <c r="W3599">
        <v>4</v>
      </c>
      <c r="X3599" t="s">
        <v>12189</v>
      </c>
      <c r="Y3599">
        <v>0.58230230093719759</v>
      </c>
      <c r="Z3599" t="str">
        <f>HYPERLINK("Melting_Curves/meltCurve_sp_Q9Y680_3_FKBP7_HUMAN_.pdf", "Melting_Curves/meltCurve_sp_Q9Y680_3_FKBP7_HUMAN_.pdf")</f>
        <v>Melting_Curves/meltCurve_sp_Q9Y680_3_FKBP7_HUMAN_.pdf</v>
      </c>
      <c r="AA3599" t="s">
        <v>16434</v>
      </c>
      <c r="AB3599" t="s">
        <v>20682</v>
      </c>
    </row>
    <row r="3600" spans="1:28" x14ac:dyDescent="0.25">
      <c r="A3600" t="s">
        <v>3604</v>
      </c>
      <c r="B3600">
        <v>0.99876560204751996</v>
      </c>
      <c r="C3600">
        <v>0.83764618651482303</v>
      </c>
      <c r="D3600">
        <v>0.90177994776585402</v>
      </c>
      <c r="E3600">
        <v>0.81257996769985197</v>
      </c>
      <c r="F3600">
        <v>0.62517025769239998</v>
      </c>
      <c r="G3600">
        <v>0.20785102656090501</v>
      </c>
      <c r="H3600">
        <v>7.7557381903262002E-2</v>
      </c>
      <c r="I3600">
        <v>5.2348136329154901E-2</v>
      </c>
      <c r="J3600">
        <v>4.9710842526601899E-2</v>
      </c>
      <c r="K3600">
        <v>4.1222635863743501E-2</v>
      </c>
      <c r="L3600">
        <v>1090.55724088531</v>
      </c>
      <c r="M3600">
        <v>20.308693260064</v>
      </c>
      <c r="N3600">
        <v>53.789503346349299</v>
      </c>
      <c r="O3600">
        <v>53.186510079944298</v>
      </c>
      <c r="P3600">
        <v>-9.3859896564726597E-2</v>
      </c>
      <c r="Q3600">
        <v>1.67900387893637E-2</v>
      </c>
      <c r="R3600">
        <v>0.977249718468851</v>
      </c>
      <c r="S3600" t="s">
        <v>7896</v>
      </c>
      <c r="T3600" t="s">
        <v>8590</v>
      </c>
      <c r="U3600" t="s">
        <v>8590</v>
      </c>
      <c r="V3600" t="s">
        <v>8590</v>
      </c>
      <c r="W3600">
        <v>14</v>
      </c>
      <c r="X3600" t="s">
        <v>12190</v>
      </c>
      <c r="Y3600">
        <v>0.47884427946010899</v>
      </c>
      <c r="Z3600" t="str">
        <f>HYPERLINK("Melting_Curves/meltCurve_sp_Q9Y696_CLIC4_HUMAN_.pdf", "Melting_Curves/meltCurve_sp_Q9Y696_CLIC4_HUMAN_.pdf")</f>
        <v>Melting_Curves/meltCurve_sp_Q9Y696_CLIC4_HUMAN_.pdf</v>
      </c>
      <c r="AA3600" t="s">
        <v>16435</v>
      </c>
      <c r="AB3600" t="s">
        <v>20683</v>
      </c>
    </row>
    <row r="3601" spans="1:28" x14ac:dyDescent="0.25">
      <c r="A3601" t="s">
        <v>3605</v>
      </c>
      <c r="B3601">
        <v>0.99876560204751996</v>
      </c>
      <c r="C3601">
        <v>1.02413982171464</v>
      </c>
      <c r="D3601">
        <v>0.88708056761397303</v>
      </c>
      <c r="E3601">
        <v>0.84833355227122398</v>
      </c>
      <c r="F3601">
        <v>0.55791236192902305</v>
      </c>
      <c r="G3601">
        <v>0.35029759102025199</v>
      </c>
      <c r="H3601">
        <v>0.193957010768816</v>
      </c>
      <c r="I3601">
        <v>0.123271516801452</v>
      </c>
      <c r="J3601">
        <v>9.5926152651436503E-2</v>
      </c>
      <c r="K3601">
        <v>7.1643719520272001E-2</v>
      </c>
      <c r="L3601">
        <v>858.02012144818502</v>
      </c>
      <c r="M3601">
        <v>15.884750396508201</v>
      </c>
      <c r="N3601">
        <v>54.398229941566498</v>
      </c>
      <c r="O3601">
        <v>53.181011305365999</v>
      </c>
      <c r="P3601">
        <v>-7.0729190475148196E-2</v>
      </c>
      <c r="Q3601">
        <v>5.2891283752232697E-2</v>
      </c>
      <c r="R3601">
        <v>0.99310204257634005</v>
      </c>
      <c r="S3601" t="s">
        <v>7897</v>
      </c>
      <c r="T3601" t="s">
        <v>8590</v>
      </c>
      <c r="U3601" t="s">
        <v>8590</v>
      </c>
      <c r="V3601" t="s">
        <v>8590</v>
      </c>
      <c r="W3601">
        <v>18</v>
      </c>
      <c r="X3601" t="s">
        <v>12191</v>
      </c>
      <c r="Y3601">
        <v>0.51340544545558542</v>
      </c>
      <c r="Z3601" t="str">
        <f>HYPERLINK("Melting_Curves/meltCurve_sp_Q9Y697_2_NFS1_HUMAN_.pdf", "Melting_Curves/meltCurve_sp_Q9Y697_2_NFS1_HUMAN_.pdf")</f>
        <v>Melting_Curves/meltCurve_sp_Q9Y697_2_NFS1_HUMAN_.pdf</v>
      </c>
      <c r="AA3601" t="s">
        <v>16436</v>
      </c>
      <c r="AB3601" t="s">
        <v>20684</v>
      </c>
    </row>
    <row r="3602" spans="1:28" x14ac:dyDescent="0.25">
      <c r="A3602" t="s">
        <v>3606</v>
      </c>
      <c r="B3602">
        <v>0.99876560204751996</v>
      </c>
      <c r="C3602">
        <v>0.88226827069360403</v>
      </c>
      <c r="D3602">
        <v>0.86911140668083098</v>
      </c>
      <c r="E3602">
        <v>0.79279236428340705</v>
      </c>
      <c r="F3602">
        <v>0.68457012870746603</v>
      </c>
      <c r="G3602">
        <v>0.41025104627610098</v>
      </c>
      <c r="H3602">
        <v>0.16504114117999</v>
      </c>
      <c r="I3602">
        <v>0.105665454479496</v>
      </c>
      <c r="J3602">
        <v>6.8812532335102095E-2</v>
      </c>
      <c r="K3602">
        <v>0.12143268486950499</v>
      </c>
      <c r="L3602">
        <v>724.01897567833305</v>
      </c>
      <c r="M3602">
        <v>13.138266117696</v>
      </c>
      <c r="N3602">
        <v>55.107650367524997</v>
      </c>
      <c r="O3602">
        <v>53.877862252147096</v>
      </c>
      <c r="P3602">
        <v>-6.0973529478560697E-2</v>
      </c>
      <c r="Q3602">
        <v>0</v>
      </c>
      <c r="R3602">
        <v>0.98020358221853499</v>
      </c>
      <c r="S3602" t="s">
        <v>7898</v>
      </c>
      <c r="T3602" t="s">
        <v>8590</v>
      </c>
      <c r="U3602" t="s">
        <v>8590</v>
      </c>
      <c r="V3602" t="s">
        <v>8590</v>
      </c>
      <c r="W3602">
        <v>2</v>
      </c>
      <c r="X3602" t="s">
        <v>12192</v>
      </c>
      <c r="Y3602">
        <v>0.52523073681029675</v>
      </c>
      <c r="Z3602" t="str">
        <f>HYPERLINK("Melting_Curves/meltCurve_sp_Q9Y6A4_CP080_HUMAN_.pdf", "Melting_Curves/meltCurve_sp_Q9Y6A4_CP080_HUMAN_.pdf")</f>
        <v>Melting_Curves/meltCurve_sp_Q9Y6A4_CP080_HUMAN_.pdf</v>
      </c>
      <c r="AA3602" t="s">
        <v>16437</v>
      </c>
      <c r="AB3602" t="s">
        <v>20685</v>
      </c>
    </row>
    <row r="3603" spans="1:28" x14ac:dyDescent="0.25">
      <c r="A3603" t="s">
        <v>3607</v>
      </c>
      <c r="B3603">
        <v>0.99876560204751996</v>
      </c>
      <c r="C3603">
        <v>1.1336884261264599</v>
      </c>
      <c r="D3603">
        <v>1.10501164711197</v>
      </c>
      <c r="E3603">
        <v>0.84698822691436104</v>
      </c>
      <c r="F3603">
        <v>0.55672998541615104</v>
      </c>
      <c r="G3603">
        <v>0.231611943685474</v>
      </c>
      <c r="H3603">
        <v>7.9779410401018894E-2</v>
      </c>
      <c r="I3603">
        <v>5.1339696345989901E-2</v>
      </c>
      <c r="J3603">
        <v>2.2243907949860399E-2</v>
      </c>
      <c r="K3603">
        <v>3.8742542342712502E-2</v>
      </c>
      <c r="L3603">
        <v>1347.2689472115901</v>
      </c>
      <c r="M3603">
        <v>25.1799780206576</v>
      </c>
      <c r="N3603">
        <v>53.660960926168897</v>
      </c>
      <c r="O3603">
        <v>53.1715172858461</v>
      </c>
      <c r="P3603">
        <v>-0.11422904797248799</v>
      </c>
      <c r="Q3603">
        <v>3.5161662766829499E-2</v>
      </c>
      <c r="R3603">
        <v>0.98300959429191304</v>
      </c>
      <c r="S3603" t="s">
        <v>7899</v>
      </c>
      <c r="T3603" t="s">
        <v>8590</v>
      </c>
      <c r="U3603" t="s">
        <v>8590</v>
      </c>
      <c r="V3603" t="s">
        <v>8590</v>
      </c>
      <c r="W3603">
        <v>5</v>
      </c>
      <c r="X3603" t="s">
        <v>12193</v>
      </c>
      <c r="Y3603">
        <v>0.47831115265170998</v>
      </c>
      <c r="Z3603" t="str">
        <f>HYPERLINK("Melting_Curves/meltCurve_sp_Q9Y6B6_SAR1B_HUMAN_.pdf", "Melting_Curves/meltCurve_sp_Q9Y6B6_SAR1B_HUMAN_.pdf")</f>
        <v>Melting_Curves/meltCurve_sp_Q9Y6B6_SAR1B_HUMAN_.pdf</v>
      </c>
      <c r="AA3603" t="s">
        <v>16438</v>
      </c>
      <c r="AB3603" t="s">
        <v>20686</v>
      </c>
    </row>
    <row r="3604" spans="1:28" x14ac:dyDescent="0.25">
      <c r="A3604" t="s">
        <v>3608</v>
      </c>
      <c r="B3604">
        <v>0.99876560204751996</v>
      </c>
      <c r="C3604">
        <v>1.0215074450647801</v>
      </c>
      <c r="D3604">
        <v>0.82148890878148595</v>
      </c>
      <c r="E3604">
        <v>0.51423313967974704</v>
      </c>
      <c r="F3604">
        <v>0.23578085097961901</v>
      </c>
      <c r="G3604">
        <v>0.128036937842366</v>
      </c>
      <c r="H3604">
        <v>7.3615239431960799E-2</v>
      </c>
      <c r="I3604">
        <v>5.5082932873146299E-2</v>
      </c>
      <c r="J3604">
        <v>4.7186703597187303E-2</v>
      </c>
      <c r="K3604">
        <v>3.6623539406206697E-2</v>
      </c>
      <c r="L3604">
        <v>1032.4868429278999</v>
      </c>
      <c r="M3604">
        <v>20.754364835575402</v>
      </c>
      <c r="N3604">
        <v>49.980635169100303</v>
      </c>
      <c r="O3604">
        <v>49.293010669759703</v>
      </c>
      <c r="P3604">
        <v>-0.10041551885114799</v>
      </c>
      <c r="Q3604">
        <v>4.60528162852668E-2</v>
      </c>
      <c r="R3604">
        <v>0.99663175953597305</v>
      </c>
      <c r="S3604" t="s">
        <v>7900</v>
      </c>
      <c r="T3604" t="s">
        <v>8590</v>
      </c>
      <c r="U3604" t="s">
        <v>8590</v>
      </c>
      <c r="V3604" t="s">
        <v>8590</v>
      </c>
      <c r="W3604">
        <v>19</v>
      </c>
      <c r="X3604" t="s">
        <v>12194</v>
      </c>
      <c r="Y3604">
        <v>0.36837598130217108</v>
      </c>
      <c r="Z3604" t="str">
        <f>HYPERLINK("Melting_Curves/meltCurve_sp_Q9Y6D5_BIG2_HUMAN_.pdf", "Melting_Curves/meltCurve_sp_Q9Y6D5_BIG2_HUMAN_.pdf")</f>
        <v>Melting_Curves/meltCurve_sp_Q9Y6D5_BIG2_HUMAN_.pdf</v>
      </c>
      <c r="AA3604" t="s">
        <v>16439</v>
      </c>
      <c r="AB3604" t="s">
        <v>20687</v>
      </c>
    </row>
    <row r="3605" spans="1:28" x14ac:dyDescent="0.25">
      <c r="A3605" t="s">
        <v>3609</v>
      </c>
      <c r="B3605">
        <v>0.99876560204751996</v>
      </c>
      <c r="C3605">
        <v>0.93241055042758703</v>
      </c>
      <c r="D3605">
        <v>0.85346224680578398</v>
      </c>
      <c r="E3605">
        <v>0.65027185983495095</v>
      </c>
      <c r="F3605">
        <v>0.37855429373892002</v>
      </c>
      <c r="G3605">
        <v>0.19232870101163499</v>
      </c>
      <c r="H3605">
        <v>9.7192385494093703E-2</v>
      </c>
      <c r="I3605">
        <v>8.2487477692152797E-2</v>
      </c>
      <c r="J3605">
        <v>7.7648377261745199E-2</v>
      </c>
      <c r="K3605">
        <v>6.3024670030549401E-2</v>
      </c>
      <c r="L3605">
        <v>843.07793021156203</v>
      </c>
      <c r="M3605">
        <v>16.4643857253185</v>
      </c>
      <c r="N3605">
        <v>51.515611845927403</v>
      </c>
      <c r="O3605">
        <v>50.468631321638703</v>
      </c>
      <c r="P3605">
        <v>-7.7722922860920501E-2</v>
      </c>
      <c r="Q3605">
        <v>4.70838973626799E-2</v>
      </c>
      <c r="R3605">
        <v>0.99777915445475496</v>
      </c>
      <c r="S3605" t="s">
        <v>7901</v>
      </c>
      <c r="T3605" t="s">
        <v>8590</v>
      </c>
      <c r="U3605" t="s">
        <v>8590</v>
      </c>
      <c r="V3605" t="s">
        <v>8590</v>
      </c>
      <c r="W3605">
        <v>14</v>
      </c>
      <c r="X3605" t="s">
        <v>12195</v>
      </c>
      <c r="Y3605">
        <v>0.42175512266335352</v>
      </c>
      <c r="Z3605" t="str">
        <f>HYPERLINK("Melting_Curves/meltCurve_sp_Q9Y6D6_BIG1_HUMAN_.pdf", "Melting_Curves/meltCurve_sp_Q9Y6D6_BIG1_HUMAN_.pdf")</f>
        <v>Melting_Curves/meltCurve_sp_Q9Y6D6_BIG1_HUMAN_.pdf</v>
      </c>
      <c r="AA3605" t="s">
        <v>16440</v>
      </c>
      <c r="AB3605" t="s">
        <v>20688</v>
      </c>
    </row>
    <row r="3606" spans="1:28" x14ac:dyDescent="0.25">
      <c r="A3606" t="s">
        <v>3610</v>
      </c>
      <c r="B3606">
        <v>0.99876560204751996</v>
      </c>
      <c r="C3606">
        <v>1.0342564891614601</v>
      </c>
      <c r="D3606">
        <v>1.02122387984993</v>
      </c>
      <c r="E3606">
        <v>0.90679625083718496</v>
      </c>
      <c r="F3606">
        <v>0.710038093405991</v>
      </c>
      <c r="G3606">
        <v>0.38140922312279901</v>
      </c>
      <c r="H3606">
        <v>0.18524857981026199</v>
      </c>
      <c r="I3606">
        <v>9.1906625447146797E-2</v>
      </c>
      <c r="J3606">
        <v>5.3939240126164897E-2</v>
      </c>
      <c r="K3606">
        <v>4.9959495777633998E-2</v>
      </c>
      <c r="L3606">
        <v>1111.4321286182201</v>
      </c>
      <c r="M3606">
        <v>20.066803684990798</v>
      </c>
      <c r="N3606">
        <v>55.587350501286402</v>
      </c>
      <c r="O3606">
        <v>54.845359035519202</v>
      </c>
      <c r="P3606">
        <v>-8.8275655036012604E-2</v>
      </c>
      <c r="Q3606">
        <v>3.4952543120897198E-2</v>
      </c>
      <c r="R3606">
        <v>0.99797559097668398</v>
      </c>
      <c r="S3606" t="s">
        <v>7902</v>
      </c>
      <c r="T3606" t="s">
        <v>8590</v>
      </c>
      <c r="U3606" t="s">
        <v>8590</v>
      </c>
      <c r="V3606" t="s">
        <v>8590</v>
      </c>
      <c r="W3606">
        <v>3</v>
      </c>
      <c r="X3606" t="s">
        <v>12196</v>
      </c>
      <c r="Y3606">
        <v>0.54255941550596587</v>
      </c>
      <c r="Z3606" t="str">
        <f>HYPERLINK("Melting_Curves/meltCurve_sp_Q9Y6G5_COMDA_HUMAN_.pdf", "Melting_Curves/meltCurve_sp_Q9Y6G5_COMDA_HUMAN_.pdf")</f>
        <v>Melting_Curves/meltCurve_sp_Q9Y6G5_COMDA_HUMAN_.pdf</v>
      </c>
      <c r="AA3606" t="s">
        <v>16441</v>
      </c>
      <c r="AB3606" t="s">
        <v>20689</v>
      </c>
    </row>
    <row r="3607" spans="1:28" x14ac:dyDescent="0.25">
      <c r="A3607" t="s">
        <v>3611</v>
      </c>
      <c r="B3607">
        <v>0.99876560204751996</v>
      </c>
      <c r="C3607">
        <v>1.12949504010513</v>
      </c>
      <c r="D3607">
        <v>0.99998835339873704</v>
      </c>
      <c r="E3607">
        <v>0.59854570340389901</v>
      </c>
      <c r="F3607">
        <v>0.47401378616073298</v>
      </c>
      <c r="G3607">
        <v>0.27678248163094699</v>
      </c>
      <c r="H3607">
        <v>0.17288217274543</v>
      </c>
      <c r="I3607">
        <v>0.161736662392164</v>
      </c>
      <c r="J3607">
        <v>0.14891931301304001</v>
      </c>
      <c r="K3607">
        <v>0.12530589224771799</v>
      </c>
      <c r="L3607">
        <v>1070.74143975473</v>
      </c>
      <c r="M3607">
        <v>20.885651845247899</v>
      </c>
      <c r="N3607">
        <v>52.143681318443399</v>
      </c>
      <c r="O3607">
        <v>50.803787714477799</v>
      </c>
      <c r="P3607">
        <v>-8.7559193962633702E-2</v>
      </c>
      <c r="Q3607">
        <v>0.14808171862189201</v>
      </c>
      <c r="R3607">
        <v>0.97449993907620902</v>
      </c>
      <c r="S3607" t="s">
        <v>7903</v>
      </c>
      <c r="T3607" t="s">
        <v>8590</v>
      </c>
      <c r="U3607" t="s">
        <v>8590</v>
      </c>
      <c r="V3607" t="s">
        <v>8590</v>
      </c>
      <c r="W3607">
        <v>7</v>
      </c>
      <c r="X3607" t="s">
        <v>12197</v>
      </c>
      <c r="Y3607">
        <v>0.47893040366947848</v>
      </c>
      <c r="Z3607" t="str">
        <f>HYPERLINK("Melting_Curves/meltCurve_sp_Q9Y6G9_DC1L1_HUMAN_.pdf", "Melting_Curves/meltCurve_sp_Q9Y6G9_DC1L1_HUMAN_.pdf")</f>
        <v>Melting_Curves/meltCurve_sp_Q9Y6G9_DC1L1_HUMAN_.pdf</v>
      </c>
      <c r="AA3607" t="s">
        <v>16442</v>
      </c>
      <c r="AB3607" t="s">
        <v>20690</v>
      </c>
    </row>
    <row r="3608" spans="1:28" x14ac:dyDescent="0.25">
      <c r="A3608" t="s">
        <v>3612</v>
      </c>
      <c r="B3608">
        <v>0.99876560204751996</v>
      </c>
      <c r="C3608">
        <v>1.00201011656936</v>
      </c>
      <c r="D3608">
        <v>1.1427081640051799</v>
      </c>
      <c r="E3608">
        <v>1.0042859415838901</v>
      </c>
      <c r="F3608">
        <v>1.0767328951678301</v>
      </c>
      <c r="G3608">
        <v>0.86900871327926399</v>
      </c>
      <c r="H3608">
        <v>0.750006486781297</v>
      </c>
      <c r="I3608">
        <v>0.744368464183218</v>
      </c>
      <c r="J3608">
        <v>0.90669053027614099</v>
      </c>
      <c r="K3608">
        <v>0.89178129252569105</v>
      </c>
      <c r="L3608">
        <v>14190.0980255546</v>
      </c>
      <c r="M3608">
        <v>250</v>
      </c>
      <c r="O3608">
        <v>56.756759834007603</v>
      </c>
      <c r="P3608">
        <v>-0.19467758935339599</v>
      </c>
      <c r="Q3608">
        <v>0.82321169332685595</v>
      </c>
      <c r="R3608">
        <v>0.67850970128085897</v>
      </c>
      <c r="S3608" t="s">
        <v>7904</v>
      </c>
      <c r="T3608" t="s">
        <v>8590</v>
      </c>
      <c r="U3608" t="s">
        <v>8590</v>
      </c>
      <c r="V3608" t="s">
        <v>8590</v>
      </c>
      <c r="W3608">
        <v>5</v>
      </c>
      <c r="X3608" t="s">
        <v>12198</v>
      </c>
      <c r="Y3608">
        <v>0.9219973484783327</v>
      </c>
      <c r="Z3608" t="str">
        <f>HYPERLINK("Melting_Curves/meltCurve_sp_Q9Y6H1_CHCH2_HUMAN_.pdf", "Melting_Curves/meltCurve_sp_Q9Y6H1_CHCH2_HUMAN_.pdf")</f>
        <v>Melting_Curves/meltCurve_sp_Q9Y6H1_CHCH2_HUMAN_.pdf</v>
      </c>
      <c r="AA3608" t="s">
        <v>16443</v>
      </c>
      <c r="AB3608" t="s">
        <v>20691</v>
      </c>
    </row>
    <row r="3609" spans="1:28" x14ac:dyDescent="0.25">
      <c r="A3609" t="s">
        <v>3613</v>
      </c>
      <c r="B3609">
        <v>0.99876560204751996</v>
      </c>
      <c r="C3609">
        <v>0.99783881601753299</v>
      </c>
      <c r="D3609">
        <v>1.0474975213776201</v>
      </c>
      <c r="E3609">
        <v>0.94882592702206303</v>
      </c>
      <c r="F3609">
        <v>0.88456880543942196</v>
      </c>
      <c r="G3609">
        <v>0.56355001936209403</v>
      </c>
      <c r="H3609">
        <v>0.32981569642722802</v>
      </c>
      <c r="I3609">
        <v>0.23119617258314901</v>
      </c>
      <c r="J3609">
        <v>0.20335258336659101</v>
      </c>
      <c r="K3609">
        <v>0.19945027381452199</v>
      </c>
      <c r="L3609">
        <v>1351.8986994157001</v>
      </c>
      <c r="M3609">
        <v>23.821148947194999</v>
      </c>
      <c r="N3609">
        <v>57.890245522471901</v>
      </c>
      <c r="O3609">
        <v>56.356627690022997</v>
      </c>
      <c r="P3609">
        <v>-8.5913862510703001E-2</v>
      </c>
      <c r="Q3609">
        <v>0.186985281462938</v>
      </c>
      <c r="R3609">
        <v>0.997225275767048</v>
      </c>
      <c r="S3609" t="s">
        <v>7905</v>
      </c>
      <c r="T3609" t="s">
        <v>8590</v>
      </c>
      <c r="U3609" t="s">
        <v>8590</v>
      </c>
      <c r="V3609" t="s">
        <v>8590</v>
      </c>
      <c r="W3609">
        <v>9</v>
      </c>
      <c r="X3609" t="s">
        <v>12199</v>
      </c>
      <c r="Y3609">
        <v>0.6489120434427551</v>
      </c>
      <c r="Z3609" t="str">
        <f>HYPERLINK("Melting_Curves/meltCurve_sp_Q9Y6I3_3_EPN1_HUMAN_.pdf", "Melting_Curves/meltCurve_sp_Q9Y6I3_3_EPN1_HUMAN_.pdf")</f>
        <v>Melting_Curves/meltCurve_sp_Q9Y6I3_3_EPN1_HUMAN_.pdf</v>
      </c>
      <c r="AA3609" t="s">
        <v>16444</v>
      </c>
      <c r="AB3609" t="s">
        <v>20692</v>
      </c>
    </row>
    <row r="3610" spans="1:28" x14ac:dyDescent="0.25">
      <c r="A3610" t="s">
        <v>3614</v>
      </c>
      <c r="B3610">
        <v>0.99876560204751996</v>
      </c>
      <c r="C3610">
        <v>1.0340948221684201</v>
      </c>
      <c r="D3610">
        <v>0.87928064618893498</v>
      </c>
      <c r="E3610">
        <v>0.88997558708068902</v>
      </c>
      <c r="F3610">
        <v>0.245306320565785</v>
      </c>
      <c r="G3610">
        <v>0.59949669437743003</v>
      </c>
      <c r="H3610">
        <v>0.57108007396798499</v>
      </c>
      <c r="I3610">
        <v>0.54329097521021696</v>
      </c>
      <c r="J3610">
        <v>0.61419146515928102</v>
      </c>
      <c r="K3610">
        <v>0.72803246161499802</v>
      </c>
      <c r="L3610">
        <v>12556.3723461136</v>
      </c>
      <c r="M3610">
        <v>250</v>
      </c>
      <c r="O3610">
        <v>50.222275938908403</v>
      </c>
      <c r="P3610">
        <v>-0.55972041039729403</v>
      </c>
      <c r="Q3610">
        <v>0.55023307997694804</v>
      </c>
      <c r="R3610">
        <v>0.72421035330357497</v>
      </c>
      <c r="S3610" t="s">
        <v>7906</v>
      </c>
      <c r="T3610" t="s">
        <v>8590</v>
      </c>
      <c r="U3610" t="s">
        <v>8590</v>
      </c>
      <c r="V3610" t="s">
        <v>8590</v>
      </c>
      <c r="W3610">
        <v>2</v>
      </c>
      <c r="X3610" t="s">
        <v>12200</v>
      </c>
      <c r="Y3610">
        <v>0.70357562019975828</v>
      </c>
      <c r="Z3610" t="str">
        <f>HYPERLINK("Melting_Curves/meltCurve_sp_Q9Y6I9_TX264_HUMAN_.pdf", "Melting_Curves/meltCurve_sp_Q9Y6I9_TX264_HUMAN_.pdf")</f>
        <v>Melting_Curves/meltCurve_sp_Q9Y6I9_TX264_HUMAN_.pdf</v>
      </c>
      <c r="AA3610" t="s">
        <v>16445</v>
      </c>
      <c r="AB3610" t="s">
        <v>20693</v>
      </c>
    </row>
    <row r="3611" spans="1:28" x14ac:dyDescent="0.25">
      <c r="A3611" t="s">
        <v>3615</v>
      </c>
      <c r="B3611">
        <v>0.99876560204751996</v>
      </c>
      <c r="C3611">
        <v>0.982023228494324</v>
      </c>
      <c r="D3611">
        <v>0.98578506633572704</v>
      </c>
      <c r="E3611">
        <v>0.70231166273512002</v>
      </c>
      <c r="F3611">
        <v>0.33600534493845402</v>
      </c>
      <c r="G3611">
        <v>0.14452603039228101</v>
      </c>
      <c r="H3611">
        <v>7.4675347209097395E-2</v>
      </c>
      <c r="I3611">
        <v>4.4349694964148402E-2</v>
      </c>
      <c r="J3611">
        <v>5.1848380735511797E-2</v>
      </c>
      <c r="K3611">
        <v>4.6041942474008501E-2</v>
      </c>
      <c r="L3611">
        <v>1389.3647612678101</v>
      </c>
      <c r="M3611">
        <v>27.0091362180654</v>
      </c>
      <c r="N3611">
        <v>51.657450344183701</v>
      </c>
      <c r="O3611">
        <v>51.161012581349098</v>
      </c>
      <c r="P3611">
        <v>-0.12490757834555399</v>
      </c>
      <c r="Q3611">
        <v>5.3603498108536297E-2</v>
      </c>
      <c r="R3611">
        <v>0.99882682091320196</v>
      </c>
      <c r="S3611" t="s">
        <v>7907</v>
      </c>
      <c r="T3611" t="s">
        <v>8590</v>
      </c>
      <c r="U3611" t="s">
        <v>8590</v>
      </c>
      <c r="V3611" t="s">
        <v>8590</v>
      </c>
      <c r="W3611">
        <v>8</v>
      </c>
      <c r="X3611" t="s">
        <v>12201</v>
      </c>
      <c r="Y3611">
        <v>0.42189524710084991</v>
      </c>
      <c r="Z3611" t="str">
        <f>HYPERLINK("Melting_Curves/meltCurve_sp_Q9Y6K5_OAS3_HUMAN_.pdf", "Melting_Curves/meltCurve_sp_Q9Y6K5_OAS3_HUMAN_.pdf")</f>
        <v>Melting_Curves/meltCurve_sp_Q9Y6K5_OAS3_HUMAN_.pdf</v>
      </c>
      <c r="AA3611" t="s">
        <v>16446</v>
      </c>
      <c r="AB3611" t="s">
        <v>20694</v>
      </c>
    </row>
    <row r="3612" spans="1:28" x14ac:dyDescent="0.25">
      <c r="A3612" t="s">
        <v>3616</v>
      </c>
      <c r="B3612">
        <v>0.99876560204751996</v>
      </c>
      <c r="C3612">
        <v>0.88182471222449899</v>
      </c>
      <c r="D3612">
        <v>0.82514616275248098</v>
      </c>
      <c r="E3612">
        <v>0.82719591687666805</v>
      </c>
      <c r="F3612">
        <v>0.89621037022997596</v>
      </c>
      <c r="G3612">
        <v>0.70075209060655796</v>
      </c>
      <c r="H3612">
        <v>0.58482069000053605</v>
      </c>
      <c r="I3612">
        <v>0.58984422509243095</v>
      </c>
      <c r="J3612">
        <v>0.68660452831735397</v>
      </c>
      <c r="K3612">
        <v>0.59967684712760205</v>
      </c>
      <c r="L3612">
        <v>337.34349874210898</v>
      </c>
      <c r="M3612">
        <v>6.1023099952869604</v>
      </c>
      <c r="O3612">
        <v>50.226352218132497</v>
      </c>
      <c r="P3612">
        <v>-1.5781529128639001E-2</v>
      </c>
      <c r="Q3612">
        <v>0.48200625373525902</v>
      </c>
      <c r="R3612">
        <v>0.80937203079499098</v>
      </c>
      <c r="S3612" t="s">
        <v>7908</v>
      </c>
      <c r="T3612" t="s">
        <v>8590</v>
      </c>
      <c r="U3612" t="s">
        <v>8590</v>
      </c>
      <c r="V3612" t="s">
        <v>8590</v>
      </c>
      <c r="W3612">
        <v>8</v>
      </c>
      <c r="X3612" t="s">
        <v>12202</v>
      </c>
      <c r="Y3612">
        <v>0.75789237055668235</v>
      </c>
      <c r="Z3612" t="str">
        <f>HYPERLINK("Melting_Curves/meltCurve_sp_Q9Y6K9_NEMO_HUMAN_.pdf", "Melting_Curves/meltCurve_sp_Q9Y6K9_NEMO_HUMAN_.pdf")</f>
        <v>Melting_Curves/meltCurve_sp_Q9Y6K9_NEMO_HUMAN_.pdf</v>
      </c>
      <c r="AA3612" t="s">
        <v>16447</v>
      </c>
      <c r="AB3612" t="s">
        <v>20695</v>
      </c>
    </row>
    <row r="3613" spans="1:28" x14ac:dyDescent="0.25">
      <c r="A3613" t="s">
        <v>3617</v>
      </c>
      <c r="B3613">
        <v>0.99876560204751996</v>
      </c>
      <c r="C3613">
        <v>1.12852086006903</v>
      </c>
      <c r="D3613">
        <v>0.81620363652386896</v>
      </c>
      <c r="E3613">
        <v>0.66541393234556301</v>
      </c>
      <c r="F3613">
        <v>0.38926928081241802</v>
      </c>
      <c r="G3613">
        <v>0.19229435376786899</v>
      </c>
      <c r="H3613">
        <v>9.7855514889800405E-2</v>
      </c>
      <c r="I3613">
        <v>8.2670241107196202E-2</v>
      </c>
      <c r="J3613">
        <v>6.3742046065834002E-2</v>
      </c>
      <c r="K3613">
        <v>4.2192476990415999E-2</v>
      </c>
      <c r="L3613">
        <v>929.50324319122103</v>
      </c>
      <c r="M3613">
        <v>18.074892653434599</v>
      </c>
      <c r="N3613">
        <v>51.707877659939101</v>
      </c>
      <c r="O3613">
        <v>50.808030335152097</v>
      </c>
      <c r="P3613">
        <v>-8.47560461008008E-2</v>
      </c>
      <c r="Q3613">
        <v>4.70585161454996E-2</v>
      </c>
      <c r="R3613">
        <v>0.98017473556496504</v>
      </c>
      <c r="S3613" t="s">
        <v>7909</v>
      </c>
      <c r="T3613" t="s">
        <v>8590</v>
      </c>
      <c r="U3613" t="s">
        <v>8590</v>
      </c>
      <c r="V3613" t="s">
        <v>8590</v>
      </c>
      <c r="W3613">
        <v>5</v>
      </c>
      <c r="X3613" t="s">
        <v>12203</v>
      </c>
      <c r="Y3613">
        <v>0.42583281392263389</v>
      </c>
      <c r="Z3613" t="str">
        <f>HYPERLINK("Melting_Curves/meltCurve_sp_Q9Y6N5_SQRD_HUMAN_.pdf", "Melting_Curves/meltCurve_sp_Q9Y6N5_SQRD_HUMAN_.pdf")</f>
        <v>Melting_Curves/meltCurve_sp_Q9Y6N5_SQRD_HUMAN_.pdf</v>
      </c>
      <c r="AA3613" t="s">
        <v>16448</v>
      </c>
      <c r="AB3613" t="s">
        <v>20696</v>
      </c>
    </row>
    <row r="3614" spans="1:28" x14ac:dyDescent="0.25">
      <c r="A3614" t="s">
        <v>3618</v>
      </c>
      <c r="B3614">
        <v>0.99876560204751996</v>
      </c>
      <c r="C3614">
        <v>0.94701717401907903</v>
      </c>
      <c r="D3614">
        <v>0.93379452020030596</v>
      </c>
      <c r="E3614">
        <v>0.676858489736199</v>
      </c>
      <c r="F3614">
        <v>0.23886969285516299</v>
      </c>
      <c r="G3614">
        <v>0.14482515458012399</v>
      </c>
      <c r="H3614">
        <v>8.1437419074374698E-2</v>
      </c>
      <c r="I3614">
        <v>8.3442606378206302E-2</v>
      </c>
      <c r="J3614">
        <v>7.8314116515772303E-2</v>
      </c>
      <c r="K3614">
        <v>8.1945073477984604E-2</v>
      </c>
      <c r="L3614">
        <v>1715.1114215341299</v>
      </c>
      <c r="M3614">
        <v>33.783132889190398</v>
      </c>
      <c r="N3614">
        <v>51.052282516178202</v>
      </c>
      <c r="O3614">
        <v>50.591375272913602</v>
      </c>
      <c r="P3614">
        <v>-0.15264071062656401</v>
      </c>
      <c r="Q3614">
        <v>8.5665329967353696E-2</v>
      </c>
      <c r="R3614">
        <v>0.99563320551972401</v>
      </c>
      <c r="S3614" t="s">
        <v>7910</v>
      </c>
      <c r="T3614" t="s">
        <v>8590</v>
      </c>
      <c r="U3614" t="s">
        <v>8590</v>
      </c>
      <c r="V3614" t="s">
        <v>8590</v>
      </c>
      <c r="W3614">
        <v>5</v>
      </c>
      <c r="X3614" t="s">
        <v>12204</v>
      </c>
      <c r="Y3614">
        <v>0.41836888542402462</v>
      </c>
      <c r="Z3614" t="str">
        <f>HYPERLINK("Melting_Curves/meltCurve_sp_Q9Y6W3_CAN7_HUMAN_.pdf", "Melting_Curves/meltCurve_sp_Q9Y6W3_CAN7_HUMAN_.pdf")</f>
        <v>Melting_Curves/meltCurve_sp_Q9Y6W3_CAN7_HUMAN_.pdf</v>
      </c>
      <c r="AA3614" t="s">
        <v>16449</v>
      </c>
      <c r="AB3614" t="s">
        <v>20697</v>
      </c>
    </row>
    <row r="3615" spans="1:28" x14ac:dyDescent="0.25">
      <c r="A3615" t="s">
        <v>3619</v>
      </c>
      <c r="B3615">
        <v>0.99876560204751996</v>
      </c>
      <c r="C3615">
        <v>1.0585727232680799</v>
      </c>
      <c r="D3615">
        <v>1.01896180540869</v>
      </c>
      <c r="E3615">
        <v>0.92462365386383305</v>
      </c>
      <c r="F3615">
        <v>0.74940620458419605</v>
      </c>
      <c r="G3615">
        <v>0.54571567650044805</v>
      </c>
      <c r="H3615">
        <v>0.46349171545339801</v>
      </c>
      <c r="I3615">
        <v>0.44832534282453101</v>
      </c>
      <c r="J3615">
        <v>0.55778809935485896</v>
      </c>
      <c r="K3615">
        <v>0.499704685283962</v>
      </c>
      <c r="L3615">
        <v>1709.4911374599501</v>
      </c>
      <c r="M3615">
        <v>32.2598975146947</v>
      </c>
      <c r="N3615">
        <v>60.6926083728519</v>
      </c>
      <c r="O3615">
        <v>52.788834411559101</v>
      </c>
      <c r="P3615">
        <v>-7.7663601721598197E-2</v>
      </c>
      <c r="Q3615">
        <v>0.49165976214288898</v>
      </c>
      <c r="R3615">
        <v>0.97922141467254697</v>
      </c>
      <c r="S3615" t="s">
        <v>7911</v>
      </c>
      <c r="T3615" t="s">
        <v>8590</v>
      </c>
      <c r="U3615" t="s">
        <v>8590</v>
      </c>
      <c r="V3615" t="s">
        <v>8590</v>
      </c>
      <c r="W3615">
        <v>6</v>
      </c>
      <c r="X3615" t="s">
        <v>12205</v>
      </c>
      <c r="Y3615">
        <v>0.71464853135178796</v>
      </c>
      <c r="Z3615" t="str">
        <f>HYPERLINK("Melting_Curves/meltCurve_sp_Q9Y6W5_WASF2_HUMAN_.pdf", "Melting_Curves/meltCurve_sp_Q9Y6W5_WASF2_HUMAN_.pdf")</f>
        <v>Melting_Curves/meltCurve_sp_Q9Y6W5_WASF2_HUMAN_.pdf</v>
      </c>
      <c r="AA3615" t="s">
        <v>16450</v>
      </c>
      <c r="AB3615" t="s">
        <v>20698</v>
      </c>
    </row>
    <row r="3616" spans="1:28" x14ac:dyDescent="0.25">
      <c r="A3616" t="s">
        <v>3620</v>
      </c>
      <c r="B3616">
        <v>0.99876560204751996</v>
      </c>
      <c r="C3616">
        <v>0.989389167005016</v>
      </c>
      <c r="D3616">
        <v>1.0012003619752801</v>
      </c>
      <c r="E3616">
        <v>0.860111999582859</v>
      </c>
      <c r="F3616">
        <v>0.64691137898112305</v>
      </c>
      <c r="G3616">
        <v>0.26949244969330799</v>
      </c>
      <c r="H3616">
        <v>0.174895623815361</v>
      </c>
      <c r="I3616">
        <v>7.5888575247450907E-2</v>
      </c>
      <c r="J3616">
        <v>4.0680699325263699E-2</v>
      </c>
      <c r="K3616">
        <v>0</v>
      </c>
      <c r="L3616">
        <v>1086.8039422470599</v>
      </c>
      <c r="M3616">
        <v>19.9602424999348</v>
      </c>
      <c r="N3616">
        <v>54.559909880733002</v>
      </c>
      <c r="O3616">
        <v>53.910752919293401</v>
      </c>
      <c r="P3616">
        <v>-9.0715012017661106E-2</v>
      </c>
      <c r="Q3616">
        <v>1.9981016916890301E-2</v>
      </c>
      <c r="R3616">
        <v>0.99659658879350599</v>
      </c>
      <c r="S3616" t="s">
        <v>7912</v>
      </c>
      <c r="T3616" t="s">
        <v>8590</v>
      </c>
      <c r="U3616" t="s">
        <v>8590</v>
      </c>
      <c r="V3616" t="s">
        <v>8590</v>
      </c>
      <c r="W3616">
        <v>2</v>
      </c>
      <c r="X3616" t="s">
        <v>12206</v>
      </c>
      <c r="Y3616">
        <v>0.50522777151468368</v>
      </c>
      <c r="Z3616" t="str">
        <f>HYPERLINK("Melting_Curves/meltCurve_sp_Q9Y6X5_ENPP4_HUMAN_.pdf", "Melting_Curves/meltCurve_sp_Q9Y6X5_ENPP4_HUMAN_.pdf")</f>
        <v>Melting_Curves/meltCurve_sp_Q9Y6X5_ENPP4_HUMAN_.pdf</v>
      </c>
      <c r="AA3616" t="s">
        <v>16451</v>
      </c>
      <c r="AB3616" t="s">
        <v>20699</v>
      </c>
    </row>
    <row r="3617" spans="1:28" x14ac:dyDescent="0.25">
      <c r="A3617" t="s">
        <v>3621</v>
      </c>
      <c r="B3617">
        <v>0.99876560204751996</v>
      </c>
      <c r="C3617">
        <v>0.97371294380187901</v>
      </c>
      <c r="D3617">
        <v>0.87171562970327499</v>
      </c>
      <c r="E3617">
        <v>0.76235102876892802</v>
      </c>
      <c r="F3617">
        <v>0.56655497570126101</v>
      </c>
      <c r="G3617">
        <v>0.47788181512321998</v>
      </c>
      <c r="H3617">
        <v>0.39584508465840401</v>
      </c>
      <c r="I3617">
        <v>0.34050324442838997</v>
      </c>
      <c r="J3617">
        <v>0.42120176935974102</v>
      </c>
      <c r="K3617">
        <v>0.289929216157228</v>
      </c>
      <c r="L3617">
        <v>718.41070886041803</v>
      </c>
      <c r="M3617">
        <v>13.9405883999561</v>
      </c>
      <c r="N3617">
        <v>55.6955809890881</v>
      </c>
      <c r="O3617">
        <v>50.508057690411498</v>
      </c>
      <c r="P3617">
        <v>-4.66809571163532E-2</v>
      </c>
      <c r="Q3617">
        <v>0.32357309025418501</v>
      </c>
      <c r="R3617">
        <v>0.983065535421635</v>
      </c>
      <c r="S3617" t="s">
        <v>7913</v>
      </c>
      <c r="T3617" t="s">
        <v>8590</v>
      </c>
      <c r="U3617" t="s">
        <v>8590</v>
      </c>
      <c r="V3617" t="s">
        <v>8590</v>
      </c>
      <c r="W3617">
        <v>5</v>
      </c>
      <c r="X3617" t="s">
        <v>12207</v>
      </c>
      <c r="Y3617">
        <v>0.60084219783204185</v>
      </c>
      <c r="Z3617" t="str">
        <f>HYPERLINK("Melting_Curves/meltCurve_sp_Q9Y6X8_ZHX2_HUMAN_.pdf", "Melting_Curves/meltCurve_sp_Q9Y6X8_ZHX2_HUMAN_.pdf")</f>
        <v>Melting_Curves/meltCurve_sp_Q9Y6X8_ZHX2_HUMAN_.pdf</v>
      </c>
      <c r="AA3617" t="s">
        <v>16452</v>
      </c>
      <c r="AB3617" t="s">
        <v>20700</v>
      </c>
    </row>
    <row r="3618" spans="1:28" x14ac:dyDescent="0.25">
      <c r="A3618" t="s">
        <v>3622</v>
      </c>
      <c r="B3618">
        <v>0.99876560204751996</v>
      </c>
      <c r="C3618">
        <v>1.00331210497863</v>
      </c>
      <c r="D3618">
        <v>1.0295219096749699</v>
      </c>
      <c r="E3618">
        <v>0.92322855172959895</v>
      </c>
      <c r="F3618">
        <v>0.861402321449808</v>
      </c>
      <c r="G3618">
        <v>0.64460178654932798</v>
      </c>
      <c r="H3618">
        <v>0.61801437562683503</v>
      </c>
      <c r="I3618">
        <v>0.55052144701653105</v>
      </c>
      <c r="J3618">
        <v>0.684090732024347</v>
      </c>
      <c r="K3618">
        <v>0.61928577390719797</v>
      </c>
      <c r="L3618">
        <v>1705.7283581060999</v>
      </c>
      <c r="M3618">
        <v>31.847872383451101</v>
      </c>
      <c r="O3618">
        <v>53.348790190630197</v>
      </c>
      <c r="P3618">
        <v>-5.77647818105246E-2</v>
      </c>
      <c r="Q3618">
        <v>0.61295180937993599</v>
      </c>
      <c r="R3618">
        <v>0.96014933736810004</v>
      </c>
      <c r="S3618" t="s">
        <v>7914</v>
      </c>
      <c r="T3618" t="s">
        <v>8590</v>
      </c>
      <c r="U3618" t="s">
        <v>8590</v>
      </c>
      <c r="V3618" t="s">
        <v>8590</v>
      </c>
      <c r="W3618">
        <v>2</v>
      </c>
      <c r="X3618" t="s">
        <v>12208</v>
      </c>
      <c r="Y3618">
        <v>0.79013004285721633</v>
      </c>
      <c r="Z3618" t="str">
        <f>HYPERLINK("Melting_Curves/meltCurve_tr_A1A5A8_A1A5A8_HUMAN_.pdf", "Melting_Curves/meltCurve_tr_A1A5A8_A1A5A8_HUMAN_.pdf")</f>
        <v>Melting_Curves/meltCurve_tr_A1A5A8_A1A5A8_HUMAN_.pdf</v>
      </c>
      <c r="AA3618" t="s">
        <v>16453</v>
      </c>
      <c r="AB3618" t="s">
        <v>20701</v>
      </c>
    </row>
    <row r="3619" spans="1:28" x14ac:dyDescent="0.25">
      <c r="A3619" t="s">
        <v>3623</v>
      </c>
      <c r="B3619">
        <v>0.99876560204751996</v>
      </c>
      <c r="C3619">
        <v>1.0776190824613101</v>
      </c>
      <c r="D3619">
        <v>1.0249886116595099</v>
      </c>
      <c r="E3619">
        <v>1.08312266217589</v>
      </c>
      <c r="F3619">
        <v>1.0117360549499199</v>
      </c>
      <c r="G3619">
        <v>0.78636037859053798</v>
      </c>
      <c r="H3619">
        <v>0.67494445980476803</v>
      </c>
      <c r="I3619">
        <v>0.57772492740346604</v>
      </c>
      <c r="J3619">
        <v>0.75348950532023196</v>
      </c>
      <c r="K3619">
        <v>0.41189122666433298</v>
      </c>
      <c r="L3619">
        <v>1562.75774758893</v>
      </c>
      <c r="M3619">
        <v>27.026157574597299</v>
      </c>
      <c r="O3619">
        <v>57.510093655463201</v>
      </c>
      <c r="P3619">
        <v>-5.07387408855898E-2</v>
      </c>
      <c r="Q3619">
        <v>0.56812789109002304</v>
      </c>
      <c r="R3619">
        <v>0.84736610259372802</v>
      </c>
      <c r="S3619" t="s">
        <v>7915</v>
      </c>
      <c r="T3619" t="s">
        <v>8590</v>
      </c>
      <c r="U3619" t="s">
        <v>8590</v>
      </c>
      <c r="V3619" t="s">
        <v>8590</v>
      </c>
      <c r="W3619">
        <v>6</v>
      </c>
      <c r="X3619" t="s">
        <v>12209</v>
      </c>
      <c r="Y3619">
        <v>0.82808863398643762</v>
      </c>
      <c r="Z3619" t="str">
        <f>HYPERLINK("Melting_Curves/meltCurve_tr_A2ACR1_A2ACR1_HUMAN_.pdf", "Melting_Curves/meltCurve_tr_A2ACR1_A2ACR1_HUMAN_.pdf")</f>
        <v>Melting_Curves/meltCurve_tr_A2ACR1_A2ACR1_HUMAN_.pdf</v>
      </c>
      <c r="AA3619" t="s">
        <v>16454</v>
      </c>
      <c r="AB3619" t="s">
        <v>20702</v>
      </c>
    </row>
    <row r="3620" spans="1:28" x14ac:dyDescent="0.25">
      <c r="A3620" t="s">
        <v>3624</v>
      </c>
      <c r="B3620">
        <v>0.99876560204751996</v>
      </c>
      <c r="C3620">
        <v>1.0884062545147499</v>
      </c>
      <c r="D3620">
        <v>0.89329791924172697</v>
      </c>
      <c r="E3620">
        <v>0.65280304172250103</v>
      </c>
      <c r="F3620">
        <v>0.330944688427736</v>
      </c>
      <c r="G3620">
        <v>0.19752377914856001</v>
      </c>
      <c r="H3620">
        <v>9.6317683528066703E-2</v>
      </c>
      <c r="I3620">
        <v>7.7706128162520302E-2</v>
      </c>
      <c r="J3620">
        <v>8.5055773508280905E-2</v>
      </c>
      <c r="K3620">
        <v>4.1249507912841002E-2</v>
      </c>
      <c r="L3620">
        <v>1108.6418227845099</v>
      </c>
      <c r="M3620">
        <v>21.7130516829823</v>
      </c>
      <c r="N3620">
        <v>51.411457735248803</v>
      </c>
      <c r="O3620">
        <v>50.631596501714498</v>
      </c>
      <c r="P3620">
        <v>-9.9794897262168905E-2</v>
      </c>
      <c r="Q3620">
        <v>6.9194541403684404E-2</v>
      </c>
      <c r="R3620">
        <v>0.99049493011061895</v>
      </c>
      <c r="S3620" t="s">
        <v>7916</v>
      </c>
      <c r="T3620" t="s">
        <v>8590</v>
      </c>
      <c r="U3620" t="s">
        <v>8590</v>
      </c>
      <c r="V3620" t="s">
        <v>8590</v>
      </c>
      <c r="W3620">
        <v>8</v>
      </c>
      <c r="X3620" t="s">
        <v>12210</v>
      </c>
      <c r="Y3620">
        <v>0.4233742455884712</v>
      </c>
      <c r="Z3620" t="str">
        <f>HYPERLINK("Melting_Curves/meltCurve_tr_A6H8Z3_A6H8Z3_HUMAN_.pdf", "Melting_Curves/meltCurve_tr_A6H8Z3_A6H8Z3_HUMAN_.pdf")</f>
        <v>Melting_Curves/meltCurve_tr_A6H8Z3_A6H8Z3_HUMAN_.pdf</v>
      </c>
      <c r="AA3620" t="s">
        <v>16455</v>
      </c>
      <c r="AB3620" t="s">
        <v>20703</v>
      </c>
    </row>
    <row r="3621" spans="1:28" x14ac:dyDescent="0.25">
      <c r="A3621" t="s">
        <v>3625</v>
      </c>
      <c r="B3621">
        <v>0.99876560204751996</v>
      </c>
      <c r="C3621">
        <v>0.97912424959843103</v>
      </c>
      <c r="D3621">
        <v>0.73366941737524505</v>
      </c>
      <c r="E3621">
        <v>0.52817224161105703</v>
      </c>
      <c r="F3621">
        <v>0.38886433562081202</v>
      </c>
      <c r="G3621">
        <v>0.28318394977977301</v>
      </c>
      <c r="H3621">
        <v>0.23711598890944799</v>
      </c>
      <c r="I3621">
        <v>0.106252798511197</v>
      </c>
      <c r="J3621">
        <v>7.7139196879773594E-2</v>
      </c>
      <c r="K3621">
        <v>0.108692357900301</v>
      </c>
      <c r="L3621">
        <v>631.80490057245004</v>
      </c>
      <c r="M3621">
        <v>12.5840684822266</v>
      </c>
      <c r="N3621">
        <v>50.930255707717798</v>
      </c>
      <c r="O3621">
        <v>48.989477582728597</v>
      </c>
      <c r="P3621">
        <v>-5.8973660167195699E-2</v>
      </c>
      <c r="Q3621">
        <v>8.1851874728192706E-2</v>
      </c>
      <c r="R3621">
        <v>0.98394930506326095</v>
      </c>
      <c r="S3621" t="s">
        <v>7917</v>
      </c>
      <c r="T3621" t="s">
        <v>8590</v>
      </c>
      <c r="U3621" t="s">
        <v>8590</v>
      </c>
      <c r="V3621" t="s">
        <v>8590</v>
      </c>
      <c r="W3621">
        <v>2</v>
      </c>
      <c r="X3621" t="s">
        <v>12211</v>
      </c>
      <c r="Y3621">
        <v>0.42338255201360209</v>
      </c>
      <c r="Z3621" t="str">
        <f>HYPERLINK("Melting_Curves/meltCurve_tr_A6ND22_A6ND22_HUMAN_.pdf", "Melting_Curves/meltCurve_tr_A6ND22_A6ND22_HUMAN_.pdf")</f>
        <v>Melting_Curves/meltCurve_tr_A6ND22_A6ND22_HUMAN_.pdf</v>
      </c>
      <c r="AA3621" t="s">
        <v>16456</v>
      </c>
      <c r="AB3621" t="s">
        <v>20704</v>
      </c>
    </row>
    <row r="3622" spans="1:28" x14ac:dyDescent="0.25">
      <c r="A3622" t="s">
        <v>3626</v>
      </c>
      <c r="B3622">
        <v>0.99876560204751996</v>
      </c>
      <c r="C3622">
        <v>1.00214030541335</v>
      </c>
      <c r="D3622">
        <v>1.18054550613232</v>
      </c>
      <c r="E3622">
        <v>0.955500478651644</v>
      </c>
      <c r="F3622">
        <v>1.09872058621418</v>
      </c>
      <c r="G3622">
        <v>0.81271489556754195</v>
      </c>
      <c r="H3622">
        <v>0.69546119582035404</v>
      </c>
      <c r="I3622">
        <v>0.68456877055843202</v>
      </c>
      <c r="J3622">
        <v>0.80111842187103299</v>
      </c>
      <c r="K3622">
        <v>0.72670771802909995</v>
      </c>
      <c r="L3622">
        <v>14205.4724097607</v>
      </c>
      <c r="M3622">
        <v>250</v>
      </c>
      <c r="O3622">
        <v>56.818238317883299</v>
      </c>
      <c r="P3622">
        <v>-0.300339194699211</v>
      </c>
      <c r="Q3622">
        <v>0.72696402442034602</v>
      </c>
      <c r="R3622">
        <v>0.81000748845124804</v>
      </c>
      <c r="S3622" t="s">
        <v>7918</v>
      </c>
      <c r="T3622" t="s">
        <v>8590</v>
      </c>
      <c r="U3622" t="s">
        <v>8590</v>
      </c>
      <c r="V3622" t="s">
        <v>8590</v>
      </c>
      <c r="W3622">
        <v>5</v>
      </c>
      <c r="X3622" t="s">
        <v>12212</v>
      </c>
      <c r="Y3622">
        <v>0.88009062027575868</v>
      </c>
      <c r="Z3622" t="str">
        <f>HYPERLINK("Melting_Curves/meltCurve_tr_A6NDT1_A6NDT1_HUMAN_.pdf", "Melting_Curves/meltCurve_tr_A6NDT1_A6NDT1_HUMAN_.pdf")</f>
        <v>Melting_Curves/meltCurve_tr_A6NDT1_A6NDT1_HUMAN_.pdf</v>
      </c>
      <c r="AA3622" t="s">
        <v>14889</v>
      </c>
      <c r="AB3622" t="s">
        <v>19126</v>
      </c>
    </row>
    <row r="3623" spans="1:28" x14ac:dyDescent="0.25">
      <c r="A3623" t="s">
        <v>3627</v>
      </c>
      <c r="B3623">
        <v>0.99876560204751996</v>
      </c>
      <c r="C3623">
        <v>0.97546759231598101</v>
      </c>
      <c r="D3623">
        <v>1.0394537214033199</v>
      </c>
      <c r="E3623">
        <v>0.53550102813911804</v>
      </c>
      <c r="F3623">
        <v>0.29641809754387599</v>
      </c>
      <c r="G3623">
        <v>0.11915219796354</v>
      </c>
      <c r="H3623">
        <v>7.5027498950762897E-2</v>
      </c>
      <c r="I3623">
        <v>7.5286435336083701E-2</v>
      </c>
      <c r="J3623">
        <v>6.4417117329369306E-2</v>
      </c>
      <c r="K3623">
        <v>2.5590606002880899E-2</v>
      </c>
      <c r="L3623">
        <v>1427.90944128363</v>
      </c>
      <c r="M3623">
        <v>28.320853109839799</v>
      </c>
      <c r="N3623">
        <v>50.672963986532103</v>
      </c>
      <c r="O3623">
        <v>50.169640744251502</v>
      </c>
      <c r="P3623">
        <v>-0.13178968965745699</v>
      </c>
      <c r="Q3623">
        <v>6.6159926593623797E-2</v>
      </c>
      <c r="R3623">
        <v>0.99014190377990896</v>
      </c>
      <c r="S3623" t="s">
        <v>7919</v>
      </c>
      <c r="T3623" t="s">
        <v>8590</v>
      </c>
      <c r="U3623" t="s">
        <v>8590</v>
      </c>
      <c r="V3623" t="s">
        <v>8590</v>
      </c>
      <c r="W3623">
        <v>3</v>
      </c>
      <c r="X3623" t="s">
        <v>12213</v>
      </c>
      <c r="Y3623">
        <v>0.39701339198661872</v>
      </c>
      <c r="Z3623" t="str">
        <f>HYPERLINK("Melting_Curves/meltCurve_tr_A6NG64_A6NG64_HUMAN_.pdf", "Melting_Curves/meltCurve_tr_A6NG64_A6NG64_HUMAN_.pdf")</f>
        <v>Melting_Curves/meltCurve_tr_A6NG64_A6NG64_HUMAN_.pdf</v>
      </c>
      <c r="AA3623" t="s">
        <v>16457</v>
      </c>
      <c r="AB3623" t="s">
        <v>20705</v>
      </c>
    </row>
    <row r="3624" spans="1:28" x14ac:dyDescent="0.25">
      <c r="A3624" t="s">
        <v>3628</v>
      </c>
      <c r="B3624">
        <v>0.99876560204751996</v>
      </c>
      <c r="C3624">
        <v>0.94073143818334204</v>
      </c>
      <c r="D3624">
        <v>1.05845448489988</v>
      </c>
      <c r="E3624">
        <v>0.94197864702012202</v>
      </c>
      <c r="F3624">
        <v>0.89153122311014399</v>
      </c>
      <c r="G3624">
        <v>0.65898991766860904</v>
      </c>
      <c r="H3624">
        <v>0.61797417393806597</v>
      </c>
      <c r="I3624">
        <v>0.60241222562159602</v>
      </c>
      <c r="J3624">
        <v>0.745875989522229</v>
      </c>
      <c r="K3624">
        <v>0.75133852656676503</v>
      </c>
      <c r="L3624">
        <v>3306.5296178182398</v>
      </c>
      <c r="M3624">
        <v>61.764362761439003</v>
      </c>
      <c r="O3624">
        <v>53.478548459207197</v>
      </c>
      <c r="P3624">
        <v>-9.4088274033302999E-2</v>
      </c>
      <c r="Q3624">
        <v>0.67413553532848003</v>
      </c>
      <c r="R3624">
        <v>0.87965481722868</v>
      </c>
      <c r="S3624" t="s">
        <v>7920</v>
      </c>
      <c r="T3624" t="s">
        <v>8590</v>
      </c>
      <c r="U3624" t="s">
        <v>8590</v>
      </c>
      <c r="V3624" t="s">
        <v>8590</v>
      </c>
      <c r="W3624">
        <v>12</v>
      </c>
      <c r="X3624" t="s">
        <v>12214</v>
      </c>
      <c r="Y3624">
        <v>0.82165352983281847</v>
      </c>
      <c r="Z3624" t="str">
        <f>HYPERLINK("Melting_Curves/meltCurve_tr_A6NGP5_A6NGP5_HUMAN_.pdf", "Melting_Curves/meltCurve_tr_A6NGP5_A6NGP5_HUMAN_.pdf")</f>
        <v>Melting_Curves/meltCurve_tr_A6NGP5_A6NGP5_HUMAN_.pdf</v>
      </c>
      <c r="AA3624" t="s">
        <v>16458</v>
      </c>
      <c r="AB3624" t="s">
        <v>20706</v>
      </c>
    </row>
    <row r="3625" spans="1:28" x14ac:dyDescent="0.25">
      <c r="A3625" t="s">
        <v>3629</v>
      </c>
      <c r="B3625">
        <v>0.99876560204751996</v>
      </c>
      <c r="C3625">
        <v>0.96391343896678106</v>
      </c>
      <c r="D3625">
        <v>0.965335449290876</v>
      </c>
      <c r="E3625">
        <v>0.81194691870263302</v>
      </c>
      <c r="F3625">
        <v>0.76689627390164306</v>
      </c>
      <c r="G3625">
        <v>0.55546465093003505</v>
      </c>
      <c r="H3625">
        <v>0.47409289471138899</v>
      </c>
      <c r="I3625">
        <v>0.38750520552916001</v>
      </c>
      <c r="J3625">
        <v>0.44860725214318498</v>
      </c>
      <c r="K3625">
        <v>0.391008341662689</v>
      </c>
      <c r="L3625">
        <v>778.76835012831702</v>
      </c>
      <c r="M3625">
        <v>14.4409624338599</v>
      </c>
      <c r="N3625">
        <v>59.543929992074801</v>
      </c>
      <c r="O3625">
        <v>52.925247967241297</v>
      </c>
      <c r="P3625">
        <v>-4.2847782157049902E-2</v>
      </c>
      <c r="Q3625">
        <v>0.37193557571854702</v>
      </c>
      <c r="R3625">
        <v>0.98704742184682503</v>
      </c>
      <c r="S3625" t="s">
        <v>7921</v>
      </c>
      <c r="T3625" t="s">
        <v>8590</v>
      </c>
      <c r="U3625" t="s">
        <v>8590</v>
      </c>
      <c r="V3625" t="s">
        <v>8590</v>
      </c>
      <c r="W3625">
        <v>2</v>
      </c>
      <c r="X3625" t="s">
        <v>12215</v>
      </c>
      <c r="Y3625">
        <v>0.67707155101967775</v>
      </c>
      <c r="Z3625" t="str">
        <f>HYPERLINK("Melting_Curves/meltCurve_tr_A6NJX6_A6NJX6_HUMAN_.pdf", "Melting_Curves/meltCurve_tr_A6NJX6_A6NJX6_HUMAN_.pdf")</f>
        <v>Melting_Curves/meltCurve_tr_A6NJX6_A6NJX6_HUMAN_.pdf</v>
      </c>
      <c r="AA3625" t="s">
        <v>16459</v>
      </c>
      <c r="AB3625" t="s">
        <v>20707</v>
      </c>
    </row>
    <row r="3626" spans="1:28" x14ac:dyDescent="0.25">
      <c r="A3626" t="s">
        <v>3630</v>
      </c>
      <c r="B3626">
        <v>0.99876560204751996</v>
      </c>
      <c r="C3626">
        <v>0.92915056656054995</v>
      </c>
      <c r="D3626">
        <v>1.03490564328013</v>
      </c>
      <c r="E3626">
        <v>0.90853040616313097</v>
      </c>
      <c r="F3626">
        <v>0.889683830835862</v>
      </c>
      <c r="G3626">
        <v>0.528923461439193</v>
      </c>
      <c r="H3626">
        <v>0.27449317740074602</v>
      </c>
      <c r="I3626">
        <v>0.169225556929746</v>
      </c>
      <c r="J3626">
        <v>0.13032820390729799</v>
      </c>
      <c r="K3626">
        <v>0.13217003047822701</v>
      </c>
      <c r="L3626">
        <v>1308.35898692981</v>
      </c>
      <c r="M3626">
        <v>23.0217053685374</v>
      </c>
      <c r="N3626">
        <v>57.465866708937597</v>
      </c>
      <c r="O3626">
        <v>56.407943312705697</v>
      </c>
      <c r="P3626">
        <v>-9.05857849862991E-2</v>
      </c>
      <c r="Q3626">
        <v>0.112200902854813</v>
      </c>
      <c r="R3626">
        <v>0.99210150486623705</v>
      </c>
      <c r="S3626" t="s">
        <v>7922</v>
      </c>
      <c r="T3626" t="s">
        <v>8590</v>
      </c>
      <c r="U3626" t="s">
        <v>8590</v>
      </c>
      <c r="V3626" t="s">
        <v>8590</v>
      </c>
      <c r="W3626">
        <v>2</v>
      </c>
      <c r="X3626" t="s">
        <v>12216</v>
      </c>
      <c r="Y3626">
        <v>0.61939718985235936</v>
      </c>
      <c r="Z3626" t="str">
        <f>HYPERLINK("Melting_Curves/meltCurve_tr_A6NKZ2_A6NKZ2_HUMAN_.pdf", "Melting_Curves/meltCurve_tr_A6NKZ2_A6NKZ2_HUMAN_.pdf")</f>
        <v>Melting_Curves/meltCurve_tr_A6NKZ2_A6NKZ2_HUMAN_.pdf</v>
      </c>
      <c r="AA3626" t="s">
        <v>16460</v>
      </c>
      <c r="AB3626" t="s">
        <v>20708</v>
      </c>
    </row>
    <row r="3627" spans="1:28" x14ac:dyDescent="0.25">
      <c r="A3627" t="s">
        <v>3631</v>
      </c>
      <c r="B3627">
        <v>0.99876560204751996</v>
      </c>
      <c r="C3627">
        <v>1.1140571884919901</v>
      </c>
      <c r="D3627">
        <v>0.95549383737648197</v>
      </c>
      <c r="E3627">
        <v>0.67778827472939396</v>
      </c>
      <c r="F3627">
        <v>0.39588170361730002</v>
      </c>
      <c r="G3627">
        <v>0.162614335721113</v>
      </c>
      <c r="H3627">
        <v>0.110534399892092</v>
      </c>
      <c r="I3627">
        <v>7.5113621620983506E-2</v>
      </c>
      <c r="J3627">
        <v>7.6514913854222599E-2</v>
      </c>
      <c r="K3627">
        <v>6.4186957318888696E-2</v>
      </c>
      <c r="L3627">
        <v>1225.4032136871399</v>
      </c>
      <c r="M3627">
        <v>23.7928922738617</v>
      </c>
      <c r="N3627">
        <v>51.850386652251302</v>
      </c>
      <c r="O3627">
        <v>51.143229838598003</v>
      </c>
      <c r="P3627">
        <v>-0.107736588900314</v>
      </c>
      <c r="Q3627">
        <v>7.3688638868816506E-2</v>
      </c>
      <c r="R3627">
        <v>0.99064056596320804</v>
      </c>
      <c r="S3627" t="s">
        <v>7923</v>
      </c>
      <c r="T3627" t="s">
        <v>8590</v>
      </c>
      <c r="U3627" t="s">
        <v>8590</v>
      </c>
      <c r="V3627" t="s">
        <v>8590</v>
      </c>
      <c r="W3627">
        <v>12</v>
      </c>
      <c r="X3627" t="s">
        <v>12217</v>
      </c>
      <c r="Y3627">
        <v>0.43812455122757221</v>
      </c>
      <c r="Z3627" t="str">
        <f>HYPERLINK("Melting_Curves/meltCurve_tr_A6NML8_A6NML8_HUMAN_.pdf", "Melting_Curves/meltCurve_tr_A6NML8_A6NML8_HUMAN_.pdf")</f>
        <v>Melting_Curves/meltCurve_tr_A6NML8_A6NML8_HUMAN_.pdf</v>
      </c>
      <c r="AA3627" t="s">
        <v>16461</v>
      </c>
      <c r="AB3627" t="s">
        <v>20709</v>
      </c>
    </row>
    <row r="3628" spans="1:28" x14ac:dyDescent="0.25">
      <c r="A3628" t="s">
        <v>3632</v>
      </c>
      <c r="B3628">
        <v>0.99876560204751996</v>
      </c>
      <c r="C3628">
        <v>0.97756802021424705</v>
      </c>
      <c r="D3628">
        <v>1.0107315605843901</v>
      </c>
      <c r="E3628">
        <v>0.76799046663345905</v>
      </c>
      <c r="F3628">
        <v>0.716449066769691</v>
      </c>
      <c r="G3628">
        <v>0.53118904135306899</v>
      </c>
      <c r="H3628">
        <v>0.370414964289219</v>
      </c>
      <c r="I3628">
        <v>0.365944411916447</v>
      </c>
      <c r="J3628">
        <v>0.44313240176923002</v>
      </c>
      <c r="K3628">
        <v>0.38012150577300902</v>
      </c>
      <c r="L3628">
        <v>925.39262903274403</v>
      </c>
      <c r="M3628">
        <v>17.506677372304399</v>
      </c>
      <c r="N3628">
        <v>57.273069566219299</v>
      </c>
      <c r="O3628">
        <v>52.184167665078803</v>
      </c>
      <c r="P3628">
        <v>-5.2818465624002497E-2</v>
      </c>
      <c r="Q3628">
        <v>0.37026635526871399</v>
      </c>
      <c r="R3628">
        <v>0.97525593352902695</v>
      </c>
      <c r="S3628" t="s">
        <v>7924</v>
      </c>
      <c r="T3628" t="s">
        <v>8590</v>
      </c>
      <c r="U3628" t="s">
        <v>8590</v>
      </c>
      <c r="V3628" t="s">
        <v>8590</v>
      </c>
      <c r="W3628">
        <v>4</v>
      </c>
      <c r="X3628" t="s">
        <v>12218</v>
      </c>
      <c r="Y3628">
        <v>0.65100858740170409</v>
      </c>
      <c r="Z3628" t="str">
        <f>HYPERLINK("Melting_Curves/meltCurve_tr_A6NN40_A6NN40_HUMAN_.pdf", "Melting_Curves/meltCurve_tr_A6NN40_A6NN40_HUMAN_.pdf")</f>
        <v>Melting_Curves/meltCurve_tr_A6NN40_A6NN40_HUMAN_.pdf</v>
      </c>
      <c r="AA3628" t="s">
        <v>16462</v>
      </c>
      <c r="AB3628" t="s">
        <v>20710</v>
      </c>
    </row>
    <row r="3629" spans="1:28" x14ac:dyDescent="0.25">
      <c r="A3629" t="s">
        <v>3633</v>
      </c>
      <c r="B3629">
        <v>0.99876560204751996</v>
      </c>
      <c r="C3629">
        <v>0.96579200323013503</v>
      </c>
      <c r="D3629">
        <v>0.98672566813541596</v>
      </c>
      <c r="E3629">
        <v>0.88086554728613997</v>
      </c>
      <c r="F3629">
        <v>0.86124365106415901</v>
      </c>
      <c r="G3629">
        <v>0.62957369879292402</v>
      </c>
      <c r="H3629">
        <v>0.484457719545907</v>
      </c>
      <c r="I3629">
        <v>0.44128603181203502</v>
      </c>
      <c r="J3629">
        <v>0.51862234281953601</v>
      </c>
      <c r="K3629">
        <v>0.42896164209633902</v>
      </c>
      <c r="L3629">
        <v>1078.3170296170599</v>
      </c>
      <c r="M3629">
        <v>19.580519111738599</v>
      </c>
      <c r="N3629">
        <v>61.630045899513398</v>
      </c>
      <c r="O3629">
        <v>54.506148169084902</v>
      </c>
      <c r="P3629">
        <v>-5.0494209792784503E-2</v>
      </c>
      <c r="Q3629">
        <v>0.43777844866280002</v>
      </c>
      <c r="R3629">
        <v>0.97834334183345195</v>
      </c>
      <c r="S3629" t="s">
        <v>7925</v>
      </c>
      <c r="T3629" t="s">
        <v>8590</v>
      </c>
      <c r="U3629" t="s">
        <v>8590</v>
      </c>
      <c r="V3629" t="s">
        <v>8590</v>
      </c>
      <c r="W3629">
        <v>20</v>
      </c>
      <c r="X3629" t="s">
        <v>12219</v>
      </c>
      <c r="Y3629">
        <v>0.72792693813070397</v>
      </c>
      <c r="Z3629" t="str">
        <f>HYPERLINK("Melting_Curves/meltCurve_tr_A8CTX8_A8CTX8_HUMAN_.pdf", "Melting_Curves/meltCurve_tr_A8CTX8_A8CTX8_HUMAN_.pdf")</f>
        <v>Melting_Curves/meltCurve_tr_A8CTX8_A8CTX8_HUMAN_.pdf</v>
      </c>
      <c r="AA3629" t="s">
        <v>16463</v>
      </c>
      <c r="AB3629" t="s">
        <v>20711</v>
      </c>
    </row>
    <row r="3630" spans="1:28" x14ac:dyDescent="0.25">
      <c r="A3630" t="s">
        <v>3634</v>
      </c>
      <c r="B3630">
        <v>0.99876560204751996</v>
      </c>
      <c r="C3630">
        <v>1.24884771470899</v>
      </c>
      <c r="D3630">
        <v>0.74949364244811101</v>
      </c>
      <c r="E3630">
        <v>0.64126523208590103</v>
      </c>
      <c r="F3630">
        <v>0.32019450900958901</v>
      </c>
      <c r="G3630">
        <v>0.14213038829890301</v>
      </c>
      <c r="H3630">
        <v>6.4168621790636204E-2</v>
      </c>
      <c r="I3630">
        <v>3.5530871970334103E-2</v>
      </c>
      <c r="J3630">
        <v>3.76885042062369E-2</v>
      </c>
      <c r="K3630">
        <v>4.3726312395632301E-2</v>
      </c>
      <c r="L3630">
        <v>1003.62039367118</v>
      </c>
      <c r="M3630">
        <v>19.7194643443896</v>
      </c>
      <c r="N3630">
        <v>51.056335177452397</v>
      </c>
      <c r="O3630">
        <v>50.380184221191897</v>
      </c>
      <c r="P3630">
        <v>-9.4899288661381698E-2</v>
      </c>
      <c r="Q3630">
        <v>3.0221380158773199E-2</v>
      </c>
      <c r="R3630">
        <v>0.94665146182771698</v>
      </c>
      <c r="S3630" t="s">
        <v>7926</v>
      </c>
      <c r="T3630" t="s">
        <v>8590</v>
      </c>
      <c r="U3630" t="s">
        <v>8590</v>
      </c>
      <c r="V3630" t="s">
        <v>8590</v>
      </c>
      <c r="W3630">
        <v>31</v>
      </c>
      <c r="X3630" t="s">
        <v>12220</v>
      </c>
      <c r="Y3630">
        <v>0.39623692048938403</v>
      </c>
      <c r="Z3630" t="str">
        <f>HYPERLINK("Melting_Curves/meltCurve_tr_A8K7Q2_A8K7Q2_HUMAN_.pdf", "Melting_Curves/meltCurve_tr_A8K7Q2_A8K7Q2_HUMAN_.pdf")</f>
        <v>Melting_Curves/meltCurve_tr_A8K7Q2_A8K7Q2_HUMAN_.pdf</v>
      </c>
      <c r="AA3630" t="s">
        <v>13529</v>
      </c>
      <c r="AB3630" t="s">
        <v>17741</v>
      </c>
    </row>
    <row r="3631" spans="1:28" x14ac:dyDescent="0.25">
      <c r="A3631" t="s">
        <v>3635</v>
      </c>
      <c r="B3631">
        <v>0.99876560204751996</v>
      </c>
      <c r="C3631">
        <v>0.97891784866879195</v>
      </c>
      <c r="D3631">
        <v>0.90755480384359</v>
      </c>
      <c r="E3631">
        <v>0.98428629693636405</v>
      </c>
      <c r="F3631">
        <v>0.77701634580833201</v>
      </c>
      <c r="G3631">
        <v>0.350458146853385</v>
      </c>
      <c r="H3631">
        <v>0.239905801239469</v>
      </c>
      <c r="I3631">
        <v>0.166285441860444</v>
      </c>
      <c r="J3631">
        <v>0.18729784381848899</v>
      </c>
      <c r="K3631">
        <v>0.186091997902532</v>
      </c>
      <c r="L3631">
        <v>1761.8995605641301</v>
      </c>
      <c r="M3631">
        <v>32.241085267113199</v>
      </c>
      <c r="N3631">
        <v>55.438882501759799</v>
      </c>
      <c r="O3631">
        <v>54.438706237418103</v>
      </c>
      <c r="P3631">
        <v>-0.120759278758475</v>
      </c>
      <c r="Q3631">
        <v>0.18440136415029301</v>
      </c>
      <c r="R3631">
        <v>0.99176905709238505</v>
      </c>
      <c r="S3631" t="s">
        <v>7927</v>
      </c>
      <c r="T3631" t="s">
        <v>8590</v>
      </c>
      <c r="U3631" t="s">
        <v>8590</v>
      </c>
      <c r="V3631" t="s">
        <v>8590</v>
      </c>
      <c r="W3631">
        <v>4</v>
      </c>
      <c r="X3631" t="s">
        <v>12221</v>
      </c>
      <c r="Y3631">
        <v>0.58731817508620277</v>
      </c>
      <c r="Z3631" t="str">
        <f>HYPERLINK("Melting_Curves/meltCurve_tr_A8MQB8_A8MQB8_HUMAN_.pdf", "Melting_Curves/meltCurve_tr_A8MQB8_A8MQB8_HUMAN_.pdf")</f>
        <v>Melting_Curves/meltCurve_tr_A8MQB8_A8MQB8_HUMAN_.pdf</v>
      </c>
      <c r="AA3631" t="s">
        <v>16464</v>
      </c>
      <c r="AB3631" t="s">
        <v>20712</v>
      </c>
    </row>
    <row r="3632" spans="1:28" x14ac:dyDescent="0.25">
      <c r="A3632" t="s">
        <v>3636</v>
      </c>
      <c r="B3632">
        <v>0.99876560204751996</v>
      </c>
      <c r="C3632">
        <v>1.06934694186046</v>
      </c>
      <c r="D3632">
        <v>0.976982453869775</v>
      </c>
      <c r="E3632">
        <v>0.79868900415761801</v>
      </c>
      <c r="F3632">
        <v>0.24130371773022799</v>
      </c>
      <c r="G3632">
        <v>0.137282888052009</v>
      </c>
      <c r="H3632">
        <v>7.1382969559203105E-2</v>
      </c>
      <c r="I3632">
        <v>4.4885303626298403E-2</v>
      </c>
      <c r="J3632">
        <v>2.7276727230395099E-2</v>
      </c>
      <c r="K3632">
        <v>2.9245966695937198E-2</v>
      </c>
      <c r="L3632">
        <v>2298.1170967000699</v>
      </c>
      <c r="M3632">
        <v>44.702072037871702</v>
      </c>
      <c r="N3632">
        <v>51.551154688290602</v>
      </c>
      <c r="O3632">
        <v>51.307043373826197</v>
      </c>
      <c r="P3632">
        <v>-0.205238999080739</v>
      </c>
      <c r="Q3632">
        <v>5.7744171281484902E-2</v>
      </c>
      <c r="R3632">
        <v>0.99362472457083295</v>
      </c>
      <c r="S3632" t="s">
        <v>7928</v>
      </c>
      <c r="T3632" t="s">
        <v>8590</v>
      </c>
      <c r="U3632" t="s">
        <v>8590</v>
      </c>
      <c r="V3632" t="s">
        <v>8590</v>
      </c>
      <c r="W3632">
        <v>5</v>
      </c>
      <c r="X3632" t="s">
        <v>12222</v>
      </c>
      <c r="Y3632">
        <v>0.41878053829461681</v>
      </c>
      <c r="Z3632" t="str">
        <f>HYPERLINK("Melting_Curves/meltCurve_tr_A8MTY9_A8MTY9_HUMAN_.pdf", "Melting_Curves/meltCurve_tr_A8MTY9_A8MTY9_HUMAN_.pdf")</f>
        <v>Melting_Curves/meltCurve_tr_A8MTY9_A8MTY9_HUMAN_.pdf</v>
      </c>
      <c r="AA3632" t="s">
        <v>16465</v>
      </c>
      <c r="AB3632" t="s">
        <v>20713</v>
      </c>
    </row>
    <row r="3633" spans="1:28" x14ac:dyDescent="0.25">
      <c r="A3633" t="s">
        <v>3637</v>
      </c>
      <c r="B3633">
        <v>0.99876560204751996</v>
      </c>
      <c r="C3633">
        <v>0.97309004998339699</v>
      </c>
      <c r="D3633">
        <v>0.84874144413347796</v>
      </c>
      <c r="E3633">
        <v>0.78193499137669897</v>
      </c>
      <c r="F3633">
        <v>0.34379807049132999</v>
      </c>
      <c r="G3633">
        <v>0.118913702476723</v>
      </c>
      <c r="H3633">
        <v>6.6090376200378595E-2</v>
      </c>
      <c r="I3633">
        <v>4.2819598744365202E-2</v>
      </c>
      <c r="J3633">
        <v>3.0599653310973099E-2</v>
      </c>
      <c r="K3633">
        <v>2.1883122946770701E-2</v>
      </c>
      <c r="L3633">
        <v>1313.03565906583</v>
      </c>
      <c r="M3633">
        <v>25.3468380866078</v>
      </c>
      <c r="N3633">
        <v>51.928605489601601</v>
      </c>
      <c r="O3633">
        <v>51.483526081151197</v>
      </c>
      <c r="P3633">
        <v>-0.119416754998278</v>
      </c>
      <c r="Q3633">
        <v>2.9793507020049102E-2</v>
      </c>
      <c r="R3633">
        <v>0.98865401750965998</v>
      </c>
      <c r="S3633" t="s">
        <v>7929</v>
      </c>
      <c r="T3633" t="s">
        <v>8590</v>
      </c>
      <c r="U3633" t="s">
        <v>8590</v>
      </c>
      <c r="V3633" t="s">
        <v>8590</v>
      </c>
      <c r="W3633">
        <v>15</v>
      </c>
      <c r="X3633" t="s">
        <v>12223</v>
      </c>
      <c r="Y3633">
        <v>0.42010365685093931</v>
      </c>
      <c r="Z3633" t="str">
        <f>HYPERLINK("Melting_Curves/meltCurve_tr_A8MU28_A8MU28_HUMAN_.pdf", "Melting_Curves/meltCurve_tr_A8MU28_A8MU28_HUMAN_.pdf")</f>
        <v>Melting_Curves/meltCurve_tr_A8MU28_A8MU28_HUMAN_.pdf</v>
      </c>
      <c r="AA3633" t="s">
        <v>16466</v>
      </c>
      <c r="AB3633" t="s">
        <v>20714</v>
      </c>
    </row>
    <row r="3634" spans="1:28" x14ac:dyDescent="0.25">
      <c r="A3634" t="s">
        <v>3638</v>
      </c>
      <c r="B3634">
        <v>0.99876560204751996</v>
      </c>
      <c r="C3634">
        <v>1.0754075494228801</v>
      </c>
      <c r="D3634">
        <v>0.94466119692325201</v>
      </c>
      <c r="E3634">
        <v>0.83090522937640399</v>
      </c>
      <c r="F3634">
        <v>0.51269964007276803</v>
      </c>
      <c r="G3634">
        <v>0.25054834636525602</v>
      </c>
      <c r="H3634">
        <v>0.13489955607903401</v>
      </c>
      <c r="I3634">
        <v>9.6847395018591603E-2</v>
      </c>
      <c r="J3634">
        <v>9.6294114253937996E-2</v>
      </c>
      <c r="K3634">
        <v>7.7838920739227893E-2</v>
      </c>
      <c r="L3634">
        <v>1211.37300629741</v>
      </c>
      <c r="M3634">
        <v>22.891500581562799</v>
      </c>
      <c r="N3634">
        <v>53.355498665713</v>
      </c>
      <c r="O3634">
        <v>52.519151931209898</v>
      </c>
      <c r="P3634">
        <v>-9.9645480044221996E-2</v>
      </c>
      <c r="Q3634">
        <v>8.5565185117234696E-2</v>
      </c>
      <c r="R3634">
        <v>0.99463333921394004</v>
      </c>
      <c r="S3634" t="s">
        <v>7930</v>
      </c>
      <c r="T3634" t="s">
        <v>8590</v>
      </c>
      <c r="U3634" t="s">
        <v>8590</v>
      </c>
      <c r="V3634" t="s">
        <v>8590</v>
      </c>
      <c r="W3634">
        <v>27</v>
      </c>
      <c r="X3634" t="s">
        <v>12224</v>
      </c>
      <c r="Y3634">
        <v>0.48922936706577269</v>
      </c>
      <c r="Z3634" t="str">
        <f>HYPERLINK("Melting_Curves/meltCurve_tr_A8MU44_A8MU44_HUMAN_.pdf", "Melting_Curves/meltCurve_tr_A8MU44_A8MU44_HUMAN_.pdf")</f>
        <v>Melting_Curves/meltCurve_tr_A8MU44_A8MU44_HUMAN_.pdf</v>
      </c>
      <c r="AA3634" t="s">
        <v>16467</v>
      </c>
      <c r="AB3634" t="s">
        <v>20715</v>
      </c>
    </row>
    <row r="3635" spans="1:28" x14ac:dyDescent="0.25">
      <c r="A3635" t="s">
        <v>3639</v>
      </c>
      <c r="B3635">
        <v>0.99876560204751996</v>
      </c>
      <c r="C3635">
        <v>0.90356608073914901</v>
      </c>
      <c r="D3635">
        <v>0.66906147948873096</v>
      </c>
      <c r="E3635">
        <v>0.44955560834723601</v>
      </c>
      <c r="F3635">
        <v>0.232800403139408</v>
      </c>
      <c r="G3635">
        <v>0.113063061436058</v>
      </c>
      <c r="H3635">
        <v>5.2506996616015399E-2</v>
      </c>
      <c r="I3635">
        <v>3.2339144216271702E-2</v>
      </c>
      <c r="J3635">
        <v>4.4274540583702102E-2</v>
      </c>
      <c r="K3635">
        <v>3.3728708955903401E-2</v>
      </c>
      <c r="L3635">
        <v>731.86472295794294</v>
      </c>
      <c r="M3635">
        <v>15.0236662177519</v>
      </c>
      <c r="N3635">
        <v>48.824538226482801</v>
      </c>
      <c r="O3635">
        <v>47.875496672212897</v>
      </c>
      <c r="P3635">
        <v>-7.7149183741035299E-2</v>
      </c>
      <c r="Q3635">
        <v>1.6702452738001802E-2</v>
      </c>
      <c r="R3635">
        <v>0.99602441018340204</v>
      </c>
      <c r="S3635" t="s">
        <v>7931</v>
      </c>
      <c r="T3635" t="s">
        <v>8590</v>
      </c>
      <c r="U3635" t="s">
        <v>8590</v>
      </c>
      <c r="V3635" t="s">
        <v>8590</v>
      </c>
      <c r="W3635">
        <v>15</v>
      </c>
      <c r="X3635" t="s">
        <v>12225</v>
      </c>
      <c r="Y3635">
        <v>0.32678386246109148</v>
      </c>
      <c r="Z3635" t="str">
        <f>HYPERLINK("Melting_Curves/meltCurve_tr_A8MUB1_A8MUB1_HUMAN_.pdf", "Melting_Curves/meltCurve_tr_A8MUB1_A8MUB1_HUMAN_.pdf")</f>
        <v>Melting_Curves/meltCurve_tr_A8MUB1_A8MUB1_HUMAN_.pdf</v>
      </c>
      <c r="AA3635" t="s">
        <v>16468</v>
      </c>
      <c r="AB3635" t="s">
        <v>20716</v>
      </c>
    </row>
    <row r="3636" spans="1:28" x14ac:dyDescent="0.25">
      <c r="A3636" t="s">
        <v>3640</v>
      </c>
      <c r="B3636">
        <v>0.99876560204751996</v>
      </c>
      <c r="C3636">
        <v>0.86711066378963597</v>
      </c>
      <c r="D3636">
        <v>1.04975127301483</v>
      </c>
      <c r="E3636">
        <v>0.96218183203256902</v>
      </c>
      <c r="F3636">
        <v>0.77468499446115302</v>
      </c>
      <c r="G3636">
        <v>0.61046273777472104</v>
      </c>
      <c r="H3636">
        <v>0.121456815969925</v>
      </c>
      <c r="I3636">
        <v>0.16321931726149599</v>
      </c>
      <c r="J3636">
        <v>0.22744149319240201</v>
      </c>
      <c r="K3636">
        <v>0.488459337446637</v>
      </c>
      <c r="L3636">
        <v>1605.5504509042701</v>
      </c>
      <c r="M3636">
        <v>28.912383101389398</v>
      </c>
      <c r="N3636">
        <v>56.904977125900402</v>
      </c>
      <c r="O3636">
        <v>55.267968977122699</v>
      </c>
      <c r="P3636">
        <v>-9.7936167825665402E-2</v>
      </c>
      <c r="Q3636">
        <v>0.25115943361687498</v>
      </c>
      <c r="R3636">
        <v>0.87909111864381395</v>
      </c>
      <c r="S3636" t="s">
        <v>7932</v>
      </c>
      <c r="T3636" t="s">
        <v>8590</v>
      </c>
      <c r="U3636" t="s">
        <v>8590</v>
      </c>
      <c r="V3636" t="s">
        <v>8590</v>
      </c>
      <c r="W3636">
        <v>2</v>
      </c>
      <c r="X3636" t="s">
        <v>12226</v>
      </c>
      <c r="Y3636">
        <v>0.64418546270025223</v>
      </c>
      <c r="Z3636" t="str">
        <f>HYPERLINK("Melting_Curves/meltCurve_tr_A8MWR6_A8MWR6_HUMAN_.pdf", "Melting_Curves/meltCurve_tr_A8MWR6_A8MWR6_HUMAN_.pdf")</f>
        <v>Melting_Curves/meltCurve_tr_A8MWR6_A8MWR6_HUMAN_.pdf</v>
      </c>
      <c r="AA3636" t="s">
        <v>16469</v>
      </c>
      <c r="AB3636" t="s">
        <v>20717</v>
      </c>
    </row>
    <row r="3637" spans="1:28" x14ac:dyDescent="0.25">
      <c r="A3637" t="s">
        <v>3641</v>
      </c>
      <c r="B3637">
        <v>0.99876560204751996</v>
      </c>
      <c r="C3637">
        <v>1.0786927943774101</v>
      </c>
      <c r="D3637">
        <v>1.0136972933075701</v>
      </c>
      <c r="E3637">
        <v>0.89798981056610405</v>
      </c>
      <c r="F3637">
        <v>0.67839373794351698</v>
      </c>
      <c r="G3637">
        <v>0.45409199573336301</v>
      </c>
      <c r="H3637">
        <v>0.37231392014897602</v>
      </c>
      <c r="I3637">
        <v>0.33061373659325</v>
      </c>
      <c r="J3637">
        <v>0.33809291593201002</v>
      </c>
      <c r="K3637">
        <v>0.31867939016407798</v>
      </c>
      <c r="L3637">
        <v>1325.27057747187</v>
      </c>
      <c r="M3637">
        <v>24.8442598242091</v>
      </c>
      <c r="N3637">
        <v>55.760938493108803</v>
      </c>
      <c r="O3637">
        <v>53.001127874524599</v>
      </c>
      <c r="P3637">
        <v>-7.8547679661191E-2</v>
      </c>
      <c r="Q3637">
        <v>0.32973519441049198</v>
      </c>
      <c r="R3637">
        <v>0.991416643334877</v>
      </c>
      <c r="S3637" t="s">
        <v>7933</v>
      </c>
      <c r="T3637" t="s">
        <v>8590</v>
      </c>
      <c r="U3637" t="s">
        <v>8590</v>
      </c>
      <c r="V3637" t="s">
        <v>8590</v>
      </c>
      <c r="W3637">
        <v>12</v>
      </c>
      <c r="X3637" t="s">
        <v>12227</v>
      </c>
      <c r="Y3637">
        <v>0.63410661774303589</v>
      </c>
      <c r="Z3637" t="str">
        <f>HYPERLINK("Melting_Curves/meltCurve_tr_A8MXP9_A8MXP9_HUMAN_.pdf", "Melting_Curves/meltCurve_tr_A8MXP9_A8MXP9_HUMAN_.pdf")</f>
        <v>Melting_Curves/meltCurve_tr_A8MXP9_A8MXP9_HUMAN_.pdf</v>
      </c>
      <c r="AA3637" t="s">
        <v>16470</v>
      </c>
      <c r="AB3637" t="s">
        <v>20718</v>
      </c>
    </row>
    <row r="3638" spans="1:28" x14ac:dyDescent="0.25">
      <c r="A3638" t="s">
        <v>3642</v>
      </c>
      <c r="B3638">
        <v>0.99876560204751996</v>
      </c>
      <c r="C3638">
        <v>0.99403039535088999</v>
      </c>
      <c r="D3638">
        <v>0.97985222886967305</v>
      </c>
      <c r="E3638">
        <v>0.86741740905301901</v>
      </c>
      <c r="F3638">
        <v>0.76755309793559801</v>
      </c>
      <c r="G3638">
        <v>0.454356781059988</v>
      </c>
      <c r="H3638">
        <v>0.133780521601091</v>
      </c>
      <c r="I3638">
        <v>7.8491969821510799E-2</v>
      </c>
      <c r="J3638">
        <v>3.7184352021582101E-2</v>
      </c>
      <c r="K3638">
        <v>3.6641708186110303E-2</v>
      </c>
      <c r="L3638">
        <v>1087.92610277157</v>
      </c>
      <c r="M3638">
        <v>19.395268232670901</v>
      </c>
      <c r="N3638">
        <v>56.092346308005901</v>
      </c>
      <c r="O3638">
        <v>55.506257926119503</v>
      </c>
      <c r="P3638">
        <v>-8.7359433044748996E-2</v>
      </c>
      <c r="Q3638">
        <v>0</v>
      </c>
      <c r="R3638">
        <v>0.99687927240185903</v>
      </c>
      <c r="S3638" t="s">
        <v>7934</v>
      </c>
      <c r="T3638" t="s">
        <v>8590</v>
      </c>
      <c r="U3638" t="s">
        <v>8590</v>
      </c>
      <c r="V3638" t="s">
        <v>8590</v>
      </c>
      <c r="W3638">
        <v>1</v>
      </c>
      <c r="X3638" t="s">
        <v>12228</v>
      </c>
      <c r="Y3638">
        <v>0.54977418696721814</v>
      </c>
      <c r="Z3638" t="str">
        <f>HYPERLINK("Melting_Curves/meltCurve_tr_A8MYC1_A8MYC1_HUMAN_.pdf", "Melting_Curves/meltCurve_tr_A8MYC1_A8MYC1_HUMAN_.pdf")</f>
        <v>Melting_Curves/meltCurve_tr_A8MYC1_A8MYC1_HUMAN_.pdf</v>
      </c>
      <c r="AA3638" t="s">
        <v>16471</v>
      </c>
      <c r="AB3638" t="s">
        <v>20719</v>
      </c>
    </row>
    <row r="3639" spans="1:28" x14ac:dyDescent="0.25">
      <c r="A3639" t="s">
        <v>3643</v>
      </c>
      <c r="B3639">
        <v>0.99876560204751996</v>
      </c>
      <c r="C3639">
        <v>1.00942308014051</v>
      </c>
      <c r="D3639">
        <v>0.93453497969059895</v>
      </c>
      <c r="E3639">
        <v>0.92207377370709098</v>
      </c>
      <c r="F3639">
        <v>0.837390728173115</v>
      </c>
      <c r="G3639">
        <v>0.56060778872674599</v>
      </c>
      <c r="H3639">
        <v>0.468985793728944</v>
      </c>
      <c r="I3639">
        <v>0.45969647670175301</v>
      </c>
      <c r="J3639">
        <v>0.51305456256390503</v>
      </c>
      <c r="K3639">
        <v>0.46853830831535898</v>
      </c>
      <c r="L3639">
        <v>1555.56031853934</v>
      </c>
      <c r="M3639">
        <v>28.7337199001385</v>
      </c>
      <c r="N3639">
        <v>59.983344534808701</v>
      </c>
      <c r="O3639">
        <v>53.876916444815997</v>
      </c>
      <c r="P3639">
        <v>-7.0717532306379699E-2</v>
      </c>
      <c r="Q3639">
        <v>0.46961087883094099</v>
      </c>
      <c r="R3639">
        <v>0.98454923718762699</v>
      </c>
      <c r="S3639" t="s">
        <v>7935</v>
      </c>
      <c r="T3639" t="s">
        <v>8590</v>
      </c>
      <c r="U3639" t="s">
        <v>8590</v>
      </c>
      <c r="V3639" t="s">
        <v>8590</v>
      </c>
      <c r="W3639">
        <v>5</v>
      </c>
      <c r="X3639" t="s">
        <v>12229</v>
      </c>
      <c r="Y3639">
        <v>0.72333925332408411</v>
      </c>
      <c r="Z3639" t="str">
        <f>HYPERLINK("Melting_Curves/meltCurve_tr_A9Z1X7_A9Z1X7_HUMAN_.pdf", "Melting_Curves/meltCurve_tr_A9Z1X7_A9Z1X7_HUMAN_.pdf")</f>
        <v>Melting_Curves/meltCurve_tr_A9Z1X7_A9Z1X7_HUMAN_.pdf</v>
      </c>
      <c r="AA3639" t="s">
        <v>16472</v>
      </c>
      <c r="AB3639" t="s">
        <v>20720</v>
      </c>
    </row>
    <row r="3640" spans="1:28" x14ac:dyDescent="0.25">
      <c r="A3640" t="s">
        <v>3644</v>
      </c>
      <c r="B3640">
        <v>0.99876560204751996</v>
      </c>
      <c r="C3640">
        <v>0.99119606468287902</v>
      </c>
      <c r="D3640">
        <v>0.66729344002422697</v>
      </c>
      <c r="E3640">
        <v>0.778453812703089</v>
      </c>
      <c r="F3640">
        <v>0.42648227518474802</v>
      </c>
      <c r="G3640">
        <v>0.27442022065285199</v>
      </c>
      <c r="H3640">
        <v>0.236202436278665</v>
      </c>
      <c r="I3640">
        <v>0.20620573627733499</v>
      </c>
      <c r="J3640">
        <v>0.111000706650924</v>
      </c>
      <c r="K3640">
        <v>0.104290929955848</v>
      </c>
      <c r="L3640">
        <v>581.09600468244696</v>
      </c>
      <c r="M3640">
        <v>11.1753621605614</v>
      </c>
      <c r="N3640">
        <v>52.622621263546698</v>
      </c>
      <c r="O3640">
        <v>50.416330835206303</v>
      </c>
      <c r="P3640">
        <v>-5.1989613905411798E-2</v>
      </c>
      <c r="Q3640">
        <v>6.2117993188713097E-2</v>
      </c>
      <c r="R3640">
        <v>0.94709809934294398</v>
      </c>
      <c r="S3640" t="s">
        <v>7936</v>
      </c>
      <c r="T3640" t="s">
        <v>8590</v>
      </c>
      <c r="U3640" t="s">
        <v>8590</v>
      </c>
      <c r="V3640" t="s">
        <v>8590</v>
      </c>
      <c r="W3640">
        <v>4</v>
      </c>
      <c r="X3640" t="s">
        <v>12230</v>
      </c>
      <c r="Y3640">
        <v>0.46857216520205153</v>
      </c>
      <c r="Z3640" t="str">
        <f>HYPERLINK("Melting_Curves/meltCurve_tr_B0FLL2_B0FLL2_HUMAN_.pdf", "Melting_Curves/meltCurve_tr_B0FLL2_B0FLL2_HUMAN_.pdf")</f>
        <v>Melting_Curves/meltCurve_tr_B0FLL2_B0FLL2_HUMAN_.pdf</v>
      </c>
      <c r="AA3640" t="s">
        <v>16473</v>
      </c>
      <c r="AB3640" t="s">
        <v>20721</v>
      </c>
    </row>
    <row r="3641" spans="1:28" x14ac:dyDescent="0.25">
      <c r="A3641" t="s">
        <v>3645</v>
      </c>
      <c r="B3641">
        <v>0.99876560204751996</v>
      </c>
      <c r="C3641">
        <v>0.95176408388244005</v>
      </c>
      <c r="D3641">
        <v>0.90383195111910297</v>
      </c>
      <c r="E3641">
        <v>0.82058907222185695</v>
      </c>
      <c r="F3641">
        <v>0.69413114591458203</v>
      </c>
      <c r="G3641">
        <v>0.51146136317826096</v>
      </c>
      <c r="H3641">
        <v>0.40580649483789299</v>
      </c>
      <c r="I3641">
        <v>0.33255511934279802</v>
      </c>
      <c r="J3641">
        <v>0.34621631763271399</v>
      </c>
      <c r="K3641">
        <v>0.33189217811786098</v>
      </c>
      <c r="L3641">
        <v>698.61803692201602</v>
      </c>
      <c r="M3641">
        <v>12.9684116420583</v>
      </c>
      <c r="N3641">
        <v>57.532285860170099</v>
      </c>
      <c r="O3641">
        <v>52.638059700819497</v>
      </c>
      <c r="P3641">
        <v>-4.4295314146066002E-2</v>
      </c>
      <c r="Q3641">
        <v>0.28095939754670801</v>
      </c>
      <c r="R3641">
        <v>0.99547841768465095</v>
      </c>
      <c r="S3641" t="s">
        <v>7937</v>
      </c>
      <c r="T3641" t="s">
        <v>8590</v>
      </c>
      <c r="U3641" t="s">
        <v>8590</v>
      </c>
      <c r="V3641" t="s">
        <v>8590</v>
      </c>
      <c r="W3641">
        <v>14</v>
      </c>
      <c r="X3641" t="s">
        <v>12231</v>
      </c>
      <c r="Y3641">
        <v>0.63099843036406267</v>
      </c>
      <c r="Z3641" t="str">
        <f>HYPERLINK("Melting_Curves/meltCurve_tr_B0UX83_B0UX83_HUMAN_.pdf", "Melting_Curves/meltCurve_tr_B0UX83_B0UX83_HUMAN_.pdf")</f>
        <v>Melting_Curves/meltCurve_tr_B0UX83_B0UX83_HUMAN_.pdf</v>
      </c>
      <c r="AA3641" t="s">
        <v>16474</v>
      </c>
      <c r="AB3641" t="s">
        <v>20722</v>
      </c>
    </row>
    <row r="3642" spans="1:28" x14ac:dyDescent="0.25">
      <c r="A3642" t="s">
        <v>3646</v>
      </c>
      <c r="B3642">
        <v>0.99876560204751996</v>
      </c>
      <c r="C3642">
        <v>0.98553350750116697</v>
      </c>
      <c r="D3642">
        <v>0.99417694638874599</v>
      </c>
      <c r="E3642">
        <v>0.98877009069149902</v>
      </c>
      <c r="F3642">
        <v>0.94161718701309205</v>
      </c>
      <c r="G3642">
        <v>0.65109439480369602</v>
      </c>
      <c r="H3642">
        <v>0.31400328507046499</v>
      </c>
      <c r="I3642">
        <v>0.136275143640124</v>
      </c>
      <c r="J3642">
        <v>7.8807905994310506E-2</v>
      </c>
      <c r="K3642">
        <v>6.6883208013301498E-2</v>
      </c>
      <c r="L3642">
        <v>1419.51520007207</v>
      </c>
      <c r="M3642">
        <v>24.286082492386502</v>
      </c>
      <c r="N3642">
        <v>58.667767688819502</v>
      </c>
      <c r="O3642">
        <v>58.057768123476698</v>
      </c>
      <c r="P3642">
        <v>-0.10006610680196</v>
      </c>
      <c r="Q3642">
        <v>4.3151206195227103E-2</v>
      </c>
      <c r="R3642">
        <v>0.99930594096029102</v>
      </c>
      <c r="S3642" t="s">
        <v>7938</v>
      </c>
      <c r="T3642" t="s">
        <v>8590</v>
      </c>
      <c r="U3642" t="s">
        <v>8590</v>
      </c>
      <c r="V3642" t="s">
        <v>8590</v>
      </c>
      <c r="W3642">
        <v>22</v>
      </c>
      <c r="X3642" t="s">
        <v>12232</v>
      </c>
      <c r="Y3642">
        <v>0.64004439599295648</v>
      </c>
      <c r="Z3642" t="str">
        <f>HYPERLINK("Melting_Curves/meltCurve_tr_B1AK87_B1AK87_HUMAN_.pdf", "Melting_Curves/meltCurve_tr_B1AK87_B1AK87_HUMAN_.pdf")</f>
        <v>Melting_Curves/meltCurve_tr_B1AK87_B1AK87_HUMAN_.pdf</v>
      </c>
      <c r="AA3642" t="s">
        <v>16475</v>
      </c>
      <c r="AB3642" t="s">
        <v>20723</v>
      </c>
    </row>
    <row r="3643" spans="1:28" x14ac:dyDescent="0.25">
      <c r="A3643" t="s">
        <v>3647</v>
      </c>
      <c r="B3643">
        <v>0.99876560204751996</v>
      </c>
      <c r="C3643">
        <v>0.73501630877302404</v>
      </c>
      <c r="D3643">
        <v>0.66442044843750603</v>
      </c>
      <c r="E3643">
        <v>0.83849590773956395</v>
      </c>
      <c r="F3643">
        <v>0.83770473300573101</v>
      </c>
      <c r="G3643">
        <v>0.73257154567670002</v>
      </c>
      <c r="H3643">
        <v>0.54967334174262505</v>
      </c>
      <c r="I3643">
        <v>0.46947228847619299</v>
      </c>
      <c r="J3643">
        <v>0.62573640310031697</v>
      </c>
      <c r="K3643">
        <v>0.82126752138803705</v>
      </c>
      <c r="L3643">
        <v>350.39396436260398</v>
      </c>
      <c r="M3643">
        <v>7.9185009324055198</v>
      </c>
      <c r="O3643">
        <v>41.694796868414002</v>
      </c>
      <c r="P3643">
        <v>-1.76686804781702E-2</v>
      </c>
      <c r="Q3643">
        <v>0.62829963578297199</v>
      </c>
      <c r="R3643">
        <v>0.32643641876693202</v>
      </c>
      <c r="S3643" t="s">
        <v>7939</v>
      </c>
      <c r="T3643" t="s">
        <v>8590</v>
      </c>
      <c r="U3643" t="s">
        <v>8590</v>
      </c>
      <c r="V3643" t="s">
        <v>8590</v>
      </c>
      <c r="W3643">
        <v>1</v>
      </c>
      <c r="X3643" t="s">
        <v>12233</v>
      </c>
      <c r="Y3643">
        <v>0.71946920869677367</v>
      </c>
      <c r="Z3643" t="str">
        <f>HYPERLINK("Melting_Curves/meltCurve_tr_B1AKL4_B1AKL4_HUMAN_.pdf", "Melting_Curves/meltCurve_tr_B1AKL4_B1AKL4_HUMAN_.pdf")</f>
        <v>Melting_Curves/meltCurve_tr_B1AKL4_B1AKL4_HUMAN_.pdf</v>
      </c>
      <c r="AA3643" t="s">
        <v>16476</v>
      </c>
      <c r="AB3643" t="s">
        <v>20724</v>
      </c>
    </row>
    <row r="3644" spans="1:28" x14ac:dyDescent="0.25">
      <c r="A3644" t="s">
        <v>3648</v>
      </c>
      <c r="B3644">
        <v>0.99876560204751996</v>
      </c>
      <c r="C3644">
        <v>1.01313244151197</v>
      </c>
      <c r="D3644">
        <v>0.93399531034431504</v>
      </c>
      <c r="E3644">
        <v>1.00741238729093</v>
      </c>
      <c r="F3644">
        <v>0.97533046505987198</v>
      </c>
      <c r="G3644">
        <v>0.76196201762520899</v>
      </c>
      <c r="H3644">
        <v>0.56595331418189498</v>
      </c>
      <c r="I3644">
        <v>0.53816964264153999</v>
      </c>
      <c r="J3644">
        <v>0.57276021410142997</v>
      </c>
      <c r="K3644">
        <v>0.42646682727518698</v>
      </c>
      <c r="L3644">
        <v>1708.07008242386</v>
      </c>
      <c r="M3644">
        <v>29.805885809560401</v>
      </c>
      <c r="O3644">
        <v>57.050365240146498</v>
      </c>
      <c r="P3644">
        <v>-6.5312651655663703E-2</v>
      </c>
      <c r="Q3644">
        <v>0.499953028882543</v>
      </c>
      <c r="R3644">
        <v>0.96841012568978702</v>
      </c>
      <c r="S3644" t="s">
        <v>7940</v>
      </c>
      <c r="T3644" t="s">
        <v>8590</v>
      </c>
      <c r="U3644" t="s">
        <v>8590</v>
      </c>
      <c r="V3644" t="s">
        <v>8590</v>
      </c>
      <c r="W3644">
        <v>9</v>
      </c>
      <c r="X3644" t="s">
        <v>12234</v>
      </c>
      <c r="Y3644">
        <v>0.79178102461415434</v>
      </c>
      <c r="Z3644" t="str">
        <f>HYPERLINK("Melting_Curves/meltCurve_tr_B1AKN7_B1AKN7_HUMAN_.pdf", "Melting_Curves/meltCurve_tr_B1AKN7_B1AKN7_HUMAN_.pdf")</f>
        <v>Melting_Curves/meltCurve_tr_B1AKN7_B1AKN7_HUMAN_.pdf</v>
      </c>
      <c r="AA3644" t="s">
        <v>16477</v>
      </c>
      <c r="AB3644" t="s">
        <v>20725</v>
      </c>
    </row>
    <row r="3645" spans="1:28" x14ac:dyDescent="0.25">
      <c r="A3645" t="s">
        <v>3649</v>
      </c>
      <c r="B3645">
        <v>0.99876560204751996</v>
      </c>
      <c r="C3645">
        <v>1.0051807218254301</v>
      </c>
      <c r="D3645">
        <v>0.78932349288928905</v>
      </c>
      <c r="E3645">
        <v>0.63169595820601598</v>
      </c>
      <c r="F3645">
        <v>0.39571944253304697</v>
      </c>
      <c r="G3645">
        <v>0.42708264831958798</v>
      </c>
      <c r="H3645">
        <v>0.252644990518616</v>
      </c>
      <c r="I3645">
        <v>9.8006738634394602E-2</v>
      </c>
      <c r="J3645">
        <v>0</v>
      </c>
      <c r="K3645">
        <v>0.106025819934254</v>
      </c>
      <c r="L3645">
        <v>555.61322824772901</v>
      </c>
      <c r="M3645">
        <v>10.529944296324199</v>
      </c>
      <c r="N3645">
        <v>52.765065283246301</v>
      </c>
      <c r="O3645">
        <v>50.968628356367503</v>
      </c>
      <c r="P3645">
        <v>-5.1669757112073098E-2</v>
      </c>
      <c r="Q3645">
        <v>0</v>
      </c>
      <c r="R3645">
        <v>0.962278943566931</v>
      </c>
      <c r="S3645" t="s">
        <v>7941</v>
      </c>
      <c r="T3645" t="s">
        <v>8590</v>
      </c>
      <c r="U3645" t="s">
        <v>8590</v>
      </c>
      <c r="V3645" t="s">
        <v>8590</v>
      </c>
      <c r="W3645">
        <v>1</v>
      </c>
      <c r="X3645" t="s">
        <v>12235</v>
      </c>
      <c r="Y3645">
        <v>0.45888779066192009</v>
      </c>
      <c r="Z3645" t="str">
        <f>HYPERLINK("Melting_Curves/meltCurve_tr_B1AKV3_B1AKV3_HUMAN_.pdf", "Melting_Curves/meltCurve_tr_B1AKV3_B1AKV3_HUMAN_.pdf")</f>
        <v>Melting_Curves/meltCurve_tr_B1AKV3_B1AKV3_HUMAN_.pdf</v>
      </c>
      <c r="AA3645" t="s">
        <v>16478</v>
      </c>
      <c r="AB3645" t="s">
        <v>20726</v>
      </c>
    </row>
    <row r="3646" spans="1:28" x14ac:dyDescent="0.25">
      <c r="A3646" t="s">
        <v>3650</v>
      </c>
      <c r="B3646">
        <v>0.99876560204751996</v>
      </c>
      <c r="C3646">
        <v>0.92357411324197503</v>
      </c>
      <c r="D3646">
        <v>1.0091840785730899</v>
      </c>
      <c r="E3646">
        <v>0.84045942275701302</v>
      </c>
      <c r="F3646">
        <v>0.78338977153341904</v>
      </c>
      <c r="G3646">
        <v>0.63918717329302999</v>
      </c>
      <c r="H3646">
        <v>0.62403734526473598</v>
      </c>
      <c r="I3646">
        <v>0.65058738654474702</v>
      </c>
      <c r="J3646">
        <v>0.77300284271781605</v>
      </c>
      <c r="K3646">
        <v>0.687902484183602</v>
      </c>
      <c r="L3646">
        <v>1414.1696107187599</v>
      </c>
      <c r="M3646">
        <v>27.9932063508212</v>
      </c>
      <c r="O3646">
        <v>50.262617412834203</v>
      </c>
      <c r="P3646">
        <v>-4.5041557098448197E-2</v>
      </c>
      <c r="Q3646">
        <v>0.67650907520120396</v>
      </c>
      <c r="R3646">
        <v>0.87590426516688102</v>
      </c>
      <c r="S3646" t="s">
        <v>7942</v>
      </c>
      <c r="T3646" t="s">
        <v>8590</v>
      </c>
      <c r="U3646" t="s">
        <v>8590</v>
      </c>
      <c r="V3646" t="s">
        <v>8590</v>
      </c>
      <c r="W3646">
        <v>2</v>
      </c>
      <c r="X3646" t="s">
        <v>12236</v>
      </c>
      <c r="Y3646">
        <v>0.79224751674349647</v>
      </c>
      <c r="Z3646" t="str">
        <f>HYPERLINK("Melting_Curves/meltCurve_tr_B1AKZ5_B1AKZ5_HUMAN_.pdf", "Melting_Curves/meltCurve_tr_B1AKZ5_B1AKZ5_HUMAN_.pdf")</f>
        <v>Melting_Curves/meltCurve_tr_B1AKZ5_B1AKZ5_HUMAN_.pdf</v>
      </c>
      <c r="AA3646" t="s">
        <v>16479</v>
      </c>
      <c r="AB3646" t="s">
        <v>20727</v>
      </c>
    </row>
    <row r="3647" spans="1:28" x14ac:dyDescent="0.25">
      <c r="A3647" t="s">
        <v>3651</v>
      </c>
      <c r="B3647">
        <v>0.99876560204751996</v>
      </c>
      <c r="C3647">
        <v>1.0454515043325401</v>
      </c>
      <c r="D3647">
        <v>0.94101476016568997</v>
      </c>
      <c r="E3647">
        <v>0.99496955865951597</v>
      </c>
      <c r="F3647">
        <v>0.88634246971161201</v>
      </c>
      <c r="G3647">
        <v>0.56166334914318705</v>
      </c>
      <c r="H3647">
        <v>0.38560706864890398</v>
      </c>
      <c r="I3647">
        <v>0.29420250099351303</v>
      </c>
      <c r="J3647">
        <v>0.304851347079381</v>
      </c>
      <c r="K3647">
        <v>0.23195805541016401</v>
      </c>
      <c r="L3647">
        <v>1408.25351383046</v>
      </c>
      <c r="M3647">
        <v>24.972441019820199</v>
      </c>
      <c r="N3647">
        <v>58.128038150824402</v>
      </c>
      <c r="O3647">
        <v>56.034415602196397</v>
      </c>
      <c r="P3647">
        <v>-8.2137187650259097E-2</v>
      </c>
      <c r="Q3647">
        <v>0.26279577254747499</v>
      </c>
      <c r="R3647">
        <v>0.99108996024920204</v>
      </c>
      <c r="S3647" t="s">
        <v>7943</v>
      </c>
      <c r="T3647" t="s">
        <v>8590</v>
      </c>
      <c r="U3647" t="s">
        <v>8590</v>
      </c>
      <c r="V3647" t="s">
        <v>8590</v>
      </c>
      <c r="W3647">
        <v>5</v>
      </c>
      <c r="X3647" t="s">
        <v>12237</v>
      </c>
      <c r="Y3647">
        <v>0.67235159258653865</v>
      </c>
      <c r="Z3647" t="str">
        <f>HYPERLINK("Melting_Curves/meltCurve_tr_B1AL69_B1AL69_HUMAN_.pdf", "Melting_Curves/meltCurve_tr_B1AL69_B1AL69_HUMAN_.pdf")</f>
        <v>Melting_Curves/meltCurve_tr_B1AL69_B1AL69_HUMAN_.pdf</v>
      </c>
      <c r="AA3647" t="s">
        <v>16480</v>
      </c>
      <c r="AB3647" t="s">
        <v>20728</v>
      </c>
    </row>
    <row r="3648" spans="1:28" x14ac:dyDescent="0.25">
      <c r="A3648" t="s">
        <v>3652</v>
      </c>
      <c r="B3648">
        <v>0.99876560204751996</v>
      </c>
      <c r="C3648">
        <v>0.92223410927454696</v>
      </c>
      <c r="D3648">
        <v>1.05401885758026</v>
      </c>
      <c r="E3648">
        <v>0.90507334884089796</v>
      </c>
      <c r="F3648">
        <v>0.97707125498546499</v>
      </c>
      <c r="G3648">
        <v>0.77599419803395198</v>
      </c>
      <c r="H3648">
        <v>0.65398241165195303</v>
      </c>
      <c r="I3648">
        <v>0.64930322786965999</v>
      </c>
      <c r="J3648">
        <v>0.77051331075296603</v>
      </c>
      <c r="K3648">
        <v>0.74358738921624301</v>
      </c>
      <c r="L3648">
        <v>2810.0583219976502</v>
      </c>
      <c r="M3648">
        <v>50.549417720444197</v>
      </c>
      <c r="O3648">
        <v>55.503525113267997</v>
      </c>
      <c r="P3648">
        <v>-6.7261082741645398E-2</v>
      </c>
      <c r="Q3648">
        <v>0.70458815751896398</v>
      </c>
      <c r="R3648">
        <v>0.84356744238496495</v>
      </c>
      <c r="S3648" t="s">
        <v>7944</v>
      </c>
      <c r="T3648" t="s">
        <v>8590</v>
      </c>
      <c r="U3648" t="s">
        <v>8590</v>
      </c>
      <c r="V3648" t="s">
        <v>8590</v>
      </c>
      <c r="W3648">
        <v>15</v>
      </c>
      <c r="X3648" t="s">
        <v>12238</v>
      </c>
      <c r="Y3648">
        <v>0.85881508757467417</v>
      </c>
      <c r="Z3648" t="str">
        <f>HYPERLINK("Melting_Curves/meltCurve_tr_B1ALY0_B1ALY0_HUMAN_.pdf", "Melting_Curves/meltCurve_tr_B1ALY0_B1ALY0_HUMAN_.pdf")</f>
        <v>Melting_Curves/meltCurve_tr_B1ALY0_B1ALY0_HUMAN_.pdf</v>
      </c>
      <c r="AA3648" t="s">
        <v>16481</v>
      </c>
      <c r="AB3648" t="s">
        <v>20729</v>
      </c>
    </row>
    <row r="3649" spans="1:28" x14ac:dyDescent="0.25">
      <c r="A3649" t="s">
        <v>3653</v>
      </c>
      <c r="B3649">
        <v>0.99876560204751996</v>
      </c>
      <c r="C3649">
        <v>0.88283898433528796</v>
      </c>
      <c r="D3649">
        <v>1.00220266623015</v>
      </c>
      <c r="E3649">
        <v>0.45478365254445502</v>
      </c>
      <c r="F3649">
        <v>0.183119258287473</v>
      </c>
      <c r="G3649">
        <v>8.6819062560232696E-2</v>
      </c>
      <c r="H3649">
        <v>6.03555910006872E-2</v>
      </c>
      <c r="I3649">
        <v>5.94904960320677E-2</v>
      </c>
      <c r="J3649">
        <v>6.9476653744544398E-2</v>
      </c>
      <c r="K3649">
        <v>8.3145751196908702E-2</v>
      </c>
      <c r="L3649">
        <v>1872.14280603769</v>
      </c>
      <c r="M3649">
        <v>37.724850214823903</v>
      </c>
      <c r="N3649">
        <v>49.8392730169139</v>
      </c>
      <c r="O3649">
        <v>49.487423331384498</v>
      </c>
      <c r="P3649">
        <v>-0.176388402875848</v>
      </c>
      <c r="Q3649">
        <v>7.4457963298977706E-2</v>
      </c>
      <c r="R3649">
        <v>0.98879285102715997</v>
      </c>
      <c r="S3649" t="s">
        <v>7945</v>
      </c>
      <c r="T3649" t="s">
        <v>8590</v>
      </c>
      <c r="U3649" t="s">
        <v>8590</v>
      </c>
      <c r="V3649" t="s">
        <v>8590</v>
      </c>
      <c r="W3649">
        <v>5</v>
      </c>
      <c r="X3649" t="s">
        <v>12239</v>
      </c>
      <c r="Y3649">
        <v>0.37501701038300023</v>
      </c>
      <c r="Z3649" t="str">
        <f>HYPERLINK("Melting_Curves/meltCurve_tr_B1ANH0_B1ANH0_HUMAN_.pdf", "Melting_Curves/meltCurve_tr_B1ANH0_B1ANH0_HUMAN_.pdf")</f>
        <v>Melting_Curves/meltCurve_tr_B1ANH0_B1ANH0_HUMAN_.pdf</v>
      </c>
      <c r="AA3649" t="s">
        <v>16482</v>
      </c>
      <c r="AB3649" t="s">
        <v>20730</v>
      </c>
    </row>
    <row r="3650" spans="1:28" x14ac:dyDescent="0.25">
      <c r="A3650" t="s">
        <v>3654</v>
      </c>
      <c r="B3650">
        <v>0.99876560204751996</v>
      </c>
      <c r="C3650">
        <v>0.96968238120413497</v>
      </c>
      <c r="D3650">
        <v>0.98077892180910897</v>
      </c>
      <c r="E3650">
        <v>0.86961837758475802</v>
      </c>
      <c r="F3650">
        <v>0.79264539050119198</v>
      </c>
      <c r="G3650">
        <v>0.56537904947273498</v>
      </c>
      <c r="H3650">
        <v>0.33837887801085798</v>
      </c>
      <c r="I3650">
        <v>0.236729421192481</v>
      </c>
      <c r="J3650">
        <v>0.224615056943371</v>
      </c>
      <c r="K3650">
        <v>0.15318874652175299</v>
      </c>
      <c r="L3650">
        <v>829.77564323256297</v>
      </c>
      <c r="M3650">
        <v>14.554336555055</v>
      </c>
      <c r="N3650">
        <v>57.938659647049001</v>
      </c>
      <c r="O3650">
        <v>55.968390615982003</v>
      </c>
      <c r="P3650">
        <v>-5.8269222465188099E-2</v>
      </c>
      <c r="Q3650">
        <v>0.103809726578082</v>
      </c>
      <c r="R3650">
        <v>0.99703957367684803</v>
      </c>
      <c r="S3650" t="s">
        <v>7946</v>
      </c>
      <c r="T3650" t="s">
        <v>8590</v>
      </c>
      <c r="U3650" t="s">
        <v>8590</v>
      </c>
      <c r="V3650" t="s">
        <v>8590</v>
      </c>
      <c r="W3650">
        <v>1</v>
      </c>
      <c r="X3650" t="s">
        <v>12240</v>
      </c>
      <c r="Y3650">
        <v>0.62639868036899982</v>
      </c>
      <c r="Z3650" t="str">
        <f>HYPERLINK("Melting_Curves/meltCurve_tr_B1AT46_B1AT46_HUMAN_.pdf", "Melting_Curves/meltCurve_tr_B1AT46_B1AT46_HUMAN_.pdf")</f>
        <v>Melting_Curves/meltCurve_tr_B1AT46_B1AT46_HUMAN_.pdf</v>
      </c>
      <c r="AA3650" t="s">
        <v>16483</v>
      </c>
      <c r="AB3650" t="s">
        <v>20731</v>
      </c>
    </row>
    <row r="3651" spans="1:28" x14ac:dyDescent="0.25">
      <c r="A3651" t="s">
        <v>3655</v>
      </c>
      <c r="B3651">
        <v>0.99876560204751996</v>
      </c>
      <c r="C3651">
        <v>1.07942388199021</v>
      </c>
      <c r="D3651">
        <v>1.0565780192279599</v>
      </c>
      <c r="E3651">
        <v>0.87579564969064605</v>
      </c>
      <c r="F3651">
        <v>0.60835362850578401</v>
      </c>
      <c r="G3651">
        <v>0.289687763883264</v>
      </c>
      <c r="H3651">
        <v>0.24789641155813999</v>
      </c>
      <c r="I3651">
        <v>0.222621140057227</v>
      </c>
      <c r="J3651">
        <v>0.25372324178272199</v>
      </c>
      <c r="K3651">
        <v>0.22746649353071899</v>
      </c>
      <c r="L3651">
        <v>1709.2783213348901</v>
      </c>
      <c r="M3651">
        <v>32.344375093009802</v>
      </c>
      <c r="N3651">
        <v>53.891590460603602</v>
      </c>
      <c r="O3651">
        <v>52.645451115773703</v>
      </c>
      <c r="P3651">
        <v>-0.117806581728719</v>
      </c>
      <c r="Q3651">
        <v>0.233010292725953</v>
      </c>
      <c r="R3651">
        <v>0.99110613170637596</v>
      </c>
      <c r="S3651" t="s">
        <v>7947</v>
      </c>
      <c r="T3651" t="s">
        <v>8590</v>
      </c>
      <c r="U3651" t="s">
        <v>8590</v>
      </c>
      <c r="V3651" t="s">
        <v>8590</v>
      </c>
      <c r="W3651">
        <v>3</v>
      </c>
      <c r="X3651" t="s">
        <v>12241</v>
      </c>
      <c r="Y3651">
        <v>0.56571960357675577</v>
      </c>
      <c r="Z3651" t="str">
        <f>HYPERLINK("Melting_Curves/meltCurve_tr_B3KRS5_B3KRS5_HUMAN_.pdf", "Melting_Curves/meltCurve_tr_B3KRS5_B3KRS5_HUMAN_.pdf")</f>
        <v>Melting_Curves/meltCurve_tr_B3KRS5_B3KRS5_HUMAN_.pdf</v>
      </c>
      <c r="AA3651" t="s">
        <v>16484</v>
      </c>
      <c r="AB3651" t="s">
        <v>20732</v>
      </c>
    </row>
    <row r="3652" spans="1:28" x14ac:dyDescent="0.25">
      <c r="A3652" t="s">
        <v>3656</v>
      </c>
      <c r="B3652">
        <v>0.99876560204751996</v>
      </c>
      <c r="C3652">
        <v>0.90708678296425405</v>
      </c>
      <c r="D3652">
        <v>0.92760479051900402</v>
      </c>
      <c r="E3652">
        <v>0.896310296754247</v>
      </c>
      <c r="F3652">
        <v>0.87732460681615798</v>
      </c>
      <c r="G3652">
        <v>0.52024393391389001</v>
      </c>
      <c r="H3652">
        <v>0.34238185456981302</v>
      </c>
      <c r="I3652">
        <v>0.29629823064769201</v>
      </c>
      <c r="J3652">
        <v>0.38533456788433601</v>
      </c>
      <c r="K3652">
        <v>0.33398218890437698</v>
      </c>
      <c r="L3652">
        <v>1625.42140841948</v>
      </c>
      <c r="M3652">
        <v>29.4272909774058</v>
      </c>
      <c r="N3652">
        <v>57.298255386703502</v>
      </c>
      <c r="O3652">
        <v>54.981963751720002</v>
      </c>
      <c r="P3652">
        <v>-9.0091558836934704E-2</v>
      </c>
      <c r="Q3652">
        <v>0.32669611778496799</v>
      </c>
      <c r="R3652">
        <v>0.967762484011918</v>
      </c>
      <c r="S3652" t="s">
        <v>7948</v>
      </c>
      <c r="T3652" t="s">
        <v>8590</v>
      </c>
      <c r="U3652" t="s">
        <v>8590</v>
      </c>
      <c r="V3652" t="s">
        <v>8590</v>
      </c>
      <c r="W3652">
        <v>11</v>
      </c>
      <c r="X3652" t="s">
        <v>12242</v>
      </c>
      <c r="Y3652">
        <v>0.67326420576024026</v>
      </c>
      <c r="Z3652" t="str">
        <f>HYPERLINK("Melting_Curves/meltCurve_tr_B3KSI9_B3KSI9_HUMAN_.pdf", "Melting_Curves/meltCurve_tr_B3KSI9_B3KSI9_HUMAN_.pdf")</f>
        <v>Melting_Curves/meltCurve_tr_B3KSI9_B3KSI9_HUMAN_.pdf</v>
      </c>
      <c r="AA3652" t="s">
        <v>16485</v>
      </c>
      <c r="AB3652" t="s">
        <v>20733</v>
      </c>
    </row>
    <row r="3653" spans="1:28" x14ac:dyDescent="0.25">
      <c r="A3653" t="s">
        <v>3657</v>
      </c>
      <c r="B3653">
        <v>0.99876560204751996</v>
      </c>
      <c r="C3653">
        <v>0.98807664009910701</v>
      </c>
      <c r="D3653">
        <v>0.97279469172276201</v>
      </c>
      <c r="E3653">
        <v>1.05484467923906</v>
      </c>
      <c r="F3653">
        <v>0.84406091159389296</v>
      </c>
      <c r="G3653">
        <v>0.50265244632657102</v>
      </c>
      <c r="H3653">
        <v>0.50362527220588704</v>
      </c>
      <c r="I3653">
        <v>0.53361934703103198</v>
      </c>
      <c r="J3653">
        <v>0.48781138035302801</v>
      </c>
      <c r="K3653">
        <v>0.47410046127889799</v>
      </c>
      <c r="L3653">
        <v>13291.8859814394</v>
      </c>
      <c r="M3653">
        <v>250</v>
      </c>
      <c r="O3653">
        <v>53.164136156069503</v>
      </c>
      <c r="P3653">
        <v>-0.58737690748712401</v>
      </c>
      <c r="Q3653">
        <v>0.50036177560663497</v>
      </c>
      <c r="R3653">
        <v>0.98992271959506695</v>
      </c>
      <c r="S3653" t="s">
        <v>7949</v>
      </c>
      <c r="T3653" t="s">
        <v>8590</v>
      </c>
      <c r="U3653" t="s">
        <v>8590</v>
      </c>
      <c r="V3653" t="s">
        <v>8590</v>
      </c>
      <c r="W3653">
        <v>2</v>
      </c>
      <c r="X3653" t="s">
        <v>12243</v>
      </c>
      <c r="Y3653">
        <v>0.71970867151229889</v>
      </c>
      <c r="Z3653" t="str">
        <f>HYPERLINK("Melting_Curves/meltCurve_tr_B3KVH8_B3KVH8_HUMAN_.pdf", "Melting_Curves/meltCurve_tr_B3KVH8_B3KVH8_HUMAN_.pdf")</f>
        <v>Melting_Curves/meltCurve_tr_B3KVH8_B3KVH8_HUMAN_.pdf</v>
      </c>
      <c r="AA3653" t="s">
        <v>16486</v>
      </c>
      <c r="AB3653" t="s">
        <v>20734</v>
      </c>
    </row>
    <row r="3654" spans="1:28" x14ac:dyDescent="0.25">
      <c r="A3654" t="s">
        <v>3658</v>
      </c>
      <c r="B3654">
        <v>0.99876560204751996</v>
      </c>
      <c r="C3654">
        <v>0.96896925669165002</v>
      </c>
      <c r="D3654">
        <v>1.0161987814378199</v>
      </c>
      <c r="E3654">
        <v>0.71515868699598095</v>
      </c>
      <c r="F3654">
        <v>0.30890982046238202</v>
      </c>
      <c r="G3654">
        <v>0.18531764996712799</v>
      </c>
      <c r="H3654">
        <v>0.13583415704129601</v>
      </c>
      <c r="I3654">
        <v>0.12789567919493</v>
      </c>
      <c r="J3654">
        <v>0.13350442694626299</v>
      </c>
      <c r="K3654">
        <v>0.14210132696789099</v>
      </c>
      <c r="L3654">
        <v>1870.6722861856799</v>
      </c>
      <c r="M3654">
        <v>36.692841719199897</v>
      </c>
      <c r="N3654">
        <v>51.443891172235901</v>
      </c>
      <c r="O3654">
        <v>50.831221475771002</v>
      </c>
      <c r="P3654">
        <v>-0.15513521546252201</v>
      </c>
      <c r="Q3654">
        <v>0.140356643549258</v>
      </c>
      <c r="R3654">
        <v>0.99794004275922499</v>
      </c>
      <c r="S3654" t="s">
        <v>7950</v>
      </c>
      <c r="T3654" t="s">
        <v>8590</v>
      </c>
      <c r="U3654" t="s">
        <v>8590</v>
      </c>
      <c r="V3654" t="s">
        <v>8590</v>
      </c>
      <c r="W3654">
        <v>8</v>
      </c>
      <c r="X3654" t="s">
        <v>12244</v>
      </c>
      <c r="Y3654">
        <v>0.45864610750307039</v>
      </c>
      <c r="Z3654" t="str">
        <f>HYPERLINK("Melting_Curves/meltCurve_tr_B3KY83_B3KY83_HUMAN_.pdf", "Melting_Curves/meltCurve_tr_B3KY83_B3KY83_HUMAN_.pdf")</f>
        <v>Melting_Curves/meltCurve_tr_B3KY83_B3KY83_HUMAN_.pdf</v>
      </c>
      <c r="AA3654" t="s">
        <v>16487</v>
      </c>
      <c r="AB3654" t="s">
        <v>20735</v>
      </c>
    </row>
    <row r="3655" spans="1:28" x14ac:dyDescent="0.25">
      <c r="A3655" t="s">
        <v>3659</v>
      </c>
      <c r="B3655">
        <v>0.99876560204751996</v>
      </c>
      <c r="C3655">
        <v>0.83639627349369094</v>
      </c>
      <c r="D3655">
        <v>0.89369334793666999</v>
      </c>
      <c r="E3655">
        <v>0.87669395815430096</v>
      </c>
      <c r="F3655">
        <v>0.86825692170749902</v>
      </c>
      <c r="G3655">
        <v>0.61362680202859698</v>
      </c>
      <c r="H3655">
        <v>0.29285758263047201</v>
      </c>
      <c r="I3655">
        <v>0.179192474400622</v>
      </c>
      <c r="J3655">
        <v>0.170324948612816</v>
      </c>
      <c r="K3655">
        <v>0.15625901106510201</v>
      </c>
      <c r="L3655">
        <v>1049.9871475467801</v>
      </c>
      <c r="M3655">
        <v>18.295072654182199</v>
      </c>
      <c r="N3655">
        <v>58.073210045903799</v>
      </c>
      <c r="O3655">
        <v>56.7192837586609</v>
      </c>
      <c r="P3655">
        <v>-7.2852730279885494E-2</v>
      </c>
      <c r="Q3655">
        <v>9.6595317304243603E-2</v>
      </c>
      <c r="R3655">
        <v>0.95866388773621403</v>
      </c>
      <c r="S3655" t="s">
        <v>7951</v>
      </c>
      <c r="T3655" t="s">
        <v>8590</v>
      </c>
      <c r="U3655" t="s">
        <v>8590</v>
      </c>
      <c r="V3655" t="s">
        <v>8590</v>
      </c>
      <c r="W3655">
        <v>5</v>
      </c>
      <c r="X3655" t="s">
        <v>12245</v>
      </c>
      <c r="Y3655">
        <v>0.63210831381490584</v>
      </c>
      <c r="Z3655" t="str">
        <f>HYPERLINK("Melting_Curves/meltCurve_tr_B4DDD1_B4DDD1_HUMAN_.pdf", "Melting_Curves/meltCurve_tr_B4DDD1_B4DDD1_HUMAN_.pdf")</f>
        <v>Melting_Curves/meltCurve_tr_B4DDD1_B4DDD1_HUMAN_.pdf</v>
      </c>
      <c r="AA3655" t="s">
        <v>16488</v>
      </c>
      <c r="AB3655" t="s">
        <v>20736</v>
      </c>
    </row>
    <row r="3656" spans="1:28" x14ac:dyDescent="0.25">
      <c r="A3656" t="s">
        <v>3660</v>
      </c>
      <c r="B3656">
        <v>0.99876560204751996</v>
      </c>
      <c r="C3656">
        <v>0.99273363655595703</v>
      </c>
      <c r="D3656">
        <v>1.07010956408394</v>
      </c>
      <c r="E3656">
        <v>0.88571034611278199</v>
      </c>
      <c r="F3656">
        <v>0.87352676275312902</v>
      </c>
      <c r="G3656">
        <v>0.53047410812073703</v>
      </c>
      <c r="H3656">
        <v>0.32186828834554199</v>
      </c>
      <c r="I3656">
        <v>0.26658988011924001</v>
      </c>
      <c r="J3656">
        <v>0.279246858461277</v>
      </c>
      <c r="K3656">
        <v>0.26314566832157199</v>
      </c>
      <c r="L3656">
        <v>1405.7552758801701</v>
      </c>
      <c r="M3656">
        <v>25.183760353995901</v>
      </c>
      <c r="N3656">
        <v>57.425980690931503</v>
      </c>
      <c r="O3656">
        <v>55.4715195821612</v>
      </c>
      <c r="P3656">
        <v>-8.4809359283952099E-2</v>
      </c>
      <c r="Q3656">
        <v>0.252781612510453</v>
      </c>
      <c r="R3656">
        <v>0.98819852752215998</v>
      </c>
      <c r="S3656" t="s">
        <v>7952</v>
      </c>
      <c r="T3656" t="s">
        <v>8590</v>
      </c>
      <c r="U3656" t="s">
        <v>8590</v>
      </c>
      <c r="V3656" t="s">
        <v>8590</v>
      </c>
      <c r="W3656">
        <v>8</v>
      </c>
      <c r="X3656" t="s">
        <v>12246</v>
      </c>
      <c r="Y3656">
        <v>0.65360202158031566</v>
      </c>
      <c r="Z3656" t="str">
        <f>HYPERLINK("Melting_Curves/meltCurve_tr_B4DDF4_B4DDF4_HUMAN_.pdf", "Melting_Curves/meltCurve_tr_B4DDF4_B4DDF4_HUMAN_.pdf")</f>
        <v>Melting_Curves/meltCurve_tr_B4DDF4_B4DDF4_HUMAN_.pdf</v>
      </c>
      <c r="AA3656" t="s">
        <v>16489</v>
      </c>
      <c r="AB3656" t="s">
        <v>20737</v>
      </c>
    </row>
    <row r="3657" spans="1:28" x14ac:dyDescent="0.25">
      <c r="A3657" t="s">
        <v>3661</v>
      </c>
      <c r="B3657">
        <v>0.99876560204751996</v>
      </c>
      <c r="C3657">
        <v>1.1870000983243101</v>
      </c>
      <c r="D3657">
        <v>1.1032882938161599</v>
      </c>
      <c r="E3657">
        <v>0.92932698468527797</v>
      </c>
      <c r="F3657">
        <v>0.402405560338711</v>
      </c>
      <c r="G3657">
        <v>0.20165821661991501</v>
      </c>
      <c r="H3657">
        <v>0.12715499039753</v>
      </c>
      <c r="I3657">
        <v>4.3507280718650301E-2</v>
      </c>
      <c r="J3657">
        <v>6.7045525085141E-2</v>
      </c>
      <c r="K3657">
        <v>4.7064787833434298E-2</v>
      </c>
      <c r="L3657">
        <v>2430.7955618772999</v>
      </c>
      <c r="M3657">
        <v>46.429389106502398</v>
      </c>
      <c r="N3657">
        <v>52.581438150278899</v>
      </c>
      <c r="O3657">
        <v>52.257827458316598</v>
      </c>
      <c r="P3657">
        <v>-0.20196456340008501</v>
      </c>
      <c r="Q3657">
        <v>9.0729612351095099E-2</v>
      </c>
      <c r="R3657">
        <v>0.97108457481926902</v>
      </c>
      <c r="S3657" t="s">
        <v>7953</v>
      </c>
      <c r="T3657" t="s">
        <v>8590</v>
      </c>
      <c r="U3657" t="s">
        <v>8590</v>
      </c>
      <c r="V3657" t="s">
        <v>8590</v>
      </c>
      <c r="W3657">
        <v>2</v>
      </c>
      <c r="X3657" t="s">
        <v>12247</v>
      </c>
      <c r="Y3657">
        <v>0.46762453179590291</v>
      </c>
      <c r="Z3657" t="str">
        <f>HYPERLINK("Melting_Curves/meltCurve_tr_B4DDZ0_B4DDZ0_HUMAN_.pdf", "Melting_Curves/meltCurve_tr_B4DDZ0_B4DDZ0_HUMAN_.pdf")</f>
        <v>Melting_Curves/meltCurve_tr_B4DDZ0_B4DDZ0_HUMAN_.pdf</v>
      </c>
      <c r="AA3657" t="s">
        <v>16490</v>
      </c>
      <c r="AB3657" t="s">
        <v>20738</v>
      </c>
    </row>
    <row r="3658" spans="1:28" x14ac:dyDescent="0.25">
      <c r="A3658" t="s">
        <v>3662</v>
      </c>
      <c r="B3658">
        <v>0.99876560204751996</v>
      </c>
      <c r="C3658">
        <v>0.95180786963219999</v>
      </c>
      <c r="D3658">
        <v>0.67782491194210903</v>
      </c>
      <c r="E3658">
        <v>0.46131537463046701</v>
      </c>
      <c r="F3658">
        <v>0.19754726021489999</v>
      </c>
      <c r="G3658">
        <v>0.164952000873968</v>
      </c>
      <c r="H3658">
        <v>6.5062031290541403E-2</v>
      </c>
      <c r="I3658">
        <v>0.109641668163694</v>
      </c>
      <c r="J3658">
        <v>5.7595884174813698E-2</v>
      </c>
      <c r="K3658">
        <v>0</v>
      </c>
      <c r="L3658">
        <v>792.75248547139597</v>
      </c>
      <c r="M3658">
        <v>16.2944899164867</v>
      </c>
      <c r="N3658">
        <v>48.932195737128403</v>
      </c>
      <c r="O3658">
        <v>47.9365037204687</v>
      </c>
      <c r="P3658">
        <v>-8.1194713665916796E-2</v>
      </c>
      <c r="Q3658">
        <v>4.4607946507197398E-2</v>
      </c>
      <c r="R3658">
        <v>0.98747318847023902</v>
      </c>
      <c r="S3658" t="s">
        <v>7954</v>
      </c>
      <c r="T3658" t="s">
        <v>8590</v>
      </c>
      <c r="U3658" t="s">
        <v>8590</v>
      </c>
      <c r="V3658" t="s">
        <v>8590</v>
      </c>
      <c r="W3658">
        <v>3</v>
      </c>
      <c r="X3658" t="s">
        <v>12248</v>
      </c>
      <c r="Y3658">
        <v>0.34047176090825282</v>
      </c>
      <c r="Z3658" t="str">
        <f>HYPERLINK("Melting_Curves/meltCurve_tr_B4DE16_B4DE16_HUMAN_.pdf", "Melting_Curves/meltCurve_tr_B4DE16_B4DE16_HUMAN_.pdf")</f>
        <v>Melting_Curves/meltCurve_tr_B4DE16_B4DE16_HUMAN_.pdf</v>
      </c>
      <c r="AA3658" t="s">
        <v>16491</v>
      </c>
      <c r="AB3658" t="s">
        <v>20739</v>
      </c>
    </row>
    <row r="3659" spans="1:28" x14ac:dyDescent="0.25">
      <c r="A3659" t="s">
        <v>3663</v>
      </c>
      <c r="B3659">
        <v>0.99876560204751996</v>
      </c>
      <c r="C3659">
        <v>1.0795010560193901</v>
      </c>
      <c r="D3659">
        <v>1.0595068440045201</v>
      </c>
      <c r="E3659">
        <v>1.0060784816055</v>
      </c>
      <c r="F3659">
        <v>0.74600194943013098</v>
      </c>
      <c r="G3659">
        <v>0.27054365177824802</v>
      </c>
      <c r="H3659">
        <v>0.104287214178322</v>
      </c>
      <c r="I3659">
        <v>7.4338169154543193E-2</v>
      </c>
      <c r="J3659">
        <v>6.5315513657953503E-2</v>
      </c>
      <c r="K3659">
        <v>5.95686049033528E-2</v>
      </c>
      <c r="L3659">
        <v>1822.3251488918099</v>
      </c>
      <c r="M3659">
        <v>33.298475012775903</v>
      </c>
      <c r="N3659">
        <v>54.963936254319798</v>
      </c>
      <c r="O3659">
        <v>54.530733948456302</v>
      </c>
      <c r="P3659">
        <v>-0.14245279101872499</v>
      </c>
      <c r="Q3659">
        <v>6.6861545365947697E-2</v>
      </c>
      <c r="R3659">
        <v>0.99358940081404201</v>
      </c>
      <c r="S3659" t="s">
        <v>7955</v>
      </c>
      <c r="T3659" t="s">
        <v>8590</v>
      </c>
      <c r="U3659" t="s">
        <v>8590</v>
      </c>
      <c r="V3659" t="s">
        <v>8590</v>
      </c>
      <c r="W3659">
        <v>35</v>
      </c>
      <c r="X3659" t="s">
        <v>12249</v>
      </c>
      <c r="Y3659">
        <v>0.52999085452500028</v>
      </c>
      <c r="Z3659" t="str">
        <f>HYPERLINK("Melting_Curves/meltCurve_tr_B4DEM7_B4DEM7_HUMAN_.pdf", "Melting_Curves/meltCurve_tr_B4DEM7_B4DEM7_HUMAN_.pdf")</f>
        <v>Melting_Curves/meltCurve_tr_B4DEM7_B4DEM7_HUMAN_.pdf</v>
      </c>
      <c r="AA3659" t="s">
        <v>16492</v>
      </c>
      <c r="AB3659" t="s">
        <v>20740</v>
      </c>
    </row>
    <row r="3660" spans="1:28" x14ac:dyDescent="0.25">
      <c r="A3660" t="s">
        <v>3664</v>
      </c>
      <c r="B3660">
        <v>0.99876560204751996</v>
      </c>
      <c r="C3660">
        <v>0.86326927235636697</v>
      </c>
      <c r="D3660">
        <v>0.75752410850403795</v>
      </c>
      <c r="E3660">
        <v>0.44949641262875301</v>
      </c>
      <c r="F3660">
        <v>0.25164861975138503</v>
      </c>
      <c r="G3660">
        <v>0.175225867463394</v>
      </c>
      <c r="H3660">
        <v>0.135016810633006</v>
      </c>
      <c r="I3660">
        <v>9.2333087351483101E-2</v>
      </c>
      <c r="J3660">
        <v>0.14064697946680799</v>
      </c>
      <c r="K3660">
        <v>0.12534150722304299</v>
      </c>
      <c r="L3660">
        <v>821.28422419657704</v>
      </c>
      <c r="M3660">
        <v>16.971826585895801</v>
      </c>
      <c r="N3660">
        <v>49.100637610232802</v>
      </c>
      <c r="O3660">
        <v>47.734190962084902</v>
      </c>
      <c r="P3660">
        <v>-7.9225056264740495E-2</v>
      </c>
      <c r="Q3660">
        <v>0.108756315400252</v>
      </c>
      <c r="R3660">
        <v>0.99508047931453802</v>
      </c>
      <c r="S3660" t="s">
        <v>7956</v>
      </c>
      <c r="T3660" t="s">
        <v>8590</v>
      </c>
      <c r="U3660" t="s">
        <v>8590</v>
      </c>
      <c r="V3660" t="s">
        <v>8590</v>
      </c>
      <c r="W3660">
        <v>4</v>
      </c>
      <c r="X3660" t="s">
        <v>12250</v>
      </c>
      <c r="Y3660">
        <v>0.37567362125918607</v>
      </c>
      <c r="Z3660" t="str">
        <f>HYPERLINK("Melting_Curves/meltCurve_tr_B4DEW9_B4DEW9_HUMAN_.pdf", "Melting_Curves/meltCurve_tr_B4DEW9_B4DEW9_HUMAN_.pdf")</f>
        <v>Melting_Curves/meltCurve_tr_B4DEW9_B4DEW9_HUMAN_.pdf</v>
      </c>
      <c r="AA3660" t="s">
        <v>16493</v>
      </c>
      <c r="AB3660" t="s">
        <v>20741</v>
      </c>
    </row>
    <row r="3661" spans="1:28" x14ac:dyDescent="0.25">
      <c r="A3661" t="s">
        <v>3665</v>
      </c>
      <c r="B3661">
        <v>0.99876560204751996</v>
      </c>
      <c r="C3661">
        <v>0.90155034594077499</v>
      </c>
      <c r="D3661">
        <v>0.76382663460101596</v>
      </c>
      <c r="E3661">
        <v>0.53302636695118899</v>
      </c>
      <c r="F3661">
        <v>0.31786170123638302</v>
      </c>
      <c r="G3661">
        <v>0.14460847751700701</v>
      </c>
      <c r="H3661">
        <v>9.1954363088607799E-2</v>
      </c>
      <c r="I3661">
        <v>7.8980587118425094E-2</v>
      </c>
      <c r="J3661">
        <v>8.7792651088906506E-2</v>
      </c>
      <c r="K3661">
        <v>7.4292660942734595E-2</v>
      </c>
      <c r="L3661">
        <v>749.54095626102503</v>
      </c>
      <c r="M3661">
        <v>15.082992664265101</v>
      </c>
      <c r="N3661">
        <v>50.051470104127802</v>
      </c>
      <c r="O3661">
        <v>48.845455228856203</v>
      </c>
      <c r="P3661">
        <v>-7.3267554084958303E-2</v>
      </c>
      <c r="Q3661">
        <v>5.10018007779659E-2</v>
      </c>
      <c r="R3661">
        <v>0.99723362196779697</v>
      </c>
      <c r="S3661" t="s">
        <v>7957</v>
      </c>
      <c r="T3661" t="s">
        <v>8590</v>
      </c>
      <c r="U3661" t="s">
        <v>8590</v>
      </c>
      <c r="V3661" t="s">
        <v>8590</v>
      </c>
      <c r="W3661">
        <v>13</v>
      </c>
      <c r="X3661" t="s">
        <v>12251</v>
      </c>
      <c r="Y3661">
        <v>0.38029966546684302</v>
      </c>
      <c r="Z3661" t="str">
        <f>HYPERLINK("Melting_Curves/meltCurve_tr_B4DFA2_B4DFA2_HUMAN_.pdf", "Melting_Curves/meltCurve_tr_B4DFA2_B4DFA2_HUMAN_.pdf")</f>
        <v>Melting_Curves/meltCurve_tr_B4DFA2_B4DFA2_HUMAN_.pdf</v>
      </c>
      <c r="AA3661" t="s">
        <v>16494</v>
      </c>
      <c r="AB3661" t="s">
        <v>20742</v>
      </c>
    </row>
    <row r="3662" spans="1:28" x14ac:dyDescent="0.25">
      <c r="A3662" t="s">
        <v>3666</v>
      </c>
      <c r="B3662">
        <v>0.99876560204751996</v>
      </c>
      <c r="C3662">
        <v>1.1034449471766099</v>
      </c>
      <c r="D3662">
        <v>0.88523889371062903</v>
      </c>
      <c r="E3662">
        <v>0.48249761973440197</v>
      </c>
      <c r="F3662">
        <v>0.185299260207646</v>
      </c>
      <c r="G3662">
        <v>0.12554757931340699</v>
      </c>
      <c r="H3662">
        <v>8.8765517382002598E-2</v>
      </c>
      <c r="I3662">
        <v>7.3527158086419894E-2</v>
      </c>
      <c r="J3662">
        <v>9.1710950867311694E-2</v>
      </c>
      <c r="K3662">
        <v>7.2975179876938898E-2</v>
      </c>
      <c r="L3662">
        <v>1470.5333883537401</v>
      </c>
      <c r="M3662">
        <v>29.711054960017002</v>
      </c>
      <c r="N3662">
        <v>49.8046578327532</v>
      </c>
      <c r="O3662">
        <v>49.2718899651288</v>
      </c>
      <c r="P3662">
        <v>-0.13801944647172301</v>
      </c>
      <c r="Q3662">
        <v>8.4457557931095703E-2</v>
      </c>
      <c r="R3662">
        <v>0.99099826411196001</v>
      </c>
      <c r="S3662" t="s">
        <v>7958</v>
      </c>
      <c r="T3662" t="s">
        <v>8590</v>
      </c>
      <c r="U3662" t="s">
        <v>8590</v>
      </c>
      <c r="V3662" t="s">
        <v>8590</v>
      </c>
      <c r="W3662">
        <v>2</v>
      </c>
      <c r="X3662" t="s">
        <v>12252</v>
      </c>
      <c r="Y3662">
        <v>0.37994033053496462</v>
      </c>
      <c r="Z3662" t="str">
        <f>HYPERLINK("Melting_Curves/meltCurve_tr_B4DFG6_B4DFG6_HUMAN_.pdf", "Melting_Curves/meltCurve_tr_B4DFG6_B4DFG6_HUMAN_.pdf")</f>
        <v>Melting_Curves/meltCurve_tr_B4DFG6_B4DFG6_HUMAN_.pdf</v>
      </c>
      <c r="AA3662" t="s">
        <v>16495</v>
      </c>
      <c r="AB3662" t="s">
        <v>20743</v>
      </c>
    </row>
    <row r="3663" spans="1:28" x14ac:dyDescent="0.25">
      <c r="A3663" t="s">
        <v>3667</v>
      </c>
      <c r="B3663">
        <v>0.99876560204751996</v>
      </c>
      <c r="C3663">
        <v>0.90298141728839898</v>
      </c>
      <c r="D3663">
        <v>0.92456141095953204</v>
      </c>
      <c r="E3663">
        <v>0.78055859406876305</v>
      </c>
      <c r="F3663">
        <v>0.61904423980296397</v>
      </c>
      <c r="G3663">
        <v>0.51250750436885995</v>
      </c>
      <c r="H3663">
        <v>0.17949880633085799</v>
      </c>
      <c r="I3663">
        <v>0.127050944976251</v>
      </c>
      <c r="J3663">
        <v>8.6141863620617404E-2</v>
      </c>
      <c r="K3663">
        <v>8.91361416570607E-2</v>
      </c>
      <c r="L3663">
        <v>689.41706557745204</v>
      </c>
      <c r="M3663">
        <v>12.445035014219201</v>
      </c>
      <c r="N3663">
        <v>55.396950050357901</v>
      </c>
      <c r="O3663">
        <v>54.024923923115601</v>
      </c>
      <c r="P3663">
        <v>-5.7601376702034197E-2</v>
      </c>
      <c r="Q3663">
        <v>0</v>
      </c>
      <c r="R3663">
        <v>0.983390796192535</v>
      </c>
      <c r="S3663" t="s">
        <v>7959</v>
      </c>
      <c r="T3663" t="s">
        <v>8590</v>
      </c>
      <c r="U3663" t="s">
        <v>8590</v>
      </c>
      <c r="V3663" t="s">
        <v>8590</v>
      </c>
      <c r="W3663">
        <v>1</v>
      </c>
      <c r="X3663" t="s">
        <v>12253</v>
      </c>
      <c r="Y3663">
        <v>0.53502570420940287</v>
      </c>
      <c r="Z3663" t="str">
        <f>HYPERLINK("Melting_Curves/meltCurve_tr_B4DFI9_B4DFI9_HUMAN_.pdf", "Melting_Curves/meltCurve_tr_B4DFI9_B4DFI9_HUMAN_.pdf")</f>
        <v>Melting_Curves/meltCurve_tr_B4DFI9_B4DFI9_HUMAN_.pdf</v>
      </c>
      <c r="AA3663" t="s">
        <v>16496</v>
      </c>
      <c r="AB3663" t="s">
        <v>20744</v>
      </c>
    </row>
    <row r="3664" spans="1:28" x14ac:dyDescent="0.25">
      <c r="A3664" t="s">
        <v>3668</v>
      </c>
      <c r="B3664">
        <v>0.99876560204751996</v>
      </c>
      <c r="C3664">
        <v>1.04477583823905</v>
      </c>
      <c r="D3664">
        <v>1.0077057625096599</v>
      </c>
      <c r="E3664">
        <v>0.83601429708341002</v>
      </c>
      <c r="F3664">
        <v>0.59545992605165898</v>
      </c>
      <c r="G3664">
        <v>0.38493406796486901</v>
      </c>
      <c r="H3664">
        <v>0.251802024738012</v>
      </c>
      <c r="I3664">
        <v>0.17940180682668999</v>
      </c>
      <c r="J3664">
        <v>0.17121898048565901</v>
      </c>
      <c r="K3664">
        <v>0.13893405946418799</v>
      </c>
      <c r="L3664">
        <v>1005.42692102967</v>
      </c>
      <c r="M3664">
        <v>18.7108413703696</v>
      </c>
      <c r="N3664">
        <v>54.755722562959903</v>
      </c>
      <c r="O3664">
        <v>53.132488732976</v>
      </c>
      <c r="P3664">
        <v>-7.5079673558893195E-2</v>
      </c>
      <c r="Q3664">
        <v>0.14723219110324501</v>
      </c>
      <c r="R3664">
        <v>0.994617668468884</v>
      </c>
      <c r="S3664" t="s">
        <v>7960</v>
      </c>
      <c r="T3664" t="s">
        <v>8590</v>
      </c>
      <c r="U3664" t="s">
        <v>8590</v>
      </c>
      <c r="V3664" t="s">
        <v>8590</v>
      </c>
      <c r="W3664">
        <v>5</v>
      </c>
      <c r="X3664" t="s">
        <v>12254</v>
      </c>
      <c r="Y3664">
        <v>0.55060193675969893</v>
      </c>
      <c r="Z3664" t="str">
        <f>HYPERLINK("Melting_Curves/meltCurve_tr_B4DFQ4_B4DFQ4_HUMAN_.pdf", "Melting_Curves/meltCurve_tr_B4DFQ4_B4DFQ4_HUMAN_.pdf")</f>
        <v>Melting_Curves/meltCurve_tr_B4DFQ4_B4DFQ4_HUMAN_.pdf</v>
      </c>
      <c r="AA3664" t="s">
        <v>16497</v>
      </c>
      <c r="AB3664" t="s">
        <v>20745</v>
      </c>
    </row>
    <row r="3665" spans="1:28" x14ac:dyDescent="0.25">
      <c r="A3665" t="s">
        <v>3669</v>
      </c>
      <c r="B3665">
        <v>0.99876560204751996</v>
      </c>
      <c r="C3665">
        <v>1.2853832007093</v>
      </c>
      <c r="D3665">
        <v>1.2078242208623799</v>
      </c>
      <c r="E3665">
        <v>1.0204378722246701</v>
      </c>
      <c r="F3665">
        <v>0.82827345148248799</v>
      </c>
      <c r="G3665">
        <v>0.54018603014534305</v>
      </c>
      <c r="H3665">
        <v>0.16385405842592701</v>
      </c>
      <c r="I3665">
        <v>8.4220694783995506E-2</v>
      </c>
      <c r="J3665">
        <v>5.8344470805732698E-2</v>
      </c>
      <c r="K3665">
        <v>4.9104022261057798E-2</v>
      </c>
      <c r="L3665">
        <v>1484.2592565385901</v>
      </c>
      <c r="M3665">
        <v>26.051868882382401</v>
      </c>
      <c r="N3665">
        <v>57.133399486859503</v>
      </c>
      <c r="O3665">
        <v>56.640718144208499</v>
      </c>
      <c r="P3665">
        <v>-0.110939381918311</v>
      </c>
      <c r="Q3665">
        <v>3.5214780084669703E-2</v>
      </c>
      <c r="R3665">
        <v>0.94235469281780604</v>
      </c>
      <c r="S3665" t="s">
        <v>7961</v>
      </c>
      <c r="T3665" t="s">
        <v>8590</v>
      </c>
      <c r="U3665" t="s">
        <v>8590</v>
      </c>
      <c r="V3665" t="s">
        <v>8590</v>
      </c>
      <c r="W3665">
        <v>16</v>
      </c>
      <c r="X3665" t="s">
        <v>12255</v>
      </c>
      <c r="Y3665">
        <v>0.58921582089295932</v>
      </c>
      <c r="Z3665" t="str">
        <f>HYPERLINK("Melting_Curves/meltCurve_tr_B4DGU4_B4DGU4_HUMAN_.pdf", "Melting_Curves/meltCurve_tr_B4DGU4_B4DGU4_HUMAN_.pdf")</f>
        <v>Melting_Curves/meltCurve_tr_B4DGU4_B4DGU4_HUMAN_.pdf</v>
      </c>
      <c r="AA3665" t="s">
        <v>16498</v>
      </c>
      <c r="AB3665" t="s">
        <v>20746</v>
      </c>
    </row>
    <row r="3666" spans="1:28" x14ac:dyDescent="0.25">
      <c r="A3666" t="s">
        <v>3670</v>
      </c>
      <c r="B3666">
        <v>0.99876560204751996</v>
      </c>
      <c r="C3666">
        <v>1.1259567621464099</v>
      </c>
      <c r="D3666">
        <v>0.89860271275067605</v>
      </c>
      <c r="E3666">
        <v>0.91999740844401801</v>
      </c>
      <c r="F3666">
        <v>0.79841225202997401</v>
      </c>
      <c r="G3666">
        <v>0.54968052317112104</v>
      </c>
      <c r="H3666">
        <v>0.49051197346522801</v>
      </c>
      <c r="I3666">
        <v>0.41734662478824602</v>
      </c>
      <c r="J3666">
        <v>0.41056930100389799</v>
      </c>
      <c r="K3666">
        <v>0.360012831083597</v>
      </c>
      <c r="L3666">
        <v>983.44413823003595</v>
      </c>
      <c r="M3666">
        <v>17.9268339585212</v>
      </c>
      <c r="N3666">
        <v>59.368876030718198</v>
      </c>
      <c r="O3666">
        <v>54.189800284100102</v>
      </c>
      <c r="P3666">
        <v>-5.1948353489888098E-2</v>
      </c>
      <c r="Q3666">
        <v>0.37190699349133499</v>
      </c>
      <c r="R3666">
        <v>0.96208298183670504</v>
      </c>
      <c r="S3666" t="s">
        <v>7962</v>
      </c>
      <c r="T3666" t="s">
        <v>8590</v>
      </c>
      <c r="U3666" t="s">
        <v>8590</v>
      </c>
      <c r="V3666" t="s">
        <v>8590</v>
      </c>
      <c r="W3666">
        <v>1</v>
      </c>
      <c r="X3666" t="s">
        <v>12256</v>
      </c>
      <c r="Y3666">
        <v>0.69282205236908434</v>
      </c>
      <c r="Z3666" t="str">
        <f>HYPERLINK("Melting_Curves/meltCurve_tr_B4DH21_B4DH21_HUMAN_.pdf", "Melting_Curves/meltCurve_tr_B4DH21_B4DH21_HUMAN_.pdf")</f>
        <v>Melting_Curves/meltCurve_tr_B4DH21_B4DH21_HUMAN_.pdf</v>
      </c>
      <c r="AA3666" t="s">
        <v>16499</v>
      </c>
      <c r="AB3666" t="s">
        <v>20747</v>
      </c>
    </row>
    <row r="3667" spans="1:28" x14ac:dyDescent="0.25">
      <c r="A3667" t="s">
        <v>3671</v>
      </c>
      <c r="B3667">
        <v>0.99876560204751996</v>
      </c>
      <c r="C3667">
        <v>0.90839239714660702</v>
      </c>
      <c r="D3667">
        <v>0.80314903493949996</v>
      </c>
      <c r="E3667">
        <v>0.51581562875396403</v>
      </c>
      <c r="F3667">
        <v>0.25601208835281097</v>
      </c>
      <c r="G3667">
        <v>0.16280548047261001</v>
      </c>
      <c r="H3667">
        <v>0.112610727095346</v>
      </c>
      <c r="I3667">
        <v>0.16694609845875399</v>
      </c>
      <c r="J3667">
        <v>0.19660479819939899</v>
      </c>
      <c r="K3667">
        <v>0.179936879724481</v>
      </c>
      <c r="L3667">
        <v>1005.09964294373</v>
      </c>
      <c r="M3667">
        <v>20.592221602605001</v>
      </c>
      <c r="N3667">
        <v>49.668195551871001</v>
      </c>
      <c r="O3667">
        <v>48.356360317837201</v>
      </c>
      <c r="P3667">
        <v>-9.0521734974397305E-2</v>
      </c>
      <c r="Q3667">
        <v>0.14974213421580901</v>
      </c>
      <c r="R3667">
        <v>0.98957652977409305</v>
      </c>
      <c r="S3667" t="s">
        <v>7963</v>
      </c>
      <c r="T3667" t="s">
        <v>8590</v>
      </c>
      <c r="U3667" t="s">
        <v>8590</v>
      </c>
      <c r="V3667" t="s">
        <v>8590</v>
      </c>
      <c r="W3667">
        <v>12</v>
      </c>
      <c r="X3667" t="s">
        <v>12257</v>
      </c>
      <c r="Y3667">
        <v>0.41066469351323948</v>
      </c>
      <c r="Z3667" t="str">
        <f>HYPERLINK("Melting_Curves/meltCurve_tr_B4DH53_B4DH53_HUMAN_.pdf", "Melting_Curves/meltCurve_tr_B4DH53_B4DH53_HUMAN_.pdf")</f>
        <v>Melting_Curves/meltCurve_tr_B4DH53_B4DH53_HUMAN_.pdf</v>
      </c>
      <c r="AA3667" t="s">
        <v>16500</v>
      </c>
      <c r="AB3667" t="s">
        <v>20748</v>
      </c>
    </row>
    <row r="3668" spans="1:28" x14ac:dyDescent="0.25">
      <c r="A3668" t="s">
        <v>3672</v>
      </c>
      <c r="B3668">
        <v>0.99876560204751996</v>
      </c>
      <c r="C3668">
        <v>0.84953950246884702</v>
      </c>
      <c r="D3668">
        <v>0.789970851403063</v>
      </c>
      <c r="E3668">
        <v>0.83536636057156199</v>
      </c>
      <c r="F3668">
        <v>1.21692959966314</v>
      </c>
      <c r="G3668">
        <v>0.887574696588463</v>
      </c>
      <c r="H3668">
        <v>0.727567201106886</v>
      </c>
      <c r="I3668">
        <v>0.74736451335102205</v>
      </c>
      <c r="J3668">
        <v>0.49999110406021402</v>
      </c>
      <c r="K3668">
        <v>0.908887699779244</v>
      </c>
      <c r="L3668">
        <v>216.93807140069799</v>
      </c>
      <c r="M3668">
        <v>2.1523370770869801</v>
      </c>
      <c r="O3668">
        <v>62.5620672848992</v>
      </c>
      <c r="P3668">
        <v>-9.2468913173397692E-3</v>
      </c>
      <c r="Q3668">
        <v>0</v>
      </c>
      <c r="R3668">
        <v>0.179731460159925</v>
      </c>
      <c r="S3668" t="s">
        <v>7964</v>
      </c>
      <c r="T3668" t="s">
        <v>8590</v>
      </c>
      <c r="U3668" t="s">
        <v>8590</v>
      </c>
      <c r="V3668" t="s">
        <v>8590</v>
      </c>
      <c r="W3668">
        <v>2</v>
      </c>
      <c r="X3668" t="s">
        <v>12258</v>
      </c>
      <c r="Y3668">
        <v>0.85215357645923617</v>
      </c>
      <c r="Z3668" t="str">
        <f>HYPERLINK("Melting_Curves/meltCurve_tr_B4DHJ7_B4DHJ7_HUMAN_.pdf", "Melting_Curves/meltCurve_tr_B4DHJ7_B4DHJ7_HUMAN_.pdf")</f>
        <v>Melting_Curves/meltCurve_tr_B4DHJ7_B4DHJ7_HUMAN_.pdf</v>
      </c>
      <c r="AA3668" t="s">
        <v>16501</v>
      </c>
      <c r="AB3668" t="s">
        <v>20749</v>
      </c>
    </row>
    <row r="3669" spans="1:28" x14ac:dyDescent="0.25">
      <c r="A3669" t="s">
        <v>3673</v>
      </c>
      <c r="B3669">
        <v>0.99876560204751996</v>
      </c>
      <c r="C3669">
        <v>0.73717678832100997</v>
      </c>
      <c r="D3669">
        <v>0.465619020832161</v>
      </c>
      <c r="E3669">
        <v>0.245745668228501</v>
      </c>
      <c r="F3669">
        <v>0.11218822022066199</v>
      </c>
      <c r="G3669">
        <v>6.3031406110956395E-2</v>
      </c>
      <c r="H3669">
        <v>4.1732337359718999E-2</v>
      </c>
      <c r="I3669">
        <v>3.1839755502346599E-2</v>
      </c>
      <c r="J3669">
        <v>3.3972766069783902E-2</v>
      </c>
      <c r="K3669">
        <v>2.8825665358325599E-2</v>
      </c>
      <c r="L3669">
        <v>797.26885569575404</v>
      </c>
      <c r="M3669">
        <v>17.448939659296599</v>
      </c>
      <c r="N3669">
        <v>45.868480969869097</v>
      </c>
      <c r="O3669">
        <v>45.104072004103699</v>
      </c>
      <c r="P3669">
        <v>-9.3572189327815206E-2</v>
      </c>
      <c r="Q3669">
        <v>3.2548344163665699E-2</v>
      </c>
      <c r="R3669">
        <v>0.99246302426853805</v>
      </c>
      <c r="S3669" t="s">
        <v>7965</v>
      </c>
      <c r="T3669" t="s">
        <v>8590</v>
      </c>
      <c r="U3669" t="s">
        <v>8590</v>
      </c>
      <c r="V3669" t="s">
        <v>8590</v>
      </c>
      <c r="W3669">
        <v>23</v>
      </c>
      <c r="X3669" t="s">
        <v>12259</v>
      </c>
      <c r="Y3669">
        <v>0.2369771952954193</v>
      </c>
      <c r="Z3669" t="str">
        <f>HYPERLINK("Melting_Curves/meltCurve_tr_B4DHT5_B4DHT5_HUMAN_.pdf", "Melting_Curves/meltCurve_tr_B4DHT5_B4DHT5_HUMAN_.pdf")</f>
        <v>Melting_Curves/meltCurve_tr_B4DHT5_B4DHT5_HUMAN_.pdf</v>
      </c>
      <c r="AA3669" t="s">
        <v>16502</v>
      </c>
      <c r="AB3669" t="s">
        <v>20750</v>
      </c>
    </row>
    <row r="3670" spans="1:28" x14ac:dyDescent="0.25">
      <c r="A3670" t="s">
        <v>3674</v>
      </c>
      <c r="B3670">
        <v>0.99876560204751996</v>
      </c>
      <c r="C3670">
        <v>0.982421425197892</v>
      </c>
      <c r="D3670">
        <v>0.89990051162936202</v>
      </c>
      <c r="E3670">
        <v>0.68664233168988997</v>
      </c>
      <c r="F3670">
        <v>0.46858460936657598</v>
      </c>
      <c r="G3670">
        <v>0.20112286741642499</v>
      </c>
      <c r="H3670">
        <v>0.133970083416589</v>
      </c>
      <c r="I3670">
        <v>9.2407617114192403E-2</v>
      </c>
      <c r="J3670">
        <v>7.0673188221323693E-2</v>
      </c>
      <c r="K3670">
        <v>3.3809087615570402E-2</v>
      </c>
      <c r="L3670">
        <v>875.69679465321497</v>
      </c>
      <c r="M3670">
        <v>16.788098937407099</v>
      </c>
      <c r="N3670">
        <v>52.4228059369755</v>
      </c>
      <c r="O3670">
        <v>51.438517470015199</v>
      </c>
      <c r="P3670">
        <v>-7.8326284885525205E-2</v>
      </c>
      <c r="Q3670">
        <v>4.0099661632753199E-2</v>
      </c>
      <c r="R3670">
        <v>0.99879461684988302</v>
      </c>
      <c r="S3670" t="s">
        <v>7966</v>
      </c>
      <c r="T3670" t="s">
        <v>8590</v>
      </c>
      <c r="U3670" t="s">
        <v>8590</v>
      </c>
      <c r="V3670" t="s">
        <v>8590</v>
      </c>
      <c r="W3670">
        <v>3</v>
      </c>
      <c r="X3670" t="s">
        <v>12260</v>
      </c>
      <c r="Y3670">
        <v>0.4471236011974481</v>
      </c>
      <c r="Z3670" t="str">
        <f>HYPERLINK("Melting_Curves/meltCurve_tr_B4DJA5_B4DJA5_HUMAN_.pdf", "Melting_Curves/meltCurve_tr_B4DJA5_B4DJA5_HUMAN_.pdf")</f>
        <v>Melting_Curves/meltCurve_tr_B4DJA5_B4DJA5_HUMAN_.pdf</v>
      </c>
      <c r="AA3670" t="s">
        <v>16503</v>
      </c>
      <c r="AB3670" t="s">
        <v>20751</v>
      </c>
    </row>
    <row r="3671" spans="1:28" x14ac:dyDescent="0.25">
      <c r="A3671" t="s">
        <v>3675</v>
      </c>
      <c r="B3671">
        <v>0.99876560204751996</v>
      </c>
      <c r="C3671">
        <v>0.98924347152931802</v>
      </c>
      <c r="D3671">
        <v>0.91168303366703696</v>
      </c>
      <c r="E3671">
        <v>0.94878743415025601</v>
      </c>
      <c r="F3671">
        <v>0.830754616223354</v>
      </c>
      <c r="G3671">
        <v>0.61055322807244605</v>
      </c>
      <c r="H3671">
        <v>0.42913689205508698</v>
      </c>
      <c r="I3671">
        <v>0.34152361674927501</v>
      </c>
      <c r="J3671">
        <v>0.324563403684902</v>
      </c>
      <c r="K3671">
        <v>0.210572920092852</v>
      </c>
      <c r="L3671">
        <v>820.26495579861296</v>
      </c>
      <c r="M3671">
        <v>14.2207965458582</v>
      </c>
      <c r="N3671">
        <v>59.555416296098201</v>
      </c>
      <c r="O3671">
        <v>56.576012760627499</v>
      </c>
      <c r="P3671">
        <v>-5.1507164995670603E-2</v>
      </c>
      <c r="Q3671">
        <v>0.180437660811508</v>
      </c>
      <c r="R3671">
        <v>0.98973009166661796</v>
      </c>
      <c r="S3671" t="s">
        <v>7967</v>
      </c>
      <c r="T3671" t="s">
        <v>8590</v>
      </c>
      <c r="U3671" t="s">
        <v>8590</v>
      </c>
      <c r="V3671" t="s">
        <v>8590</v>
      </c>
      <c r="W3671">
        <v>4</v>
      </c>
      <c r="X3671" t="s">
        <v>12261</v>
      </c>
      <c r="Y3671">
        <v>0.67527995895509607</v>
      </c>
      <c r="Z3671" t="str">
        <f>HYPERLINK("Melting_Curves/meltCurve_tr_B4DJP7_B4DJP7_HUMAN_.pdf", "Melting_Curves/meltCurve_tr_B4DJP7_B4DJP7_HUMAN_.pdf")</f>
        <v>Melting_Curves/meltCurve_tr_B4DJP7_B4DJP7_HUMAN_.pdf</v>
      </c>
      <c r="AA3671" t="s">
        <v>16504</v>
      </c>
      <c r="AB3671" t="s">
        <v>20752</v>
      </c>
    </row>
    <row r="3672" spans="1:28" x14ac:dyDescent="0.25">
      <c r="A3672" t="s">
        <v>3676</v>
      </c>
      <c r="B3672">
        <v>0.99876560204751996</v>
      </c>
      <c r="C3672">
        <v>0.92188604035884003</v>
      </c>
      <c r="D3672">
        <v>0.82328120236580105</v>
      </c>
      <c r="E3672">
        <v>0.60133053312396101</v>
      </c>
      <c r="F3672">
        <v>0.21596025481949599</v>
      </c>
      <c r="G3672">
        <v>0.11416149303105699</v>
      </c>
      <c r="H3672">
        <v>7.1810785962850607E-2</v>
      </c>
      <c r="I3672">
        <v>5.7209837496935402E-2</v>
      </c>
      <c r="J3672">
        <v>4.7163047955792202E-2</v>
      </c>
      <c r="K3672">
        <v>3.7590070026224602E-2</v>
      </c>
      <c r="L3672">
        <v>992.40520760551601</v>
      </c>
      <c r="M3672">
        <v>19.8004669286024</v>
      </c>
      <c r="N3672">
        <v>50.306292146199901</v>
      </c>
      <c r="O3672">
        <v>49.617486296269703</v>
      </c>
      <c r="P3672">
        <v>-9.6247544418612094E-2</v>
      </c>
      <c r="Q3672">
        <v>3.5295969378009398E-2</v>
      </c>
      <c r="R3672">
        <v>0.99102493408064496</v>
      </c>
      <c r="S3672" t="s">
        <v>7968</v>
      </c>
      <c r="T3672" t="s">
        <v>8590</v>
      </c>
      <c r="U3672" t="s">
        <v>8590</v>
      </c>
      <c r="V3672" t="s">
        <v>8590</v>
      </c>
      <c r="W3672">
        <v>19</v>
      </c>
      <c r="X3672" t="s">
        <v>12262</v>
      </c>
      <c r="Y3672">
        <v>0.37441979525352059</v>
      </c>
      <c r="Z3672" t="str">
        <f>HYPERLINK("Melting_Curves/meltCurve_tr_B4DJV2_B4DJV2_HUMAN_.pdf", "Melting_Curves/meltCurve_tr_B4DJV2_B4DJV2_HUMAN_.pdf")</f>
        <v>Melting_Curves/meltCurve_tr_B4DJV2_B4DJV2_HUMAN_.pdf</v>
      </c>
      <c r="AA3672" t="s">
        <v>16505</v>
      </c>
      <c r="AB3672" t="s">
        <v>20753</v>
      </c>
    </row>
    <row r="3673" spans="1:28" x14ac:dyDescent="0.25">
      <c r="A3673" t="s">
        <v>3677</v>
      </c>
      <c r="B3673">
        <v>0.99876560204751996</v>
      </c>
      <c r="C3673">
        <v>1.0657082643246401</v>
      </c>
      <c r="D3673">
        <v>1.01344563945334</v>
      </c>
      <c r="E3673">
        <v>0.77120348771031999</v>
      </c>
      <c r="F3673">
        <v>0.569389480212244</v>
      </c>
      <c r="G3673">
        <v>0.442093015331122</v>
      </c>
      <c r="H3673">
        <v>0.241600355110692</v>
      </c>
      <c r="I3673">
        <v>0.24205781171802901</v>
      </c>
      <c r="J3673">
        <v>0.38238875379215398</v>
      </c>
      <c r="K3673">
        <v>0.227484925158706</v>
      </c>
      <c r="L3673">
        <v>1112.49095731695</v>
      </c>
      <c r="M3673">
        <v>21.286010055872499</v>
      </c>
      <c r="N3673">
        <v>54.252003936949201</v>
      </c>
      <c r="O3673">
        <v>51.8092298464123</v>
      </c>
      <c r="P3673">
        <v>-7.4900384695121294E-2</v>
      </c>
      <c r="Q3673">
        <v>0.27080133872588302</v>
      </c>
      <c r="R3673">
        <v>0.96938012457059797</v>
      </c>
      <c r="S3673" t="s">
        <v>7969</v>
      </c>
      <c r="T3673" t="s">
        <v>8590</v>
      </c>
      <c r="U3673" t="s">
        <v>8590</v>
      </c>
      <c r="V3673" t="s">
        <v>8590</v>
      </c>
      <c r="W3673">
        <v>2</v>
      </c>
      <c r="X3673" t="s">
        <v>12263</v>
      </c>
      <c r="Y3673">
        <v>0.57790915924160902</v>
      </c>
      <c r="Z3673" t="str">
        <f>HYPERLINK("Melting_Curves/meltCurve_tr_B4DKG8_B4DKG8_HUMAN_.pdf", "Melting_Curves/meltCurve_tr_B4DKG8_B4DKG8_HUMAN_.pdf")</f>
        <v>Melting_Curves/meltCurve_tr_B4DKG8_B4DKG8_HUMAN_.pdf</v>
      </c>
      <c r="AA3673" t="s">
        <v>16506</v>
      </c>
      <c r="AB3673" t="s">
        <v>20754</v>
      </c>
    </row>
    <row r="3674" spans="1:28" x14ac:dyDescent="0.25">
      <c r="A3674" t="s">
        <v>3678</v>
      </c>
      <c r="B3674">
        <v>0.99876560204751996</v>
      </c>
      <c r="C3674">
        <v>1.0364418237330399</v>
      </c>
      <c r="D3674">
        <v>0.93437972213364295</v>
      </c>
      <c r="E3674">
        <v>0.94624569066298903</v>
      </c>
      <c r="F3674">
        <v>0.77918681910402299</v>
      </c>
      <c r="G3674">
        <v>0.55784643685564606</v>
      </c>
      <c r="H3674">
        <v>0.29861877043014501</v>
      </c>
      <c r="I3674">
        <v>0.15115023609551601</v>
      </c>
      <c r="J3674">
        <v>4.77999926128512E-2</v>
      </c>
      <c r="K3674">
        <v>3.5433127156876902E-2</v>
      </c>
      <c r="L3674">
        <v>971.50126930371596</v>
      </c>
      <c r="M3674">
        <v>16.877355028813302</v>
      </c>
      <c r="N3674">
        <v>57.562412810168397</v>
      </c>
      <c r="O3674">
        <v>56.772502366907801</v>
      </c>
      <c r="P3674">
        <v>-7.43248380777385E-2</v>
      </c>
      <c r="Q3674">
        <v>0</v>
      </c>
      <c r="R3674">
        <v>0.99493530489904902</v>
      </c>
      <c r="S3674" t="s">
        <v>7970</v>
      </c>
      <c r="T3674" t="s">
        <v>8590</v>
      </c>
      <c r="U3674" t="s">
        <v>8590</v>
      </c>
      <c r="V3674" t="s">
        <v>8590</v>
      </c>
      <c r="W3674">
        <v>1</v>
      </c>
      <c r="X3674" t="s">
        <v>12264</v>
      </c>
      <c r="Y3674">
        <v>0.59907482157712189</v>
      </c>
      <c r="Z3674" t="str">
        <f>HYPERLINK("Melting_Curves/meltCurve_tr_B4DKJ3_B4DKJ3_HUMAN_.pdf", "Melting_Curves/meltCurve_tr_B4DKJ3_B4DKJ3_HUMAN_.pdf")</f>
        <v>Melting_Curves/meltCurve_tr_B4DKJ3_B4DKJ3_HUMAN_.pdf</v>
      </c>
      <c r="AA3674" t="s">
        <v>16507</v>
      </c>
      <c r="AB3674" t="s">
        <v>20755</v>
      </c>
    </row>
    <row r="3675" spans="1:28" x14ac:dyDescent="0.25">
      <c r="A3675" t="s">
        <v>3679</v>
      </c>
      <c r="B3675">
        <v>0.99876560204751996</v>
      </c>
      <c r="C3675">
        <v>1.03765194847384</v>
      </c>
      <c r="D3675">
        <v>1.0400565904269401</v>
      </c>
      <c r="E3675">
        <v>1.0073783795312601</v>
      </c>
      <c r="F3675">
        <v>0.96677513736751897</v>
      </c>
      <c r="G3675">
        <v>0.82056403391616894</v>
      </c>
      <c r="H3675">
        <v>0.59673718881022797</v>
      </c>
      <c r="I3675">
        <v>0.53038295344693498</v>
      </c>
      <c r="J3675">
        <v>0.73178348475096</v>
      </c>
      <c r="K3675">
        <v>0.72570387368783895</v>
      </c>
      <c r="L3675">
        <v>14248.381352382599</v>
      </c>
      <c r="M3675">
        <v>250</v>
      </c>
      <c r="O3675">
        <v>56.989878233084703</v>
      </c>
      <c r="P3675">
        <v>-0.388060279406858</v>
      </c>
      <c r="Q3675">
        <v>0.64615187148027398</v>
      </c>
      <c r="R3675">
        <v>0.89737624720210096</v>
      </c>
      <c r="S3675" t="s">
        <v>7971</v>
      </c>
      <c r="T3675" t="s">
        <v>8590</v>
      </c>
      <c r="U3675" t="s">
        <v>8590</v>
      </c>
      <c r="V3675" t="s">
        <v>8590</v>
      </c>
      <c r="W3675">
        <v>10</v>
      </c>
      <c r="X3675" t="s">
        <v>12265</v>
      </c>
      <c r="Y3675">
        <v>0.84662483644702335</v>
      </c>
      <c r="Z3675" t="str">
        <f>HYPERLINK("Melting_Curves/meltCurve_tr_B4DKL4_B4DKL4_HUMAN_.pdf", "Melting_Curves/meltCurve_tr_B4DKL4_B4DKL4_HUMAN_.pdf")</f>
        <v>Melting_Curves/meltCurve_tr_B4DKL4_B4DKL4_HUMAN_.pdf</v>
      </c>
      <c r="AA3675" t="s">
        <v>16508</v>
      </c>
      <c r="AB3675" t="s">
        <v>20756</v>
      </c>
    </row>
    <row r="3676" spans="1:28" x14ac:dyDescent="0.25">
      <c r="A3676" t="s">
        <v>3680</v>
      </c>
      <c r="B3676">
        <v>0.99876560204751996</v>
      </c>
      <c r="C3676">
        <v>0.99294861412627</v>
      </c>
      <c r="D3676">
        <v>0.72050875633696898</v>
      </c>
      <c r="E3676">
        <v>0.56725049947820805</v>
      </c>
      <c r="F3676">
        <v>0.40891836774385099</v>
      </c>
      <c r="G3676">
        <v>0.22794511389787001</v>
      </c>
      <c r="H3676">
        <v>0.17973942450536101</v>
      </c>
      <c r="I3676">
        <v>0.166970110237985</v>
      </c>
      <c r="J3676">
        <v>0.18240355320714399</v>
      </c>
      <c r="K3676">
        <v>0.211047703386437</v>
      </c>
      <c r="L3676">
        <v>765.99686850668695</v>
      </c>
      <c r="M3676">
        <v>15.514451181582601</v>
      </c>
      <c r="N3676">
        <v>50.665267748385403</v>
      </c>
      <c r="O3676">
        <v>48.574652070067302</v>
      </c>
      <c r="P3676">
        <v>-6.6808231072452304E-2</v>
      </c>
      <c r="Q3676">
        <v>0.163386719739301</v>
      </c>
      <c r="R3676">
        <v>0.98453817214249995</v>
      </c>
      <c r="S3676" t="s">
        <v>7972</v>
      </c>
      <c r="T3676" t="s">
        <v>8590</v>
      </c>
      <c r="U3676" t="s">
        <v>8590</v>
      </c>
      <c r="V3676" t="s">
        <v>8590</v>
      </c>
      <c r="W3676">
        <v>2</v>
      </c>
      <c r="X3676" t="s">
        <v>12266</v>
      </c>
      <c r="Y3676">
        <v>0.44391370048086681</v>
      </c>
      <c r="Z3676" t="str">
        <f>HYPERLINK("Melting_Curves/meltCurve_tr_B4DL14_B4DL14_HUMAN_.pdf", "Melting_Curves/meltCurve_tr_B4DL14_B4DL14_HUMAN_.pdf")</f>
        <v>Melting_Curves/meltCurve_tr_B4DL14_B4DL14_HUMAN_.pdf</v>
      </c>
      <c r="AA3676" t="s">
        <v>16509</v>
      </c>
      <c r="AB3676" t="s">
        <v>20757</v>
      </c>
    </row>
    <row r="3677" spans="1:28" x14ac:dyDescent="0.25">
      <c r="A3677" t="s">
        <v>3681</v>
      </c>
      <c r="B3677">
        <v>0.99876560204751996</v>
      </c>
      <c r="C3677">
        <v>0.963796126426545</v>
      </c>
      <c r="D3677">
        <v>0.957845051800437</v>
      </c>
      <c r="E3677">
        <v>0.80248385892668395</v>
      </c>
      <c r="F3677">
        <v>0.66446046270952397</v>
      </c>
      <c r="G3677">
        <v>0.36824732025380003</v>
      </c>
      <c r="H3677">
        <v>0.213076351170674</v>
      </c>
      <c r="I3677">
        <v>0.18800823566739799</v>
      </c>
      <c r="J3677">
        <v>0.21600723419493101</v>
      </c>
      <c r="K3677">
        <v>0.15802532595249699</v>
      </c>
      <c r="L3677">
        <v>975.71012194432603</v>
      </c>
      <c r="M3677">
        <v>18.150420189241199</v>
      </c>
      <c r="N3677">
        <v>54.865254301681802</v>
      </c>
      <c r="O3677">
        <v>53.117078680835199</v>
      </c>
      <c r="P3677">
        <v>-7.2318695680530801E-2</v>
      </c>
      <c r="Q3677">
        <v>0.15347965448523701</v>
      </c>
      <c r="R3677">
        <v>0.99559242613726695</v>
      </c>
      <c r="S3677" t="s">
        <v>7973</v>
      </c>
      <c r="T3677" t="s">
        <v>8590</v>
      </c>
      <c r="U3677" t="s">
        <v>8590</v>
      </c>
      <c r="V3677" t="s">
        <v>8590</v>
      </c>
      <c r="W3677">
        <v>4</v>
      </c>
      <c r="X3677" t="s">
        <v>12267</v>
      </c>
      <c r="Y3677">
        <v>0.55512302186372908</v>
      </c>
      <c r="Z3677" t="str">
        <f>HYPERLINK("Melting_Curves/meltCurve_tr_B4DL54_B4DL54_HUMAN_.pdf", "Melting_Curves/meltCurve_tr_B4DL54_B4DL54_HUMAN_.pdf")</f>
        <v>Melting_Curves/meltCurve_tr_B4DL54_B4DL54_HUMAN_.pdf</v>
      </c>
      <c r="AA3677" t="s">
        <v>16510</v>
      </c>
      <c r="AB3677" t="s">
        <v>20758</v>
      </c>
    </row>
    <row r="3678" spans="1:28" x14ac:dyDescent="0.25">
      <c r="A3678" t="s">
        <v>3682</v>
      </c>
      <c r="B3678">
        <v>0.99876560204751996</v>
      </c>
      <c r="C3678">
        <v>0.87688963664650998</v>
      </c>
      <c r="D3678">
        <v>0.75161908289608204</v>
      </c>
      <c r="E3678">
        <v>0.95864587646409105</v>
      </c>
      <c r="F3678">
        <v>1.1186355975144</v>
      </c>
      <c r="G3678">
        <v>1.74426370507484</v>
      </c>
      <c r="H3678">
        <v>1.89330577293223</v>
      </c>
      <c r="I3678">
        <v>2.4476327517636198</v>
      </c>
      <c r="J3678">
        <v>2.1117052031058101</v>
      </c>
      <c r="K3678">
        <v>2.9360966668434099</v>
      </c>
      <c r="L3678">
        <v>13311.8879948384</v>
      </c>
      <c r="M3678">
        <v>250</v>
      </c>
      <c r="O3678">
        <v>53.244144504702</v>
      </c>
      <c r="P3678">
        <v>0.58691899994678298</v>
      </c>
      <c r="Q3678">
        <v>1.5</v>
      </c>
      <c r="R3678">
        <v>0.29107137650308501</v>
      </c>
      <c r="S3678" t="s">
        <v>7974</v>
      </c>
      <c r="T3678" t="s">
        <v>8590</v>
      </c>
      <c r="U3678" t="s">
        <v>8590</v>
      </c>
      <c r="V3678" t="s">
        <v>8590</v>
      </c>
      <c r="W3678">
        <v>1</v>
      </c>
      <c r="X3678" t="s">
        <v>12268</v>
      </c>
      <c r="Y3678">
        <v>1.279160742698269</v>
      </c>
      <c r="Z3678" t="str">
        <f>HYPERLINK("Melting_Curves/meltCurve_tr_B4DL80_B4DL80_HUMAN_.pdf", "Melting_Curves/meltCurve_tr_B4DL80_B4DL80_HUMAN_.pdf")</f>
        <v>Melting_Curves/meltCurve_tr_B4DL80_B4DL80_HUMAN_.pdf</v>
      </c>
      <c r="AA3678" t="s">
        <v>16511</v>
      </c>
      <c r="AB3678" t="s">
        <v>20759</v>
      </c>
    </row>
    <row r="3679" spans="1:28" x14ac:dyDescent="0.25">
      <c r="A3679" t="s">
        <v>3683</v>
      </c>
      <c r="B3679">
        <v>0.99876560204751996</v>
      </c>
      <c r="C3679">
        <v>0.84355986731114097</v>
      </c>
      <c r="D3679">
        <v>0.648303535735549</v>
      </c>
      <c r="E3679">
        <v>0.64082080487370596</v>
      </c>
      <c r="F3679">
        <v>0.48365271747357902</v>
      </c>
      <c r="G3679">
        <v>0.63987762207441001</v>
      </c>
      <c r="H3679">
        <v>0.51810560342818901</v>
      </c>
      <c r="I3679">
        <v>0.47579431994758098</v>
      </c>
      <c r="J3679">
        <v>0.47883251658730402</v>
      </c>
      <c r="K3679">
        <v>0.52261157121283697</v>
      </c>
      <c r="L3679">
        <v>931.09571171638595</v>
      </c>
      <c r="M3679">
        <v>20.942346261847199</v>
      </c>
      <c r="O3679">
        <v>44.060511117305097</v>
      </c>
      <c r="P3679">
        <v>-5.6571516281513502E-2</v>
      </c>
      <c r="Q3679">
        <v>0.52393053739512896</v>
      </c>
      <c r="R3679">
        <v>0.89646635243431805</v>
      </c>
      <c r="S3679" t="s">
        <v>7975</v>
      </c>
      <c r="T3679" t="s">
        <v>8590</v>
      </c>
      <c r="U3679" t="s">
        <v>8590</v>
      </c>
      <c r="V3679" t="s">
        <v>8590</v>
      </c>
      <c r="W3679">
        <v>3</v>
      </c>
      <c r="X3679" t="s">
        <v>12269</v>
      </c>
      <c r="Y3679">
        <v>0.60245310632864391</v>
      </c>
      <c r="Z3679" t="str">
        <f>HYPERLINK("Melting_Curves/meltCurve_tr_B4DLN1_B4DLN1_HUMAN_.pdf", "Melting_Curves/meltCurve_tr_B4DLN1_B4DLN1_HUMAN_.pdf")</f>
        <v>Melting_Curves/meltCurve_tr_B4DLN1_B4DLN1_HUMAN_.pdf</v>
      </c>
      <c r="AA3679" t="s">
        <v>16512</v>
      </c>
      <c r="AB3679" t="s">
        <v>20760</v>
      </c>
    </row>
    <row r="3680" spans="1:28" x14ac:dyDescent="0.25">
      <c r="A3680" t="s">
        <v>3684</v>
      </c>
      <c r="B3680">
        <v>0.99876560204751996</v>
      </c>
      <c r="C3680">
        <v>0.97578868089690796</v>
      </c>
      <c r="D3680">
        <v>0.93964790858647496</v>
      </c>
      <c r="E3680">
        <v>0.80673254300186703</v>
      </c>
      <c r="F3680">
        <v>0.384434029037174</v>
      </c>
      <c r="G3680">
        <v>0.22517147526286799</v>
      </c>
      <c r="H3680">
        <v>0.120140611129398</v>
      </c>
      <c r="I3680">
        <v>9.2867117701960197E-2</v>
      </c>
      <c r="J3680">
        <v>8.9309724093119394E-2</v>
      </c>
      <c r="K3680">
        <v>6.8498147911154897E-2</v>
      </c>
      <c r="L3680">
        <v>1390.6083852316999</v>
      </c>
      <c r="M3680">
        <v>26.756066570468899</v>
      </c>
      <c r="N3680">
        <v>52.378092970409902</v>
      </c>
      <c r="O3680">
        <v>51.685847952084998</v>
      </c>
      <c r="P3680">
        <v>-0.117337613211889</v>
      </c>
      <c r="Q3680">
        <v>9.3344794621077795E-2</v>
      </c>
      <c r="R3680">
        <v>0.99393072781951097</v>
      </c>
      <c r="S3680" t="s">
        <v>7976</v>
      </c>
      <c r="T3680" t="s">
        <v>8590</v>
      </c>
      <c r="U3680" t="s">
        <v>8590</v>
      </c>
      <c r="V3680" t="s">
        <v>8590</v>
      </c>
      <c r="W3680">
        <v>18</v>
      </c>
      <c r="X3680" t="s">
        <v>12270</v>
      </c>
      <c r="Y3680">
        <v>0.46246212138233089</v>
      </c>
      <c r="Z3680" t="str">
        <f>HYPERLINK("Melting_Curves/meltCurve_tr_B4DLW8_B4DLW8_HUMAN_.pdf", "Melting_Curves/meltCurve_tr_B4DLW8_B4DLW8_HUMAN_.pdf")</f>
        <v>Melting_Curves/meltCurve_tr_B4DLW8_B4DLW8_HUMAN_.pdf</v>
      </c>
      <c r="AA3680" t="s">
        <v>16513</v>
      </c>
      <c r="AB3680" t="s">
        <v>20761</v>
      </c>
    </row>
    <row r="3681" spans="1:28" x14ac:dyDescent="0.25">
      <c r="A3681" t="s">
        <v>3685</v>
      </c>
      <c r="B3681">
        <v>0.99876560204751996</v>
      </c>
      <c r="C3681">
        <v>1.18592110779007</v>
      </c>
      <c r="D3681">
        <v>0.79651390525252597</v>
      </c>
      <c r="E3681">
        <v>0.680817161002918</v>
      </c>
      <c r="F3681">
        <v>0.38245461737325298</v>
      </c>
      <c r="G3681">
        <v>0.208881853511729</v>
      </c>
      <c r="H3681">
        <v>0.13069117712193701</v>
      </c>
      <c r="I3681">
        <v>8.4858366081206602E-2</v>
      </c>
      <c r="J3681">
        <v>9.8604319129706394E-2</v>
      </c>
      <c r="K3681">
        <v>9.3043195946810306E-2</v>
      </c>
      <c r="L3681">
        <v>985.77141982234798</v>
      </c>
      <c r="M3681">
        <v>19.248130514821199</v>
      </c>
      <c r="N3681">
        <v>51.711882347925098</v>
      </c>
      <c r="O3681">
        <v>50.670695557306701</v>
      </c>
      <c r="P3681">
        <v>-8.6936130616353302E-2</v>
      </c>
      <c r="Q3681">
        <v>8.4597352260488506E-2</v>
      </c>
      <c r="R3681">
        <v>0.96340122007046702</v>
      </c>
      <c r="S3681" t="s">
        <v>7977</v>
      </c>
      <c r="T3681" t="s">
        <v>8590</v>
      </c>
      <c r="U3681" t="s">
        <v>8590</v>
      </c>
      <c r="V3681" t="s">
        <v>8590</v>
      </c>
      <c r="W3681">
        <v>2</v>
      </c>
      <c r="X3681" t="s">
        <v>12271</v>
      </c>
      <c r="Y3681">
        <v>0.44040083121674278</v>
      </c>
      <c r="Z3681" t="str">
        <f>HYPERLINK("Melting_Curves/meltCurve_tr_B4DMX0_B4DMX0_HUMAN_.pdf", "Melting_Curves/meltCurve_tr_B4DMX0_B4DMX0_HUMAN_.pdf")</f>
        <v>Melting_Curves/meltCurve_tr_B4DMX0_B4DMX0_HUMAN_.pdf</v>
      </c>
      <c r="AA3681" t="s">
        <v>16514</v>
      </c>
      <c r="AB3681" t="s">
        <v>20762</v>
      </c>
    </row>
    <row r="3682" spans="1:28" x14ac:dyDescent="0.25">
      <c r="A3682" t="s">
        <v>3686</v>
      </c>
      <c r="B3682">
        <v>0.99876560204751996</v>
      </c>
      <c r="C3682">
        <v>0.90934119419237003</v>
      </c>
      <c r="D3682">
        <v>1.40014096444175</v>
      </c>
      <c r="E3682">
        <v>0.99933836231077</v>
      </c>
      <c r="F3682">
        <v>1.2935763249554999</v>
      </c>
      <c r="G3682">
        <v>0.69825530947176895</v>
      </c>
      <c r="H3682">
        <v>0.775584719776369</v>
      </c>
      <c r="I3682">
        <v>0.74298844535822595</v>
      </c>
      <c r="J3682">
        <v>1.11042603238965</v>
      </c>
      <c r="K3682">
        <v>1.0328444931244301</v>
      </c>
      <c r="S3682" t="s">
        <v>7978</v>
      </c>
      <c r="T3682" t="s">
        <v>8590</v>
      </c>
      <c r="U3682" t="s">
        <v>8591</v>
      </c>
      <c r="V3682" t="s">
        <v>8590</v>
      </c>
      <c r="W3682">
        <v>9</v>
      </c>
      <c r="X3682" t="s">
        <v>12272</v>
      </c>
      <c r="Z3682" t="str">
        <f>HYPERLINK("Melting_Curves/meltCurve_tr_B4DNC9_B4DNC9_HUMAN_.pdf", "Melting_Curves/meltCurve_tr_B4DNC9_B4DNC9_HUMAN_.pdf")</f>
        <v>Melting_Curves/meltCurve_tr_B4DNC9_B4DNC9_HUMAN_.pdf</v>
      </c>
      <c r="AA3682" t="s">
        <v>15854</v>
      </c>
      <c r="AB3682" t="s">
        <v>20099</v>
      </c>
    </row>
    <row r="3683" spans="1:28" x14ac:dyDescent="0.25">
      <c r="A3683" t="s">
        <v>3687</v>
      </c>
      <c r="B3683">
        <v>0.99876560204751996</v>
      </c>
      <c r="C3683">
        <v>1.1641021806593901</v>
      </c>
      <c r="D3683">
        <v>1.0716804815979899</v>
      </c>
      <c r="E3683">
        <v>0.56722698905187896</v>
      </c>
      <c r="F3683">
        <v>0.21355174378118899</v>
      </c>
      <c r="G3683">
        <v>0.163575235773262</v>
      </c>
      <c r="H3683">
        <v>8.21047666960808E-2</v>
      </c>
      <c r="I3683">
        <v>7.3533048241136503E-2</v>
      </c>
      <c r="J3683">
        <v>1.93608626707658E-2</v>
      </c>
      <c r="K3683">
        <v>2.1109483147733001E-2</v>
      </c>
      <c r="L3683">
        <v>1914.7855212070201</v>
      </c>
      <c r="M3683">
        <v>38.0487818770575</v>
      </c>
      <c r="N3683">
        <v>50.530008258329602</v>
      </c>
      <c r="O3683">
        <v>50.186080592680703</v>
      </c>
      <c r="P3683">
        <v>-0.175951504948755</v>
      </c>
      <c r="Q3683">
        <v>7.1687066605994998E-2</v>
      </c>
      <c r="R3683">
        <v>0.97495783672234504</v>
      </c>
      <c r="S3683" t="s">
        <v>7979</v>
      </c>
      <c r="T3683" t="s">
        <v>8590</v>
      </c>
      <c r="U3683" t="s">
        <v>8590</v>
      </c>
      <c r="V3683" t="s">
        <v>8590</v>
      </c>
      <c r="W3683">
        <v>2</v>
      </c>
      <c r="X3683" t="s">
        <v>12273</v>
      </c>
      <c r="Y3683">
        <v>0.39473832209322518</v>
      </c>
      <c r="Z3683" t="str">
        <f>HYPERLINK("Melting_Curves/meltCurve_tr_B4DNK1_B4DNK1_HUMAN_.pdf", "Melting_Curves/meltCurve_tr_B4DNK1_B4DNK1_HUMAN_.pdf")</f>
        <v>Melting_Curves/meltCurve_tr_B4DNK1_B4DNK1_HUMAN_.pdf</v>
      </c>
      <c r="AA3683" t="s">
        <v>16515</v>
      </c>
      <c r="AB3683" t="s">
        <v>20763</v>
      </c>
    </row>
    <row r="3684" spans="1:28" x14ac:dyDescent="0.25">
      <c r="A3684" t="s">
        <v>3688</v>
      </c>
      <c r="B3684">
        <v>0.99876560204751996</v>
      </c>
      <c r="C3684">
        <v>0.89914508475187105</v>
      </c>
      <c r="D3684">
        <v>1.0527832391163201</v>
      </c>
      <c r="E3684">
        <v>0.87584715579451899</v>
      </c>
      <c r="F3684">
        <v>0.91432076964906805</v>
      </c>
      <c r="G3684">
        <v>0.61495426321841995</v>
      </c>
      <c r="H3684">
        <v>0.43108412323171502</v>
      </c>
      <c r="I3684">
        <v>0.41459615956311702</v>
      </c>
      <c r="J3684">
        <v>0.514542620577081</v>
      </c>
      <c r="K3684">
        <v>0.49338827749130998</v>
      </c>
      <c r="L3684">
        <v>1802.6920844973599</v>
      </c>
      <c r="M3684">
        <v>32.623674835133301</v>
      </c>
      <c r="N3684">
        <v>59.805953790560302</v>
      </c>
      <c r="O3684">
        <v>55.050791417232503</v>
      </c>
      <c r="P3684">
        <v>-8.0271871133678993E-2</v>
      </c>
      <c r="Q3684">
        <v>0.45818373499835002</v>
      </c>
      <c r="R3684">
        <v>0.93899188534065203</v>
      </c>
      <c r="S3684" t="s">
        <v>7980</v>
      </c>
      <c r="T3684" t="s">
        <v>8590</v>
      </c>
      <c r="U3684" t="s">
        <v>8590</v>
      </c>
      <c r="V3684" t="s">
        <v>8590</v>
      </c>
      <c r="W3684">
        <v>7</v>
      </c>
      <c r="X3684" t="s">
        <v>12274</v>
      </c>
      <c r="Y3684">
        <v>0.73680735183239321</v>
      </c>
      <c r="Z3684" t="str">
        <f>HYPERLINK("Melting_Curves/meltCurve_tr_B4DP21_B4DP21_HUMAN_.pdf", "Melting_Curves/meltCurve_tr_B4DP21_B4DP21_HUMAN_.pdf")</f>
        <v>Melting_Curves/meltCurve_tr_B4DP21_B4DP21_HUMAN_.pdf</v>
      </c>
      <c r="AA3684" t="s">
        <v>16516</v>
      </c>
      <c r="AB3684" t="s">
        <v>20764</v>
      </c>
    </row>
    <row r="3685" spans="1:28" x14ac:dyDescent="0.25">
      <c r="A3685" t="s">
        <v>3689</v>
      </c>
      <c r="B3685">
        <v>0.99876560204751996</v>
      </c>
      <c r="C3685">
        <v>0.96528057284259605</v>
      </c>
      <c r="D3685">
        <v>0.94772596067725001</v>
      </c>
      <c r="E3685">
        <v>0.77976922225948697</v>
      </c>
      <c r="F3685">
        <v>0.73378632267016297</v>
      </c>
      <c r="G3685">
        <v>0.46953373516771302</v>
      </c>
      <c r="H3685">
        <v>0.307157495987541</v>
      </c>
      <c r="I3685">
        <v>0.228011327392209</v>
      </c>
      <c r="J3685">
        <v>0.30839211845516701</v>
      </c>
      <c r="K3685">
        <v>0.25596510256097499</v>
      </c>
      <c r="L3685">
        <v>830.31121804123802</v>
      </c>
      <c r="M3685">
        <v>15.3221954386324</v>
      </c>
      <c r="N3685">
        <v>56.282624357483002</v>
      </c>
      <c r="O3685">
        <v>53.292194451857704</v>
      </c>
      <c r="P3685">
        <v>-5.62758038127118E-2</v>
      </c>
      <c r="Q3685">
        <v>0.21714029938945001</v>
      </c>
      <c r="R3685">
        <v>0.98512522166877603</v>
      </c>
      <c r="S3685" t="s">
        <v>7981</v>
      </c>
      <c r="T3685" t="s">
        <v>8590</v>
      </c>
      <c r="U3685" t="s">
        <v>8590</v>
      </c>
      <c r="V3685" t="s">
        <v>8590</v>
      </c>
      <c r="W3685">
        <v>3</v>
      </c>
      <c r="X3685" t="s">
        <v>12275</v>
      </c>
      <c r="Y3685">
        <v>0.60292178773237193</v>
      </c>
      <c r="Z3685" t="str">
        <f>HYPERLINK("Melting_Curves/meltCurve_tr_B4DPR4_B4DPR4_HUMAN_.pdf", "Melting_Curves/meltCurve_tr_B4DPR4_B4DPR4_HUMAN_.pdf")</f>
        <v>Melting_Curves/meltCurve_tr_B4DPR4_B4DPR4_HUMAN_.pdf</v>
      </c>
      <c r="AA3685" t="s">
        <v>16517</v>
      </c>
      <c r="AB3685" t="s">
        <v>20765</v>
      </c>
    </row>
    <row r="3686" spans="1:28" x14ac:dyDescent="0.25">
      <c r="A3686" t="s">
        <v>3690</v>
      </c>
      <c r="B3686">
        <v>0.99876560204751996</v>
      </c>
      <c r="C3686">
        <v>0.95610734762905702</v>
      </c>
      <c r="D3686">
        <v>1.0468528131736601</v>
      </c>
      <c r="E3686">
        <v>1.0283379920195801</v>
      </c>
      <c r="F3686">
        <v>0.947783688763148</v>
      </c>
      <c r="G3686">
        <v>0.64870340404429305</v>
      </c>
      <c r="H3686">
        <v>0.63261555968115302</v>
      </c>
      <c r="I3686">
        <v>0.71487808270762698</v>
      </c>
      <c r="J3686">
        <v>0.72090935691007796</v>
      </c>
      <c r="K3686">
        <v>0.76574729037780898</v>
      </c>
      <c r="L3686">
        <v>13333.257997557699</v>
      </c>
      <c r="M3686">
        <v>250</v>
      </c>
      <c r="O3686">
        <v>53.329640124512601</v>
      </c>
      <c r="P3686">
        <v>-0.35560593560901199</v>
      </c>
      <c r="Q3686">
        <v>0.69657073448151097</v>
      </c>
      <c r="R3686">
        <v>0.92999875469520399</v>
      </c>
      <c r="S3686" t="s">
        <v>7982</v>
      </c>
      <c r="T3686" t="s">
        <v>8590</v>
      </c>
      <c r="U3686" t="s">
        <v>8590</v>
      </c>
      <c r="V3686" t="s">
        <v>8590</v>
      </c>
      <c r="W3686">
        <v>3</v>
      </c>
      <c r="X3686" t="s">
        <v>12276</v>
      </c>
      <c r="Y3686">
        <v>0.83145353851277359</v>
      </c>
      <c r="Z3686" t="str">
        <f>HYPERLINK("Melting_Curves/meltCurve_tr_B4DPY8_B4DPY8_HUMAN_.pdf", "Melting_Curves/meltCurve_tr_B4DPY8_B4DPY8_HUMAN_.pdf")</f>
        <v>Melting_Curves/meltCurve_tr_B4DPY8_B4DPY8_HUMAN_.pdf</v>
      </c>
      <c r="AA3686" t="s">
        <v>16518</v>
      </c>
      <c r="AB3686" t="s">
        <v>20766</v>
      </c>
    </row>
    <row r="3687" spans="1:28" x14ac:dyDescent="0.25">
      <c r="A3687" t="s">
        <v>3691</v>
      </c>
      <c r="B3687">
        <v>0.99876560204751996</v>
      </c>
      <c r="C3687">
        <v>0.922179326905745</v>
      </c>
      <c r="D3687">
        <v>0.99874744915615099</v>
      </c>
      <c r="E3687">
        <v>0.88003028325836996</v>
      </c>
      <c r="F3687">
        <v>0.631365969570307</v>
      </c>
      <c r="G3687">
        <v>0.21588790380371001</v>
      </c>
      <c r="H3687">
        <v>0.102745189997824</v>
      </c>
      <c r="I3687">
        <v>9.2020792375423502E-2</v>
      </c>
      <c r="J3687">
        <v>9.7038345074231896E-2</v>
      </c>
      <c r="K3687">
        <v>8.5641479353258401E-2</v>
      </c>
      <c r="L3687">
        <v>1534.9175960533</v>
      </c>
      <c r="M3687">
        <v>28.623163132620402</v>
      </c>
      <c r="N3687">
        <v>53.967648796066698</v>
      </c>
      <c r="O3687">
        <v>53.365323567652297</v>
      </c>
      <c r="P3687">
        <v>-0.122950794198951</v>
      </c>
      <c r="Q3687">
        <v>8.3084405555156393E-2</v>
      </c>
      <c r="R3687">
        <v>0.99571347618093997</v>
      </c>
      <c r="S3687" t="s">
        <v>7983</v>
      </c>
      <c r="T3687" t="s">
        <v>8590</v>
      </c>
      <c r="U3687" t="s">
        <v>8590</v>
      </c>
      <c r="V3687" t="s">
        <v>8590</v>
      </c>
      <c r="W3687">
        <v>17</v>
      </c>
      <c r="X3687" t="s">
        <v>12277</v>
      </c>
      <c r="Y3687">
        <v>0.50608274180435819</v>
      </c>
      <c r="Z3687" t="str">
        <f>HYPERLINK("Melting_Curves/meltCurve_tr_B4DQ14_B4DQ14_HUMAN_.pdf", "Melting_Curves/meltCurve_tr_B4DQ14_B4DQ14_HUMAN_.pdf")</f>
        <v>Melting_Curves/meltCurve_tr_B4DQ14_B4DQ14_HUMAN_.pdf</v>
      </c>
      <c r="AA3687" t="s">
        <v>16519</v>
      </c>
      <c r="AB3687" t="s">
        <v>17611</v>
      </c>
    </row>
    <row r="3688" spans="1:28" x14ac:dyDescent="0.25">
      <c r="A3688" t="s">
        <v>3692</v>
      </c>
      <c r="B3688">
        <v>0.99876560204751996</v>
      </c>
      <c r="C3688">
        <v>0.96188016779149699</v>
      </c>
      <c r="D3688">
        <v>1.0180767550404599</v>
      </c>
      <c r="E3688">
        <v>0.82607663856003499</v>
      </c>
      <c r="F3688">
        <v>0.63486591335052001</v>
      </c>
      <c r="G3688">
        <v>0.57848779825047303</v>
      </c>
      <c r="H3688">
        <v>0.53700535247013204</v>
      </c>
      <c r="I3688">
        <v>0.73707062791128997</v>
      </c>
      <c r="J3688">
        <v>0.94125410719726899</v>
      </c>
      <c r="K3688">
        <v>0.91507258413349002</v>
      </c>
      <c r="L3688">
        <v>12473.375218769699</v>
      </c>
      <c r="M3688">
        <v>250</v>
      </c>
      <c r="O3688">
        <v>49.890308136883</v>
      </c>
      <c r="P3688">
        <v>-0.34580940061369198</v>
      </c>
      <c r="Q3688">
        <v>0.72395940010743998</v>
      </c>
      <c r="R3688">
        <v>0.49135382736515198</v>
      </c>
      <c r="S3688" t="s">
        <v>7984</v>
      </c>
      <c r="T3688" t="s">
        <v>8590</v>
      </c>
      <c r="U3688" t="s">
        <v>8590</v>
      </c>
      <c r="V3688" t="s">
        <v>8590</v>
      </c>
      <c r="W3688">
        <v>5</v>
      </c>
      <c r="X3688" t="s">
        <v>12278</v>
      </c>
      <c r="Y3688">
        <v>0.81501716808190716</v>
      </c>
      <c r="Z3688" t="str">
        <f>HYPERLINK("Melting_Curves/meltCurve_tr_B4DQA8_B4DQA8_HUMAN_.pdf", "Melting_Curves/meltCurve_tr_B4DQA8_B4DQA8_HUMAN_.pdf")</f>
        <v>Melting_Curves/meltCurve_tr_B4DQA8_B4DQA8_HUMAN_.pdf</v>
      </c>
      <c r="AA3688" t="s">
        <v>16520</v>
      </c>
      <c r="AB3688" t="s">
        <v>20767</v>
      </c>
    </row>
    <row r="3689" spans="1:28" x14ac:dyDescent="0.25">
      <c r="A3689" t="s">
        <v>3693</v>
      </c>
      <c r="B3689">
        <v>0.99876560204751996</v>
      </c>
      <c r="C3689">
        <v>1.0110020817110299</v>
      </c>
      <c r="D3689">
        <v>0.97335793507678003</v>
      </c>
      <c r="E3689">
        <v>1.0228047891512799</v>
      </c>
      <c r="F3689">
        <v>0.68768262627281096</v>
      </c>
      <c r="G3689">
        <v>0.167066289061088</v>
      </c>
      <c r="H3689">
        <v>7.8945396438150003E-2</v>
      </c>
      <c r="I3689">
        <v>6.1623011835412501E-2</v>
      </c>
      <c r="J3689">
        <v>5.6529087188009197E-2</v>
      </c>
      <c r="K3689">
        <v>5.2409848949590498E-2</v>
      </c>
      <c r="L3689">
        <v>2291.4158026023301</v>
      </c>
      <c r="M3689">
        <v>42.4701527050726</v>
      </c>
      <c r="N3689">
        <v>54.125808930070399</v>
      </c>
      <c r="O3689">
        <v>53.834342985273999</v>
      </c>
      <c r="P3689">
        <v>-0.18475929075952099</v>
      </c>
      <c r="Q3689">
        <v>6.3212257167474306E-2</v>
      </c>
      <c r="R3689">
        <v>0.99766672593875405</v>
      </c>
      <c r="S3689" t="s">
        <v>7985</v>
      </c>
      <c r="T3689" t="s">
        <v>8590</v>
      </c>
      <c r="U3689" t="s">
        <v>8590</v>
      </c>
      <c r="V3689" t="s">
        <v>8590</v>
      </c>
      <c r="W3689">
        <v>28</v>
      </c>
      <c r="X3689" t="s">
        <v>12279</v>
      </c>
      <c r="Y3689">
        <v>0.50202229864461867</v>
      </c>
      <c r="Z3689" t="str">
        <f>HYPERLINK("Melting_Curves/meltCurve_tr_B4DQJ8_B4DQJ8_HUMAN_.pdf", "Melting_Curves/meltCurve_tr_B4DQJ8_B4DQJ8_HUMAN_.pdf")</f>
        <v>Melting_Curves/meltCurve_tr_B4DQJ8_B4DQJ8_HUMAN_.pdf</v>
      </c>
      <c r="AA3689" t="s">
        <v>16521</v>
      </c>
      <c r="AB3689" t="s">
        <v>20768</v>
      </c>
    </row>
    <row r="3690" spans="1:28" x14ac:dyDescent="0.25">
      <c r="A3690" t="s">
        <v>3694</v>
      </c>
      <c r="B3690">
        <v>0.99876560204751996</v>
      </c>
      <c r="C3690">
        <v>0.99822038455692197</v>
      </c>
      <c r="D3690">
        <v>0.92093657554978803</v>
      </c>
      <c r="E3690">
        <v>0.73485989157340603</v>
      </c>
      <c r="F3690">
        <v>0.41066665443794498</v>
      </c>
      <c r="G3690">
        <v>0.20959115189279001</v>
      </c>
      <c r="H3690">
        <v>0.12306199693573899</v>
      </c>
      <c r="I3690">
        <v>9.4281861768127806E-2</v>
      </c>
      <c r="J3690">
        <v>0.102416103253671</v>
      </c>
      <c r="K3690">
        <v>7.7461337547501605E-2</v>
      </c>
      <c r="L3690">
        <v>1125.76119910591</v>
      </c>
      <c r="M3690">
        <v>21.736100581115998</v>
      </c>
      <c r="N3690">
        <v>52.246052393304197</v>
      </c>
      <c r="O3690">
        <v>51.359830477488899</v>
      </c>
      <c r="P3690">
        <v>-9.6703770298455699E-2</v>
      </c>
      <c r="Q3690">
        <v>8.6023194149903906E-2</v>
      </c>
      <c r="R3690">
        <v>0.99859875109429297</v>
      </c>
      <c r="S3690" t="s">
        <v>7986</v>
      </c>
      <c r="T3690" t="s">
        <v>8590</v>
      </c>
      <c r="U3690" t="s">
        <v>8590</v>
      </c>
      <c r="V3690" t="s">
        <v>8590</v>
      </c>
      <c r="W3690">
        <v>12</v>
      </c>
      <c r="X3690" t="s">
        <v>12280</v>
      </c>
      <c r="Y3690">
        <v>0.45614754984365719</v>
      </c>
      <c r="Z3690" t="str">
        <f>HYPERLINK("Melting_Curves/meltCurve_tr_B4DR80_B4DR80_HUMAN_.pdf", "Melting_Curves/meltCurve_tr_B4DR80_B4DR80_HUMAN_.pdf")</f>
        <v>Melting_Curves/meltCurve_tr_B4DR80_B4DR80_HUMAN_.pdf</v>
      </c>
      <c r="AA3690" t="s">
        <v>16522</v>
      </c>
      <c r="AB3690" t="s">
        <v>20769</v>
      </c>
    </row>
    <row r="3691" spans="1:28" x14ac:dyDescent="0.25">
      <c r="A3691" t="s">
        <v>3695</v>
      </c>
      <c r="B3691">
        <v>0.99876560204751996</v>
      </c>
      <c r="C3691">
        <v>1.0312262783587001</v>
      </c>
      <c r="D3691">
        <v>1.0739418549598101</v>
      </c>
      <c r="E3691">
        <v>1.00219264351932</v>
      </c>
      <c r="F3691">
        <v>0.67709527976718198</v>
      </c>
      <c r="G3691">
        <v>0.23115516785913801</v>
      </c>
      <c r="H3691">
        <v>0.12529761865168201</v>
      </c>
      <c r="I3691">
        <v>8.4075118033186E-2</v>
      </c>
      <c r="J3691">
        <v>0.101265547585252</v>
      </c>
      <c r="K3691">
        <v>7.3402336049395597E-2</v>
      </c>
      <c r="L3691">
        <v>1948.47292735781</v>
      </c>
      <c r="M3691">
        <v>36.066698150897999</v>
      </c>
      <c r="N3691">
        <v>54.337719858498097</v>
      </c>
      <c r="O3691">
        <v>53.858879216243999</v>
      </c>
      <c r="P3691">
        <v>-0.15168477664266999</v>
      </c>
      <c r="Q3691">
        <v>9.3951303097358704E-2</v>
      </c>
      <c r="R3691">
        <v>0.99415391230199202</v>
      </c>
      <c r="S3691" t="s">
        <v>7987</v>
      </c>
      <c r="T3691" t="s">
        <v>8590</v>
      </c>
      <c r="U3691" t="s">
        <v>8590</v>
      </c>
      <c r="V3691" t="s">
        <v>8590</v>
      </c>
      <c r="W3691">
        <v>2</v>
      </c>
      <c r="X3691" t="s">
        <v>12281</v>
      </c>
      <c r="Y3691">
        <v>0.52165326022159708</v>
      </c>
      <c r="Z3691" t="str">
        <f>HYPERLINK("Melting_Curves/meltCurve_tr_B4DRL9_B4DRL9_HUMAN_.pdf", "Melting_Curves/meltCurve_tr_B4DRL9_B4DRL9_HUMAN_.pdf")</f>
        <v>Melting_Curves/meltCurve_tr_B4DRL9_B4DRL9_HUMAN_.pdf</v>
      </c>
      <c r="AA3691" t="s">
        <v>16523</v>
      </c>
      <c r="AB3691" t="s">
        <v>20770</v>
      </c>
    </row>
    <row r="3692" spans="1:28" x14ac:dyDescent="0.25">
      <c r="A3692" t="s">
        <v>3696</v>
      </c>
      <c r="B3692">
        <v>0.99876560204751996</v>
      </c>
      <c r="C3692">
        <v>1.0221489373220001</v>
      </c>
      <c r="D3692">
        <v>1.03336055061954</v>
      </c>
      <c r="E3692">
        <v>0.940133264668644</v>
      </c>
      <c r="F3692">
        <v>0.929661337142063</v>
      </c>
      <c r="G3692">
        <v>0.70212923939485195</v>
      </c>
      <c r="H3692">
        <v>0.65078352133931405</v>
      </c>
      <c r="I3692">
        <v>0.59629181047861701</v>
      </c>
      <c r="J3692">
        <v>0.75001665548199803</v>
      </c>
      <c r="K3692">
        <v>0.66581135780031597</v>
      </c>
      <c r="L3692">
        <v>2346.9639261823399</v>
      </c>
      <c r="M3692">
        <v>43.121942633633203</v>
      </c>
      <c r="O3692">
        <v>54.309551552391099</v>
      </c>
      <c r="P3692">
        <v>-6.6647924912461701E-2</v>
      </c>
      <c r="Q3692">
        <v>0.66424394288798805</v>
      </c>
      <c r="R3692">
        <v>0.93664415191623596</v>
      </c>
      <c r="S3692" t="s">
        <v>7988</v>
      </c>
      <c r="T3692" t="s">
        <v>8590</v>
      </c>
      <c r="U3692" t="s">
        <v>8590</v>
      </c>
      <c r="V3692" t="s">
        <v>8590</v>
      </c>
      <c r="W3692">
        <v>7</v>
      </c>
      <c r="X3692" t="s">
        <v>12282</v>
      </c>
      <c r="Y3692">
        <v>0.8267843324945211</v>
      </c>
      <c r="Z3692" t="str">
        <f>HYPERLINK("Melting_Curves/meltCurve_tr_B4DTG6_B4DTG6_HUMAN_.pdf", "Melting_Curves/meltCurve_tr_B4DTG6_B4DTG6_HUMAN_.pdf")</f>
        <v>Melting_Curves/meltCurve_tr_B4DTG6_B4DTG6_HUMAN_.pdf</v>
      </c>
      <c r="AA3692" t="s">
        <v>16524</v>
      </c>
      <c r="AB3692" t="s">
        <v>20771</v>
      </c>
    </row>
    <row r="3693" spans="1:28" x14ac:dyDescent="0.25">
      <c r="A3693" t="s">
        <v>3697</v>
      </c>
      <c r="B3693">
        <v>0.99876560204751996</v>
      </c>
      <c r="C3693">
        <v>1.06550268495218</v>
      </c>
      <c r="D3693">
        <v>0.52106192978739696</v>
      </c>
      <c r="E3693">
        <v>0.49070321686956098</v>
      </c>
      <c r="F3693">
        <v>0.49286832653180102</v>
      </c>
      <c r="G3693">
        <v>0.54453676040618104</v>
      </c>
      <c r="H3693">
        <v>0.12520763358668999</v>
      </c>
      <c r="I3693">
        <v>0.13686494705999599</v>
      </c>
      <c r="J3693">
        <v>0.15464321307262099</v>
      </c>
      <c r="K3693">
        <v>0.198589384318068</v>
      </c>
      <c r="L3693">
        <v>486.29690476505601</v>
      </c>
      <c r="M3693">
        <v>9.6597885518092106</v>
      </c>
      <c r="N3693">
        <v>51.5503977939523</v>
      </c>
      <c r="O3693">
        <v>48.326876192837403</v>
      </c>
      <c r="P3693">
        <v>-4.49346967088134E-2</v>
      </c>
      <c r="Q3693">
        <v>0.10128518809243001</v>
      </c>
      <c r="R3693">
        <v>0.83327883266578295</v>
      </c>
      <c r="S3693" t="s">
        <v>7989</v>
      </c>
      <c r="T3693" t="s">
        <v>8590</v>
      </c>
      <c r="U3693" t="s">
        <v>8590</v>
      </c>
      <c r="V3693" t="s">
        <v>8590</v>
      </c>
      <c r="W3693">
        <v>2</v>
      </c>
      <c r="X3693" t="s">
        <v>12283</v>
      </c>
      <c r="Y3693">
        <v>0.45244712712048041</v>
      </c>
      <c r="Z3693" t="str">
        <f>HYPERLINK("Melting_Curves/meltCurve_tr_B4DTU4_B4DTU4_HUMAN_.pdf", "Melting_Curves/meltCurve_tr_B4DTU4_B4DTU4_HUMAN_.pdf")</f>
        <v>Melting_Curves/meltCurve_tr_B4DTU4_B4DTU4_HUMAN_.pdf</v>
      </c>
      <c r="AA3693" t="s">
        <v>16525</v>
      </c>
      <c r="AB3693" t="s">
        <v>20772</v>
      </c>
    </row>
    <row r="3694" spans="1:28" x14ac:dyDescent="0.25">
      <c r="A3694" t="s">
        <v>3698</v>
      </c>
      <c r="B3694">
        <v>0.99876560204751996</v>
      </c>
      <c r="C3694">
        <v>0.90443286599686801</v>
      </c>
      <c r="D3694">
        <v>0.94474341235565396</v>
      </c>
      <c r="E3694">
        <v>0.80800240336582696</v>
      </c>
      <c r="F3694">
        <v>0.47884569398698801</v>
      </c>
      <c r="G3694">
        <v>0.18063871382570301</v>
      </c>
      <c r="H3694">
        <v>9.6681963681989502E-2</v>
      </c>
      <c r="I3694">
        <v>7.3857126403620493E-2</v>
      </c>
      <c r="J3694">
        <v>7.0064269219667602E-2</v>
      </c>
      <c r="K3694">
        <v>5.7272479565635699E-2</v>
      </c>
      <c r="L3694">
        <v>1265.6124065205199</v>
      </c>
      <c r="M3694">
        <v>24.0697847433673</v>
      </c>
      <c r="N3694">
        <v>52.861170071823103</v>
      </c>
      <c r="O3694">
        <v>52.222052324375902</v>
      </c>
      <c r="P3694">
        <v>-0.108328465402772</v>
      </c>
      <c r="Q3694">
        <v>5.9892488759580802E-2</v>
      </c>
      <c r="R3694">
        <v>0.993717922861721</v>
      </c>
      <c r="S3694" t="s">
        <v>7990</v>
      </c>
      <c r="T3694" t="s">
        <v>8590</v>
      </c>
      <c r="U3694" t="s">
        <v>8590</v>
      </c>
      <c r="V3694" t="s">
        <v>8590</v>
      </c>
      <c r="W3694">
        <v>15</v>
      </c>
      <c r="X3694" t="s">
        <v>12284</v>
      </c>
      <c r="Y3694">
        <v>0.4634090202414608</v>
      </c>
      <c r="Z3694" t="str">
        <f>HYPERLINK("Melting_Curves/meltCurve_tr_B4DUS9_B4DUS9_HUMAN_.pdf", "Melting_Curves/meltCurve_tr_B4DUS9_B4DUS9_HUMAN_.pdf")</f>
        <v>Melting_Curves/meltCurve_tr_B4DUS9_B4DUS9_HUMAN_.pdf</v>
      </c>
      <c r="AA3694" t="s">
        <v>16526</v>
      </c>
      <c r="AB3694" t="s">
        <v>20773</v>
      </c>
    </row>
    <row r="3695" spans="1:28" x14ac:dyDescent="0.25">
      <c r="A3695" t="s">
        <v>3699</v>
      </c>
      <c r="B3695">
        <v>0.99876560204751996</v>
      </c>
      <c r="C3695">
        <v>0.96366748972191696</v>
      </c>
      <c r="D3695">
        <v>0.95981217039836897</v>
      </c>
      <c r="E3695">
        <v>0.47895114098105701</v>
      </c>
      <c r="F3695">
        <v>0.234762967301471</v>
      </c>
      <c r="G3695">
        <v>0.16396501296150001</v>
      </c>
      <c r="H3695">
        <v>0.1012751151103</v>
      </c>
      <c r="I3695">
        <v>8.3084605065277706E-2</v>
      </c>
      <c r="J3695">
        <v>9.0808023423580006E-2</v>
      </c>
      <c r="K3695">
        <v>7.0911775802768598E-2</v>
      </c>
      <c r="L3695">
        <v>1470.4308913457</v>
      </c>
      <c r="M3695">
        <v>29.617559967794499</v>
      </c>
      <c r="N3695">
        <v>50.015049510209501</v>
      </c>
      <c r="O3695">
        <v>49.422582601480997</v>
      </c>
      <c r="P3695">
        <v>-0.13515807553783299</v>
      </c>
      <c r="Q3695">
        <v>9.7857443463923804E-2</v>
      </c>
      <c r="R3695">
        <v>0.99571452425129103</v>
      </c>
      <c r="S3695" t="s">
        <v>7991</v>
      </c>
      <c r="T3695" t="s">
        <v>8590</v>
      </c>
      <c r="U3695" t="s">
        <v>8590</v>
      </c>
      <c r="V3695" t="s">
        <v>8590</v>
      </c>
      <c r="W3695">
        <v>6</v>
      </c>
      <c r="X3695" t="s">
        <v>12285</v>
      </c>
      <c r="Y3695">
        <v>0.39365949416352158</v>
      </c>
      <c r="Z3695" t="str">
        <f>HYPERLINK("Melting_Curves/meltCurve_tr_B4DVY1_B4DVY1_HUMAN_.pdf", "Melting_Curves/meltCurve_tr_B4DVY1_B4DVY1_HUMAN_.pdf")</f>
        <v>Melting_Curves/meltCurve_tr_B4DVY1_B4DVY1_HUMAN_.pdf</v>
      </c>
      <c r="AA3695" t="s">
        <v>16527</v>
      </c>
      <c r="AB3695" t="s">
        <v>20774</v>
      </c>
    </row>
    <row r="3696" spans="1:28" x14ac:dyDescent="0.25">
      <c r="A3696" t="s">
        <v>3700</v>
      </c>
      <c r="B3696">
        <v>0.99876560204751996</v>
      </c>
      <c r="C3696">
        <v>1.0907049336486601</v>
      </c>
      <c r="D3696">
        <v>1.02234467568035</v>
      </c>
      <c r="E3696">
        <v>1.1042729886473499</v>
      </c>
      <c r="F3696">
        <v>1.0308408941454801</v>
      </c>
      <c r="G3696">
        <v>0.84784823918893704</v>
      </c>
      <c r="H3696">
        <v>0.55052371949155199</v>
      </c>
      <c r="I3696">
        <v>0.33701997397518901</v>
      </c>
      <c r="J3696">
        <v>0.159334122036208</v>
      </c>
      <c r="K3696">
        <v>8.7123718083118501E-2</v>
      </c>
      <c r="L3696">
        <v>1432.75364015113</v>
      </c>
      <c r="M3696">
        <v>23.3051245097401</v>
      </c>
      <c r="N3696">
        <v>61.701336200514703</v>
      </c>
      <c r="O3696">
        <v>61.030754497964899</v>
      </c>
      <c r="P3696">
        <v>-9.1606191484429902E-2</v>
      </c>
      <c r="Q3696">
        <v>4.0434847873403103E-2</v>
      </c>
      <c r="R3696">
        <v>0.983134398503277</v>
      </c>
      <c r="S3696" t="s">
        <v>7992</v>
      </c>
      <c r="T3696" t="s">
        <v>8590</v>
      </c>
      <c r="U3696" t="s">
        <v>8590</v>
      </c>
      <c r="V3696" t="s">
        <v>8590</v>
      </c>
      <c r="W3696">
        <v>24</v>
      </c>
      <c r="X3696" t="s">
        <v>12286</v>
      </c>
      <c r="Y3696">
        <v>0.73269395593125664</v>
      </c>
      <c r="Z3696" t="str">
        <f>HYPERLINK("Melting_Curves/meltCurve_tr_B4DWI1_B4DWI1_HUMAN_.pdf", "Melting_Curves/meltCurve_tr_B4DWI1_B4DWI1_HUMAN_.pdf")</f>
        <v>Melting_Curves/meltCurve_tr_B4DWI1_B4DWI1_HUMAN_.pdf</v>
      </c>
      <c r="AA3696" t="s">
        <v>16528</v>
      </c>
      <c r="AB3696" t="s">
        <v>20775</v>
      </c>
    </row>
    <row r="3697" spans="1:28" x14ac:dyDescent="0.25">
      <c r="A3697" t="s">
        <v>3701</v>
      </c>
      <c r="B3697">
        <v>0.99876560204751996</v>
      </c>
      <c r="C3697">
        <v>0.91972971930914305</v>
      </c>
      <c r="D3697">
        <v>0.92396846338689598</v>
      </c>
      <c r="E3697">
        <v>0.82455193227601797</v>
      </c>
      <c r="F3697">
        <v>0.35181815452047099</v>
      </c>
      <c r="G3697">
        <v>9.6617896265627598E-2</v>
      </c>
      <c r="H3697">
        <v>4.0499064608919499E-2</v>
      </c>
      <c r="I3697">
        <v>2.11197640667675E-2</v>
      </c>
      <c r="J3697">
        <v>1.07766772150027E-2</v>
      </c>
      <c r="K3697">
        <v>1.01809444264541E-2</v>
      </c>
      <c r="L3697">
        <v>1732.4347965249599</v>
      </c>
      <c r="M3697">
        <v>33.280782082839302</v>
      </c>
      <c r="N3697">
        <v>52.124516527131</v>
      </c>
      <c r="O3697">
        <v>51.8682472836771</v>
      </c>
      <c r="P3697">
        <v>-0.156934217736937</v>
      </c>
      <c r="Q3697">
        <v>2.1673570194727002E-2</v>
      </c>
      <c r="R3697">
        <v>0.99302240976825895</v>
      </c>
      <c r="S3697" t="s">
        <v>7993</v>
      </c>
      <c r="T3697" t="s">
        <v>8590</v>
      </c>
      <c r="U3697" t="s">
        <v>8590</v>
      </c>
      <c r="V3697" t="s">
        <v>8590</v>
      </c>
      <c r="W3697">
        <v>1</v>
      </c>
      <c r="X3697" t="s">
        <v>12287</v>
      </c>
      <c r="Y3697">
        <v>0.41988969916063112</v>
      </c>
      <c r="Z3697" t="str">
        <f>HYPERLINK("Melting_Curves/meltCurve_tr_B4DXK4_B4DXK4_HUMAN_.pdf", "Melting_Curves/meltCurve_tr_B4DXK4_B4DXK4_HUMAN_.pdf")</f>
        <v>Melting_Curves/meltCurve_tr_B4DXK4_B4DXK4_HUMAN_.pdf</v>
      </c>
      <c r="AA3697" t="s">
        <v>16529</v>
      </c>
      <c r="AB3697" t="s">
        <v>20776</v>
      </c>
    </row>
    <row r="3698" spans="1:28" x14ac:dyDescent="0.25">
      <c r="A3698" t="s">
        <v>3702</v>
      </c>
      <c r="B3698">
        <v>0.99876560204751996</v>
      </c>
      <c r="C3698">
        <v>0.97059331121693104</v>
      </c>
      <c r="D3698">
        <v>0.918512062457017</v>
      </c>
      <c r="E3698">
        <v>0.52659675501064795</v>
      </c>
      <c r="F3698">
        <v>0.322440684980973</v>
      </c>
      <c r="G3698">
        <v>0.21868872712463699</v>
      </c>
      <c r="H3698">
        <v>0.168006000847813</v>
      </c>
      <c r="I3698">
        <v>0.15404538795511899</v>
      </c>
      <c r="J3698">
        <v>0.16691587039935199</v>
      </c>
      <c r="K3698">
        <v>0.135365278312054</v>
      </c>
      <c r="L3698">
        <v>1194.87201677809</v>
      </c>
      <c r="M3698">
        <v>24.0473107735443</v>
      </c>
      <c r="N3698">
        <v>50.4858389915873</v>
      </c>
      <c r="O3698">
        <v>49.348593705887403</v>
      </c>
      <c r="P3698">
        <v>-0.10257529616235</v>
      </c>
      <c r="Q3698">
        <v>0.158015269768742</v>
      </c>
      <c r="R3698">
        <v>0.99788696785098996</v>
      </c>
      <c r="S3698" t="s">
        <v>7994</v>
      </c>
      <c r="T3698" t="s">
        <v>8590</v>
      </c>
      <c r="U3698" t="s">
        <v>8590</v>
      </c>
      <c r="V3698" t="s">
        <v>8590</v>
      </c>
      <c r="W3698">
        <v>9</v>
      </c>
      <c r="X3698" t="s">
        <v>12288</v>
      </c>
      <c r="Y3698">
        <v>0.43804712715888328</v>
      </c>
      <c r="Z3698" t="str">
        <f>HYPERLINK("Melting_Curves/meltCurve_tr_B4DXZ6_B4DXZ6_HUMAN_.pdf", "Melting_Curves/meltCurve_tr_B4DXZ6_B4DXZ6_HUMAN_.pdf")</f>
        <v>Melting_Curves/meltCurve_tr_B4DXZ6_B4DXZ6_HUMAN_.pdf</v>
      </c>
      <c r="AA3698" t="s">
        <v>16530</v>
      </c>
      <c r="AB3698" t="s">
        <v>20777</v>
      </c>
    </row>
    <row r="3699" spans="1:28" x14ac:dyDescent="0.25">
      <c r="A3699" t="s">
        <v>3703</v>
      </c>
      <c r="B3699">
        <v>0.99876560204751996</v>
      </c>
      <c r="C3699">
        <v>1.09953596552481</v>
      </c>
      <c r="D3699">
        <v>1.02545505231292</v>
      </c>
      <c r="E3699">
        <v>0.84693846847462595</v>
      </c>
      <c r="F3699">
        <v>0.77355897095280701</v>
      </c>
      <c r="G3699">
        <v>0.48331914032283702</v>
      </c>
      <c r="H3699">
        <v>0.31689926880295799</v>
      </c>
      <c r="I3699">
        <v>0.32451537696989602</v>
      </c>
      <c r="J3699">
        <v>0.42618310571600598</v>
      </c>
      <c r="K3699">
        <v>0.45656423415967301</v>
      </c>
      <c r="L3699">
        <v>1429.85980817022</v>
      </c>
      <c r="M3699">
        <v>26.700895886354001</v>
      </c>
      <c r="N3699">
        <v>56.506385371061597</v>
      </c>
      <c r="O3699">
        <v>53.253337718594203</v>
      </c>
      <c r="P3699">
        <v>-7.8184470110325893E-2</v>
      </c>
      <c r="Q3699">
        <v>0.37626955236489001</v>
      </c>
      <c r="R3699">
        <v>0.95626951841163899</v>
      </c>
      <c r="S3699" t="s">
        <v>7995</v>
      </c>
      <c r="T3699" t="s">
        <v>8590</v>
      </c>
      <c r="U3699" t="s">
        <v>8590</v>
      </c>
      <c r="V3699" t="s">
        <v>8590</v>
      </c>
      <c r="W3699">
        <v>2</v>
      </c>
      <c r="X3699" t="s">
        <v>12289</v>
      </c>
      <c r="Y3699">
        <v>0.66310366041005642</v>
      </c>
      <c r="Z3699" t="str">
        <f>HYPERLINK("Melting_Curves/meltCurve_tr_B4DYB4_B4DYB4_HUMAN_.pdf", "Melting_Curves/meltCurve_tr_B4DYB4_B4DYB4_HUMAN_.pdf")</f>
        <v>Melting_Curves/meltCurve_tr_B4DYB4_B4DYB4_HUMAN_.pdf</v>
      </c>
      <c r="AA3699" t="s">
        <v>16531</v>
      </c>
      <c r="AB3699" t="s">
        <v>20778</v>
      </c>
    </row>
    <row r="3700" spans="1:28" x14ac:dyDescent="0.25">
      <c r="A3700" t="s">
        <v>3704</v>
      </c>
      <c r="B3700">
        <v>0.99876560204751996</v>
      </c>
      <c r="C3700">
        <v>1.01594014722807</v>
      </c>
      <c r="D3700">
        <v>0.99685754170357399</v>
      </c>
      <c r="E3700">
        <v>0.70305668115834596</v>
      </c>
      <c r="F3700">
        <v>0.40088117827631597</v>
      </c>
      <c r="G3700">
        <v>0.27924036456119899</v>
      </c>
      <c r="H3700">
        <v>0.179534927796034</v>
      </c>
      <c r="I3700">
        <v>0.17390927382990701</v>
      </c>
      <c r="J3700">
        <v>0.19897271136855699</v>
      </c>
      <c r="K3700">
        <v>0.16270933893880399</v>
      </c>
      <c r="L3700">
        <v>1375.36611089904</v>
      </c>
      <c r="M3700">
        <v>26.901134668530499</v>
      </c>
      <c r="N3700">
        <v>52.012655807430498</v>
      </c>
      <c r="O3700">
        <v>50.8466749446875</v>
      </c>
      <c r="P3700">
        <v>-0.107956929517401</v>
      </c>
      <c r="Q3700">
        <v>0.18379714600177099</v>
      </c>
      <c r="R3700">
        <v>0.99592962705278498</v>
      </c>
      <c r="S3700" t="s">
        <v>7996</v>
      </c>
      <c r="T3700" t="s">
        <v>8590</v>
      </c>
      <c r="U3700" t="s">
        <v>8590</v>
      </c>
      <c r="V3700" t="s">
        <v>8590</v>
      </c>
      <c r="W3700">
        <v>1</v>
      </c>
      <c r="X3700" t="s">
        <v>12290</v>
      </c>
      <c r="Y3700">
        <v>0.49290836437790497</v>
      </c>
      <c r="Z3700" t="str">
        <f>HYPERLINK("Melting_Curves/meltCurve_tr_B4DZ67_B4DZ67_HUMAN_.pdf", "Melting_Curves/meltCurve_tr_B4DZ67_B4DZ67_HUMAN_.pdf")</f>
        <v>Melting_Curves/meltCurve_tr_B4DZ67_B4DZ67_HUMAN_.pdf</v>
      </c>
      <c r="AA3700" t="s">
        <v>16532</v>
      </c>
      <c r="AB3700" t="s">
        <v>20779</v>
      </c>
    </row>
    <row r="3701" spans="1:28" x14ac:dyDescent="0.25">
      <c r="A3701" t="s">
        <v>3705</v>
      </c>
      <c r="B3701">
        <v>0.99876560204751996</v>
      </c>
      <c r="C3701">
        <v>0.92609666687627101</v>
      </c>
      <c r="D3701">
        <v>0.97955045338569802</v>
      </c>
      <c r="E3701">
        <v>0.83830094384699205</v>
      </c>
      <c r="F3701">
        <v>0.36565453506873702</v>
      </c>
      <c r="G3701">
        <v>0.12006114015784899</v>
      </c>
      <c r="H3701">
        <v>6.8207859668772797E-2</v>
      </c>
      <c r="I3701">
        <v>5.7931109171763501E-2</v>
      </c>
      <c r="J3701">
        <v>4.7972662751793502E-2</v>
      </c>
      <c r="K3701">
        <v>3.6388340038808697E-2</v>
      </c>
      <c r="L3701">
        <v>1909.31751004492</v>
      </c>
      <c r="M3701">
        <v>36.688963444901397</v>
      </c>
      <c r="N3701">
        <v>52.210341599745298</v>
      </c>
      <c r="O3701">
        <v>51.886772685870497</v>
      </c>
      <c r="P3701">
        <v>-0.166839180963436</v>
      </c>
      <c r="Q3701">
        <v>5.62043967961754E-2</v>
      </c>
      <c r="R3701">
        <v>0.99586725074702498</v>
      </c>
      <c r="S3701" t="s">
        <v>7997</v>
      </c>
      <c r="T3701" t="s">
        <v>8590</v>
      </c>
      <c r="U3701" t="s">
        <v>8590</v>
      </c>
      <c r="V3701" t="s">
        <v>8590</v>
      </c>
      <c r="W3701">
        <v>3</v>
      </c>
      <c r="X3701" t="s">
        <v>12291</v>
      </c>
      <c r="Y3701">
        <v>0.43903817490575631</v>
      </c>
      <c r="Z3701" t="str">
        <f>HYPERLINK("Melting_Curves/meltCurve_tr_B4DZW6_B4DZW6_HUMAN_.pdf", "Melting_Curves/meltCurve_tr_B4DZW6_B4DZW6_HUMAN_.pdf")</f>
        <v>Melting_Curves/meltCurve_tr_B4DZW6_B4DZW6_HUMAN_.pdf</v>
      </c>
      <c r="AA3701" t="s">
        <v>16533</v>
      </c>
      <c r="AB3701" t="s">
        <v>20780</v>
      </c>
    </row>
    <row r="3702" spans="1:28" x14ac:dyDescent="0.25">
      <c r="A3702" t="s">
        <v>3706</v>
      </c>
      <c r="B3702">
        <v>0.99876560204751996</v>
      </c>
      <c r="C3702">
        <v>0.99420630675741495</v>
      </c>
      <c r="D3702">
        <v>0.69621926388268796</v>
      </c>
      <c r="E3702">
        <v>1.6796249685483999</v>
      </c>
      <c r="F3702">
        <v>0.72977842076919897</v>
      </c>
      <c r="G3702">
        <v>0.67750001919348701</v>
      </c>
      <c r="H3702">
        <v>0.46035605849573502</v>
      </c>
      <c r="I3702">
        <v>1.37537767721691</v>
      </c>
      <c r="J3702">
        <v>0.17741195685649899</v>
      </c>
      <c r="K3702">
        <v>0.148089703260538</v>
      </c>
      <c r="L3702">
        <v>15000</v>
      </c>
      <c r="M3702">
        <v>226.92493363327799</v>
      </c>
      <c r="N3702">
        <v>66.199840429057005</v>
      </c>
      <c r="O3702">
        <v>66.096015234992507</v>
      </c>
      <c r="P3702">
        <v>-0.735143978860619</v>
      </c>
      <c r="Q3702">
        <v>0.14350370631210799</v>
      </c>
      <c r="R3702">
        <v>0.45625454300979701</v>
      </c>
      <c r="S3702" t="s">
        <v>7998</v>
      </c>
      <c r="T3702" t="s">
        <v>8590</v>
      </c>
      <c r="U3702" t="s">
        <v>8590</v>
      </c>
      <c r="V3702" t="s">
        <v>8590</v>
      </c>
      <c r="W3702">
        <v>14</v>
      </c>
      <c r="X3702" t="s">
        <v>12292</v>
      </c>
      <c r="Y3702">
        <v>0.88880899885790776</v>
      </c>
      <c r="Z3702" t="str">
        <f>HYPERLINK("Melting_Curves/meltCurve_tr_B4E072_B4E072_HUMAN_.pdf", "Melting_Curves/meltCurve_tr_B4E072_B4E072_HUMAN_.pdf")</f>
        <v>Melting_Curves/meltCurve_tr_B4E072_B4E072_HUMAN_.pdf</v>
      </c>
      <c r="AA3702" t="s">
        <v>13477</v>
      </c>
      <c r="AB3702" t="s">
        <v>17689</v>
      </c>
    </row>
    <row r="3703" spans="1:28" x14ac:dyDescent="0.25">
      <c r="A3703" t="s">
        <v>3707</v>
      </c>
      <c r="B3703">
        <v>0.99876560204751996</v>
      </c>
      <c r="C3703">
        <v>0.99854955965174397</v>
      </c>
      <c r="D3703">
        <v>0.95861602329404505</v>
      </c>
      <c r="E3703">
        <v>0.909278327389485</v>
      </c>
      <c r="F3703">
        <v>0.492747499113728</v>
      </c>
      <c r="G3703">
        <v>0.24281325444566201</v>
      </c>
      <c r="H3703">
        <v>0.13155455793486101</v>
      </c>
      <c r="I3703">
        <v>0.14353739405147201</v>
      </c>
      <c r="J3703">
        <v>0.10024368692126</v>
      </c>
      <c r="K3703">
        <v>9.6498225946757193E-2</v>
      </c>
      <c r="L3703">
        <v>1678.76137377286</v>
      </c>
      <c r="M3703">
        <v>31.830698580566398</v>
      </c>
      <c r="N3703">
        <v>53.205522323576297</v>
      </c>
      <c r="O3703">
        <v>52.5334698344885</v>
      </c>
      <c r="P3703">
        <v>-0.13307903603545701</v>
      </c>
      <c r="Q3703">
        <v>0.12146853428459201</v>
      </c>
      <c r="R3703">
        <v>0.99506810272234802</v>
      </c>
      <c r="S3703" t="s">
        <v>7999</v>
      </c>
      <c r="T3703" t="s">
        <v>8590</v>
      </c>
      <c r="U3703" t="s">
        <v>8590</v>
      </c>
      <c r="V3703" t="s">
        <v>8590</v>
      </c>
      <c r="W3703">
        <v>5</v>
      </c>
      <c r="X3703" t="s">
        <v>12293</v>
      </c>
      <c r="Y3703">
        <v>0.49961111552410642</v>
      </c>
      <c r="Z3703" t="str">
        <f>HYPERLINK("Melting_Curves/meltCurve_tr_B4E107_B4E107_HUMAN_.pdf", "Melting_Curves/meltCurve_tr_B4E107_B4E107_HUMAN_.pdf")</f>
        <v>Melting_Curves/meltCurve_tr_B4E107_B4E107_HUMAN_.pdf</v>
      </c>
      <c r="AA3703" t="s">
        <v>16534</v>
      </c>
      <c r="AB3703" t="s">
        <v>20781</v>
      </c>
    </row>
    <row r="3704" spans="1:28" x14ac:dyDescent="0.25">
      <c r="A3704" t="s">
        <v>3708</v>
      </c>
      <c r="B3704">
        <v>0.99876560204751996</v>
      </c>
      <c r="C3704">
        <v>0.99072946796194805</v>
      </c>
      <c r="D3704">
        <v>1.1794298880715599</v>
      </c>
      <c r="E3704">
        <v>1.04486364862918</v>
      </c>
      <c r="F3704">
        <v>0.76823710269900602</v>
      </c>
      <c r="G3704">
        <v>0.660201355602</v>
      </c>
      <c r="H3704">
        <v>0.208666816545201</v>
      </c>
      <c r="I3704">
        <v>0.32621362706873802</v>
      </c>
      <c r="J3704">
        <v>0.19378932397999199</v>
      </c>
      <c r="K3704">
        <v>0</v>
      </c>
      <c r="L3704">
        <v>1071.66322973822</v>
      </c>
      <c r="M3704">
        <v>18.484689241534198</v>
      </c>
      <c r="N3704">
        <v>58.381616669023302</v>
      </c>
      <c r="O3704">
        <v>57.3099688294296</v>
      </c>
      <c r="P3704">
        <v>-7.5775907314098306E-2</v>
      </c>
      <c r="Q3704">
        <v>6.02986331160855E-2</v>
      </c>
      <c r="R3704">
        <v>0.93909660971109099</v>
      </c>
      <c r="S3704" t="s">
        <v>8000</v>
      </c>
      <c r="T3704" t="s">
        <v>8590</v>
      </c>
      <c r="U3704" t="s">
        <v>8590</v>
      </c>
      <c r="V3704" t="s">
        <v>8590</v>
      </c>
      <c r="W3704">
        <v>1</v>
      </c>
      <c r="X3704" t="s">
        <v>12294</v>
      </c>
      <c r="Y3704">
        <v>0.63478942443004549</v>
      </c>
      <c r="Z3704" t="str">
        <f>HYPERLINK("Melting_Curves/meltCurve_tr_B4E1J0_B4E1J0_HUMAN_.pdf", "Melting_Curves/meltCurve_tr_B4E1J0_B4E1J0_HUMAN_.pdf")</f>
        <v>Melting_Curves/meltCurve_tr_B4E1J0_B4E1J0_HUMAN_.pdf</v>
      </c>
      <c r="AA3704" t="s">
        <v>16535</v>
      </c>
      <c r="AB3704" t="s">
        <v>20782</v>
      </c>
    </row>
    <row r="3705" spans="1:28" x14ac:dyDescent="0.25">
      <c r="A3705" t="s">
        <v>3709</v>
      </c>
      <c r="B3705">
        <v>0.99876560204751996</v>
      </c>
      <c r="C3705">
        <v>1.03762165655345</v>
      </c>
      <c r="D3705">
        <v>0.92948200114030399</v>
      </c>
      <c r="E3705">
        <v>0.607775117180966</v>
      </c>
      <c r="F3705">
        <v>0.41573685719797399</v>
      </c>
      <c r="G3705">
        <v>0.25538411769840302</v>
      </c>
      <c r="H3705">
        <v>0.167429384155867</v>
      </c>
      <c r="I3705">
        <v>0.16605897433245001</v>
      </c>
      <c r="J3705">
        <v>0.21575516315013901</v>
      </c>
      <c r="K3705">
        <v>0.15071394288182699</v>
      </c>
      <c r="L3705">
        <v>1102.19320532853</v>
      </c>
      <c r="M3705">
        <v>21.795119402993599</v>
      </c>
      <c r="N3705">
        <v>51.568643868596197</v>
      </c>
      <c r="O3705">
        <v>50.150691115326502</v>
      </c>
      <c r="P3705">
        <v>-8.9955506526392406E-2</v>
      </c>
      <c r="Q3705">
        <v>0.17206670008741301</v>
      </c>
      <c r="R3705">
        <v>0.99372747003431405</v>
      </c>
      <c r="S3705" t="s">
        <v>8001</v>
      </c>
      <c r="T3705" t="s">
        <v>8590</v>
      </c>
      <c r="U3705" t="s">
        <v>8590</v>
      </c>
      <c r="V3705" t="s">
        <v>8590</v>
      </c>
      <c r="W3705">
        <v>1</v>
      </c>
      <c r="X3705" t="s">
        <v>12295</v>
      </c>
      <c r="Y3705">
        <v>0.47354326254066292</v>
      </c>
      <c r="Z3705" t="str">
        <f>HYPERLINK("Melting_Curves/meltCurve_tr_B4E1K7_B4E1K7_HUMAN_.pdf", "Melting_Curves/meltCurve_tr_B4E1K7_B4E1K7_HUMAN_.pdf")</f>
        <v>Melting_Curves/meltCurve_tr_B4E1K7_B4E1K7_HUMAN_.pdf</v>
      </c>
      <c r="AA3705" t="s">
        <v>16536</v>
      </c>
      <c r="AB3705" t="s">
        <v>20783</v>
      </c>
    </row>
    <row r="3706" spans="1:28" x14ac:dyDescent="0.25">
      <c r="A3706" t="s">
        <v>3710</v>
      </c>
      <c r="B3706">
        <v>0.99876560204751996</v>
      </c>
      <c r="C3706">
        <v>0.92997150900596903</v>
      </c>
      <c r="D3706">
        <v>0.85120617053817305</v>
      </c>
      <c r="E3706">
        <v>0.77930979121242705</v>
      </c>
      <c r="F3706">
        <v>0.41860478234181198</v>
      </c>
      <c r="G3706">
        <v>0.239534053842306</v>
      </c>
      <c r="H3706">
        <v>0.12064343544884799</v>
      </c>
      <c r="I3706">
        <v>8.5636689796595097E-2</v>
      </c>
      <c r="J3706">
        <v>7.8442658006371499E-2</v>
      </c>
      <c r="K3706">
        <v>6.8206342682230497E-2</v>
      </c>
      <c r="L3706">
        <v>887.66474777451504</v>
      </c>
      <c r="M3706">
        <v>16.992017845027</v>
      </c>
      <c r="N3706">
        <v>52.5631249278441</v>
      </c>
      <c r="O3706">
        <v>51.532669245595002</v>
      </c>
      <c r="P3706">
        <v>-7.8351230747903594E-2</v>
      </c>
      <c r="Q3706">
        <v>4.9577987759198403E-2</v>
      </c>
      <c r="R3706">
        <v>0.98879013770340096</v>
      </c>
      <c r="S3706" t="s">
        <v>8002</v>
      </c>
      <c r="T3706" t="s">
        <v>8590</v>
      </c>
      <c r="U3706" t="s">
        <v>8590</v>
      </c>
      <c r="V3706" t="s">
        <v>8590</v>
      </c>
      <c r="W3706">
        <v>37</v>
      </c>
      <c r="X3706" t="s">
        <v>12296</v>
      </c>
      <c r="Y3706">
        <v>0.4546915932226463</v>
      </c>
      <c r="Z3706" t="str">
        <f>HYPERLINK("Melting_Curves/meltCurve_tr_B4E1Z4_B4E1Z4_HUMAN_.pdf", "Melting_Curves/meltCurve_tr_B4E1Z4_B4E1Z4_HUMAN_.pdf")</f>
        <v>Melting_Curves/meltCurve_tr_B4E1Z4_B4E1Z4_HUMAN_.pdf</v>
      </c>
      <c r="AA3706" t="s">
        <v>16537</v>
      </c>
      <c r="AB3706" t="s">
        <v>20784</v>
      </c>
    </row>
    <row r="3707" spans="1:28" x14ac:dyDescent="0.25">
      <c r="A3707" t="s">
        <v>3711</v>
      </c>
      <c r="B3707">
        <v>0.99876560204751996</v>
      </c>
      <c r="C3707">
        <v>1.13984809934716</v>
      </c>
      <c r="D3707">
        <v>1.0661536564220899</v>
      </c>
      <c r="E3707">
        <v>1.288230067777</v>
      </c>
      <c r="F3707">
        <v>1.5459108847976699</v>
      </c>
      <c r="G3707">
        <v>1.1677674208851501</v>
      </c>
      <c r="H3707">
        <v>1.2311025836956799</v>
      </c>
      <c r="I3707">
        <v>1.43854214507636</v>
      </c>
      <c r="J3707">
        <v>1.51522910456599</v>
      </c>
      <c r="K3707">
        <v>1.61059118780766</v>
      </c>
      <c r="L3707">
        <v>436.76027027207698</v>
      </c>
      <c r="M3707">
        <v>8.7238033392980405</v>
      </c>
      <c r="O3707">
        <v>47.643460713195203</v>
      </c>
      <c r="P3707">
        <v>2.2906949595857099E-2</v>
      </c>
      <c r="Q3707">
        <v>1.5</v>
      </c>
      <c r="R3707">
        <v>0.58659670347682202</v>
      </c>
      <c r="S3707" t="s">
        <v>8003</v>
      </c>
      <c r="T3707" t="s">
        <v>8590</v>
      </c>
      <c r="U3707" t="s">
        <v>8590</v>
      </c>
      <c r="V3707" t="s">
        <v>8590</v>
      </c>
      <c r="W3707">
        <v>3</v>
      </c>
      <c r="X3707" t="s">
        <v>12297</v>
      </c>
      <c r="Y3707">
        <v>1.3054607066278361</v>
      </c>
      <c r="Z3707" t="str">
        <f>HYPERLINK("Melting_Curves/meltCurve_tr_B4E241_B4E241_HUMAN_.pdf", "Melting_Curves/meltCurve_tr_B4E241_B4E241_HUMAN_.pdf")</f>
        <v>Melting_Curves/meltCurve_tr_B4E241_B4E241_HUMAN_.pdf</v>
      </c>
      <c r="AA3707" t="s">
        <v>16538</v>
      </c>
      <c r="AB3707" t="s">
        <v>20785</v>
      </c>
    </row>
    <row r="3708" spans="1:28" x14ac:dyDescent="0.25">
      <c r="A3708" t="s">
        <v>3712</v>
      </c>
      <c r="B3708">
        <v>0.99876560204751996</v>
      </c>
      <c r="C3708">
        <v>0.67242737735097302</v>
      </c>
      <c r="D3708">
        <v>0.90836207919193301</v>
      </c>
      <c r="E3708">
        <v>0.76178359731811596</v>
      </c>
      <c r="F3708">
        <v>1.08371321201763</v>
      </c>
      <c r="G3708">
        <v>0.68774549732976498</v>
      </c>
      <c r="H3708">
        <v>0.84512587638236003</v>
      </c>
      <c r="I3708">
        <v>0.68072881184763301</v>
      </c>
      <c r="J3708">
        <v>1.03796853231039</v>
      </c>
      <c r="K3708">
        <v>0.92422795440361205</v>
      </c>
      <c r="L3708">
        <v>10190.690146525099</v>
      </c>
      <c r="M3708">
        <v>250</v>
      </c>
      <c r="O3708">
        <v>40.760152280051699</v>
      </c>
      <c r="P3708">
        <v>-0.23816772103007</v>
      </c>
      <c r="Q3708">
        <v>0.84467595985946298</v>
      </c>
      <c r="R3708">
        <v>9.9715041311251806E-2</v>
      </c>
      <c r="S3708" t="s">
        <v>8004</v>
      </c>
      <c r="T3708" t="s">
        <v>8590</v>
      </c>
      <c r="U3708" t="s">
        <v>8590</v>
      </c>
      <c r="V3708" t="s">
        <v>8590</v>
      </c>
      <c r="W3708">
        <v>2</v>
      </c>
      <c r="X3708" t="s">
        <v>12298</v>
      </c>
      <c r="Y3708">
        <v>0.84864306982033111</v>
      </c>
      <c r="Z3708" t="str">
        <f>HYPERLINK("Melting_Curves/meltCurve_tr_B4E351_B4E351_HUMAN_.pdf", "Melting_Curves/meltCurve_tr_B4E351_B4E351_HUMAN_.pdf")</f>
        <v>Melting_Curves/meltCurve_tr_B4E351_B4E351_HUMAN_.pdf</v>
      </c>
      <c r="AA3708" t="s">
        <v>16539</v>
      </c>
      <c r="AB3708" t="s">
        <v>20786</v>
      </c>
    </row>
    <row r="3709" spans="1:28" x14ac:dyDescent="0.25">
      <c r="A3709" t="s">
        <v>3713</v>
      </c>
      <c r="B3709">
        <v>0.99876560204751996</v>
      </c>
      <c r="C3709">
        <v>0.88656126643822697</v>
      </c>
      <c r="D3709">
        <v>0.823268039556174</v>
      </c>
      <c r="E3709">
        <v>1.06642854451265</v>
      </c>
      <c r="F3709">
        <v>0.44631285886854499</v>
      </c>
      <c r="G3709">
        <v>0.26262709530967299</v>
      </c>
      <c r="H3709">
        <v>0.152999433591505</v>
      </c>
      <c r="I3709">
        <v>0.12456978092014399</v>
      </c>
      <c r="J3709">
        <v>0</v>
      </c>
      <c r="K3709">
        <v>0</v>
      </c>
      <c r="L3709">
        <v>13223.884570952599</v>
      </c>
      <c r="M3709">
        <v>250</v>
      </c>
      <c r="N3709">
        <v>52.947098612731502</v>
      </c>
      <c r="O3709">
        <v>52.892174412604497</v>
      </c>
      <c r="P3709">
        <v>-1.0539852062264601</v>
      </c>
      <c r="Q3709">
        <v>0.10803924483164699</v>
      </c>
      <c r="R3709">
        <v>0.940154073745055</v>
      </c>
      <c r="S3709" t="s">
        <v>8005</v>
      </c>
      <c r="T3709" t="s">
        <v>8590</v>
      </c>
      <c r="U3709" t="s">
        <v>8590</v>
      </c>
      <c r="V3709" t="s">
        <v>8590</v>
      </c>
      <c r="W3709">
        <v>1</v>
      </c>
      <c r="X3709" t="s">
        <v>12299</v>
      </c>
      <c r="Y3709">
        <v>0.49153251516788282</v>
      </c>
      <c r="Z3709" t="str">
        <f>HYPERLINK("Melting_Curves/meltCurve_tr_B4E3Q4_B4E3Q4_HUMAN_.pdf", "Melting_Curves/meltCurve_tr_B4E3Q4_B4E3Q4_HUMAN_.pdf")</f>
        <v>Melting_Curves/meltCurve_tr_B4E3Q4_B4E3Q4_HUMAN_.pdf</v>
      </c>
      <c r="AA3709" t="s">
        <v>16540</v>
      </c>
      <c r="AB3709" t="s">
        <v>20787</v>
      </c>
    </row>
    <row r="3710" spans="1:28" x14ac:dyDescent="0.25">
      <c r="A3710" t="s">
        <v>3714</v>
      </c>
      <c r="B3710">
        <v>0.99876560204751996</v>
      </c>
      <c r="C3710">
        <v>0.95498975978258505</v>
      </c>
      <c r="D3710">
        <v>0.82652223129032898</v>
      </c>
      <c r="E3710">
        <v>0.800973256203664</v>
      </c>
      <c r="F3710">
        <v>0.60381666485432295</v>
      </c>
      <c r="G3710">
        <v>0.35740565254458001</v>
      </c>
      <c r="H3710">
        <v>0.24491792675482901</v>
      </c>
      <c r="I3710">
        <v>0.16794265851795701</v>
      </c>
      <c r="J3710">
        <v>0.159234522293216</v>
      </c>
      <c r="K3710">
        <v>0.14013454074463799</v>
      </c>
      <c r="L3710">
        <v>679.13893360085899</v>
      </c>
      <c r="M3710">
        <v>12.602506682911301</v>
      </c>
      <c r="N3710">
        <v>54.605206635530401</v>
      </c>
      <c r="O3710">
        <v>52.586331472177001</v>
      </c>
      <c r="P3710">
        <v>-5.53615637150335E-2</v>
      </c>
      <c r="Q3710">
        <v>7.6157966193629203E-2</v>
      </c>
      <c r="R3710">
        <v>0.99005496067847398</v>
      </c>
      <c r="S3710" t="s">
        <v>8006</v>
      </c>
      <c r="T3710" t="s">
        <v>8590</v>
      </c>
      <c r="U3710" t="s">
        <v>8590</v>
      </c>
      <c r="V3710" t="s">
        <v>8590</v>
      </c>
      <c r="W3710">
        <v>1</v>
      </c>
      <c r="X3710" t="s">
        <v>12300</v>
      </c>
      <c r="Y3710">
        <v>0.52711079431961883</v>
      </c>
      <c r="Z3710" t="str">
        <f>HYPERLINK("Melting_Curves/meltCurve_tr_B5MC59_B5MC59_HUMAN_.pdf", "Melting_Curves/meltCurve_tr_B5MC59_B5MC59_HUMAN_.pdf")</f>
        <v>Melting_Curves/meltCurve_tr_B5MC59_B5MC59_HUMAN_.pdf</v>
      </c>
      <c r="AA3710" t="s">
        <v>16541</v>
      </c>
      <c r="AB3710" t="s">
        <v>20788</v>
      </c>
    </row>
    <row r="3711" spans="1:28" x14ac:dyDescent="0.25">
      <c r="A3711" t="s">
        <v>3715</v>
      </c>
      <c r="B3711">
        <v>0.99876560204751996</v>
      </c>
      <c r="C3711">
        <v>1.17685576438386</v>
      </c>
      <c r="D3711">
        <v>1.1371608011888501</v>
      </c>
      <c r="E3711">
        <v>0.88352998259103999</v>
      </c>
      <c r="F3711">
        <v>0.71107164908873</v>
      </c>
      <c r="G3711">
        <v>0.478993274239223</v>
      </c>
      <c r="H3711">
        <v>0.39125357294787799</v>
      </c>
      <c r="I3711">
        <v>0.43836338243620798</v>
      </c>
      <c r="J3711">
        <v>0.53706281340217299</v>
      </c>
      <c r="K3711">
        <v>0.51363295219790694</v>
      </c>
      <c r="L3711">
        <v>1869.0995004112799</v>
      </c>
      <c r="M3711">
        <v>35.604155399016399</v>
      </c>
      <c r="N3711">
        <v>56.826221982634998</v>
      </c>
      <c r="O3711">
        <v>52.331887323804899</v>
      </c>
      <c r="P3711">
        <v>-9.0687966124442701E-2</v>
      </c>
      <c r="Q3711">
        <v>0.466819936714433</v>
      </c>
      <c r="R3711">
        <v>0.91621913943545497</v>
      </c>
      <c r="S3711" t="s">
        <v>8007</v>
      </c>
      <c r="T3711" t="s">
        <v>8590</v>
      </c>
      <c r="U3711" t="s">
        <v>8590</v>
      </c>
      <c r="V3711" t="s">
        <v>8590</v>
      </c>
      <c r="W3711">
        <v>1</v>
      </c>
      <c r="X3711" t="s">
        <v>12301</v>
      </c>
      <c r="Y3711">
        <v>0.69136085229745414</v>
      </c>
      <c r="Z3711" t="str">
        <f>HYPERLINK("Melting_Curves/meltCurve_tr_B5MCF9_B5MCF9_HUMAN_.pdf", "Melting_Curves/meltCurve_tr_B5MCF9_B5MCF9_HUMAN_.pdf")</f>
        <v>Melting_Curves/meltCurve_tr_B5MCF9_B5MCF9_HUMAN_.pdf</v>
      </c>
      <c r="AA3711" t="s">
        <v>16542</v>
      </c>
      <c r="AB3711" t="s">
        <v>20789</v>
      </c>
    </row>
    <row r="3712" spans="1:28" x14ac:dyDescent="0.25">
      <c r="A3712" t="s">
        <v>3716</v>
      </c>
      <c r="B3712">
        <v>0.99876560204751996</v>
      </c>
      <c r="C3712">
        <v>1.02815392016199</v>
      </c>
      <c r="D3712">
        <v>0.85577350952935904</v>
      </c>
      <c r="E3712">
        <v>0.74576723081532503</v>
      </c>
      <c r="F3712">
        <v>0.29305282435643798</v>
      </c>
      <c r="G3712">
        <v>0.11182490518365901</v>
      </c>
      <c r="H3712">
        <v>8.1289311997119501E-2</v>
      </c>
      <c r="I3712">
        <v>5.1580859781928202E-2</v>
      </c>
      <c r="J3712">
        <v>4.5186740583085201E-2</v>
      </c>
      <c r="K3712">
        <v>5.3331578415289002E-2</v>
      </c>
      <c r="L3712">
        <v>1481.76653823279</v>
      </c>
      <c r="M3712">
        <v>28.862440995868099</v>
      </c>
      <c r="N3712">
        <v>51.538555540112597</v>
      </c>
      <c r="O3712">
        <v>51.094361637086799</v>
      </c>
      <c r="P3712">
        <v>-0.13375250075446601</v>
      </c>
      <c r="Q3712">
        <v>5.28941565134812E-2</v>
      </c>
      <c r="R3712">
        <v>0.98952016823122502</v>
      </c>
      <c r="S3712" t="s">
        <v>8008</v>
      </c>
      <c r="T3712" t="s">
        <v>8590</v>
      </c>
      <c r="U3712" t="s">
        <v>8590</v>
      </c>
      <c r="V3712" t="s">
        <v>8590</v>
      </c>
      <c r="W3712">
        <v>2</v>
      </c>
      <c r="X3712" t="s">
        <v>12302</v>
      </c>
      <c r="Y3712">
        <v>0.4173335784990338</v>
      </c>
      <c r="Z3712" t="str">
        <f>HYPERLINK("Melting_Curves/meltCurve_tr_B5MCK8_B5MCK8_HUMAN_.pdf", "Melting_Curves/meltCurve_tr_B5MCK8_B5MCK8_HUMAN_.pdf")</f>
        <v>Melting_Curves/meltCurve_tr_B5MCK8_B5MCK8_HUMAN_.pdf</v>
      </c>
      <c r="AA3712" t="s">
        <v>16543</v>
      </c>
      <c r="AB3712" t="s">
        <v>20790</v>
      </c>
    </row>
    <row r="3713" spans="1:28" x14ac:dyDescent="0.25">
      <c r="A3713" t="s">
        <v>3717</v>
      </c>
      <c r="B3713">
        <v>0.99876560204751996</v>
      </c>
      <c r="C3713">
        <v>0.991367884399037</v>
      </c>
      <c r="D3713">
        <v>0.82950897686627301</v>
      </c>
      <c r="E3713">
        <v>0.44204860030217002</v>
      </c>
      <c r="F3713">
        <v>0.26165138701329299</v>
      </c>
      <c r="G3713">
        <v>0.123293636872489</v>
      </c>
      <c r="H3713">
        <v>8.4720830548078496E-2</v>
      </c>
      <c r="I3713">
        <v>6.6490237833351395E-2</v>
      </c>
      <c r="J3713">
        <v>8.1631925220893201E-2</v>
      </c>
      <c r="K3713">
        <v>8.3760646361181301E-2</v>
      </c>
      <c r="L3713">
        <v>1060.72362226631</v>
      </c>
      <c r="M3713">
        <v>21.5588246702257</v>
      </c>
      <c r="N3713">
        <v>49.579701039912102</v>
      </c>
      <c r="O3713">
        <v>48.783906088499798</v>
      </c>
      <c r="P3713">
        <v>-0.10210413956832</v>
      </c>
      <c r="Q3713">
        <v>7.5846051599392506E-2</v>
      </c>
      <c r="R3713">
        <v>0.99856170911908504</v>
      </c>
      <c r="S3713" t="s">
        <v>8009</v>
      </c>
      <c r="T3713" t="s">
        <v>8590</v>
      </c>
      <c r="U3713" t="s">
        <v>8590</v>
      </c>
      <c r="V3713" t="s">
        <v>8590</v>
      </c>
      <c r="W3713">
        <v>1</v>
      </c>
      <c r="X3713" t="s">
        <v>12303</v>
      </c>
      <c r="Y3713">
        <v>0.3703954636532153</v>
      </c>
      <c r="Z3713" t="str">
        <f>HYPERLINK("Melting_Curves/meltCurve_tr_B5MCP9_B5MCP9_HUMAN_.pdf", "Melting_Curves/meltCurve_tr_B5MCP9_B5MCP9_HUMAN_.pdf")</f>
        <v>Melting_Curves/meltCurve_tr_B5MCP9_B5MCP9_HUMAN_.pdf</v>
      </c>
      <c r="AA3713" t="s">
        <v>16544</v>
      </c>
      <c r="AB3713" t="s">
        <v>20791</v>
      </c>
    </row>
    <row r="3714" spans="1:28" x14ac:dyDescent="0.25">
      <c r="A3714" t="s">
        <v>3718</v>
      </c>
      <c r="B3714">
        <v>0.99876560204751996</v>
      </c>
      <c r="C3714">
        <v>0.98953713287979905</v>
      </c>
      <c r="D3714">
        <v>1.07510644379695</v>
      </c>
      <c r="E3714">
        <v>1.04396870712261</v>
      </c>
      <c r="F3714">
        <v>1.06848618925021</v>
      </c>
      <c r="G3714">
        <v>0.50987109401377795</v>
      </c>
      <c r="H3714">
        <v>0.113201233530413</v>
      </c>
      <c r="I3714">
        <v>7.6315592798158999E-2</v>
      </c>
      <c r="J3714">
        <v>6.8531668160360798E-2</v>
      </c>
      <c r="K3714">
        <v>6.0737653027975999E-2</v>
      </c>
      <c r="L3714">
        <v>6505.2995728860697</v>
      </c>
      <c r="M3714">
        <v>114.25769190424</v>
      </c>
      <c r="N3714">
        <v>57.021828990435701</v>
      </c>
      <c r="O3714">
        <v>56.917905544582503</v>
      </c>
      <c r="P3714">
        <v>-0.46192301204932801</v>
      </c>
      <c r="Q3714">
        <v>7.9565341855429697E-2</v>
      </c>
      <c r="R3714">
        <v>0.99316138969844303</v>
      </c>
      <c r="S3714" t="s">
        <v>8010</v>
      </c>
      <c r="T3714" t="s">
        <v>8590</v>
      </c>
      <c r="U3714" t="s">
        <v>8590</v>
      </c>
      <c r="V3714" t="s">
        <v>8590</v>
      </c>
      <c r="W3714">
        <v>16</v>
      </c>
      <c r="X3714" t="s">
        <v>12304</v>
      </c>
      <c r="Y3714">
        <v>0.59960155760701839</v>
      </c>
      <c r="Z3714" t="str">
        <f>HYPERLINK("Melting_Curves/meltCurve_tr_B5MCQ5_B5MCQ5_HUMAN_.pdf", "Melting_Curves/meltCurve_tr_B5MCQ5_B5MCQ5_HUMAN_.pdf")</f>
        <v>Melting_Curves/meltCurve_tr_B5MCQ5_B5MCQ5_HUMAN_.pdf</v>
      </c>
      <c r="AA3714" t="s">
        <v>16545</v>
      </c>
      <c r="AB3714" t="s">
        <v>20792</v>
      </c>
    </row>
    <row r="3715" spans="1:28" x14ac:dyDescent="0.25">
      <c r="A3715" t="s">
        <v>3719</v>
      </c>
      <c r="B3715">
        <v>0.99876560204751996</v>
      </c>
      <c r="C3715">
        <v>0.91587326718234896</v>
      </c>
      <c r="D3715">
        <v>0.90702296860624998</v>
      </c>
      <c r="E3715">
        <v>0.68419393846365695</v>
      </c>
      <c r="F3715">
        <v>0.45416650734696301</v>
      </c>
      <c r="G3715">
        <v>0.22671378560498101</v>
      </c>
      <c r="H3715">
        <v>0.16550712293670899</v>
      </c>
      <c r="I3715">
        <v>0.10791322409293801</v>
      </c>
      <c r="J3715">
        <v>8.3949032896985895E-2</v>
      </c>
      <c r="K3715">
        <v>6.83999675820256E-2</v>
      </c>
      <c r="L3715">
        <v>820.61648579273799</v>
      </c>
      <c r="M3715">
        <v>15.787461477053199</v>
      </c>
      <c r="N3715">
        <v>52.398753259892203</v>
      </c>
      <c r="O3715">
        <v>51.1664619948628</v>
      </c>
      <c r="P3715">
        <v>-7.2561822742945106E-2</v>
      </c>
      <c r="Q3715">
        <v>5.9399168353288602E-2</v>
      </c>
      <c r="R3715">
        <v>0.996855903160491</v>
      </c>
      <c r="S3715" t="s">
        <v>8011</v>
      </c>
      <c r="T3715" t="s">
        <v>8590</v>
      </c>
      <c r="U3715" t="s">
        <v>8590</v>
      </c>
      <c r="V3715" t="s">
        <v>8590</v>
      </c>
      <c r="W3715">
        <v>3</v>
      </c>
      <c r="X3715" t="s">
        <v>12305</v>
      </c>
      <c r="Y3715">
        <v>0.45441340784992679</v>
      </c>
      <c r="Z3715" t="str">
        <f>HYPERLINK("Melting_Curves/meltCurve_tr_B5MCT7_B5MCT7_HUMAN_.pdf", "Melting_Curves/meltCurve_tr_B5MCT7_B5MCT7_HUMAN_.pdf")</f>
        <v>Melting_Curves/meltCurve_tr_B5MCT7_B5MCT7_HUMAN_.pdf</v>
      </c>
      <c r="AA3715" t="s">
        <v>16546</v>
      </c>
      <c r="AB3715" t="s">
        <v>20793</v>
      </c>
    </row>
    <row r="3716" spans="1:28" x14ac:dyDescent="0.25">
      <c r="A3716" t="s">
        <v>3720</v>
      </c>
      <c r="B3716">
        <v>0.99876560204751996</v>
      </c>
      <c r="C3716">
        <v>0.949015980126102</v>
      </c>
      <c r="D3716">
        <v>1.0186480257560899</v>
      </c>
      <c r="E3716">
        <v>0.84123382991803397</v>
      </c>
      <c r="F3716">
        <v>0.70687519552284495</v>
      </c>
      <c r="G3716">
        <v>0.42537015764932501</v>
      </c>
      <c r="H3716">
        <v>0.286794295454318</v>
      </c>
      <c r="I3716">
        <v>0.22932266730703599</v>
      </c>
      <c r="J3716">
        <v>0.22124802761683601</v>
      </c>
      <c r="K3716">
        <v>0.20739767162345801</v>
      </c>
      <c r="L3716">
        <v>1023.87169967312</v>
      </c>
      <c r="M3716">
        <v>18.8419889155007</v>
      </c>
      <c r="N3716">
        <v>55.790050937817199</v>
      </c>
      <c r="O3716">
        <v>53.738909138428802</v>
      </c>
      <c r="P3716">
        <v>-7.0686989598570005E-2</v>
      </c>
      <c r="Q3716">
        <v>0.19361276475095299</v>
      </c>
      <c r="R3716">
        <v>0.99524079875813298</v>
      </c>
      <c r="S3716" t="s">
        <v>8012</v>
      </c>
      <c r="T3716" t="s">
        <v>8590</v>
      </c>
      <c r="U3716" t="s">
        <v>8590</v>
      </c>
      <c r="V3716" t="s">
        <v>8590</v>
      </c>
      <c r="W3716">
        <v>5</v>
      </c>
      <c r="X3716" t="s">
        <v>12306</v>
      </c>
      <c r="Y3716">
        <v>0.59100551640994992</v>
      </c>
      <c r="Z3716" t="str">
        <f>HYPERLINK("Melting_Curves/meltCurve_tr_B5MCU0_B5MCU0_HUMAN_.pdf", "Melting_Curves/meltCurve_tr_B5MCU0_B5MCU0_HUMAN_.pdf")</f>
        <v>Melting_Curves/meltCurve_tr_B5MCU0_B5MCU0_HUMAN_.pdf</v>
      </c>
      <c r="AA3716" t="s">
        <v>16547</v>
      </c>
      <c r="AB3716" t="s">
        <v>20794</v>
      </c>
    </row>
    <row r="3717" spans="1:28" x14ac:dyDescent="0.25">
      <c r="A3717" t="s">
        <v>3721</v>
      </c>
      <c r="B3717">
        <v>0.99876560204751996</v>
      </c>
      <c r="C3717">
        <v>1.0425896032524999</v>
      </c>
      <c r="D3717">
        <v>1.22499637646088</v>
      </c>
      <c r="E3717">
        <v>1.08862159165637</v>
      </c>
      <c r="F3717">
        <v>0.81117467504103902</v>
      </c>
      <c r="G3717">
        <v>0.54064327501315701</v>
      </c>
      <c r="H3717">
        <v>0.41766051567288998</v>
      </c>
      <c r="I3717">
        <v>0.45747080496379999</v>
      </c>
      <c r="J3717">
        <v>0.51862746514166402</v>
      </c>
      <c r="K3717">
        <v>0.61851357363675197</v>
      </c>
      <c r="L3717">
        <v>13274.641325917401</v>
      </c>
      <c r="M3717">
        <v>250</v>
      </c>
      <c r="O3717">
        <v>53.095169189781302</v>
      </c>
      <c r="P3717">
        <v>-0.57610808185040496</v>
      </c>
      <c r="Q3717">
        <v>0.51058312030534303</v>
      </c>
      <c r="R3717">
        <v>0.89419907790911601</v>
      </c>
      <c r="S3717" t="s">
        <v>8013</v>
      </c>
      <c r="T3717" t="s">
        <v>8590</v>
      </c>
      <c r="U3717" t="s">
        <v>8590</v>
      </c>
      <c r="V3717" t="s">
        <v>8590</v>
      </c>
      <c r="W3717">
        <v>2</v>
      </c>
      <c r="X3717" t="s">
        <v>12307</v>
      </c>
      <c r="Y3717">
        <v>0.72431735965227473</v>
      </c>
      <c r="Z3717" t="str">
        <f>HYPERLINK("Melting_Curves/meltCurve_tr_B5MEB3_B5MEB3_HUMAN_.pdf", "Melting_Curves/meltCurve_tr_B5MEB3_B5MEB3_HUMAN_.pdf")</f>
        <v>Melting_Curves/meltCurve_tr_B5MEB3_B5MEB3_HUMAN_.pdf</v>
      </c>
      <c r="AA3717" t="s">
        <v>16548</v>
      </c>
      <c r="AB3717" t="s">
        <v>20795</v>
      </c>
    </row>
    <row r="3718" spans="1:28" x14ac:dyDescent="0.25">
      <c r="A3718" t="s">
        <v>3722</v>
      </c>
      <c r="B3718">
        <v>0.99876560204751996</v>
      </c>
      <c r="C3718">
        <v>1.0117102991832501</v>
      </c>
      <c r="D3718">
        <v>1.0090647604142799</v>
      </c>
      <c r="E3718">
        <v>0.99443398830073404</v>
      </c>
      <c r="F3718">
        <v>0.68430140810791396</v>
      </c>
      <c r="G3718">
        <v>0.52909436036140101</v>
      </c>
      <c r="H3718">
        <v>0.20349146923138101</v>
      </c>
      <c r="I3718">
        <v>0.42356287609811299</v>
      </c>
      <c r="J3718">
        <v>0.156576121875524</v>
      </c>
      <c r="K3718">
        <v>0.33498240096509002</v>
      </c>
      <c r="L3718">
        <v>1336.4392617306301</v>
      </c>
      <c r="M3718">
        <v>24.544723519522201</v>
      </c>
      <c r="N3718">
        <v>56.245764332842299</v>
      </c>
      <c r="O3718">
        <v>54.091578972537199</v>
      </c>
      <c r="P3718">
        <v>-8.2618268859470795E-2</v>
      </c>
      <c r="Q3718">
        <v>0.27171513262109598</v>
      </c>
      <c r="R3718">
        <v>0.94064058512959803</v>
      </c>
      <c r="S3718" t="s">
        <v>8014</v>
      </c>
      <c r="T3718" t="s">
        <v>8590</v>
      </c>
      <c r="U3718" t="s">
        <v>8590</v>
      </c>
      <c r="V3718" t="s">
        <v>8590</v>
      </c>
      <c r="W3718">
        <v>2</v>
      </c>
      <c r="X3718" t="s">
        <v>12308</v>
      </c>
      <c r="Y3718">
        <v>0.6294536541147735</v>
      </c>
      <c r="Z3718" t="str">
        <f>HYPERLINK("Melting_Curves/meltCurve_tr_B7WP27_B7WP27_HUMAN_.pdf", "Melting_Curves/meltCurve_tr_B7WP27_B7WP27_HUMAN_.pdf")</f>
        <v>Melting_Curves/meltCurve_tr_B7WP27_B7WP27_HUMAN_.pdf</v>
      </c>
      <c r="AA3718" t="s">
        <v>16549</v>
      </c>
      <c r="AB3718" t="s">
        <v>20796</v>
      </c>
    </row>
    <row r="3719" spans="1:28" x14ac:dyDescent="0.25">
      <c r="A3719" t="s">
        <v>3723</v>
      </c>
      <c r="B3719">
        <v>0.99876560204751996</v>
      </c>
      <c r="C3719">
        <v>1.4013282176645101</v>
      </c>
      <c r="D3719">
        <v>1.2767831044365201</v>
      </c>
      <c r="E3719">
        <v>1.0031823424326001</v>
      </c>
      <c r="F3719">
        <v>0.79866492710639603</v>
      </c>
      <c r="G3719">
        <v>0.28691313509129901</v>
      </c>
      <c r="H3719">
        <v>0.15900142487105901</v>
      </c>
      <c r="I3719">
        <v>0</v>
      </c>
      <c r="J3719">
        <v>0</v>
      </c>
      <c r="K3719">
        <v>0</v>
      </c>
      <c r="L3719">
        <v>1700.1265562851499</v>
      </c>
      <c r="M3719">
        <v>30.676510914357099</v>
      </c>
      <c r="N3719">
        <v>55.4765742864343</v>
      </c>
      <c r="O3719">
        <v>55.1872023543851</v>
      </c>
      <c r="P3719">
        <v>-0.136868808773111</v>
      </c>
      <c r="Q3719">
        <v>1.5095082295502099E-2</v>
      </c>
      <c r="R3719">
        <v>0.91171962384722405</v>
      </c>
      <c r="S3719" t="s">
        <v>8015</v>
      </c>
      <c r="T3719" t="s">
        <v>8590</v>
      </c>
      <c r="U3719" t="s">
        <v>8590</v>
      </c>
      <c r="V3719" t="s">
        <v>8590</v>
      </c>
      <c r="W3719">
        <v>1</v>
      </c>
      <c r="X3719" t="s">
        <v>12309</v>
      </c>
      <c r="Y3719">
        <v>0.52765683847743117</v>
      </c>
      <c r="Z3719" t="str">
        <f>HYPERLINK("Melting_Curves/meltCurve_tr_B7Z1T4_B7Z1T4_HUMAN_.pdf", "Melting_Curves/meltCurve_tr_B7Z1T4_B7Z1T4_HUMAN_.pdf")</f>
        <v>Melting_Curves/meltCurve_tr_B7Z1T4_B7Z1T4_HUMAN_.pdf</v>
      </c>
      <c r="AA3719" t="s">
        <v>16550</v>
      </c>
      <c r="AB3719" t="s">
        <v>20797</v>
      </c>
    </row>
    <row r="3720" spans="1:28" x14ac:dyDescent="0.25">
      <c r="A3720" t="s">
        <v>3724</v>
      </c>
      <c r="B3720">
        <v>0.99876560204751996</v>
      </c>
      <c r="C3720">
        <v>0.91624676382621795</v>
      </c>
      <c r="D3720">
        <v>0.89990563512338195</v>
      </c>
      <c r="E3720">
        <v>0.46497955991446499</v>
      </c>
      <c r="F3720">
        <v>0.24095967641905899</v>
      </c>
      <c r="G3720">
        <v>0.123204885040409</v>
      </c>
      <c r="H3720">
        <v>6.8044303334801604E-2</v>
      </c>
      <c r="I3720">
        <v>7.3905647402428901E-2</v>
      </c>
      <c r="J3720">
        <v>5.2916979753193601E-2</v>
      </c>
      <c r="K3720">
        <v>3.8672513400546601E-2</v>
      </c>
      <c r="L3720">
        <v>1118.6178203147001</v>
      </c>
      <c r="M3720">
        <v>22.556194813743002</v>
      </c>
      <c r="N3720">
        <v>49.856912203140404</v>
      </c>
      <c r="O3720">
        <v>49.207629029070901</v>
      </c>
      <c r="P3720">
        <v>-0.108138734239605</v>
      </c>
      <c r="Q3720">
        <v>5.6375747635341401E-2</v>
      </c>
      <c r="R3720">
        <v>0.99585150342806406</v>
      </c>
      <c r="S3720" t="s">
        <v>8016</v>
      </c>
      <c r="T3720" t="s">
        <v>8590</v>
      </c>
      <c r="U3720" t="s">
        <v>8590</v>
      </c>
      <c r="V3720" t="s">
        <v>8590</v>
      </c>
      <c r="W3720">
        <v>6</v>
      </c>
      <c r="X3720" t="s">
        <v>12310</v>
      </c>
      <c r="Y3720">
        <v>0.36844451997321109</v>
      </c>
      <c r="Z3720" t="str">
        <f>HYPERLINK("Melting_Curves/meltCurve_tr_B7Z1W9_B7Z1W9_HUMAN_.pdf", "Melting_Curves/meltCurve_tr_B7Z1W9_B7Z1W9_HUMAN_.pdf")</f>
        <v>Melting_Curves/meltCurve_tr_B7Z1W9_B7Z1W9_HUMAN_.pdf</v>
      </c>
      <c r="AA3720" t="s">
        <v>16551</v>
      </c>
      <c r="AB3720" t="s">
        <v>20798</v>
      </c>
    </row>
    <row r="3721" spans="1:28" x14ac:dyDescent="0.25">
      <c r="A3721" t="s">
        <v>3725</v>
      </c>
      <c r="B3721">
        <v>0.99876560204751996</v>
      </c>
      <c r="C3721">
        <v>1.14496527220325</v>
      </c>
      <c r="D3721">
        <v>0.93258912599422095</v>
      </c>
      <c r="E3721">
        <v>0.63232798613715702</v>
      </c>
      <c r="F3721">
        <v>0.27633375156795897</v>
      </c>
      <c r="G3721">
        <v>0.17267016002837199</v>
      </c>
      <c r="H3721">
        <v>0.116803813101756</v>
      </c>
      <c r="I3721">
        <v>6.6473000083102099E-2</v>
      </c>
      <c r="J3721">
        <v>0.104476861082673</v>
      </c>
      <c r="K3721">
        <v>4.1947523879196702E-2</v>
      </c>
      <c r="L3721">
        <v>1418.79201218813</v>
      </c>
      <c r="M3721">
        <v>28.0012513394895</v>
      </c>
      <c r="N3721">
        <v>51.019517351365799</v>
      </c>
      <c r="O3721">
        <v>50.412563811869497</v>
      </c>
      <c r="P3721">
        <v>-0.126707241008813</v>
      </c>
      <c r="Q3721">
        <v>8.7529045811025802E-2</v>
      </c>
      <c r="R3721">
        <v>0.98305353281723695</v>
      </c>
      <c r="S3721" t="s">
        <v>8017</v>
      </c>
      <c r="T3721" t="s">
        <v>8590</v>
      </c>
      <c r="U3721" t="s">
        <v>8590</v>
      </c>
      <c r="V3721" t="s">
        <v>8590</v>
      </c>
      <c r="W3721">
        <v>3</v>
      </c>
      <c r="X3721" t="s">
        <v>12311</v>
      </c>
      <c r="Y3721">
        <v>0.41858285171617637</v>
      </c>
      <c r="Z3721" t="str">
        <f>HYPERLINK("Melting_Curves/meltCurve_tr_B7Z242_B7Z242_HUMAN_.pdf", "Melting_Curves/meltCurve_tr_B7Z242_B7Z242_HUMAN_.pdf")</f>
        <v>Melting_Curves/meltCurve_tr_B7Z242_B7Z242_HUMAN_.pdf</v>
      </c>
      <c r="AA3721" t="s">
        <v>16552</v>
      </c>
      <c r="AB3721" t="s">
        <v>20799</v>
      </c>
    </row>
    <row r="3722" spans="1:28" x14ac:dyDescent="0.25">
      <c r="A3722" t="s">
        <v>3726</v>
      </c>
      <c r="B3722">
        <v>0.99876560204751996</v>
      </c>
      <c r="C3722">
        <v>1.03191524957188</v>
      </c>
      <c r="D3722">
        <v>1.0804772989445099</v>
      </c>
      <c r="E3722">
        <v>0.83007610027163603</v>
      </c>
      <c r="F3722">
        <v>0.36700089799859498</v>
      </c>
      <c r="G3722">
        <v>0.19008619980251901</v>
      </c>
      <c r="H3722">
        <v>0.10887278877199</v>
      </c>
      <c r="I3722">
        <v>0.10616384635333</v>
      </c>
      <c r="J3722">
        <v>9.3260226519006201E-2</v>
      </c>
      <c r="K3722">
        <v>8.71368838545378E-2</v>
      </c>
      <c r="L3722">
        <v>2011.16779241415</v>
      </c>
      <c r="M3722">
        <v>38.786552251534197</v>
      </c>
      <c r="N3722">
        <v>52.184863788542401</v>
      </c>
      <c r="O3722">
        <v>51.714933206637497</v>
      </c>
      <c r="P3722">
        <v>-0.16696481700325699</v>
      </c>
      <c r="Q3722">
        <v>0.109531163850796</v>
      </c>
      <c r="R3722">
        <v>0.99280738190453199</v>
      </c>
      <c r="S3722" t="s">
        <v>8018</v>
      </c>
      <c r="T3722" t="s">
        <v>8590</v>
      </c>
      <c r="U3722" t="s">
        <v>8590</v>
      </c>
      <c r="V3722" t="s">
        <v>8590</v>
      </c>
      <c r="W3722">
        <v>4</v>
      </c>
      <c r="X3722" t="s">
        <v>12312</v>
      </c>
      <c r="Y3722">
        <v>0.4647256524666491</v>
      </c>
      <c r="Z3722" t="str">
        <f>HYPERLINK("Melting_Curves/meltCurve_tr_B7Z291_B7Z291_HUMAN_.pdf", "Melting_Curves/meltCurve_tr_B7Z291_B7Z291_HUMAN_.pdf")</f>
        <v>Melting_Curves/meltCurve_tr_B7Z291_B7Z291_HUMAN_.pdf</v>
      </c>
      <c r="AA3722" t="s">
        <v>16553</v>
      </c>
      <c r="AB3722" t="s">
        <v>20800</v>
      </c>
    </row>
    <row r="3723" spans="1:28" x14ac:dyDescent="0.25">
      <c r="A3723" t="s">
        <v>3727</v>
      </c>
      <c r="B3723">
        <v>0.99876560204751996</v>
      </c>
      <c r="C3723">
        <v>1.0206923728661601</v>
      </c>
      <c r="D3723">
        <v>0.78635332796715396</v>
      </c>
      <c r="E3723">
        <v>0.459814432107152</v>
      </c>
      <c r="F3723">
        <v>0.28659580598244599</v>
      </c>
      <c r="G3723">
        <v>0.17114569572396399</v>
      </c>
      <c r="H3723">
        <v>0.14599489777814001</v>
      </c>
      <c r="I3723">
        <v>0.14448970367747199</v>
      </c>
      <c r="J3723">
        <v>0.140061197919081</v>
      </c>
      <c r="K3723">
        <v>0.152736642105648</v>
      </c>
      <c r="L3723">
        <v>1057.4998510939099</v>
      </c>
      <c r="M3723">
        <v>21.689427021912199</v>
      </c>
      <c r="N3723">
        <v>49.520701956835602</v>
      </c>
      <c r="O3723">
        <v>48.347682129580498</v>
      </c>
      <c r="P3723">
        <v>-9.6203835819472602E-2</v>
      </c>
      <c r="Q3723">
        <v>0.14223230543749399</v>
      </c>
      <c r="R3723">
        <v>0.995576543040672</v>
      </c>
      <c r="S3723" t="s">
        <v>8019</v>
      </c>
      <c r="T3723" t="s">
        <v>8590</v>
      </c>
      <c r="U3723" t="s">
        <v>8590</v>
      </c>
      <c r="V3723" t="s">
        <v>8590</v>
      </c>
      <c r="W3723">
        <v>6</v>
      </c>
      <c r="X3723" t="s">
        <v>12313</v>
      </c>
      <c r="Y3723">
        <v>0.40279024031597749</v>
      </c>
      <c r="Z3723" t="str">
        <f>HYPERLINK("Melting_Curves/meltCurve_tr_B7Z2Y2_B7Z2Y2_HUMAN_.pdf", "Melting_Curves/meltCurve_tr_B7Z2Y2_B7Z2Y2_HUMAN_.pdf")</f>
        <v>Melting_Curves/meltCurve_tr_B7Z2Y2_B7Z2Y2_HUMAN_.pdf</v>
      </c>
      <c r="AA3723" t="s">
        <v>16554</v>
      </c>
      <c r="AB3723" t="s">
        <v>20801</v>
      </c>
    </row>
    <row r="3724" spans="1:28" x14ac:dyDescent="0.25">
      <c r="A3724" t="s">
        <v>3728</v>
      </c>
      <c r="B3724">
        <v>0.99876560204751996</v>
      </c>
      <c r="C3724">
        <v>0.97619305227930897</v>
      </c>
      <c r="D3724">
        <v>0.96120175514112505</v>
      </c>
      <c r="E3724">
        <v>0.81520524499383695</v>
      </c>
      <c r="F3724">
        <v>0.56339147522477395</v>
      </c>
      <c r="G3724">
        <v>0.21583472752873101</v>
      </c>
      <c r="H3724">
        <v>0.121718520267443</v>
      </c>
      <c r="I3724">
        <v>0.112737113646901</v>
      </c>
      <c r="J3724">
        <v>2.89804536080886E-2</v>
      </c>
      <c r="K3724">
        <v>3.7374274483784498E-2</v>
      </c>
      <c r="L3724">
        <v>1130.4142468469299</v>
      </c>
      <c r="M3724">
        <v>21.1923874303932</v>
      </c>
      <c r="N3724">
        <v>53.573850485639099</v>
      </c>
      <c r="O3724">
        <v>52.872443579051897</v>
      </c>
      <c r="P3724">
        <v>-9.5791390661427195E-2</v>
      </c>
      <c r="Q3724">
        <v>4.4073008668890003E-2</v>
      </c>
      <c r="R3724">
        <v>0.99756221258150801</v>
      </c>
      <c r="S3724" t="s">
        <v>8020</v>
      </c>
      <c r="T3724" t="s">
        <v>8590</v>
      </c>
      <c r="U3724" t="s">
        <v>8590</v>
      </c>
      <c r="V3724" t="s">
        <v>8590</v>
      </c>
      <c r="W3724">
        <v>2</v>
      </c>
      <c r="X3724" t="s">
        <v>12314</v>
      </c>
      <c r="Y3724">
        <v>0.48103414382077669</v>
      </c>
      <c r="Z3724" t="str">
        <f>HYPERLINK("Melting_Curves/meltCurve_tr_B7Z341_B7Z341_HUMAN_.pdf", "Melting_Curves/meltCurve_tr_B7Z341_B7Z341_HUMAN_.pdf")</f>
        <v>Melting_Curves/meltCurve_tr_B7Z341_B7Z341_HUMAN_.pdf</v>
      </c>
      <c r="AA3724" t="s">
        <v>16555</v>
      </c>
      <c r="AB3724" t="s">
        <v>20802</v>
      </c>
    </row>
    <row r="3725" spans="1:28" x14ac:dyDescent="0.25">
      <c r="A3725" t="s">
        <v>3729</v>
      </c>
      <c r="B3725">
        <v>0.99876560204751996</v>
      </c>
      <c r="C3725">
        <v>0.96722429312504998</v>
      </c>
      <c r="D3725">
        <v>1.00365747382466</v>
      </c>
      <c r="E3725">
        <v>0.85490252426459501</v>
      </c>
      <c r="F3725">
        <v>0.70768102397041899</v>
      </c>
      <c r="G3725">
        <v>0.49552807592255799</v>
      </c>
      <c r="H3725">
        <v>0.40273477286126103</v>
      </c>
      <c r="I3725">
        <v>0.30986838964328101</v>
      </c>
      <c r="J3725">
        <v>0.37806442635886001</v>
      </c>
      <c r="K3725">
        <v>0.33210867863357801</v>
      </c>
      <c r="L3725">
        <v>1032.27135516002</v>
      </c>
      <c r="M3725">
        <v>19.236189365618198</v>
      </c>
      <c r="N3725">
        <v>56.822476728547002</v>
      </c>
      <c r="O3725">
        <v>53.093142751090802</v>
      </c>
      <c r="P3725">
        <v>-6.08319703235995E-2</v>
      </c>
      <c r="Q3725">
        <v>0.32842472862875199</v>
      </c>
      <c r="R3725">
        <v>0.99279813951801799</v>
      </c>
      <c r="S3725" t="s">
        <v>8021</v>
      </c>
      <c r="T3725" t="s">
        <v>8590</v>
      </c>
      <c r="U3725" t="s">
        <v>8590</v>
      </c>
      <c r="V3725" t="s">
        <v>8590</v>
      </c>
      <c r="W3725">
        <v>5</v>
      </c>
      <c r="X3725" t="s">
        <v>12315</v>
      </c>
      <c r="Y3725">
        <v>0.64405234531740352</v>
      </c>
      <c r="Z3725" t="str">
        <f>HYPERLINK("Melting_Curves/meltCurve_tr_B7Z3B9_B7Z3B9_HUMAN_.pdf", "Melting_Curves/meltCurve_tr_B7Z3B9_B7Z3B9_HUMAN_.pdf")</f>
        <v>Melting_Curves/meltCurve_tr_B7Z3B9_B7Z3B9_HUMAN_.pdf</v>
      </c>
      <c r="AA3725" t="s">
        <v>16556</v>
      </c>
      <c r="AB3725" t="s">
        <v>20803</v>
      </c>
    </row>
    <row r="3726" spans="1:28" x14ac:dyDescent="0.25">
      <c r="A3726" t="s">
        <v>3730</v>
      </c>
      <c r="B3726">
        <v>0.99876560204751996</v>
      </c>
      <c r="C3726">
        <v>1.09150473450021</v>
      </c>
      <c r="D3726">
        <v>0.94020047996460299</v>
      </c>
      <c r="E3726">
        <v>1.0556449053955499</v>
      </c>
      <c r="F3726">
        <v>0.91764515947787695</v>
      </c>
      <c r="G3726">
        <v>0.73668399680088104</v>
      </c>
      <c r="H3726">
        <v>0.62425521881617196</v>
      </c>
      <c r="I3726">
        <v>0.55457403952334205</v>
      </c>
      <c r="J3726">
        <v>0.63433381599690797</v>
      </c>
      <c r="K3726">
        <v>0.55396130328357696</v>
      </c>
      <c r="L3726">
        <v>1728.60889520826</v>
      </c>
      <c r="M3726">
        <v>30.8789350749283</v>
      </c>
      <c r="O3726">
        <v>55.746987933904698</v>
      </c>
      <c r="P3726">
        <v>-5.80126789569732E-2</v>
      </c>
      <c r="Q3726">
        <v>0.58107190903322203</v>
      </c>
      <c r="R3726">
        <v>0.947305105573227</v>
      </c>
      <c r="S3726" t="s">
        <v>8022</v>
      </c>
      <c r="T3726" t="s">
        <v>8590</v>
      </c>
      <c r="U3726" t="s">
        <v>8590</v>
      </c>
      <c r="V3726" t="s">
        <v>8590</v>
      </c>
      <c r="W3726">
        <v>24</v>
      </c>
      <c r="X3726" t="s">
        <v>12316</v>
      </c>
      <c r="Y3726">
        <v>0.80687229009066297</v>
      </c>
      <c r="Z3726" t="str">
        <f>HYPERLINK("Melting_Curves/meltCurve_tr_B7Z3I9_B7Z3I9_HUMAN_.pdf", "Melting_Curves/meltCurve_tr_B7Z3I9_B7Z3I9_HUMAN_.pdf")</f>
        <v>Melting_Curves/meltCurve_tr_B7Z3I9_B7Z3I9_HUMAN_.pdf</v>
      </c>
      <c r="AA3726" t="s">
        <v>16557</v>
      </c>
      <c r="AB3726" t="s">
        <v>20804</v>
      </c>
    </row>
    <row r="3727" spans="1:28" x14ac:dyDescent="0.25">
      <c r="A3727" t="s">
        <v>3731</v>
      </c>
      <c r="B3727">
        <v>0.99876560204751996</v>
      </c>
      <c r="C3727">
        <v>0.87312668761936096</v>
      </c>
      <c r="D3727">
        <v>0.89548649764562005</v>
      </c>
      <c r="E3727">
        <v>0.82626420056595995</v>
      </c>
      <c r="F3727">
        <v>0.80388896332000104</v>
      </c>
      <c r="G3727">
        <v>0.713195010135103</v>
      </c>
      <c r="H3727">
        <v>0.63536514796232002</v>
      </c>
      <c r="I3727">
        <v>0.64428716853501899</v>
      </c>
      <c r="J3727">
        <v>0.75787377735553196</v>
      </c>
      <c r="K3727">
        <v>0.686984324485305</v>
      </c>
      <c r="L3727">
        <v>487.43699437095</v>
      </c>
      <c r="M3727">
        <v>9.9637268048478305</v>
      </c>
      <c r="O3727">
        <v>47.072923726702001</v>
      </c>
      <c r="P3727">
        <v>-1.7999567890957E-2</v>
      </c>
      <c r="Q3727">
        <v>0.66001681607989904</v>
      </c>
      <c r="R3727">
        <v>0.85006801302724799</v>
      </c>
      <c r="S3727" t="s">
        <v>8023</v>
      </c>
      <c r="T3727" t="s">
        <v>8590</v>
      </c>
      <c r="U3727" t="s">
        <v>8590</v>
      </c>
      <c r="V3727" t="s">
        <v>8590</v>
      </c>
      <c r="W3727">
        <v>7</v>
      </c>
      <c r="X3727" t="s">
        <v>12317</v>
      </c>
      <c r="Y3727">
        <v>0.77795288794373008</v>
      </c>
      <c r="Z3727" t="str">
        <f>HYPERLINK("Melting_Curves/meltCurve_tr_B7Z4K6_B7Z4K6_HUMAN_.pdf", "Melting_Curves/meltCurve_tr_B7Z4K6_B7Z4K6_HUMAN_.pdf")</f>
        <v>Melting_Curves/meltCurve_tr_B7Z4K6_B7Z4K6_HUMAN_.pdf</v>
      </c>
      <c r="AA3727" t="s">
        <v>16558</v>
      </c>
      <c r="AB3727" t="s">
        <v>20805</v>
      </c>
    </row>
    <row r="3728" spans="1:28" x14ac:dyDescent="0.25">
      <c r="A3728" t="s">
        <v>3732</v>
      </c>
      <c r="B3728">
        <v>0.99876560204751996</v>
      </c>
      <c r="C3728">
        <v>0.84509491674012405</v>
      </c>
      <c r="D3728">
        <v>0.78767527586299102</v>
      </c>
      <c r="E3728">
        <v>0.74357399835437998</v>
      </c>
      <c r="F3728">
        <v>0.72391198214793995</v>
      </c>
      <c r="G3728">
        <v>0.68624464227480297</v>
      </c>
      <c r="H3728">
        <v>0.673219839109514</v>
      </c>
      <c r="I3728">
        <v>0.59928376518591697</v>
      </c>
      <c r="J3728">
        <v>0.68967829507324596</v>
      </c>
      <c r="K3728">
        <v>0.70146537417805099</v>
      </c>
      <c r="L3728">
        <v>674.59624150767604</v>
      </c>
      <c r="M3728">
        <v>15.150850666710699</v>
      </c>
      <c r="O3728">
        <v>43.771233214466797</v>
      </c>
      <c r="P3728">
        <v>-2.8452730744256499E-2</v>
      </c>
      <c r="Q3728">
        <v>0.67122898422458299</v>
      </c>
      <c r="R3728">
        <v>0.89553555668435902</v>
      </c>
      <c r="S3728" t="s">
        <v>8024</v>
      </c>
      <c r="T3728" t="s">
        <v>8590</v>
      </c>
      <c r="U3728" t="s">
        <v>8590</v>
      </c>
      <c r="V3728" t="s">
        <v>8590</v>
      </c>
      <c r="W3728">
        <v>2</v>
      </c>
      <c r="X3728" t="s">
        <v>12318</v>
      </c>
      <c r="Y3728">
        <v>0.73174220040845062</v>
      </c>
      <c r="Z3728" t="str">
        <f>HYPERLINK("Melting_Curves/meltCurve_tr_B7Z4M2_B7Z4M2_HUMAN_.pdf", "Melting_Curves/meltCurve_tr_B7Z4M2_B7Z4M2_HUMAN_.pdf")</f>
        <v>Melting_Curves/meltCurve_tr_B7Z4M2_B7Z4M2_HUMAN_.pdf</v>
      </c>
      <c r="AA3728" t="s">
        <v>16559</v>
      </c>
      <c r="AB3728" t="s">
        <v>20806</v>
      </c>
    </row>
    <row r="3729" spans="1:28" x14ac:dyDescent="0.25">
      <c r="A3729" t="s">
        <v>3733</v>
      </c>
      <c r="B3729">
        <v>0.99876560204751996</v>
      </c>
      <c r="C3729">
        <v>1.04449691238728</v>
      </c>
      <c r="D3729">
        <v>1.00990492472474</v>
      </c>
      <c r="E3729">
        <v>0.87159994407710895</v>
      </c>
      <c r="F3729">
        <v>0.82651354812945799</v>
      </c>
      <c r="G3729">
        <v>0.60106108228264399</v>
      </c>
      <c r="H3729">
        <v>0.61960580250532604</v>
      </c>
      <c r="I3729">
        <v>0.55745282669418705</v>
      </c>
      <c r="J3729">
        <v>0.79132447428113395</v>
      </c>
      <c r="K3729">
        <v>0.66366037928824895</v>
      </c>
      <c r="L3729">
        <v>1519.4978395446899</v>
      </c>
      <c r="M3729">
        <v>29.257114006976</v>
      </c>
      <c r="O3729">
        <v>51.695206128984303</v>
      </c>
      <c r="P3729">
        <v>-5.0025758071482102E-2</v>
      </c>
      <c r="Q3729">
        <v>0.64643507000829004</v>
      </c>
      <c r="R3729">
        <v>0.85869772030560798</v>
      </c>
      <c r="S3729" t="s">
        <v>8025</v>
      </c>
      <c r="T3729" t="s">
        <v>8590</v>
      </c>
      <c r="U3729" t="s">
        <v>8590</v>
      </c>
      <c r="V3729" t="s">
        <v>8590</v>
      </c>
      <c r="W3729">
        <v>2</v>
      </c>
      <c r="X3729" t="s">
        <v>12319</v>
      </c>
      <c r="Y3729">
        <v>0.78947865285515384</v>
      </c>
      <c r="Z3729" t="str">
        <f>HYPERLINK("Melting_Curves/meltCurve_tr_B7Z4R0_B7Z4R0_HUMAN_.pdf", "Melting_Curves/meltCurve_tr_B7Z4R0_B7Z4R0_HUMAN_.pdf")</f>
        <v>Melting_Curves/meltCurve_tr_B7Z4R0_B7Z4R0_HUMAN_.pdf</v>
      </c>
      <c r="AA3729" t="s">
        <v>16560</v>
      </c>
      <c r="AB3729" t="s">
        <v>20807</v>
      </c>
    </row>
    <row r="3730" spans="1:28" x14ac:dyDescent="0.25">
      <c r="A3730" t="s">
        <v>3734</v>
      </c>
      <c r="B3730">
        <v>0.99876560204751996</v>
      </c>
      <c r="C3730">
        <v>0.84998222486632802</v>
      </c>
      <c r="D3730">
        <v>0.88606736744650805</v>
      </c>
      <c r="E3730">
        <v>0.69824201033239697</v>
      </c>
      <c r="F3730">
        <v>0.62501654365429904</v>
      </c>
      <c r="G3730">
        <v>0.42194766464319799</v>
      </c>
      <c r="H3730">
        <v>0.176742816552139</v>
      </c>
      <c r="I3730">
        <v>0.16950223948028501</v>
      </c>
      <c r="J3730">
        <v>0.12871947212024201</v>
      </c>
      <c r="K3730">
        <v>0.117336652903166</v>
      </c>
      <c r="L3730">
        <v>562.42791899983001</v>
      </c>
      <c r="M3730">
        <v>10.3136544017913</v>
      </c>
      <c r="N3730">
        <v>54.532360345271798</v>
      </c>
      <c r="O3730">
        <v>52.6016263665718</v>
      </c>
      <c r="P3730">
        <v>-4.9038937479351299E-2</v>
      </c>
      <c r="Q3730">
        <v>0</v>
      </c>
      <c r="R3730">
        <v>0.981977372468543</v>
      </c>
      <c r="S3730" t="s">
        <v>8026</v>
      </c>
      <c r="T3730" t="s">
        <v>8590</v>
      </c>
      <c r="U3730" t="s">
        <v>8590</v>
      </c>
      <c r="V3730" t="s">
        <v>8590</v>
      </c>
      <c r="W3730">
        <v>1</v>
      </c>
      <c r="X3730" t="s">
        <v>12320</v>
      </c>
      <c r="Y3730">
        <v>0.51188466777936403</v>
      </c>
      <c r="Z3730" t="str">
        <f>HYPERLINK("Melting_Curves/meltCurve_tr_B7Z583_B7Z583_HUMAN_.pdf", "Melting_Curves/meltCurve_tr_B7Z583_B7Z583_HUMAN_.pdf")</f>
        <v>Melting_Curves/meltCurve_tr_B7Z583_B7Z583_HUMAN_.pdf</v>
      </c>
      <c r="AA3730" t="s">
        <v>16561</v>
      </c>
      <c r="AB3730" t="s">
        <v>20808</v>
      </c>
    </row>
    <row r="3731" spans="1:28" x14ac:dyDescent="0.25">
      <c r="A3731" t="s">
        <v>3735</v>
      </c>
      <c r="B3731">
        <v>0.99876560204751996</v>
      </c>
      <c r="C3731">
        <v>0.95069673637836205</v>
      </c>
      <c r="D3731">
        <v>1.1214002844333999</v>
      </c>
      <c r="E3731">
        <v>0.68555274330848104</v>
      </c>
      <c r="F3731">
        <v>0.35084172773120098</v>
      </c>
      <c r="G3731">
        <v>0.134423160969765</v>
      </c>
      <c r="H3731">
        <v>4.54978991329456E-2</v>
      </c>
      <c r="I3731">
        <v>4.2921075459789002E-2</v>
      </c>
      <c r="J3731">
        <v>3.2905081367005401E-2</v>
      </c>
      <c r="K3731">
        <v>3.8348884652070502E-2</v>
      </c>
      <c r="L3731">
        <v>1508.6495379907301</v>
      </c>
      <c r="M3731">
        <v>29.2681971968243</v>
      </c>
      <c r="N3731">
        <v>51.710631057647198</v>
      </c>
      <c r="O3731">
        <v>51.306852135377603</v>
      </c>
      <c r="P3731">
        <v>-0.13625915205209799</v>
      </c>
      <c r="Q3731">
        <v>4.45631013277775E-2</v>
      </c>
      <c r="R3731">
        <v>0.98506145213195995</v>
      </c>
      <c r="S3731" t="s">
        <v>8027</v>
      </c>
      <c r="T3731" t="s">
        <v>8590</v>
      </c>
      <c r="U3731" t="s">
        <v>8590</v>
      </c>
      <c r="V3731" t="s">
        <v>8590</v>
      </c>
      <c r="W3731">
        <v>1</v>
      </c>
      <c r="X3731" t="s">
        <v>12321</v>
      </c>
      <c r="Y3731">
        <v>0.41863525784560751</v>
      </c>
      <c r="Z3731" t="str">
        <f>HYPERLINK("Melting_Curves/meltCurve_tr_B7Z637_B7Z637_HUMAN_.pdf", "Melting_Curves/meltCurve_tr_B7Z637_B7Z637_HUMAN_.pdf")</f>
        <v>Melting_Curves/meltCurve_tr_B7Z637_B7Z637_HUMAN_.pdf</v>
      </c>
      <c r="AA3731" t="s">
        <v>16562</v>
      </c>
      <c r="AB3731" t="s">
        <v>20809</v>
      </c>
    </row>
    <row r="3732" spans="1:28" x14ac:dyDescent="0.25">
      <c r="A3732" t="s">
        <v>3736</v>
      </c>
      <c r="B3732">
        <v>0.99876560204751996</v>
      </c>
      <c r="C3732">
        <v>1.01198688325207</v>
      </c>
      <c r="D3732">
        <v>0.9328478761633</v>
      </c>
      <c r="E3732">
        <v>0.72976019857699903</v>
      </c>
      <c r="F3732">
        <v>0.33976827449168301</v>
      </c>
      <c r="G3732">
        <v>0.115036246374964</v>
      </c>
      <c r="H3732">
        <v>5.6185441088935202E-2</v>
      </c>
      <c r="I3732">
        <v>4.0061598722029503E-2</v>
      </c>
      <c r="J3732">
        <v>3.6408251025264599E-2</v>
      </c>
      <c r="K3732">
        <v>2.70470652865956E-2</v>
      </c>
      <c r="L3732">
        <v>1382.2286369657199</v>
      </c>
      <c r="M3732">
        <v>26.784304916793602</v>
      </c>
      <c r="N3732">
        <v>51.745077021720498</v>
      </c>
      <c r="O3732">
        <v>51.3208367524214</v>
      </c>
      <c r="P3732">
        <v>-0.12594225200591599</v>
      </c>
      <c r="Q3732">
        <v>3.4749025985364203E-2</v>
      </c>
      <c r="R3732">
        <v>0.99887099203751895</v>
      </c>
      <c r="S3732" t="s">
        <v>8028</v>
      </c>
      <c r="T3732" t="s">
        <v>8590</v>
      </c>
      <c r="U3732" t="s">
        <v>8590</v>
      </c>
      <c r="V3732" t="s">
        <v>8590</v>
      </c>
      <c r="W3732">
        <v>26</v>
      </c>
      <c r="X3732" t="s">
        <v>12322</v>
      </c>
      <c r="Y3732">
        <v>0.41584052273621769</v>
      </c>
      <c r="Z3732" t="str">
        <f>HYPERLINK("Melting_Curves/meltCurve_tr_B7Z6B8_B7Z6B8_HUMAN_.pdf", "Melting_Curves/meltCurve_tr_B7Z6B8_B7Z6B8_HUMAN_.pdf")</f>
        <v>Melting_Curves/meltCurve_tr_B7Z6B8_B7Z6B8_HUMAN_.pdf</v>
      </c>
      <c r="AA3732" t="s">
        <v>16563</v>
      </c>
      <c r="AB3732" t="s">
        <v>20810</v>
      </c>
    </row>
    <row r="3733" spans="1:28" x14ac:dyDescent="0.25">
      <c r="A3733" t="s">
        <v>3737</v>
      </c>
      <c r="B3733">
        <v>0.99876560204751996</v>
      </c>
      <c r="C3733">
        <v>0.91979633423186902</v>
      </c>
      <c r="D3733">
        <v>1.02096849691041</v>
      </c>
      <c r="E3733">
        <v>0.94289457018241296</v>
      </c>
      <c r="F3733">
        <v>0.94333727451715199</v>
      </c>
      <c r="G3733">
        <v>0.87227037769439497</v>
      </c>
      <c r="H3733">
        <v>0.57597861262131</v>
      </c>
      <c r="I3733">
        <v>0.265250338097964</v>
      </c>
      <c r="J3733">
        <v>8.9644808244565999E-2</v>
      </c>
      <c r="K3733">
        <v>6.5369930735102097E-2</v>
      </c>
      <c r="L3733">
        <v>1547.7529075273601</v>
      </c>
      <c r="M3733">
        <v>25.153105338243002</v>
      </c>
      <c r="N3733">
        <v>61.5332576215567</v>
      </c>
      <c r="O3733">
        <v>61.148296893132802</v>
      </c>
      <c r="P3733">
        <v>-0.10283785264511</v>
      </c>
      <c r="Q3733">
        <v>0</v>
      </c>
      <c r="R3733">
        <v>0.99045877281829098</v>
      </c>
      <c r="S3733" t="s">
        <v>8029</v>
      </c>
      <c r="T3733" t="s">
        <v>8590</v>
      </c>
      <c r="U3733" t="s">
        <v>8590</v>
      </c>
      <c r="V3733" t="s">
        <v>8590</v>
      </c>
      <c r="W3733">
        <v>6</v>
      </c>
      <c r="X3733" t="s">
        <v>12323</v>
      </c>
      <c r="Y3733">
        <v>0.72324100136299974</v>
      </c>
      <c r="Z3733" t="str">
        <f>HYPERLINK("Melting_Curves/meltCurve_tr_B7Z729_B7Z729_HUMAN_.pdf", "Melting_Curves/meltCurve_tr_B7Z729_B7Z729_HUMAN_.pdf")</f>
        <v>Melting_Curves/meltCurve_tr_B7Z729_B7Z729_HUMAN_.pdf</v>
      </c>
      <c r="AA3733" t="s">
        <v>16564</v>
      </c>
      <c r="AB3733" t="s">
        <v>20811</v>
      </c>
    </row>
    <row r="3734" spans="1:28" x14ac:dyDescent="0.25">
      <c r="A3734" t="s">
        <v>3738</v>
      </c>
      <c r="B3734">
        <v>0.99876560204751996</v>
      </c>
      <c r="C3734">
        <v>0.97859429456729197</v>
      </c>
      <c r="D3734">
        <v>0.90745288975733196</v>
      </c>
      <c r="E3734">
        <v>0.89157810263009996</v>
      </c>
      <c r="F3734">
        <v>0.82870053699677304</v>
      </c>
      <c r="G3734">
        <v>0.65580529309266999</v>
      </c>
      <c r="H3734">
        <v>0.58423995553228103</v>
      </c>
      <c r="I3734">
        <v>0.52669520224505695</v>
      </c>
      <c r="J3734">
        <v>0.60502213094948198</v>
      </c>
      <c r="K3734">
        <v>0.56829439497204504</v>
      </c>
      <c r="L3734">
        <v>825.01033584772699</v>
      </c>
      <c r="M3734">
        <v>15.394175489045599</v>
      </c>
      <c r="O3734">
        <v>52.712451312886799</v>
      </c>
      <c r="P3734">
        <v>-3.35354264135111E-2</v>
      </c>
      <c r="Q3734">
        <v>0.54071652288580896</v>
      </c>
      <c r="R3734">
        <v>0.96633238841104296</v>
      </c>
      <c r="S3734" t="s">
        <v>8030</v>
      </c>
      <c r="T3734" t="s">
        <v>8590</v>
      </c>
      <c r="U3734" t="s">
        <v>8590</v>
      </c>
      <c r="V3734" t="s">
        <v>8590</v>
      </c>
      <c r="W3734">
        <v>10</v>
      </c>
      <c r="X3734" t="s">
        <v>12324</v>
      </c>
      <c r="Y3734">
        <v>0.75810601554461288</v>
      </c>
      <c r="Z3734" t="str">
        <f>HYPERLINK("Melting_Curves/meltCurve_tr_B7Z7F3_B7Z7F3_HUMAN_.pdf", "Melting_Curves/meltCurve_tr_B7Z7F3_B7Z7F3_HUMAN_.pdf")</f>
        <v>Melting_Curves/meltCurve_tr_B7Z7F3_B7Z7F3_HUMAN_.pdf</v>
      </c>
      <c r="AA3734" t="s">
        <v>16565</v>
      </c>
      <c r="AB3734" t="s">
        <v>20812</v>
      </c>
    </row>
    <row r="3735" spans="1:28" x14ac:dyDescent="0.25">
      <c r="A3735" t="s">
        <v>3739</v>
      </c>
      <c r="B3735">
        <v>0.99876560204751996</v>
      </c>
      <c r="C3735">
        <v>0.96277706908719596</v>
      </c>
      <c r="D3735">
        <v>0.93537994487242704</v>
      </c>
      <c r="E3735">
        <v>0.83681113266575902</v>
      </c>
      <c r="F3735">
        <v>0.71371544340716397</v>
      </c>
      <c r="G3735">
        <v>0.52290422555530702</v>
      </c>
      <c r="H3735">
        <v>0.294881762780206</v>
      </c>
      <c r="I3735">
        <v>0.127779557599146</v>
      </c>
      <c r="J3735">
        <v>4.8414377764204798E-2</v>
      </c>
      <c r="K3735">
        <v>4.84044089282211E-2</v>
      </c>
      <c r="L3735">
        <v>803.42711753899698</v>
      </c>
      <c r="M3735">
        <v>14.1891905836865</v>
      </c>
      <c r="N3735">
        <v>56.622463457378103</v>
      </c>
      <c r="O3735">
        <v>55.533410727469601</v>
      </c>
      <c r="P3735">
        <v>-6.3884840358232303E-2</v>
      </c>
      <c r="Q3735">
        <v>0</v>
      </c>
      <c r="R3735">
        <v>0.99295443227987701</v>
      </c>
      <c r="S3735" t="s">
        <v>8031</v>
      </c>
      <c r="T3735" t="s">
        <v>8590</v>
      </c>
      <c r="U3735" t="s">
        <v>8590</v>
      </c>
      <c r="V3735" t="s">
        <v>8590</v>
      </c>
      <c r="W3735">
        <v>10</v>
      </c>
      <c r="X3735" t="s">
        <v>12325</v>
      </c>
      <c r="Y3735">
        <v>0.57126182958654503</v>
      </c>
      <c r="Z3735" t="str">
        <f>HYPERLINK("Melting_Curves/meltCurve_tr_B7Z7F9_B7Z7F9_HUMAN_.pdf", "Melting_Curves/meltCurve_tr_B7Z7F9_B7Z7F9_HUMAN_.pdf")</f>
        <v>Melting_Curves/meltCurve_tr_B7Z7F9_B7Z7F9_HUMAN_.pdf</v>
      </c>
      <c r="AA3735" t="s">
        <v>16566</v>
      </c>
      <c r="AB3735" t="s">
        <v>20813</v>
      </c>
    </row>
    <row r="3736" spans="1:28" x14ac:dyDescent="0.25">
      <c r="A3736" t="s">
        <v>3740</v>
      </c>
      <c r="B3736">
        <v>0.99876560204751996</v>
      </c>
      <c r="C3736">
        <v>1.2101172325131999</v>
      </c>
      <c r="D3736">
        <v>0.963487584312541</v>
      </c>
      <c r="E3736">
        <v>0.81484285045415905</v>
      </c>
      <c r="F3736">
        <v>0.48292269979255398</v>
      </c>
      <c r="G3736">
        <v>0.31382810364867803</v>
      </c>
      <c r="H3736">
        <v>0.21464762918392899</v>
      </c>
      <c r="I3736">
        <v>0.19007883893730201</v>
      </c>
      <c r="J3736">
        <v>0.178426722755261</v>
      </c>
      <c r="K3736">
        <v>0.107224093393623</v>
      </c>
      <c r="L3736">
        <v>1256.2336613907901</v>
      </c>
      <c r="M3736">
        <v>23.996224865021599</v>
      </c>
      <c r="N3736">
        <v>53.251828836909098</v>
      </c>
      <c r="O3736">
        <v>51.991793962071199</v>
      </c>
      <c r="P3736">
        <v>-9.6142819608073998E-2</v>
      </c>
      <c r="Q3736">
        <v>0.16677584015187299</v>
      </c>
      <c r="R3736">
        <v>0.96416495032446303</v>
      </c>
      <c r="S3736" t="s">
        <v>8032</v>
      </c>
      <c r="T3736" t="s">
        <v>8590</v>
      </c>
      <c r="U3736" t="s">
        <v>8590</v>
      </c>
      <c r="V3736" t="s">
        <v>8590</v>
      </c>
      <c r="W3736">
        <v>3</v>
      </c>
      <c r="X3736" t="s">
        <v>12326</v>
      </c>
      <c r="Y3736">
        <v>0.51807171930842444</v>
      </c>
      <c r="Z3736" t="str">
        <f>HYPERLINK("Melting_Curves/meltCurve_tr_B7Z7X8_B7Z7X8_HUMAN_.pdf", "Melting_Curves/meltCurve_tr_B7Z7X8_B7Z7X8_HUMAN_.pdf")</f>
        <v>Melting_Curves/meltCurve_tr_B7Z7X8_B7Z7X8_HUMAN_.pdf</v>
      </c>
      <c r="AA3736" t="s">
        <v>16567</v>
      </c>
      <c r="AB3736" t="s">
        <v>20814</v>
      </c>
    </row>
    <row r="3737" spans="1:28" x14ac:dyDescent="0.25">
      <c r="A3737" t="s">
        <v>3741</v>
      </c>
      <c r="B3737">
        <v>0.99876560204751996</v>
      </c>
      <c r="C3737">
        <v>1.00893954071939</v>
      </c>
      <c r="D3737">
        <v>0.85750806709424598</v>
      </c>
      <c r="E3737">
        <v>0.56815568144481898</v>
      </c>
      <c r="F3737">
        <v>0.269681426154189</v>
      </c>
      <c r="G3737">
        <v>0.14358879236879801</v>
      </c>
      <c r="H3737">
        <v>9.9649353000982405E-2</v>
      </c>
      <c r="I3737">
        <v>7.6059707442607594E-2</v>
      </c>
      <c r="J3737">
        <v>7.0471453472535694E-2</v>
      </c>
      <c r="K3737">
        <v>6.1052578785509903E-2</v>
      </c>
      <c r="L3737">
        <v>1078.7233608213801</v>
      </c>
      <c r="M3737">
        <v>21.512438538942199</v>
      </c>
      <c r="N3737">
        <v>50.488409929536502</v>
      </c>
      <c r="O3737">
        <v>49.716898606608098</v>
      </c>
      <c r="P3737">
        <v>-0.10079819904307399</v>
      </c>
      <c r="Q3737">
        <v>6.8213191447849597E-2</v>
      </c>
      <c r="R3737">
        <v>0.99803178253043201</v>
      </c>
      <c r="S3737" t="s">
        <v>8033</v>
      </c>
      <c r="T3737" t="s">
        <v>8590</v>
      </c>
      <c r="U3737" t="s">
        <v>8590</v>
      </c>
      <c r="V3737" t="s">
        <v>8590</v>
      </c>
      <c r="W3737">
        <v>21</v>
      </c>
      <c r="X3737" t="s">
        <v>12327</v>
      </c>
      <c r="Y3737">
        <v>0.39453033735242637</v>
      </c>
      <c r="Z3737" t="str">
        <f>HYPERLINK("Melting_Curves/meltCurve_tr_B7Z815_B7Z815_HUMAN_.pdf", "Melting_Curves/meltCurve_tr_B7Z815_B7Z815_HUMAN_.pdf")</f>
        <v>Melting_Curves/meltCurve_tr_B7Z815_B7Z815_HUMAN_.pdf</v>
      </c>
      <c r="AA3737" t="s">
        <v>16568</v>
      </c>
      <c r="AB3737" t="s">
        <v>20815</v>
      </c>
    </row>
    <row r="3738" spans="1:28" x14ac:dyDescent="0.25">
      <c r="A3738" t="s">
        <v>3742</v>
      </c>
      <c r="B3738">
        <v>0.99876560204751996</v>
      </c>
      <c r="C3738">
        <v>1.0358923117425201</v>
      </c>
      <c r="D3738">
        <v>0.71800548620499305</v>
      </c>
      <c r="E3738">
        <v>0.44845519923643701</v>
      </c>
      <c r="F3738">
        <v>0.25701535090933703</v>
      </c>
      <c r="G3738">
        <v>0.121451311736593</v>
      </c>
      <c r="H3738">
        <v>7.3201622556340204E-2</v>
      </c>
      <c r="I3738">
        <v>4.9029835461734901E-2</v>
      </c>
      <c r="J3738">
        <v>5.8378503056531202E-2</v>
      </c>
      <c r="K3738">
        <v>5.04530860792358E-2</v>
      </c>
      <c r="L3738">
        <v>898.51218649061695</v>
      </c>
      <c r="M3738">
        <v>18.326946824232401</v>
      </c>
      <c r="N3738">
        <v>49.304536689279402</v>
      </c>
      <c r="O3738">
        <v>48.4543024547622</v>
      </c>
      <c r="P3738">
        <v>-8.9925127773176197E-2</v>
      </c>
      <c r="Q3738">
        <v>4.9037740151035902E-2</v>
      </c>
      <c r="R3738">
        <v>0.989667729717843</v>
      </c>
      <c r="S3738" t="s">
        <v>8034</v>
      </c>
      <c r="T3738" t="s">
        <v>8590</v>
      </c>
      <c r="U3738" t="s">
        <v>8590</v>
      </c>
      <c r="V3738" t="s">
        <v>8590</v>
      </c>
      <c r="W3738">
        <v>1</v>
      </c>
      <c r="X3738" t="s">
        <v>12328</v>
      </c>
      <c r="Y3738">
        <v>0.35105932627819869</v>
      </c>
      <c r="Z3738" t="str">
        <f>HYPERLINK("Melting_Curves/meltCurve_tr_B7Z817_B7Z817_HUMAN_.pdf", "Melting_Curves/meltCurve_tr_B7Z817_B7Z817_HUMAN_.pdf")</f>
        <v>Melting_Curves/meltCurve_tr_B7Z817_B7Z817_HUMAN_.pdf</v>
      </c>
      <c r="AA3738" t="s">
        <v>16569</v>
      </c>
      <c r="AB3738" t="s">
        <v>20816</v>
      </c>
    </row>
    <row r="3739" spans="1:28" x14ac:dyDescent="0.25">
      <c r="A3739" t="s">
        <v>3743</v>
      </c>
      <c r="B3739">
        <v>0.99876560204751996</v>
      </c>
      <c r="C3739">
        <v>0.866483123824204</v>
      </c>
      <c r="D3739">
        <v>0.77064979991659999</v>
      </c>
      <c r="E3739">
        <v>0.48344101439797399</v>
      </c>
      <c r="F3739">
        <v>0.23259859778769701</v>
      </c>
      <c r="G3739">
        <v>0.16639277148464801</v>
      </c>
      <c r="H3739">
        <v>0.12208952036046</v>
      </c>
      <c r="I3739">
        <v>0.117529606378075</v>
      </c>
      <c r="J3739">
        <v>0.12206945423893301</v>
      </c>
      <c r="K3739">
        <v>0.13207954678915301</v>
      </c>
      <c r="L3739">
        <v>851.89120324198598</v>
      </c>
      <c r="M3739">
        <v>17.526055911589001</v>
      </c>
      <c r="N3739">
        <v>49.284070111930397</v>
      </c>
      <c r="O3739">
        <v>47.987561370189098</v>
      </c>
      <c r="P3739">
        <v>-8.1542490476154E-2</v>
      </c>
      <c r="Q3739">
        <v>0.10697314684520499</v>
      </c>
      <c r="R3739">
        <v>0.99338311149893299</v>
      </c>
      <c r="S3739" t="s">
        <v>8035</v>
      </c>
      <c r="T3739" t="s">
        <v>8590</v>
      </c>
      <c r="U3739" t="s">
        <v>8590</v>
      </c>
      <c r="V3739" t="s">
        <v>8590</v>
      </c>
      <c r="W3739">
        <v>3</v>
      </c>
      <c r="X3739" t="s">
        <v>12329</v>
      </c>
      <c r="Y3739">
        <v>0.3796461457057394</v>
      </c>
      <c r="Z3739" t="str">
        <f>HYPERLINK("Melting_Curves/meltCurve_tr_B7Z8K9_B7Z8K9_HUMAN_.pdf", "Melting_Curves/meltCurve_tr_B7Z8K9_B7Z8K9_HUMAN_.pdf")</f>
        <v>Melting_Curves/meltCurve_tr_B7Z8K9_B7Z8K9_HUMAN_.pdf</v>
      </c>
      <c r="AA3739" t="s">
        <v>16570</v>
      </c>
      <c r="AB3739" t="s">
        <v>20817</v>
      </c>
    </row>
    <row r="3740" spans="1:28" x14ac:dyDescent="0.25">
      <c r="A3740" t="s">
        <v>3744</v>
      </c>
      <c r="B3740">
        <v>0.99876560204751996</v>
      </c>
      <c r="C3740">
        <v>0.94614603032962696</v>
      </c>
      <c r="D3740">
        <v>0.841167881781402</v>
      </c>
      <c r="E3740">
        <v>0.79345593489376198</v>
      </c>
      <c r="F3740">
        <v>0.42013708692500801</v>
      </c>
      <c r="G3740">
        <v>0.189449343455838</v>
      </c>
      <c r="H3740">
        <v>0.14055771263453501</v>
      </c>
      <c r="I3740">
        <v>7.2637253259239004E-2</v>
      </c>
      <c r="J3740">
        <v>3.2655138508406997E-2</v>
      </c>
      <c r="K3740">
        <v>6.1028946440074602E-2</v>
      </c>
      <c r="L3740">
        <v>956.15146443539004</v>
      </c>
      <c r="M3740">
        <v>18.290567957851898</v>
      </c>
      <c r="N3740">
        <v>52.511596277294998</v>
      </c>
      <c r="O3740">
        <v>51.662797566901197</v>
      </c>
      <c r="P3740">
        <v>-8.5021850702902094E-2</v>
      </c>
      <c r="Q3740">
        <v>3.9447386650678803E-2</v>
      </c>
      <c r="R3740">
        <v>0.986253595766029</v>
      </c>
      <c r="S3740" t="s">
        <v>8036</v>
      </c>
      <c r="T3740" t="s">
        <v>8590</v>
      </c>
      <c r="U3740" t="s">
        <v>8590</v>
      </c>
      <c r="V3740" t="s">
        <v>8590</v>
      </c>
      <c r="W3740">
        <v>19</v>
      </c>
      <c r="X3740" t="s">
        <v>12330</v>
      </c>
      <c r="Y3740">
        <v>0.44799202234090801</v>
      </c>
      <c r="Z3740" t="str">
        <f>HYPERLINK("Melting_Curves/meltCurve_tr_B7Z8V7_B7Z8V7_HUMAN_.pdf", "Melting_Curves/meltCurve_tr_B7Z8V7_B7Z8V7_HUMAN_.pdf")</f>
        <v>Melting_Curves/meltCurve_tr_B7Z8V7_B7Z8V7_HUMAN_.pdf</v>
      </c>
      <c r="AA3740" t="s">
        <v>16571</v>
      </c>
      <c r="AB3740" t="s">
        <v>20818</v>
      </c>
    </row>
    <row r="3741" spans="1:28" x14ac:dyDescent="0.25">
      <c r="A3741" t="s">
        <v>3745</v>
      </c>
      <c r="B3741">
        <v>0.99876560204751996</v>
      </c>
      <c r="C3741">
        <v>1.0690357393529</v>
      </c>
      <c r="D3741">
        <v>0.98039969467332699</v>
      </c>
      <c r="E3741">
        <v>0.92908245479123397</v>
      </c>
      <c r="F3741">
        <v>0.66098432283729502</v>
      </c>
      <c r="G3741">
        <v>0.61531423818002196</v>
      </c>
      <c r="H3741">
        <v>0.394133201078328</v>
      </c>
      <c r="I3741">
        <v>0.422169965568023</v>
      </c>
      <c r="J3741">
        <v>0.46212491494792601</v>
      </c>
      <c r="K3741">
        <v>0.467803989492312</v>
      </c>
      <c r="L3741">
        <v>1258.9962900282401</v>
      </c>
      <c r="M3741">
        <v>23.762360956974199</v>
      </c>
      <c r="N3741">
        <v>58.198896665988002</v>
      </c>
      <c r="O3741">
        <v>52.611834413058801</v>
      </c>
      <c r="P3741">
        <v>-6.3168931859948402E-2</v>
      </c>
      <c r="Q3741">
        <v>0.440564220639731</v>
      </c>
      <c r="R3741">
        <v>0.96281712432272704</v>
      </c>
      <c r="S3741" t="s">
        <v>8037</v>
      </c>
      <c r="T3741" t="s">
        <v>8590</v>
      </c>
      <c r="U3741" t="s">
        <v>8590</v>
      </c>
      <c r="V3741" t="s">
        <v>8590</v>
      </c>
      <c r="W3741">
        <v>1</v>
      </c>
      <c r="X3741" t="s">
        <v>12331</v>
      </c>
      <c r="Y3741">
        <v>0.68832663380840076</v>
      </c>
      <c r="Z3741" t="str">
        <f>HYPERLINK("Melting_Curves/meltCurve_tr_B7Z941_B7Z941_HUMAN_.pdf", "Melting_Curves/meltCurve_tr_B7Z941_B7Z941_HUMAN_.pdf")</f>
        <v>Melting_Curves/meltCurve_tr_B7Z941_B7Z941_HUMAN_.pdf</v>
      </c>
      <c r="AA3741" t="s">
        <v>16572</v>
      </c>
      <c r="AB3741" t="s">
        <v>20819</v>
      </c>
    </row>
    <row r="3742" spans="1:28" x14ac:dyDescent="0.25">
      <c r="A3742" t="s">
        <v>3746</v>
      </c>
      <c r="B3742">
        <v>0.99876560204751996</v>
      </c>
      <c r="C3742">
        <v>1.1065975995072199</v>
      </c>
      <c r="D3742">
        <v>0.57919558861613096</v>
      </c>
      <c r="E3742">
        <v>0.56586590327986297</v>
      </c>
      <c r="F3742">
        <v>0.40534441957289502</v>
      </c>
      <c r="G3742">
        <v>0.13627744309584799</v>
      </c>
      <c r="H3742">
        <v>8.6176132026291E-2</v>
      </c>
      <c r="I3742">
        <v>9.8330003771525801E-2</v>
      </c>
      <c r="J3742">
        <v>8.2832280225111105E-2</v>
      </c>
      <c r="K3742">
        <v>0.11201602383187</v>
      </c>
      <c r="L3742">
        <v>713.62209922007003</v>
      </c>
      <c r="M3742">
        <v>14.344805872856201</v>
      </c>
      <c r="N3742">
        <v>50.204323326510099</v>
      </c>
      <c r="O3742">
        <v>48.810936655006898</v>
      </c>
      <c r="P3742">
        <v>-6.8986805223837405E-2</v>
      </c>
      <c r="Q3742">
        <v>6.1149960091569498E-2</v>
      </c>
      <c r="R3742">
        <v>0.93334657679121902</v>
      </c>
      <c r="S3742" t="s">
        <v>8038</v>
      </c>
      <c r="T3742" t="s">
        <v>8590</v>
      </c>
      <c r="U3742" t="s">
        <v>8590</v>
      </c>
      <c r="V3742" t="s">
        <v>8590</v>
      </c>
      <c r="W3742">
        <v>1</v>
      </c>
      <c r="X3742" t="s">
        <v>12332</v>
      </c>
      <c r="Y3742">
        <v>0.39064890557366461</v>
      </c>
      <c r="Z3742" t="str">
        <f>HYPERLINK("Melting_Curves/meltCurve_tr_B7Z9S8_B7Z9S8_HUMAN_.pdf", "Melting_Curves/meltCurve_tr_B7Z9S8_B7Z9S8_HUMAN_.pdf")</f>
        <v>Melting_Curves/meltCurve_tr_B7Z9S8_B7Z9S8_HUMAN_.pdf</v>
      </c>
      <c r="AA3742" t="s">
        <v>16573</v>
      </c>
      <c r="AB3742" t="s">
        <v>20820</v>
      </c>
    </row>
    <row r="3743" spans="1:28" x14ac:dyDescent="0.25">
      <c r="A3743" t="s">
        <v>3747</v>
      </c>
      <c r="B3743">
        <v>0.99876560204751996</v>
      </c>
      <c r="C3743">
        <v>0.99482125508848895</v>
      </c>
      <c r="D3743">
        <v>1.07026831289684</v>
      </c>
      <c r="E3743">
        <v>0.91801898571834895</v>
      </c>
      <c r="F3743">
        <v>0.744569449962032</v>
      </c>
      <c r="G3743">
        <v>0.24873909485617901</v>
      </c>
      <c r="H3743">
        <v>5.1330280200801499E-2</v>
      </c>
      <c r="I3743">
        <v>3.3539240399981497E-2</v>
      </c>
      <c r="J3743">
        <v>2.1935499298346501E-2</v>
      </c>
      <c r="K3743">
        <v>1.4146278973662701E-2</v>
      </c>
      <c r="L3743">
        <v>1631.1785030927099</v>
      </c>
      <c r="M3743">
        <v>29.7727387014736</v>
      </c>
      <c r="N3743">
        <v>54.840539354664699</v>
      </c>
      <c r="O3743">
        <v>54.542265135749197</v>
      </c>
      <c r="P3743">
        <v>-0.13453575704345599</v>
      </c>
      <c r="Q3743">
        <v>1.41537566611225E-2</v>
      </c>
      <c r="R3743">
        <v>0.99678301384600498</v>
      </c>
      <c r="S3743" t="s">
        <v>8039</v>
      </c>
      <c r="T3743" t="s">
        <v>8590</v>
      </c>
      <c r="U3743" t="s">
        <v>8590</v>
      </c>
      <c r="V3743" t="s">
        <v>8590</v>
      </c>
      <c r="W3743">
        <v>8</v>
      </c>
      <c r="X3743" t="s">
        <v>12333</v>
      </c>
      <c r="Y3743">
        <v>0.50672156984099725</v>
      </c>
      <c r="Z3743" t="str">
        <f>HYPERLINK("Melting_Curves/meltCurve_tr_B7ZAX5_B7ZAX5_HUMAN_.pdf", "Melting_Curves/meltCurve_tr_B7ZAX5_B7ZAX5_HUMAN_.pdf")</f>
        <v>Melting_Curves/meltCurve_tr_B7ZAX5_B7ZAX5_HUMAN_.pdf</v>
      </c>
      <c r="AA3743" t="s">
        <v>16574</v>
      </c>
      <c r="AB3743" t="s">
        <v>20821</v>
      </c>
    </row>
    <row r="3744" spans="1:28" x14ac:dyDescent="0.25">
      <c r="A3744" t="s">
        <v>3748</v>
      </c>
      <c r="B3744">
        <v>0.99876560204751996</v>
      </c>
      <c r="C3744">
        <v>1.04668551546344</v>
      </c>
      <c r="D3744">
        <v>0.99669624363385301</v>
      </c>
      <c r="E3744">
        <v>0.83441285255138298</v>
      </c>
      <c r="F3744">
        <v>0.54836430254134905</v>
      </c>
      <c r="G3744">
        <v>0.28115908353108499</v>
      </c>
      <c r="H3744">
        <v>0.10761357872141</v>
      </c>
      <c r="I3744">
        <v>0.104699621428009</v>
      </c>
      <c r="J3744">
        <v>0.106402478393696</v>
      </c>
      <c r="K3744">
        <v>0.114953688697724</v>
      </c>
      <c r="L3744">
        <v>1251.7666419924799</v>
      </c>
      <c r="M3744">
        <v>23.5502268601916</v>
      </c>
      <c r="N3744">
        <v>53.642431772062402</v>
      </c>
      <c r="O3744">
        <v>52.774254104273197</v>
      </c>
      <c r="P3744">
        <v>-0.10077821561363</v>
      </c>
      <c r="Q3744">
        <v>9.6670361701318402E-2</v>
      </c>
      <c r="R3744">
        <v>0.99659438554857604</v>
      </c>
      <c r="S3744" t="s">
        <v>8040</v>
      </c>
      <c r="T3744" t="s">
        <v>8590</v>
      </c>
      <c r="U3744" t="s">
        <v>8590</v>
      </c>
      <c r="V3744" t="s">
        <v>8590</v>
      </c>
      <c r="W3744">
        <v>3</v>
      </c>
      <c r="X3744" t="s">
        <v>12334</v>
      </c>
      <c r="Y3744">
        <v>0.50202086586740358</v>
      </c>
      <c r="Z3744" t="str">
        <f>HYPERLINK("Melting_Curves/meltCurve_tr_B7ZBQ3_B7ZBQ3_HUMAN_.pdf", "Melting_Curves/meltCurve_tr_B7ZBQ3_B7ZBQ3_HUMAN_.pdf")</f>
        <v>Melting_Curves/meltCurve_tr_B7ZBQ3_B7ZBQ3_HUMAN_.pdf</v>
      </c>
      <c r="AA3744" t="s">
        <v>16575</v>
      </c>
      <c r="AB3744" t="s">
        <v>20822</v>
      </c>
    </row>
    <row r="3745" spans="1:28" x14ac:dyDescent="0.25">
      <c r="A3745" t="s">
        <v>3749</v>
      </c>
      <c r="B3745">
        <v>0.99876560204751996</v>
      </c>
      <c r="C3745">
        <v>0.92957810542181696</v>
      </c>
      <c r="D3745">
        <v>0.90024733154351799</v>
      </c>
      <c r="E3745">
        <v>0.61012596965270005</v>
      </c>
      <c r="F3745">
        <v>0.275737580123462</v>
      </c>
      <c r="G3745">
        <v>0.130403477088301</v>
      </c>
      <c r="H3745">
        <v>9.5035687068252897E-2</v>
      </c>
      <c r="I3745">
        <v>0.19844604808810701</v>
      </c>
      <c r="J3745">
        <v>6.9361544265031105E-2</v>
      </c>
      <c r="K3745">
        <v>6.8409362796324397E-2</v>
      </c>
      <c r="L3745">
        <v>1240.10408397181</v>
      </c>
      <c r="M3745">
        <v>24.649742086515101</v>
      </c>
      <c r="N3745">
        <v>50.756232719389402</v>
      </c>
      <c r="O3745">
        <v>49.981406061420202</v>
      </c>
      <c r="P3745">
        <v>-0.111261117570175</v>
      </c>
      <c r="Q3745">
        <v>9.7612010874943797E-2</v>
      </c>
      <c r="R3745">
        <v>0.98799261401946603</v>
      </c>
      <c r="S3745" t="s">
        <v>8041</v>
      </c>
      <c r="T3745" t="s">
        <v>8590</v>
      </c>
      <c r="U3745" t="s">
        <v>8590</v>
      </c>
      <c r="V3745" t="s">
        <v>8590</v>
      </c>
      <c r="W3745">
        <v>3</v>
      </c>
      <c r="X3745" t="s">
        <v>12335</v>
      </c>
      <c r="Y3745">
        <v>0.41602519142039868</v>
      </c>
      <c r="Z3745" t="str">
        <f>HYPERLINK("Melting_Curves/meltCurve_tr_B7ZC39_B7ZC39_HUMAN_.pdf", "Melting_Curves/meltCurve_tr_B7ZC39_B7ZC39_HUMAN_.pdf")</f>
        <v>Melting_Curves/meltCurve_tr_B7ZC39_B7ZC39_HUMAN_.pdf</v>
      </c>
      <c r="AA3745" t="s">
        <v>16576</v>
      </c>
      <c r="AB3745" t="s">
        <v>20823</v>
      </c>
    </row>
    <row r="3746" spans="1:28" x14ac:dyDescent="0.25">
      <c r="A3746" t="s">
        <v>3750</v>
      </c>
      <c r="B3746">
        <v>0.99876560204751996</v>
      </c>
      <c r="C3746">
        <v>0.95662543347224904</v>
      </c>
      <c r="D3746">
        <v>0.720263322799646</v>
      </c>
      <c r="E3746">
        <v>0.60417372039264206</v>
      </c>
      <c r="F3746">
        <v>0.245230832648165</v>
      </c>
      <c r="G3746">
        <v>0.11599547890914</v>
      </c>
      <c r="H3746">
        <v>7.6360191711264305E-2</v>
      </c>
      <c r="I3746">
        <v>3.7820656364359599E-2</v>
      </c>
      <c r="J3746">
        <v>3.74208479515298E-2</v>
      </c>
      <c r="K3746">
        <v>3.34121253349276E-2</v>
      </c>
      <c r="L3746">
        <v>788.40604942928906</v>
      </c>
      <c r="M3746">
        <v>15.761755701853399</v>
      </c>
      <c r="N3746">
        <v>50.095685360990501</v>
      </c>
      <c r="O3746">
        <v>49.235799616282797</v>
      </c>
      <c r="P3746">
        <v>-7.9099437841598105E-2</v>
      </c>
      <c r="Q3746">
        <v>1.17347039407272E-2</v>
      </c>
      <c r="R3746">
        <v>0.98551735380047201</v>
      </c>
      <c r="S3746" t="s">
        <v>8042</v>
      </c>
      <c r="T3746" t="s">
        <v>8590</v>
      </c>
      <c r="U3746" t="s">
        <v>8590</v>
      </c>
      <c r="V3746" t="s">
        <v>8590</v>
      </c>
      <c r="W3746">
        <v>5</v>
      </c>
      <c r="X3746" t="s">
        <v>12336</v>
      </c>
      <c r="Y3746">
        <v>0.36337563609414231</v>
      </c>
      <c r="Z3746" t="str">
        <f>HYPERLINK("Melting_Curves/meltCurve_tr_B7ZKK9_B7ZKK9_HUMAN_.pdf", "Melting_Curves/meltCurve_tr_B7ZKK9_B7ZKK9_HUMAN_.pdf")</f>
        <v>Melting_Curves/meltCurve_tr_B7ZKK9_B7ZKK9_HUMAN_.pdf</v>
      </c>
      <c r="AA3746" t="s">
        <v>16577</v>
      </c>
      <c r="AB3746" t="s">
        <v>20824</v>
      </c>
    </row>
    <row r="3747" spans="1:28" x14ac:dyDescent="0.25">
      <c r="A3747" t="s">
        <v>3751</v>
      </c>
      <c r="B3747">
        <v>0.99876560204751996</v>
      </c>
      <c r="C3747">
        <v>1.04485735694462</v>
      </c>
      <c r="D3747">
        <v>1.0384699412429099</v>
      </c>
      <c r="E3747">
        <v>0.68671343737716495</v>
      </c>
      <c r="F3747">
        <v>0.68338575437999804</v>
      </c>
      <c r="G3747">
        <v>0.13562065503928</v>
      </c>
      <c r="H3747">
        <v>0.247426168918739</v>
      </c>
      <c r="I3747">
        <v>7.7598816564524997E-2</v>
      </c>
      <c r="J3747">
        <v>0.114939367706284</v>
      </c>
      <c r="K3747">
        <v>0</v>
      </c>
      <c r="L3747">
        <v>1049.53808470575</v>
      </c>
      <c r="M3747">
        <v>19.665930151692098</v>
      </c>
      <c r="N3747">
        <v>53.703506275789898</v>
      </c>
      <c r="O3747">
        <v>52.825700066698403</v>
      </c>
      <c r="P3747">
        <v>-8.7697856088704798E-2</v>
      </c>
      <c r="Q3747">
        <v>5.7753251263638797E-2</v>
      </c>
      <c r="R3747">
        <v>0.95593740525120696</v>
      </c>
      <c r="S3747" t="s">
        <v>8043</v>
      </c>
      <c r="T3747" t="s">
        <v>8590</v>
      </c>
      <c r="U3747" t="s">
        <v>8590</v>
      </c>
      <c r="V3747" t="s">
        <v>8590</v>
      </c>
      <c r="W3747">
        <v>2</v>
      </c>
      <c r="X3747" t="s">
        <v>12337</v>
      </c>
      <c r="Y3747">
        <v>0.49090965455829688</v>
      </c>
      <c r="Z3747" t="str">
        <f>HYPERLINK("Melting_Curves/meltCurve_tr_B7ZLP8_B7ZLP8_HUMAN_.pdf", "Melting_Curves/meltCurve_tr_B7ZLP8_B7ZLP8_HUMAN_.pdf")</f>
        <v>Melting_Curves/meltCurve_tr_B7ZLP8_B7ZLP8_HUMAN_.pdf</v>
      </c>
      <c r="AA3747" t="s">
        <v>16578</v>
      </c>
      <c r="AB3747" t="s">
        <v>20825</v>
      </c>
    </row>
    <row r="3748" spans="1:28" x14ac:dyDescent="0.25">
      <c r="A3748" t="s">
        <v>3752</v>
      </c>
      <c r="B3748">
        <v>0.99876560204751996</v>
      </c>
      <c r="C3748">
        <v>1.2842900819163099</v>
      </c>
      <c r="D3748">
        <v>0.67822179631365098</v>
      </c>
      <c r="E3748">
        <v>0.44025292320298798</v>
      </c>
      <c r="F3748">
        <v>0.13626038916671901</v>
      </c>
      <c r="G3748">
        <v>5.4506206437130597E-2</v>
      </c>
      <c r="H3748">
        <v>2.38677900017094E-2</v>
      </c>
      <c r="I3748">
        <v>9.5508323834090601E-3</v>
      </c>
      <c r="J3748">
        <v>1.7852713055693099E-2</v>
      </c>
      <c r="K3748">
        <v>1.8417819541958501E-2</v>
      </c>
      <c r="L3748">
        <v>1160.5404767984001</v>
      </c>
      <c r="M3748">
        <v>23.716002814854399</v>
      </c>
      <c r="N3748">
        <v>49.001912896163397</v>
      </c>
      <c r="O3748">
        <v>48.590966907094398</v>
      </c>
      <c r="P3748">
        <v>-0.120073903589166</v>
      </c>
      <c r="Q3748">
        <v>1.59538445759137E-2</v>
      </c>
      <c r="R3748">
        <v>0.936788146855286</v>
      </c>
      <c r="S3748" t="s">
        <v>8044</v>
      </c>
      <c r="T3748" t="s">
        <v>8590</v>
      </c>
      <c r="U3748" t="s">
        <v>8590</v>
      </c>
      <c r="V3748" t="s">
        <v>8590</v>
      </c>
      <c r="W3748">
        <v>2</v>
      </c>
      <c r="X3748" t="s">
        <v>12338</v>
      </c>
      <c r="Y3748">
        <v>0.3187513639271175</v>
      </c>
      <c r="Z3748" t="str">
        <f>HYPERLINK("Melting_Curves/meltCurve_tr_B7ZLZ2_B7ZLZ2_HUMAN_.pdf", "Melting_Curves/meltCurve_tr_B7ZLZ2_B7ZLZ2_HUMAN_.pdf")</f>
        <v>Melting_Curves/meltCurve_tr_B7ZLZ2_B7ZLZ2_HUMAN_.pdf</v>
      </c>
      <c r="AA3748" t="s">
        <v>16579</v>
      </c>
      <c r="AB3748" t="s">
        <v>20826</v>
      </c>
    </row>
    <row r="3749" spans="1:28" x14ac:dyDescent="0.25">
      <c r="A3749" t="s">
        <v>3753</v>
      </c>
      <c r="B3749">
        <v>0.99876560204751996</v>
      </c>
      <c r="C3749">
        <v>1.00926736132396</v>
      </c>
      <c r="D3749">
        <v>1.0103478882394901</v>
      </c>
      <c r="E3749">
        <v>0.91834719146673505</v>
      </c>
      <c r="F3749">
        <v>0.87711304431105097</v>
      </c>
      <c r="G3749">
        <v>0.63458761348530401</v>
      </c>
      <c r="H3749">
        <v>0.63642604077972498</v>
      </c>
      <c r="I3749">
        <v>0.58855442416683201</v>
      </c>
      <c r="J3749">
        <v>0.65427211425532406</v>
      </c>
      <c r="K3749">
        <v>0.71092500505316802</v>
      </c>
      <c r="L3749">
        <v>2095.66106249941</v>
      </c>
      <c r="M3749">
        <v>39.186936661115702</v>
      </c>
      <c r="O3749">
        <v>53.339874148210299</v>
      </c>
      <c r="P3749">
        <v>-6.6058095633542105E-2</v>
      </c>
      <c r="Q3749">
        <v>0.64033709766954605</v>
      </c>
      <c r="R3749">
        <v>0.95064658540788904</v>
      </c>
      <c r="S3749" t="s">
        <v>8045</v>
      </c>
      <c r="T3749" t="s">
        <v>8590</v>
      </c>
      <c r="U3749" t="s">
        <v>8590</v>
      </c>
      <c r="V3749" t="s">
        <v>8590</v>
      </c>
      <c r="W3749">
        <v>3</v>
      </c>
      <c r="X3749" t="s">
        <v>12339</v>
      </c>
      <c r="Y3749">
        <v>0.80331170709091304</v>
      </c>
      <c r="Z3749" t="str">
        <f>HYPERLINK("Melting_Curves/meltCurve_tr_B7ZM82_B7ZM82_HUMAN_.pdf", "Melting_Curves/meltCurve_tr_B7ZM82_B7ZM82_HUMAN_.pdf")</f>
        <v>Melting_Curves/meltCurve_tr_B7ZM82_B7ZM82_HUMAN_.pdf</v>
      </c>
      <c r="AA3749" t="s">
        <v>16580</v>
      </c>
      <c r="AB3749" t="s">
        <v>20827</v>
      </c>
    </row>
    <row r="3750" spans="1:28" x14ac:dyDescent="0.25">
      <c r="A3750" t="s">
        <v>3754</v>
      </c>
      <c r="B3750">
        <v>0.99876560204751996</v>
      </c>
      <c r="C3750">
        <v>0.98672174853727301</v>
      </c>
      <c r="D3750">
        <v>0.63137753144907205</v>
      </c>
      <c r="E3750">
        <v>0.74577936652852295</v>
      </c>
      <c r="F3750">
        <v>0.52881923340486603</v>
      </c>
      <c r="G3750">
        <v>0.35742570594696299</v>
      </c>
      <c r="H3750">
        <v>0.31188901015784398</v>
      </c>
      <c r="I3750">
        <v>0.277408282550209</v>
      </c>
      <c r="J3750">
        <v>0.361632367777734</v>
      </c>
      <c r="K3750">
        <v>9.4979565405531596E-2</v>
      </c>
      <c r="L3750">
        <v>474.12051932417199</v>
      </c>
      <c r="M3750">
        <v>9.0843374948312405</v>
      </c>
      <c r="N3750">
        <v>53.955569478001898</v>
      </c>
      <c r="O3750">
        <v>49.848339988717797</v>
      </c>
      <c r="P3750">
        <v>-3.9732617235788303E-2</v>
      </c>
      <c r="Q3750">
        <v>0.128514306502679</v>
      </c>
      <c r="R3750">
        <v>0.90353446517777303</v>
      </c>
      <c r="S3750" t="s">
        <v>8046</v>
      </c>
      <c r="T3750" t="s">
        <v>8590</v>
      </c>
      <c r="U3750" t="s">
        <v>8590</v>
      </c>
      <c r="V3750" t="s">
        <v>8590</v>
      </c>
      <c r="W3750">
        <v>2</v>
      </c>
      <c r="X3750" t="s">
        <v>12340</v>
      </c>
      <c r="Y3750">
        <v>0.51840158142067894</v>
      </c>
      <c r="Z3750" t="str">
        <f>HYPERLINK("Melting_Curves/meltCurve_tr_B8ZZC8_B8ZZC8_HUMAN_.pdf", "Melting_Curves/meltCurve_tr_B8ZZC8_B8ZZC8_HUMAN_.pdf")</f>
        <v>Melting_Curves/meltCurve_tr_B8ZZC8_B8ZZC8_HUMAN_.pdf</v>
      </c>
      <c r="AA3750" t="s">
        <v>16581</v>
      </c>
      <c r="AB3750" t="s">
        <v>20828</v>
      </c>
    </row>
    <row r="3751" spans="1:28" x14ac:dyDescent="0.25">
      <c r="A3751" t="s">
        <v>3755</v>
      </c>
      <c r="B3751">
        <v>0.99876560204751996</v>
      </c>
      <c r="C3751">
        <v>0.94136568145552202</v>
      </c>
      <c r="D3751">
        <v>0.76000766686222498</v>
      </c>
      <c r="E3751">
        <v>0.39907187862681098</v>
      </c>
      <c r="F3751">
        <v>0.25706040663489099</v>
      </c>
      <c r="G3751">
        <v>0.19631258572249299</v>
      </c>
      <c r="H3751">
        <v>9.5117421379020295E-2</v>
      </c>
      <c r="I3751">
        <v>9.7220306920566199E-2</v>
      </c>
      <c r="J3751">
        <v>8.3335669935863693E-2</v>
      </c>
      <c r="K3751">
        <v>6.5200468736917205E-2</v>
      </c>
      <c r="L3751">
        <v>882.537793593674</v>
      </c>
      <c r="M3751">
        <v>18.172100404559899</v>
      </c>
      <c r="N3751">
        <v>49.0692881828315</v>
      </c>
      <c r="O3751">
        <v>47.988870851271997</v>
      </c>
      <c r="P3751">
        <v>-8.6616668604144603E-2</v>
      </c>
      <c r="Q3751">
        <v>8.5094512839759398E-2</v>
      </c>
      <c r="R3751">
        <v>0.99600065532278503</v>
      </c>
      <c r="S3751" t="s">
        <v>8047</v>
      </c>
      <c r="T3751" t="s">
        <v>8590</v>
      </c>
      <c r="U3751" t="s">
        <v>8590</v>
      </c>
      <c r="V3751" t="s">
        <v>8590</v>
      </c>
      <c r="W3751">
        <v>9</v>
      </c>
      <c r="X3751" t="s">
        <v>12341</v>
      </c>
      <c r="Y3751">
        <v>0.36200051079962198</v>
      </c>
      <c r="Z3751" t="str">
        <f>HYPERLINK("Melting_Curves/meltCurve_tr_B8ZZG1_B8ZZG1_HUMAN_.pdf", "Melting_Curves/meltCurve_tr_B8ZZG1_B8ZZG1_HUMAN_.pdf")</f>
        <v>Melting_Curves/meltCurve_tr_B8ZZG1_B8ZZG1_HUMAN_.pdf</v>
      </c>
      <c r="AA3751" t="s">
        <v>16582</v>
      </c>
      <c r="AB3751" t="s">
        <v>20829</v>
      </c>
    </row>
    <row r="3752" spans="1:28" x14ac:dyDescent="0.25">
      <c r="A3752" t="s">
        <v>3756</v>
      </c>
      <c r="B3752">
        <v>0.99876560204751996</v>
      </c>
      <c r="C3752">
        <v>1.1217447127904201</v>
      </c>
      <c r="D3752">
        <v>0.90150845277431801</v>
      </c>
      <c r="E3752">
        <v>0.80871077581861595</v>
      </c>
      <c r="F3752">
        <v>0.68562801974384702</v>
      </c>
      <c r="G3752">
        <v>0.46332422265903001</v>
      </c>
      <c r="H3752">
        <v>0.29337577477142002</v>
      </c>
      <c r="I3752">
        <v>0.22322761223753501</v>
      </c>
      <c r="J3752">
        <v>0.226815653908892</v>
      </c>
      <c r="K3752">
        <v>0.18875674920913299</v>
      </c>
      <c r="L3752">
        <v>814.32896930417598</v>
      </c>
      <c r="M3752">
        <v>14.9152965977172</v>
      </c>
      <c r="N3752">
        <v>56.025429153486499</v>
      </c>
      <c r="O3752">
        <v>53.643672091166501</v>
      </c>
      <c r="P3752">
        <v>-5.8522150845401397E-2</v>
      </c>
      <c r="Q3752">
        <v>0.15817461482938699</v>
      </c>
      <c r="R3752">
        <v>0.98013300843289297</v>
      </c>
      <c r="S3752" t="s">
        <v>8048</v>
      </c>
      <c r="T3752" t="s">
        <v>8590</v>
      </c>
      <c r="U3752" t="s">
        <v>8590</v>
      </c>
      <c r="V3752" t="s">
        <v>8590</v>
      </c>
      <c r="W3752">
        <v>2</v>
      </c>
      <c r="X3752" t="s">
        <v>12342</v>
      </c>
      <c r="Y3752">
        <v>0.58456253021701754</v>
      </c>
      <c r="Z3752" t="str">
        <f>HYPERLINK("Melting_Curves/meltCurve_tr_B8ZZK4_B8ZZK4_HUMAN_.pdf", "Melting_Curves/meltCurve_tr_B8ZZK4_B8ZZK4_HUMAN_.pdf")</f>
        <v>Melting_Curves/meltCurve_tr_B8ZZK4_B8ZZK4_HUMAN_.pdf</v>
      </c>
      <c r="AA3752" t="s">
        <v>16583</v>
      </c>
      <c r="AB3752" t="s">
        <v>20830</v>
      </c>
    </row>
    <row r="3753" spans="1:28" x14ac:dyDescent="0.25">
      <c r="A3753" t="s">
        <v>3757</v>
      </c>
      <c r="B3753">
        <v>0.99876560204751996</v>
      </c>
      <c r="C3753">
        <v>1.20124106505565</v>
      </c>
      <c r="D3753">
        <v>1.6496804181293601</v>
      </c>
      <c r="E3753">
        <v>1.1644718063661099</v>
      </c>
      <c r="F3753">
        <v>1.5238391442075501</v>
      </c>
      <c r="G3753">
        <v>0.83007811939541898</v>
      </c>
      <c r="H3753">
        <v>0.90795851348886802</v>
      </c>
      <c r="I3753">
        <v>0.97672330326019796</v>
      </c>
      <c r="J3753">
        <v>1.51883954647445</v>
      </c>
      <c r="K3753">
        <v>1.4864888892929899</v>
      </c>
      <c r="L3753">
        <v>15000</v>
      </c>
      <c r="M3753">
        <v>229.04233728976499</v>
      </c>
      <c r="O3753">
        <v>65.485082815351007</v>
      </c>
      <c r="P3753">
        <v>0.43720326807919802</v>
      </c>
      <c r="Q3753">
        <v>1.5</v>
      </c>
      <c r="R3753">
        <v>-6.0159996119189003E-3</v>
      </c>
      <c r="S3753" t="s">
        <v>8049</v>
      </c>
      <c r="T3753" t="s">
        <v>8590</v>
      </c>
      <c r="U3753" t="s">
        <v>8590</v>
      </c>
      <c r="V3753" t="s">
        <v>8590</v>
      </c>
      <c r="W3753">
        <v>5</v>
      </c>
      <c r="X3753" t="s">
        <v>12343</v>
      </c>
      <c r="Y3753">
        <v>1.0750969400140089</v>
      </c>
      <c r="Z3753" t="str">
        <f>HYPERLINK("Melting_Curves/meltCurve_tr_B8ZZQ6_B8ZZQ6_HUMAN_.pdf", "Melting_Curves/meltCurve_tr_B8ZZQ6_B8ZZQ6_HUMAN_.pdf")</f>
        <v>Melting_Curves/meltCurve_tr_B8ZZQ6_B8ZZQ6_HUMAN_.pdf</v>
      </c>
      <c r="AA3753" t="s">
        <v>16584</v>
      </c>
      <c r="AB3753" t="s">
        <v>20831</v>
      </c>
    </row>
    <row r="3754" spans="1:28" x14ac:dyDescent="0.25">
      <c r="A3754" t="s">
        <v>3758</v>
      </c>
      <c r="B3754">
        <v>0.99876560204751996</v>
      </c>
      <c r="C3754">
        <v>0.98684950458447396</v>
      </c>
      <c r="D3754">
        <v>1.04974434543689</v>
      </c>
      <c r="E3754">
        <v>0.94555561234088703</v>
      </c>
      <c r="F3754">
        <v>0.84563226029751604</v>
      </c>
      <c r="G3754">
        <v>0.50964060292111402</v>
      </c>
      <c r="H3754">
        <v>0.329977767268188</v>
      </c>
      <c r="I3754">
        <v>0.29808065773086401</v>
      </c>
      <c r="J3754">
        <v>0.36296030977301902</v>
      </c>
      <c r="K3754">
        <v>0.37089926931957701</v>
      </c>
      <c r="L3754">
        <v>1750.39578859728</v>
      </c>
      <c r="M3754">
        <v>31.835415489664399</v>
      </c>
      <c r="N3754">
        <v>56.951234755588402</v>
      </c>
      <c r="O3754">
        <v>54.767073134437702</v>
      </c>
      <c r="P3754">
        <v>-9.6837939596415207E-2</v>
      </c>
      <c r="Q3754">
        <v>0.333634802424567</v>
      </c>
      <c r="R3754">
        <v>0.990670040270759</v>
      </c>
      <c r="S3754" t="s">
        <v>8050</v>
      </c>
      <c r="T3754" t="s">
        <v>8590</v>
      </c>
      <c r="U3754" t="s">
        <v>8590</v>
      </c>
      <c r="V3754" t="s">
        <v>8590</v>
      </c>
      <c r="W3754">
        <v>9</v>
      </c>
      <c r="X3754" t="s">
        <v>12344</v>
      </c>
      <c r="Y3754">
        <v>0.67037919254720613</v>
      </c>
      <c r="Z3754" t="str">
        <f>HYPERLINK("Melting_Curves/meltCurve_tr_B8ZZU8_B8ZZU8_HUMAN_.pdf", "Melting_Curves/meltCurve_tr_B8ZZU8_B8ZZU8_HUMAN_.pdf")</f>
        <v>Melting_Curves/meltCurve_tr_B8ZZU8_B8ZZU8_HUMAN_.pdf</v>
      </c>
      <c r="AA3754" t="s">
        <v>16585</v>
      </c>
      <c r="AB3754" t="s">
        <v>20832</v>
      </c>
    </row>
    <row r="3755" spans="1:28" x14ac:dyDescent="0.25">
      <c r="A3755" t="s">
        <v>3759</v>
      </c>
      <c r="B3755">
        <v>0.99876560204751996</v>
      </c>
      <c r="C3755">
        <v>0.811086434614959</v>
      </c>
      <c r="D3755">
        <v>0.89759901306338796</v>
      </c>
      <c r="E3755">
        <v>0.89804900362189699</v>
      </c>
      <c r="F3755">
        <v>1.02890476862356</v>
      </c>
      <c r="G3755">
        <v>0.90300543007840295</v>
      </c>
      <c r="H3755">
        <v>0.88086279653402</v>
      </c>
      <c r="I3755">
        <v>0.98937705094490003</v>
      </c>
      <c r="J3755">
        <v>1.1515883941754199</v>
      </c>
      <c r="K3755">
        <v>1.1603767781433001</v>
      </c>
      <c r="L3755">
        <v>15000</v>
      </c>
      <c r="M3755">
        <v>226.707448239141</v>
      </c>
      <c r="O3755">
        <v>66.159415706335807</v>
      </c>
      <c r="P3755">
        <v>0.13746306940016101</v>
      </c>
      <c r="Q3755">
        <v>1.1604618934522899</v>
      </c>
      <c r="R3755">
        <v>0.33484138967982602</v>
      </c>
      <c r="S3755" t="s">
        <v>8051</v>
      </c>
      <c r="T3755" t="s">
        <v>8590</v>
      </c>
      <c r="U3755" t="s">
        <v>8590</v>
      </c>
      <c r="V3755" t="s">
        <v>8590</v>
      </c>
      <c r="W3755">
        <v>2</v>
      </c>
      <c r="X3755" t="s">
        <v>12345</v>
      </c>
      <c r="Y3755">
        <v>1.0204920463689859</v>
      </c>
      <c r="Z3755" t="str">
        <f>HYPERLINK("Melting_Curves/meltCurve_tr_B9A057_B9A057_HUMAN_.pdf", "Melting_Curves/meltCurve_tr_B9A057_B9A057_HUMAN_.pdf")</f>
        <v>Melting_Curves/meltCurve_tr_B9A057_B9A057_HUMAN_.pdf</v>
      </c>
      <c r="AA3755" t="s">
        <v>16586</v>
      </c>
      <c r="AB3755" t="s">
        <v>20833</v>
      </c>
    </row>
    <row r="3756" spans="1:28" x14ac:dyDescent="0.25">
      <c r="A3756" t="s">
        <v>3760</v>
      </c>
      <c r="B3756">
        <v>0.99876560204751996</v>
      </c>
      <c r="C3756">
        <v>1.1211818662963</v>
      </c>
      <c r="D3756">
        <v>0.77603943229352301</v>
      </c>
      <c r="E3756">
        <v>0.70533576272923404</v>
      </c>
      <c r="F3756">
        <v>0.47547058319165603</v>
      </c>
      <c r="G3756">
        <v>0.201523171447862</v>
      </c>
      <c r="H3756">
        <v>0.137273605279806</v>
      </c>
      <c r="I3756">
        <v>9.4880895494084599E-2</v>
      </c>
      <c r="J3756">
        <v>0.108978899511586</v>
      </c>
      <c r="K3756">
        <v>5.8030996738481798E-2</v>
      </c>
      <c r="L3756">
        <v>845.92873543086705</v>
      </c>
      <c r="M3756">
        <v>16.278020989098302</v>
      </c>
      <c r="N3756">
        <v>52.353367944518602</v>
      </c>
      <c r="O3756">
        <v>51.202231966190098</v>
      </c>
      <c r="P3756">
        <v>-7.4992123032373306E-2</v>
      </c>
      <c r="Q3756">
        <v>5.6523486468832797E-2</v>
      </c>
      <c r="R3756">
        <v>0.97201777036094905</v>
      </c>
      <c r="S3756" t="s">
        <v>8052</v>
      </c>
      <c r="T3756" t="s">
        <v>8590</v>
      </c>
      <c r="U3756" t="s">
        <v>8590</v>
      </c>
      <c r="V3756" t="s">
        <v>8590</v>
      </c>
      <c r="W3756">
        <v>16</v>
      </c>
      <c r="X3756" t="s">
        <v>12346</v>
      </c>
      <c r="Y3756">
        <v>0.45145961810487001</v>
      </c>
      <c r="Z3756" t="str">
        <f>HYPERLINK("Melting_Curves/meltCurve_tr_B9A058_B9A058_HUMAN_.pdf", "Melting_Curves/meltCurve_tr_B9A058_B9A058_HUMAN_.pdf")</f>
        <v>Melting_Curves/meltCurve_tr_B9A058_B9A058_HUMAN_.pdf</v>
      </c>
      <c r="AA3756" t="s">
        <v>14940</v>
      </c>
      <c r="AB3756" t="s">
        <v>19178</v>
      </c>
    </row>
    <row r="3757" spans="1:28" x14ac:dyDescent="0.25">
      <c r="A3757" t="s">
        <v>3761</v>
      </c>
      <c r="B3757">
        <v>0.99876560204751996</v>
      </c>
      <c r="C3757">
        <v>1.2808470584716201</v>
      </c>
      <c r="D3757">
        <v>0.68493908154163696</v>
      </c>
      <c r="E3757">
        <v>0.89587926105872095</v>
      </c>
      <c r="F3757">
        <v>0.77042103117149396</v>
      </c>
      <c r="G3757">
        <v>0.49960099723541401</v>
      </c>
      <c r="H3757">
        <v>0.229001053222087</v>
      </c>
      <c r="I3757">
        <v>9.7443107979239399E-2</v>
      </c>
      <c r="J3757">
        <v>8.1459103358704904E-2</v>
      </c>
      <c r="K3757">
        <v>7.2690269300429003E-2</v>
      </c>
      <c r="L3757">
        <v>879.12180835223796</v>
      </c>
      <c r="M3757">
        <v>15.5322417833525</v>
      </c>
      <c r="N3757">
        <v>56.599801933749902</v>
      </c>
      <c r="O3757">
        <v>55.686487312444399</v>
      </c>
      <c r="P3757">
        <v>-6.9736882479142101E-2</v>
      </c>
      <c r="Q3757">
        <v>0</v>
      </c>
      <c r="R3757">
        <v>0.898565000944192</v>
      </c>
      <c r="S3757" t="s">
        <v>8053</v>
      </c>
      <c r="T3757" t="s">
        <v>8590</v>
      </c>
      <c r="U3757" t="s">
        <v>8590</v>
      </c>
      <c r="V3757" t="s">
        <v>8590</v>
      </c>
      <c r="W3757">
        <v>1</v>
      </c>
      <c r="X3757" t="s">
        <v>12347</v>
      </c>
      <c r="Y3757">
        <v>0.56954892196642082</v>
      </c>
      <c r="Z3757" t="str">
        <f>HYPERLINK("Melting_Curves/meltCurve_tr_B9ZVN9_B9ZVN9_HUMAN_.pdf", "Melting_Curves/meltCurve_tr_B9ZVN9_B9ZVN9_HUMAN_.pdf")</f>
        <v>Melting_Curves/meltCurve_tr_B9ZVN9_B9ZVN9_HUMAN_.pdf</v>
      </c>
      <c r="AA3757" t="s">
        <v>16587</v>
      </c>
      <c r="AB3757" t="s">
        <v>20834</v>
      </c>
    </row>
    <row r="3758" spans="1:28" x14ac:dyDescent="0.25">
      <c r="A3758" t="s">
        <v>3762</v>
      </c>
      <c r="B3758">
        <v>0.99876560204751996</v>
      </c>
      <c r="C3758">
        <v>1.1910579677006099</v>
      </c>
      <c r="D3758">
        <v>0.69179915764867494</v>
      </c>
      <c r="E3758">
        <v>1.61255740908955</v>
      </c>
      <c r="F3758">
        <v>1.07793780866252</v>
      </c>
      <c r="G3758">
        <v>0.39212128682534603</v>
      </c>
      <c r="H3758">
        <v>0.279192367596649</v>
      </c>
      <c r="I3758">
        <v>8.3684793128020393E-2</v>
      </c>
      <c r="J3758">
        <v>5.9301876159367099E-2</v>
      </c>
      <c r="K3758">
        <v>0</v>
      </c>
      <c r="L3758">
        <v>5141.5498043960997</v>
      </c>
      <c r="M3758">
        <v>90.942831900088294</v>
      </c>
      <c r="N3758">
        <v>56.682845132822202</v>
      </c>
      <c r="O3758">
        <v>56.508744688739199</v>
      </c>
      <c r="P3758">
        <v>-0.36012402549524802</v>
      </c>
      <c r="Q3758">
        <v>0.10492540846649499</v>
      </c>
      <c r="R3758">
        <v>0.80265231673938398</v>
      </c>
      <c r="S3758" t="s">
        <v>8054</v>
      </c>
      <c r="T3758" t="s">
        <v>8590</v>
      </c>
      <c r="U3758" t="s">
        <v>8590</v>
      </c>
      <c r="V3758" t="s">
        <v>8590</v>
      </c>
      <c r="W3758">
        <v>10</v>
      </c>
      <c r="X3758" t="s">
        <v>12348</v>
      </c>
      <c r="Y3758">
        <v>0.59896454342082717</v>
      </c>
      <c r="Z3758" t="str">
        <f>HYPERLINK("Melting_Curves/meltCurve_tr_C9IZA5_C9IZA5_HUMAN_.pdf", "Melting_Curves/meltCurve_tr_C9IZA5_C9IZA5_HUMAN_.pdf")</f>
        <v>Melting_Curves/meltCurve_tr_C9IZA5_C9IZA5_HUMAN_.pdf</v>
      </c>
      <c r="AA3758" t="s">
        <v>14182</v>
      </c>
      <c r="AB3758" t="s">
        <v>20835</v>
      </c>
    </row>
    <row r="3759" spans="1:28" x14ac:dyDescent="0.25">
      <c r="A3759" t="s">
        <v>3763</v>
      </c>
      <c r="B3759">
        <v>0.99876560204751996</v>
      </c>
      <c r="C3759">
        <v>0.90804766061016695</v>
      </c>
      <c r="D3759">
        <v>0.77688917229063903</v>
      </c>
      <c r="E3759">
        <v>0.72338233327564205</v>
      </c>
      <c r="F3759">
        <v>0.38019366332952598</v>
      </c>
      <c r="G3759">
        <v>0.25205065361489598</v>
      </c>
      <c r="H3759">
        <v>0.120252280794165</v>
      </c>
      <c r="I3759">
        <v>0.110549693878823</v>
      </c>
      <c r="J3759">
        <v>8.5091098155488196E-2</v>
      </c>
      <c r="K3759">
        <v>0.14002402658891699</v>
      </c>
      <c r="L3759">
        <v>718.83630300975994</v>
      </c>
      <c r="M3759">
        <v>14.0083414708802</v>
      </c>
      <c r="N3759">
        <v>51.827546685494603</v>
      </c>
      <c r="O3759">
        <v>50.303070541418897</v>
      </c>
      <c r="P3759">
        <v>-6.5124032920469796E-2</v>
      </c>
      <c r="Q3759">
        <v>6.4698111368032898E-2</v>
      </c>
      <c r="R3759">
        <v>0.97957143623147402</v>
      </c>
      <c r="S3759" t="s">
        <v>8055</v>
      </c>
      <c r="T3759" t="s">
        <v>8590</v>
      </c>
      <c r="U3759" t="s">
        <v>8590</v>
      </c>
      <c r="V3759" t="s">
        <v>8590</v>
      </c>
      <c r="W3759">
        <v>1</v>
      </c>
      <c r="X3759" t="s">
        <v>12349</v>
      </c>
      <c r="Y3759">
        <v>0.44129758734595897</v>
      </c>
      <c r="Z3759" t="str">
        <f>HYPERLINK("Melting_Curves/meltCurve_tr_C9J060_C9J060_HUMAN_.pdf", "Melting_Curves/meltCurve_tr_C9J060_C9J060_HUMAN_.pdf")</f>
        <v>Melting_Curves/meltCurve_tr_C9J060_C9J060_HUMAN_.pdf</v>
      </c>
      <c r="AA3759" t="s">
        <v>16588</v>
      </c>
      <c r="AB3759" t="s">
        <v>20836</v>
      </c>
    </row>
    <row r="3760" spans="1:28" x14ac:dyDescent="0.25">
      <c r="A3760" t="s">
        <v>3764</v>
      </c>
      <c r="B3760">
        <v>0.99876560204751996</v>
      </c>
      <c r="C3760">
        <v>1.0063625093420401</v>
      </c>
      <c r="D3760">
        <v>1.14200637581594</v>
      </c>
      <c r="E3760">
        <v>0.83508853276888795</v>
      </c>
      <c r="F3760">
        <v>1.02645519511418</v>
      </c>
      <c r="G3760">
        <v>0.78623008108183501</v>
      </c>
      <c r="H3760">
        <v>0.73545987543156199</v>
      </c>
      <c r="I3760">
        <v>0.83864517310214404</v>
      </c>
      <c r="J3760">
        <v>1.0409485298587</v>
      </c>
      <c r="K3760">
        <v>1.1308910769476599</v>
      </c>
      <c r="L3760">
        <v>15000</v>
      </c>
      <c r="M3760">
        <v>223.093177645011</v>
      </c>
      <c r="O3760">
        <v>67.231101363110199</v>
      </c>
      <c r="P3760">
        <v>0.10860112222236699</v>
      </c>
      <c r="Q3760">
        <v>1.1309115858382801</v>
      </c>
      <c r="R3760">
        <v>-1.2119067443656701E-2</v>
      </c>
      <c r="S3760" t="s">
        <v>8056</v>
      </c>
      <c r="T3760" t="s">
        <v>8590</v>
      </c>
      <c r="U3760" t="s">
        <v>8590</v>
      </c>
      <c r="V3760" t="s">
        <v>8590</v>
      </c>
      <c r="W3760">
        <v>4</v>
      </c>
      <c r="X3760" t="s">
        <v>12350</v>
      </c>
      <c r="Y3760">
        <v>1.0120400416079509</v>
      </c>
      <c r="Z3760" t="str">
        <f>HYPERLINK("Melting_Curves/meltCurve_tr_C9J0A7_C9J0A7_HUMAN_.pdf", "Melting_Curves/meltCurve_tr_C9J0A7_C9J0A7_HUMAN_.pdf")</f>
        <v>Melting_Curves/meltCurve_tr_C9J0A7_C9J0A7_HUMAN_.pdf</v>
      </c>
      <c r="AA3760" t="s">
        <v>16589</v>
      </c>
      <c r="AB3760" t="s">
        <v>20837</v>
      </c>
    </row>
    <row r="3761" spans="1:28" x14ac:dyDescent="0.25">
      <c r="A3761" t="s">
        <v>3765</v>
      </c>
      <c r="B3761">
        <v>0.99876560204751996</v>
      </c>
      <c r="C3761">
        <v>0.90296221800669996</v>
      </c>
      <c r="D3761">
        <v>0.97391606006053499</v>
      </c>
      <c r="E3761">
        <v>0.85982767428572704</v>
      </c>
      <c r="F3761">
        <v>0.74874396363166296</v>
      </c>
      <c r="G3761">
        <v>0.45553838722242102</v>
      </c>
      <c r="H3761">
        <v>0.19650144499619099</v>
      </c>
      <c r="I3761">
        <v>0.137629229110518</v>
      </c>
      <c r="J3761">
        <v>0.12677711277209699</v>
      </c>
      <c r="K3761">
        <v>0.12592984621581099</v>
      </c>
      <c r="L3761">
        <v>1009.8861483499199</v>
      </c>
      <c r="M3761">
        <v>18.1837077251637</v>
      </c>
      <c r="N3761">
        <v>56.076080945101502</v>
      </c>
      <c r="O3761">
        <v>54.879336119927501</v>
      </c>
      <c r="P3761">
        <v>-7.6206886320208805E-2</v>
      </c>
      <c r="Q3761">
        <v>8.0058885346614997E-2</v>
      </c>
      <c r="R3761">
        <v>0.99026247615354701</v>
      </c>
      <c r="S3761" t="s">
        <v>8057</v>
      </c>
      <c r="T3761" t="s">
        <v>8590</v>
      </c>
      <c r="U3761" t="s">
        <v>8590</v>
      </c>
      <c r="V3761" t="s">
        <v>8590</v>
      </c>
      <c r="W3761">
        <v>8</v>
      </c>
      <c r="X3761" t="s">
        <v>12351</v>
      </c>
      <c r="Y3761">
        <v>0.57024078091609265</v>
      </c>
      <c r="Z3761" t="str">
        <f>HYPERLINK("Melting_Curves/meltCurve_tr_C9J0K6_C9J0K6_HUMAN_.pdf", "Melting_Curves/meltCurve_tr_C9J0K6_C9J0K6_HUMAN_.pdf")</f>
        <v>Melting_Curves/meltCurve_tr_C9J0K6_C9J0K6_HUMAN_.pdf</v>
      </c>
      <c r="AA3761" t="s">
        <v>16590</v>
      </c>
      <c r="AB3761" t="s">
        <v>20838</v>
      </c>
    </row>
    <row r="3762" spans="1:28" x14ac:dyDescent="0.25">
      <c r="A3762" t="s">
        <v>3766</v>
      </c>
      <c r="B3762">
        <v>0.99876560204751996</v>
      </c>
      <c r="C3762">
        <v>1.03189934600204</v>
      </c>
      <c r="D3762">
        <v>1.04195130580085</v>
      </c>
      <c r="E3762">
        <v>0.891241491302036</v>
      </c>
      <c r="F3762">
        <v>0.86474090784425495</v>
      </c>
      <c r="G3762">
        <v>0.54376765793062798</v>
      </c>
      <c r="H3762">
        <v>0.49955418175613803</v>
      </c>
      <c r="I3762">
        <v>0.49532578212525702</v>
      </c>
      <c r="J3762">
        <v>0.61032304589825304</v>
      </c>
      <c r="K3762">
        <v>0.59451920216020404</v>
      </c>
      <c r="L3762">
        <v>2432.1898560719601</v>
      </c>
      <c r="M3762">
        <v>45.256824586715197</v>
      </c>
      <c r="O3762">
        <v>53.637331775384801</v>
      </c>
      <c r="P3762">
        <v>-9.6338554727116693E-2</v>
      </c>
      <c r="Q3762">
        <v>0.54328775726789003</v>
      </c>
      <c r="R3762">
        <v>0.94785190634332805</v>
      </c>
      <c r="S3762" t="s">
        <v>8058</v>
      </c>
      <c r="T3762" t="s">
        <v>8590</v>
      </c>
      <c r="U3762" t="s">
        <v>8590</v>
      </c>
      <c r="V3762" t="s">
        <v>8590</v>
      </c>
      <c r="W3762">
        <v>3</v>
      </c>
      <c r="X3762" t="s">
        <v>12352</v>
      </c>
      <c r="Y3762">
        <v>0.75381386992778587</v>
      </c>
      <c r="Z3762" t="str">
        <f>HYPERLINK("Melting_Curves/meltCurve_tr_C9J1C6_C9J1C6_HUMAN_.pdf", "Melting_Curves/meltCurve_tr_C9J1C6_C9J1C6_HUMAN_.pdf")</f>
        <v>Melting_Curves/meltCurve_tr_C9J1C6_C9J1C6_HUMAN_.pdf</v>
      </c>
      <c r="AA3762" t="s">
        <v>16591</v>
      </c>
      <c r="AB3762" t="s">
        <v>20839</v>
      </c>
    </row>
    <row r="3763" spans="1:28" x14ac:dyDescent="0.25">
      <c r="A3763" t="s">
        <v>3767</v>
      </c>
      <c r="B3763">
        <v>0.99876560204751996</v>
      </c>
      <c r="C3763">
        <v>1.05377408931723</v>
      </c>
      <c r="D3763">
        <v>1.03361411367068</v>
      </c>
      <c r="E3763">
        <v>1.0307522000820999</v>
      </c>
      <c r="F3763">
        <v>0.79950872591241995</v>
      </c>
      <c r="G3763">
        <v>0.420447297888562</v>
      </c>
      <c r="H3763">
        <v>0.26443677031233298</v>
      </c>
      <c r="I3763">
        <v>0.225679977567462</v>
      </c>
      <c r="J3763">
        <v>0.16909326776297201</v>
      </c>
      <c r="K3763">
        <v>0.17167300443040201</v>
      </c>
      <c r="L3763">
        <v>1632.15910443234</v>
      </c>
      <c r="M3763">
        <v>29.5311386797569</v>
      </c>
      <c r="N3763">
        <v>56.173100724622202</v>
      </c>
      <c r="O3763">
        <v>55.017518353537703</v>
      </c>
      <c r="P3763">
        <v>-0.108810293752853</v>
      </c>
      <c r="Q3763">
        <v>0.189136644720688</v>
      </c>
      <c r="R3763">
        <v>0.99217833897247798</v>
      </c>
      <c r="S3763" t="s">
        <v>8059</v>
      </c>
      <c r="T3763" t="s">
        <v>8590</v>
      </c>
      <c r="U3763" t="s">
        <v>8590</v>
      </c>
      <c r="V3763" t="s">
        <v>8590</v>
      </c>
      <c r="W3763">
        <v>2</v>
      </c>
      <c r="X3763" t="s">
        <v>12353</v>
      </c>
      <c r="Y3763">
        <v>0.60739167577730724</v>
      </c>
      <c r="Z3763" t="str">
        <f>HYPERLINK("Melting_Curves/meltCurve_tr_C9J212_C9J212_HUMAN_.pdf", "Melting_Curves/meltCurve_tr_C9J212_C9J212_HUMAN_.pdf")</f>
        <v>Melting_Curves/meltCurve_tr_C9J212_C9J212_HUMAN_.pdf</v>
      </c>
      <c r="AA3763" t="s">
        <v>16592</v>
      </c>
      <c r="AB3763" t="s">
        <v>20840</v>
      </c>
    </row>
    <row r="3764" spans="1:28" x14ac:dyDescent="0.25">
      <c r="A3764" t="s">
        <v>3768</v>
      </c>
      <c r="B3764">
        <v>0.99876560204751996</v>
      </c>
      <c r="C3764">
        <v>0.84385936360269498</v>
      </c>
      <c r="D3764">
        <v>1.0871179502014201</v>
      </c>
      <c r="E3764">
        <v>0.71124823287516703</v>
      </c>
      <c r="F3764">
        <v>0.32372489051757097</v>
      </c>
      <c r="G3764">
        <v>0.109296877884136</v>
      </c>
      <c r="H3764">
        <v>6.9210009047950605E-2</v>
      </c>
      <c r="I3764">
        <v>4.5728723772552299E-2</v>
      </c>
      <c r="J3764">
        <v>1.1243130164937399E-2</v>
      </c>
      <c r="K3764">
        <v>1.42781061688352E-2</v>
      </c>
      <c r="L3764">
        <v>1588.79619072694</v>
      </c>
      <c r="M3764">
        <v>30.837679908312801</v>
      </c>
      <c r="N3764">
        <v>51.651621827858499</v>
      </c>
      <c r="O3764">
        <v>51.306038140982402</v>
      </c>
      <c r="P3764">
        <v>-0.14463869594631701</v>
      </c>
      <c r="Q3764">
        <v>3.7437589538710403E-2</v>
      </c>
      <c r="R3764">
        <v>0.97779221258551696</v>
      </c>
      <c r="S3764" t="s">
        <v>8060</v>
      </c>
      <c r="T3764" t="s">
        <v>8590</v>
      </c>
      <c r="U3764" t="s">
        <v>8590</v>
      </c>
      <c r="V3764" t="s">
        <v>8590</v>
      </c>
      <c r="W3764">
        <v>8</v>
      </c>
      <c r="X3764" t="s">
        <v>12354</v>
      </c>
      <c r="Y3764">
        <v>0.4128793952911568</v>
      </c>
      <c r="Z3764" t="str">
        <f>HYPERLINK("Melting_Curves/meltCurve_tr_C9J3Q2_C9J3Q2_HUMAN_.pdf", "Melting_Curves/meltCurve_tr_C9J3Q2_C9J3Q2_HUMAN_.pdf")</f>
        <v>Melting_Curves/meltCurve_tr_C9J3Q2_C9J3Q2_HUMAN_.pdf</v>
      </c>
      <c r="AA3764" t="s">
        <v>16221</v>
      </c>
      <c r="AB3764" t="s">
        <v>20841</v>
      </c>
    </row>
    <row r="3765" spans="1:28" x14ac:dyDescent="0.25">
      <c r="A3765" t="s">
        <v>3769</v>
      </c>
      <c r="B3765">
        <v>0.99876560204751996</v>
      </c>
      <c r="C3765">
        <v>0.99420453421586896</v>
      </c>
      <c r="D3765">
        <v>1.0228179297593201</v>
      </c>
      <c r="E3765">
        <v>0.919072718036269</v>
      </c>
      <c r="F3765">
        <v>1.00990261226019</v>
      </c>
      <c r="G3765">
        <v>0.74317900421708105</v>
      </c>
      <c r="H3765">
        <v>0.63957507525939306</v>
      </c>
      <c r="I3765">
        <v>0.65020949214008705</v>
      </c>
      <c r="J3765">
        <v>0.78177360368786597</v>
      </c>
      <c r="K3765">
        <v>0.802043626539235</v>
      </c>
      <c r="L3765">
        <v>14116.7111643521</v>
      </c>
      <c r="M3765">
        <v>250</v>
      </c>
      <c r="O3765">
        <v>56.463231200153601</v>
      </c>
      <c r="P3765">
        <v>-0.31170678019263298</v>
      </c>
      <c r="Q3765">
        <v>0.71840044861406605</v>
      </c>
      <c r="R3765">
        <v>0.85836864586420902</v>
      </c>
      <c r="S3765" t="s">
        <v>8061</v>
      </c>
      <c r="T3765" t="s">
        <v>8590</v>
      </c>
      <c r="U3765" t="s">
        <v>8590</v>
      </c>
      <c r="V3765" t="s">
        <v>8590</v>
      </c>
      <c r="W3765">
        <v>4</v>
      </c>
      <c r="X3765" t="s">
        <v>12355</v>
      </c>
      <c r="Y3765">
        <v>0.8729968902974351</v>
      </c>
      <c r="Z3765" t="str">
        <f>HYPERLINK("Melting_Curves/meltCurve_tr_C9J406_C9J406_HUMAN_.pdf", "Melting_Curves/meltCurve_tr_C9J406_C9J406_HUMAN_.pdf")</f>
        <v>Melting_Curves/meltCurve_tr_C9J406_C9J406_HUMAN_.pdf</v>
      </c>
      <c r="AA3765" t="s">
        <v>16593</v>
      </c>
      <c r="AB3765" t="s">
        <v>20842</v>
      </c>
    </row>
    <row r="3766" spans="1:28" x14ac:dyDescent="0.25">
      <c r="A3766" t="s">
        <v>3770</v>
      </c>
      <c r="B3766">
        <v>0.99876560204751996</v>
      </c>
      <c r="C3766">
        <v>0.94977994402639299</v>
      </c>
      <c r="D3766">
        <v>0.91092792997128602</v>
      </c>
      <c r="E3766">
        <v>0.79642772927970396</v>
      </c>
      <c r="F3766">
        <v>0.627481352592131</v>
      </c>
      <c r="G3766">
        <v>0.35629922703286998</v>
      </c>
      <c r="H3766">
        <v>0.18469622328291899</v>
      </c>
      <c r="I3766">
        <v>9.6489604853956801E-2</v>
      </c>
      <c r="J3766">
        <v>5.6727689337817799E-2</v>
      </c>
      <c r="K3766">
        <v>4.4053227717193097E-2</v>
      </c>
      <c r="L3766">
        <v>785.69754763641299</v>
      </c>
      <c r="M3766">
        <v>14.368919787006799</v>
      </c>
      <c r="N3766">
        <v>54.680348946989803</v>
      </c>
      <c r="O3766">
        <v>53.653972552844202</v>
      </c>
      <c r="P3766">
        <v>-6.6959801669693897E-2</v>
      </c>
      <c r="Q3766">
        <v>0</v>
      </c>
      <c r="R3766">
        <v>0.99841116562297805</v>
      </c>
      <c r="S3766" t="s">
        <v>8062</v>
      </c>
      <c r="T3766" t="s">
        <v>8590</v>
      </c>
      <c r="U3766" t="s">
        <v>8590</v>
      </c>
      <c r="V3766" t="s">
        <v>8590</v>
      </c>
      <c r="W3766">
        <v>6</v>
      </c>
      <c r="X3766" t="s">
        <v>12356</v>
      </c>
      <c r="Y3766">
        <v>0.50999655869016325</v>
      </c>
      <c r="Z3766" t="str">
        <f>HYPERLINK("Melting_Curves/meltCurve_tr_C9J5C3_C9J5C3_HUMAN_.pdf", "Melting_Curves/meltCurve_tr_C9J5C3_C9J5C3_HUMAN_.pdf")</f>
        <v>Melting_Curves/meltCurve_tr_C9J5C3_C9J5C3_HUMAN_.pdf</v>
      </c>
      <c r="AA3766" t="s">
        <v>16594</v>
      </c>
      <c r="AB3766" t="s">
        <v>20843</v>
      </c>
    </row>
    <row r="3767" spans="1:28" x14ac:dyDescent="0.25">
      <c r="A3767" t="s">
        <v>3771</v>
      </c>
      <c r="B3767">
        <v>0.99876560204751996</v>
      </c>
      <c r="C3767">
        <v>1.22632469382091</v>
      </c>
      <c r="D3767">
        <v>1.3018581574519501</v>
      </c>
      <c r="E3767">
        <v>0.98300146860032001</v>
      </c>
      <c r="F3767">
        <v>0.65823463319055098</v>
      </c>
      <c r="G3767">
        <v>0.59410428436924601</v>
      </c>
      <c r="H3767">
        <v>0.406821221191212</v>
      </c>
      <c r="I3767">
        <v>0.25411126641983001</v>
      </c>
      <c r="J3767">
        <v>0.33187214951421801</v>
      </c>
      <c r="K3767">
        <v>0.29476948305365303</v>
      </c>
      <c r="L3767">
        <v>1186.7044661453101</v>
      </c>
      <c r="M3767">
        <v>21.571907458341499</v>
      </c>
      <c r="N3767">
        <v>57.3803391039704</v>
      </c>
      <c r="O3767">
        <v>54.545373725504703</v>
      </c>
      <c r="P3767">
        <v>-6.9727689090866296E-2</v>
      </c>
      <c r="Q3767">
        <v>0.29478082217252</v>
      </c>
      <c r="R3767">
        <v>0.87131943027357195</v>
      </c>
      <c r="S3767" t="s">
        <v>8063</v>
      </c>
      <c r="T3767" t="s">
        <v>8590</v>
      </c>
      <c r="U3767" t="s">
        <v>8590</v>
      </c>
      <c r="V3767" t="s">
        <v>8590</v>
      </c>
      <c r="W3767">
        <v>2</v>
      </c>
      <c r="X3767" t="s">
        <v>12357</v>
      </c>
      <c r="Y3767">
        <v>0.65601403509823697</v>
      </c>
      <c r="Z3767" t="str">
        <f>HYPERLINK("Melting_Curves/meltCurve_tr_C9J6H2_C9J6H2_HUMAN_.pdf", "Melting_Curves/meltCurve_tr_C9J6H2_C9J6H2_HUMAN_.pdf")</f>
        <v>Melting_Curves/meltCurve_tr_C9J6H2_C9J6H2_HUMAN_.pdf</v>
      </c>
      <c r="AA3767" t="s">
        <v>16595</v>
      </c>
      <c r="AB3767" t="s">
        <v>20844</v>
      </c>
    </row>
    <row r="3768" spans="1:28" x14ac:dyDescent="0.25">
      <c r="A3768" t="s">
        <v>3772</v>
      </c>
      <c r="B3768">
        <v>0.99876560204751996</v>
      </c>
      <c r="C3768">
        <v>0.81188958509675802</v>
      </c>
      <c r="D3768">
        <v>0.79933321112571898</v>
      </c>
      <c r="E3768">
        <v>0.54379687444158697</v>
      </c>
      <c r="F3768">
        <v>0.42577687276311699</v>
      </c>
      <c r="G3768">
        <v>0.14733212445594801</v>
      </c>
      <c r="H3768">
        <v>0.18641256254296601</v>
      </c>
      <c r="I3768">
        <v>0.16719353899810799</v>
      </c>
      <c r="J3768">
        <v>6.7126542687152596E-2</v>
      </c>
      <c r="K3768">
        <v>8.5193951274752794E-2</v>
      </c>
      <c r="L3768">
        <v>598.69980245192403</v>
      </c>
      <c r="M3768">
        <v>11.9026871455393</v>
      </c>
      <c r="N3768">
        <v>50.755634714531702</v>
      </c>
      <c r="O3768">
        <v>48.9428032822264</v>
      </c>
      <c r="P3768">
        <v>-5.7729750032399399E-2</v>
      </c>
      <c r="Q3768">
        <v>5.07175555503495E-2</v>
      </c>
      <c r="R3768">
        <v>0.978315239544991</v>
      </c>
      <c r="S3768" t="s">
        <v>8064</v>
      </c>
      <c r="T3768" t="s">
        <v>8590</v>
      </c>
      <c r="U3768" t="s">
        <v>8590</v>
      </c>
      <c r="V3768" t="s">
        <v>8590</v>
      </c>
      <c r="W3768">
        <v>1</v>
      </c>
      <c r="X3768" t="s">
        <v>12358</v>
      </c>
      <c r="Y3768">
        <v>0.40931104800501522</v>
      </c>
      <c r="Z3768" t="str">
        <f>HYPERLINK("Melting_Curves/meltCurve_tr_C9J712_C9J712_HUMAN_.pdf", "Melting_Curves/meltCurve_tr_C9J712_C9J712_HUMAN_.pdf")</f>
        <v>Melting_Curves/meltCurve_tr_C9J712_C9J712_HUMAN_.pdf</v>
      </c>
      <c r="AA3768" t="s">
        <v>16596</v>
      </c>
      <c r="AB3768" t="s">
        <v>20845</v>
      </c>
    </row>
    <row r="3769" spans="1:28" x14ac:dyDescent="0.25">
      <c r="A3769" t="s">
        <v>3773</v>
      </c>
      <c r="B3769">
        <v>0.99876560204751996</v>
      </c>
      <c r="C3769">
        <v>0.920889026402539</v>
      </c>
      <c r="D3769">
        <v>0.89764603356137596</v>
      </c>
      <c r="E3769">
        <v>0.69286632532800796</v>
      </c>
      <c r="F3769">
        <v>0.34847745970412702</v>
      </c>
      <c r="G3769">
        <v>0.193946289258947</v>
      </c>
      <c r="H3769">
        <v>8.5492942075139897E-2</v>
      </c>
      <c r="I3769">
        <v>6.9518247934571495E-2</v>
      </c>
      <c r="J3769">
        <v>9.4192994010341799E-2</v>
      </c>
      <c r="K3769">
        <v>8.2094198619571804E-2</v>
      </c>
      <c r="L3769">
        <v>1051.6923327823199</v>
      </c>
      <c r="M3769">
        <v>20.5158353503301</v>
      </c>
      <c r="N3769">
        <v>51.6386484250758</v>
      </c>
      <c r="O3769">
        <v>50.7828705702739</v>
      </c>
      <c r="P3769">
        <v>-9.3990352449111206E-2</v>
      </c>
      <c r="Q3769">
        <v>6.9409610554596907E-2</v>
      </c>
      <c r="R3769">
        <v>0.99388730046912499</v>
      </c>
      <c r="S3769" t="s">
        <v>8065</v>
      </c>
      <c r="T3769" t="s">
        <v>8590</v>
      </c>
      <c r="U3769" t="s">
        <v>8590</v>
      </c>
      <c r="V3769" t="s">
        <v>8590</v>
      </c>
      <c r="W3769">
        <v>1</v>
      </c>
      <c r="X3769" t="s">
        <v>12359</v>
      </c>
      <c r="Y3769">
        <v>0.43108031931651097</v>
      </c>
      <c r="Z3769" t="str">
        <f>HYPERLINK("Melting_Curves/meltCurve_tr_C9J8B8_C9J8B8_HUMAN_.pdf", "Melting_Curves/meltCurve_tr_C9J8B8_C9J8B8_HUMAN_.pdf")</f>
        <v>Melting_Curves/meltCurve_tr_C9J8B8_C9J8B8_HUMAN_.pdf</v>
      </c>
      <c r="AA3769" t="s">
        <v>16597</v>
      </c>
      <c r="AB3769" t="s">
        <v>20846</v>
      </c>
    </row>
    <row r="3770" spans="1:28" x14ac:dyDescent="0.25">
      <c r="A3770" t="s">
        <v>3774</v>
      </c>
      <c r="B3770">
        <v>0.99876560204751996</v>
      </c>
      <c r="C3770">
        <v>0.84269557323912303</v>
      </c>
      <c r="D3770">
        <v>0.67816366954507201</v>
      </c>
      <c r="E3770">
        <v>0.48177937974621099</v>
      </c>
      <c r="F3770">
        <v>0.25924530371302601</v>
      </c>
      <c r="G3770">
        <v>0.14425087542526799</v>
      </c>
      <c r="H3770">
        <v>6.8061751237726204E-2</v>
      </c>
      <c r="I3770">
        <v>2.9739791121825301E-2</v>
      </c>
      <c r="J3770">
        <v>3.8699949351906598E-2</v>
      </c>
      <c r="K3770">
        <v>5.2920802425646798E-2</v>
      </c>
      <c r="L3770">
        <v>641.98489219779799</v>
      </c>
      <c r="M3770">
        <v>13.1014153876837</v>
      </c>
      <c r="N3770">
        <v>49.060716688331702</v>
      </c>
      <c r="O3770">
        <v>47.901714180579198</v>
      </c>
      <c r="P3770">
        <v>-6.7848935924944204E-2</v>
      </c>
      <c r="Q3770">
        <v>7.8858371763077893E-3</v>
      </c>
      <c r="R3770">
        <v>0.99424388830346799</v>
      </c>
      <c r="S3770" t="s">
        <v>8066</v>
      </c>
      <c r="T3770" t="s">
        <v>8590</v>
      </c>
      <c r="U3770" t="s">
        <v>8590</v>
      </c>
      <c r="V3770" t="s">
        <v>8590</v>
      </c>
      <c r="W3770">
        <v>5</v>
      </c>
      <c r="X3770" t="s">
        <v>12360</v>
      </c>
      <c r="Y3770">
        <v>0.3368987207650756</v>
      </c>
      <c r="Z3770" t="str">
        <f>HYPERLINK("Melting_Curves/meltCurve_tr_C9J9K3_C9J9K3_HUMAN_.pdf", "Melting_Curves/meltCurve_tr_C9J9K3_C9J9K3_HUMAN_.pdf")</f>
        <v>Melting_Curves/meltCurve_tr_C9J9K3_C9J9K3_HUMAN_.pdf</v>
      </c>
      <c r="AA3770" t="s">
        <v>16598</v>
      </c>
      <c r="AB3770" t="s">
        <v>20847</v>
      </c>
    </row>
    <row r="3771" spans="1:28" x14ac:dyDescent="0.25">
      <c r="A3771" t="s">
        <v>3775</v>
      </c>
      <c r="B3771">
        <v>0.99876560204751996</v>
      </c>
      <c r="C3771">
        <v>0.85718676388070802</v>
      </c>
      <c r="D3771">
        <v>0.92436051650460005</v>
      </c>
      <c r="E3771">
        <v>0.83296115441676899</v>
      </c>
      <c r="F3771">
        <v>0.90337548799358902</v>
      </c>
      <c r="G3771">
        <v>0.760180462494774</v>
      </c>
      <c r="H3771">
        <v>0.72937369091335702</v>
      </c>
      <c r="I3771">
        <v>0.66379876957031203</v>
      </c>
      <c r="J3771">
        <v>0.73955191557125399</v>
      </c>
      <c r="K3771">
        <v>0.71936455813745104</v>
      </c>
      <c r="L3771">
        <v>323.27938088873299</v>
      </c>
      <c r="M3771">
        <v>5.9652860352713102</v>
      </c>
      <c r="O3771">
        <v>49.042506319595297</v>
      </c>
      <c r="P3771">
        <v>-1.1689523302931101E-2</v>
      </c>
      <c r="Q3771">
        <v>0.61685359823034003</v>
      </c>
      <c r="R3771">
        <v>0.79392516584065498</v>
      </c>
      <c r="S3771" t="s">
        <v>8067</v>
      </c>
      <c r="T3771" t="s">
        <v>8590</v>
      </c>
      <c r="U3771" t="s">
        <v>8590</v>
      </c>
      <c r="V3771" t="s">
        <v>8590</v>
      </c>
      <c r="W3771">
        <v>9</v>
      </c>
      <c r="X3771" t="s">
        <v>12361</v>
      </c>
      <c r="Y3771">
        <v>0.81152230857416563</v>
      </c>
      <c r="Z3771" t="str">
        <f>HYPERLINK("Melting_Curves/meltCurve_tr_C9JAX1_C9JAX1_HUMAN_.pdf", "Melting_Curves/meltCurve_tr_C9JAX1_C9JAX1_HUMAN_.pdf")</f>
        <v>Melting_Curves/meltCurve_tr_C9JAX1_C9JAX1_HUMAN_.pdf</v>
      </c>
      <c r="AA3771" t="s">
        <v>16599</v>
      </c>
      <c r="AB3771" t="s">
        <v>20848</v>
      </c>
    </row>
    <row r="3772" spans="1:28" x14ac:dyDescent="0.25">
      <c r="A3772" t="s">
        <v>3776</v>
      </c>
      <c r="B3772">
        <v>0.99876560204751996</v>
      </c>
      <c r="C3772">
        <v>0.80361665616814604</v>
      </c>
      <c r="D3772">
        <v>0.84953139608165196</v>
      </c>
      <c r="E3772">
        <v>0.69524140974656101</v>
      </c>
      <c r="F3772">
        <v>0.27490806985655603</v>
      </c>
      <c r="G3772">
        <v>0.19871081922136399</v>
      </c>
      <c r="H3772">
        <v>7.8647368798084497E-2</v>
      </c>
      <c r="I3772">
        <v>0.139221915798761</v>
      </c>
      <c r="J3772">
        <v>9.7407604508793794E-2</v>
      </c>
      <c r="K3772">
        <v>6.3674843268364895E-2</v>
      </c>
      <c r="L3772">
        <v>827.21745171667999</v>
      </c>
      <c r="M3772">
        <v>16.324684026902901</v>
      </c>
      <c r="N3772">
        <v>51.089386202522199</v>
      </c>
      <c r="O3772">
        <v>49.9307150678314</v>
      </c>
      <c r="P3772">
        <v>-7.6648680452235898E-2</v>
      </c>
      <c r="Q3772">
        <v>6.2316677492809898E-2</v>
      </c>
      <c r="R3772">
        <v>0.96082068749757599</v>
      </c>
      <c r="S3772" t="s">
        <v>8068</v>
      </c>
      <c r="T3772" t="s">
        <v>8590</v>
      </c>
      <c r="U3772" t="s">
        <v>8590</v>
      </c>
      <c r="V3772" t="s">
        <v>8590</v>
      </c>
      <c r="W3772">
        <v>1</v>
      </c>
      <c r="X3772" t="s">
        <v>12362</v>
      </c>
      <c r="Y3772">
        <v>0.41481638941990612</v>
      </c>
      <c r="Z3772" t="str">
        <f>HYPERLINK("Melting_Curves/meltCurve_tr_C9JB56_C9JB56_HUMAN_.pdf", "Melting_Curves/meltCurve_tr_C9JB56_C9JB56_HUMAN_.pdf")</f>
        <v>Melting_Curves/meltCurve_tr_C9JB56_C9JB56_HUMAN_.pdf</v>
      </c>
      <c r="AA3772" t="s">
        <v>16600</v>
      </c>
      <c r="AB3772" t="s">
        <v>20849</v>
      </c>
    </row>
    <row r="3773" spans="1:28" x14ac:dyDescent="0.25">
      <c r="A3773" t="s">
        <v>3777</v>
      </c>
      <c r="B3773">
        <v>0.99876560204751996</v>
      </c>
      <c r="C3773">
        <v>0.77680646482779803</v>
      </c>
      <c r="D3773">
        <v>1.2938827505767501</v>
      </c>
      <c r="E3773">
        <v>0.91994184455860895</v>
      </c>
      <c r="F3773">
        <v>0.84113034166140299</v>
      </c>
      <c r="G3773">
        <v>0.83331057813567799</v>
      </c>
      <c r="H3773">
        <v>0.55564376005906002</v>
      </c>
      <c r="I3773">
        <v>0.229014447368212</v>
      </c>
      <c r="J3773">
        <v>0</v>
      </c>
      <c r="K3773">
        <v>0</v>
      </c>
      <c r="L3773">
        <v>1627.8787030677499</v>
      </c>
      <c r="M3773">
        <v>26.676324603856099</v>
      </c>
      <c r="N3773">
        <v>61.023350371119598</v>
      </c>
      <c r="O3773">
        <v>60.683520325189498</v>
      </c>
      <c r="P3773">
        <v>-0.10990051786084901</v>
      </c>
      <c r="Q3773">
        <v>0</v>
      </c>
      <c r="R3773">
        <v>0.89890607830167202</v>
      </c>
      <c r="S3773" t="s">
        <v>8069</v>
      </c>
      <c r="T3773" t="s">
        <v>8590</v>
      </c>
      <c r="U3773" t="s">
        <v>8590</v>
      </c>
      <c r="V3773" t="s">
        <v>8590</v>
      </c>
      <c r="W3773">
        <v>5</v>
      </c>
      <c r="X3773" t="s">
        <v>12363</v>
      </c>
      <c r="Y3773">
        <v>0.7068226270308855</v>
      </c>
      <c r="Z3773" t="str">
        <f>HYPERLINK("Melting_Curves/meltCurve_tr_C9JBI3_C9JBI3_HUMAN_.pdf", "Melting_Curves/meltCurve_tr_C9JBI3_C9JBI3_HUMAN_.pdf")</f>
        <v>Melting_Curves/meltCurve_tr_C9JBI3_C9JBI3_HUMAN_.pdf</v>
      </c>
      <c r="AA3773" t="s">
        <v>16601</v>
      </c>
      <c r="AB3773" t="s">
        <v>20850</v>
      </c>
    </row>
    <row r="3774" spans="1:28" x14ac:dyDescent="0.25">
      <c r="A3774" t="s">
        <v>3778</v>
      </c>
      <c r="B3774">
        <v>0.99876560204751996</v>
      </c>
      <c r="C3774">
        <v>0.95746237105350396</v>
      </c>
      <c r="D3774">
        <v>1.03147736089987</v>
      </c>
      <c r="E3774">
        <v>0.74737035065003399</v>
      </c>
      <c r="F3774">
        <v>0.634870968274448</v>
      </c>
      <c r="G3774">
        <v>0.40925186949793402</v>
      </c>
      <c r="H3774">
        <v>0.21841713515268599</v>
      </c>
      <c r="I3774">
        <v>0.13311250594203899</v>
      </c>
      <c r="J3774">
        <v>0.13987671888044501</v>
      </c>
      <c r="K3774">
        <v>0.103372214934633</v>
      </c>
      <c r="L3774">
        <v>814.70679590115697</v>
      </c>
      <c r="M3774">
        <v>14.9663503049367</v>
      </c>
      <c r="N3774">
        <v>54.989490533069798</v>
      </c>
      <c r="O3774">
        <v>53.491772905692798</v>
      </c>
      <c r="P3774">
        <v>-6.5061994579567906E-2</v>
      </c>
      <c r="Q3774">
        <v>6.9933097861103397E-2</v>
      </c>
      <c r="R3774">
        <v>0.98978712870241303</v>
      </c>
      <c r="S3774" t="s">
        <v>8070</v>
      </c>
      <c r="T3774" t="s">
        <v>8590</v>
      </c>
      <c r="U3774" t="s">
        <v>8590</v>
      </c>
      <c r="V3774" t="s">
        <v>8590</v>
      </c>
      <c r="W3774">
        <v>3</v>
      </c>
      <c r="X3774" t="s">
        <v>12364</v>
      </c>
      <c r="Y3774">
        <v>0.53613963876001658</v>
      </c>
      <c r="Z3774" t="str">
        <f>HYPERLINK("Melting_Curves/meltCurve_tr_C9JBJ6_C9JBJ6_HUMAN_.pdf", "Melting_Curves/meltCurve_tr_C9JBJ6_C9JBJ6_HUMAN_.pdf")</f>
        <v>Melting_Curves/meltCurve_tr_C9JBJ6_C9JBJ6_HUMAN_.pdf</v>
      </c>
      <c r="AA3774" t="s">
        <v>16602</v>
      </c>
      <c r="AB3774" t="s">
        <v>20851</v>
      </c>
    </row>
    <row r="3775" spans="1:28" x14ac:dyDescent="0.25">
      <c r="A3775" t="s">
        <v>3779</v>
      </c>
      <c r="B3775">
        <v>0.99876560204751996</v>
      </c>
      <c r="C3775">
        <v>1.0066878482404999</v>
      </c>
      <c r="D3775">
        <v>1.0634656006071399</v>
      </c>
      <c r="E3775">
        <v>0.86221877333437003</v>
      </c>
      <c r="F3775">
        <v>0.87843076739916903</v>
      </c>
      <c r="G3775">
        <v>0.65487019980227401</v>
      </c>
      <c r="H3775">
        <v>0.51547326266929006</v>
      </c>
      <c r="I3775">
        <v>0.51876182223371503</v>
      </c>
      <c r="J3775">
        <v>0.61211411234276303</v>
      </c>
      <c r="K3775">
        <v>0.577420203842403</v>
      </c>
      <c r="L3775">
        <v>1339.7315221281599</v>
      </c>
      <c r="M3775">
        <v>24.748848261451801</v>
      </c>
      <c r="O3775">
        <v>53.783366873741997</v>
      </c>
      <c r="P3775">
        <v>-5.1835750623963603E-2</v>
      </c>
      <c r="Q3775">
        <v>0.54941544934085895</v>
      </c>
      <c r="R3775">
        <v>0.94317716191420498</v>
      </c>
      <c r="S3775" t="s">
        <v>8071</v>
      </c>
      <c r="T3775" t="s">
        <v>8590</v>
      </c>
      <c r="U3775" t="s">
        <v>8590</v>
      </c>
      <c r="V3775" t="s">
        <v>8590</v>
      </c>
      <c r="W3775">
        <v>8</v>
      </c>
      <c r="X3775" t="s">
        <v>12365</v>
      </c>
      <c r="Y3775">
        <v>0.76593490313466672</v>
      </c>
      <c r="Z3775" t="str">
        <f>HYPERLINK("Melting_Curves/meltCurve_tr_C9JE98_C9JE98_HUMAN_.pdf", "Melting_Curves/meltCurve_tr_C9JE98_C9JE98_HUMAN_.pdf")</f>
        <v>Melting_Curves/meltCurve_tr_C9JE98_C9JE98_HUMAN_.pdf</v>
      </c>
      <c r="AA3775" t="s">
        <v>16603</v>
      </c>
      <c r="AB3775" t="s">
        <v>20852</v>
      </c>
    </row>
    <row r="3776" spans="1:28" x14ac:dyDescent="0.25">
      <c r="A3776" t="s">
        <v>3780</v>
      </c>
      <c r="B3776">
        <v>0.99876560204751996</v>
      </c>
      <c r="C3776">
        <v>0.88561450280674003</v>
      </c>
      <c r="D3776">
        <v>0.83505951324473804</v>
      </c>
      <c r="E3776">
        <v>0.71361485184816298</v>
      </c>
      <c r="F3776">
        <v>0.41660376939821298</v>
      </c>
      <c r="G3776">
        <v>0.21542341719695701</v>
      </c>
      <c r="H3776">
        <v>0.15485337739972299</v>
      </c>
      <c r="I3776">
        <v>9.7012724517105603E-2</v>
      </c>
      <c r="J3776">
        <v>0.108518538898545</v>
      </c>
      <c r="K3776">
        <v>6.3898148745371794E-2</v>
      </c>
      <c r="L3776">
        <v>739.97896479730002</v>
      </c>
      <c r="M3776">
        <v>14.299727589237101</v>
      </c>
      <c r="N3776">
        <v>52.107847862234898</v>
      </c>
      <c r="O3776">
        <v>50.767306510559301</v>
      </c>
      <c r="P3776">
        <v>-6.7113347234376494E-2</v>
      </c>
      <c r="Q3776">
        <v>4.7045069265097703E-2</v>
      </c>
      <c r="R3776">
        <v>0.98910626290166703</v>
      </c>
      <c r="S3776" t="s">
        <v>8072</v>
      </c>
      <c r="T3776" t="s">
        <v>8590</v>
      </c>
      <c r="U3776" t="s">
        <v>8590</v>
      </c>
      <c r="V3776" t="s">
        <v>8590</v>
      </c>
      <c r="W3776">
        <v>3</v>
      </c>
      <c r="X3776" t="s">
        <v>12366</v>
      </c>
      <c r="Y3776">
        <v>0.44334230104453343</v>
      </c>
      <c r="Z3776" t="str">
        <f>HYPERLINK("Melting_Curves/meltCurve_tr_C9JEL3_C9JEL3_HUMAN_.pdf", "Melting_Curves/meltCurve_tr_C9JEL3_C9JEL3_HUMAN_.pdf")</f>
        <v>Melting_Curves/meltCurve_tr_C9JEL3_C9JEL3_HUMAN_.pdf</v>
      </c>
      <c r="AA3776" t="s">
        <v>16604</v>
      </c>
      <c r="AB3776" t="s">
        <v>20853</v>
      </c>
    </row>
    <row r="3777" spans="1:28" x14ac:dyDescent="0.25">
      <c r="A3777" t="s">
        <v>3781</v>
      </c>
      <c r="B3777">
        <v>0.99876560204751996</v>
      </c>
      <c r="C3777">
        <v>0.98572355620983998</v>
      </c>
      <c r="D3777">
        <v>0.87170486229757504</v>
      </c>
      <c r="E3777">
        <v>0.92519916296890004</v>
      </c>
      <c r="F3777">
        <v>0.70056491550367905</v>
      </c>
      <c r="G3777">
        <v>0.32068465336468999</v>
      </c>
      <c r="H3777">
        <v>0.111795850158599</v>
      </c>
      <c r="I3777">
        <v>9.1175207695499402E-2</v>
      </c>
      <c r="J3777">
        <v>0.10033229788647099</v>
      </c>
      <c r="K3777">
        <v>9.2667950789341105E-2</v>
      </c>
      <c r="L3777">
        <v>1352.7538401401901</v>
      </c>
      <c r="M3777">
        <v>24.797350626195001</v>
      </c>
      <c r="N3777">
        <v>54.919101097888102</v>
      </c>
      <c r="O3777">
        <v>54.201291039919397</v>
      </c>
      <c r="P3777">
        <v>-0.105650126658382</v>
      </c>
      <c r="Q3777">
        <v>7.6305597327719701E-2</v>
      </c>
      <c r="R3777">
        <v>0.98958423139104901</v>
      </c>
      <c r="S3777" t="s">
        <v>8073</v>
      </c>
      <c r="T3777" t="s">
        <v>8590</v>
      </c>
      <c r="U3777" t="s">
        <v>8590</v>
      </c>
      <c r="V3777" t="s">
        <v>8590</v>
      </c>
      <c r="W3777">
        <v>18</v>
      </c>
      <c r="X3777" t="s">
        <v>12367</v>
      </c>
      <c r="Y3777">
        <v>0.53304802528605033</v>
      </c>
      <c r="Z3777" t="str">
        <f>HYPERLINK("Melting_Curves/meltCurve_tr_C9JFE4_C9JFE4_HUMAN_.pdf", "Melting_Curves/meltCurve_tr_C9JFE4_C9JFE4_HUMAN_.pdf")</f>
        <v>Melting_Curves/meltCurve_tr_C9JFE4_C9JFE4_HUMAN_.pdf</v>
      </c>
      <c r="AA3777" t="s">
        <v>16605</v>
      </c>
      <c r="AB3777" t="s">
        <v>20854</v>
      </c>
    </row>
    <row r="3778" spans="1:28" x14ac:dyDescent="0.25">
      <c r="A3778" t="s">
        <v>3782</v>
      </c>
      <c r="B3778">
        <v>0.99876560204751996</v>
      </c>
      <c r="C3778">
        <v>1.00852908015826</v>
      </c>
      <c r="D3778">
        <v>1.0331191541656</v>
      </c>
      <c r="E3778">
        <v>0.69556221024691101</v>
      </c>
      <c r="F3778">
        <v>0.41783293553166401</v>
      </c>
      <c r="G3778">
        <v>9.3953394935608295E-2</v>
      </c>
      <c r="H3778">
        <v>0.28451917113777198</v>
      </c>
      <c r="I3778">
        <v>7.5064520733571893E-2</v>
      </c>
      <c r="J3778">
        <v>6.2181513525370498E-2</v>
      </c>
      <c r="K3778">
        <v>0.14067880907517899</v>
      </c>
      <c r="L3778">
        <v>1485.9748565391001</v>
      </c>
      <c r="M3778">
        <v>28.9167122683927</v>
      </c>
      <c r="N3778">
        <v>51.895816523533597</v>
      </c>
      <c r="O3778">
        <v>51.144195407945503</v>
      </c>
      <c r="P3778">
        <v>-0.123935040030412</v>
      </c>
      <c r="Q3778">
        <v>0.12320423806781899</v>
      </c>
      <c r="R3778">
        <v>0.97260157978509099</v>
      </c>
      <c r="S3778" t="s">
        <v>8074</v>
      </c>
      <c r="T3778" t="s">
        <v>8590</v>
      </c>
      <c r="U3778" t="s">
        <v>8590</v>
      </c>
      <c r="V3778" t="s">
        <v>8590</v>
      </c>
      <c r="W3778">
        <v>5</v>
      </c>
      <c r="X3778" t="s">
        <v>12368</v>
      </c>
      <c r="Y3778">
        <v>0.4620083597813549</v>
      </c>
      <c r="Z3778" t="str">
        <f>HYPERLINK("Melting_Curves/meltCurve_tr_C9JFR9_C9JFR9_HUMAN_.pdf", "Melting_Curves/meltCurve_tr_C9JFR9_C9JFR9_HUMAN_.pdf")</f>
        <v>Melting_Curves/meltCurve_tr_C9JFR9_C9JFR9_HUMAN_.pdf</v>
      </c>
      <c r="AA3778" t="s">
        <v>16606</v>
      </c>
      <c r="AB3778" t="s">
        <v>20855</v>
      </c>
    </row>
    <row r="3779" spans="1:28" x14ac:dyDescent="0.25">
      <c r="A3779" t="s">
        <v>3783</v>
      </c>
      <c r="B3779">
        <v>0.99876560204751996</v>
      </c>
      <c r="C3779">
        <v>1.0160722081940401</v>
      </c>
      <c r="D3779">
        <v>1.01488148391995</v>
      </c>
      <c r="E3779">
        <v>0.96874539551675798</v>
      </c>
      <c r="F3779">
        <v>0.89295452094476901</v>
      </c>
      <c r="G3779">
        <v>0.59309950208231399</v>
      </c>
      <c r="H3779">
        <v>0.27066057074282901</v>
      </c>
      <c r="I3779">
        <v>0.173283696258444</v>
      </c>
      <c r="J3779">
        <v>0.15847482405969901</v>
      </c>
      <c r="K3779">
        <v>0.122489408007824</v>
      </c>
      <c r="L3779">
        <v>1436.2068209884201</v>
      </c>
      <c r="M3779">
        <v>25.0754371719893</v>
      </c>
      <c r="N3779">
        <v>57.911366607077497</v>
      </c>
      <c r="O3779">
        <v>56.914883345634799</v>
      </c>
      <c r="P3779">
        <v>-9.6890086779919907E-2</v>
      </c>
      <c r="Q3779">
        <v>0.120347712247889</v>
      </c>
      <c r="R3779">
        <v>0.99926800230053203</v>
      </c>
      <c r="S3779" t="s">
        <v>8075</v>
      </c>
      <c r="T3779" t="s">
        <v>8590</v>
      </c>
      <c r="U3779" t="s">
        <v>8590</v>
      </c>
      <c r="V3779" t="s">
        <v>8590</v>
      </c>
      <c r="W3779">
        <v>6</v>
      </c>
      <c r="X3779" t="s">
        <v>12369</v>
      </c>
      <c r="Y3779">
        <v>0.63472130661026793</v>
      </c>
      <c r="Z3779" t="str">
        <f>HYPERLINK("Melting_Curves/meltCurve_tr_C9JG97_C9JG97_HUMAN_.pdf", "Melting_Curves/meltCurve_tr_C9JG97_C9JG97_HUMAN_.pdf")</f>
        <v>Melting_Curves/meltCurve_tr_C9JG97_C9JG97_HUMAN_.pdf</v>
      </c>
      <c r="AA3779" t="s">
        <v>16607</v>
      </c>
      <c r="AB3779" t="s">
        <v>20856</v>
      </c>
    </row>
    <row r="3780" spans="1:28" x14ac:dyDescent="0.25">
      <c r="A3780" t="s">
        <v>3784</v>
      </c>
      <c r="B3780">
        <v>0.99876560204751996</v>
      </c>
      <c r="C3780">
        <v>0.90559745738504405</v>
      </c>
      <c r="D3780">
        <v>0.82412457567233</v>
      </c>
      <c r="E3780">
        <v>0.31327558234472902</v>
      </c>
      <c r="F3780">
        <v>0.15483177568983</v>
      </c>
      <c r="G3780">
        <v>8.9172109174545794E-2</v>
      </c>
      <c r="H3780">
        <v>5.6495381681818002E-2</v>
      </c>
      <c r="I3780">
        <v>3.9509239655997203E-2</v>
      </c>
      <c r="J3780">
        <v>3.3201682917724101E-2</v>
      </c>
      <c r="K3780">
        <v>3.5935037911008098E-2</v>
      </c>
      <c r="L3780">
        <v>1204.2345852492101</v>
      </c>
      <c r="M3780">
        <v>24.9021334528653</v>
      </c>
      <c r="N3780">
        <v>48.541174856687697</v>
      </c>
      <c r="O3780">
        <v>48.050070804599599</v>
      </c>
      <c r="P3780">
        <v>-0.123775764264521</v>
      </c>
      <c r="Q3780">
        <v>4.4683779123093403E-2</v>
      </c>
      <c r="R3780">
        <v>0.99597796983141296</v>
      </c>
      <c r="S3780" t="s">
        <v>8076</v>
      </c>
      <c r="T3780" t="s">
        <v>8590</v>
      </c>
      <c r="U3780" t="s">
        <v>8590</v>
      </c>
      <c r="V3780" t="s">
        <v>8590</v>
      </c>
      <c r="W3780">
        <v>6</v>
      </c>
      <c r="X3780" t="s">
        <v>12370</v>
      </c>
      <c r="Y3780">
        <v>0.31936945765899422</v>
      </c>
      <c r="Z3780" t="str">
        <f>HYPERLINK("Melting_Curves/meltCurve_tr_C9JGB2_C9JGB2_HUMAN_.pdf", "Melting_Curves/meltCurve_tr_C9JGB2_C9JGB2_HUMAN_.pdf")</f>
        <v>Melting_Curves/meltCurve_tr_C9JGB2_C9JGB2_HUMAN_.pdf</v>
      </c>
      <c r="AA3780" t="s">
        <v>16608</v>
      </c>
      <c r="AB3780" t="s">
        <v>20857</v>
      </c>
    </row>
    <row r="3781" spans="1:28" x14ac:dyDescent="0.25">
      <c r="A3781" t="s">
        <v>3785</v>
      </c>
      <c r="B3781">
        <v>0.99876560204751996</v>
      </c>
      <c r="C3781">
        <v>0.85058822913745602</v>
      </c>
      <c r="D3781">
        <v>0.81083842203594703</v>
      </c>
      <c r="E3781">
        <v>0.57278065975053405</v>
      </c>
      <c r="F3781">
        <v>0.22895325009933901</v>
      </c>
      <c r="G3781">
        <v>0.136303886762805</v>
      </c>
      <c r="H3781">
        <v>8.9634790890923799E-2</v>
      </c>
      <c r="I3781">
        <v>5.0174199112592403E-2</v>
      </c>
      <c r="J3781">
        <v>5.7649514499635401E-2</v>
      </c>
      <c r="K3781">
        <v>3.4929307216453501E-2</v>
      </c>
      <c r="L3781">
        <v>809.75968718067804</v>
      </c>
      <c r="M3781">
        <v>16.234978860210699</v>
      </c>
      <c r="N3781">
        <v>50.053458686953903</v>
      </c>
      <c r="O3781">
        <v>49.139138135468102</v>
      </c>
      <c r="P3781">
        <v>-8.0311553445466699E-2</v>
      </c>
      <c r="Q3781">
        <v>2.77417352334779E-2</v>
      </c>
      <c r="R3781">
        <v>0.986895311823206</v>
      </c>
      <c r="S3781" t="s">
        <v>8077</v>
      </c>
      <c r="T3781" t="s">
        <v>8590</v>
      </c>
      <c r="U3781" t="s">
        <v>8590</v>
      </c>
      <c r="V3781" t="s">
        <v>8590</v>
      </c>
      <c r="W3781">
        <v>2</v>
      </c>
      <c r="X3781" t="s">
        <v>12371</v>
      </c>
      <c r="Y3781">
        <v>0.36801874423795439</v>
      </c>
      <c r="Z3781" t="str">
        <f>HYPERLINK("Melting_Curves/meltCurve_tr_C9JIK8_C9JIK8_HUMAN_.pdf", "Melting_Curves/meltCurve_tr_C9JIK8_C9JIK8_HUMAN_.pdf")</f>
        <v>Melting_Curves/meltCurve_tr_C9JIK8_C9JIK8_HUMAN_.pdf</v>
      </c>
      <c r="AA3781" t="s">
        <v>16609</v>
      </c>
      <c r="AB3781" t="s">
        <v>20858</v>
      </c>
    </row>
    <row r="3782" spans="1:28" x14ac:dyDescent="0.25">
      <c r="A3782" t="s">
        <v>3786</v>
      </c>
      <c r="B3782">
        <v>0.99876560204751996</v>
      </c>
      <c r="C3782">
        <v>0.68938028213506897</v>
      </c>
      <c r="D3782">
        <v>0.65437993012632001</v>
      </c>
      <c r="E3782">
        <v>0.34690728218105998</v>
      </c>
      <c r="F3782">
        <v>0.27432592044675302</v>
      </c>
      <c r="G3782">
        <v>0.14453984760049701</v>
      </c>
      <c r="H3782">
        <v>0.13515715550972099</v>
      </c>
      <c r="I3782">
        <v>0.125609045884117</v>
      </c>
      <c r="J3782">
        <v>0.14426281753682099</v>
      </c>
      <c r="K3782">
        <v>0.146123164918147</v>
      </c>
      <c r="L3782">
        <v>649.65587217807104</v>
      </c>
      <c r="M3782">
        <v>13.953380974801901</v>
      </c>
      <c r="N3782">
        <v>47.459143513035798</v>
      </c>
      <c r="O3782">
        <v>45.633998618708603</v>
      </c>
      <c r="P3782">
        <v>-6.7563642033894603E-2</v>
      </c>
      <c r="Q3782">
        <v>0.116261255434514</v>
      </c>
      <c r="R3782">
        <v>0.97229607731661605</v>
      </c>
      <c r="S3782" t="s">
        <v>8078</v>
      </c>
      <c r="T3782" t="s">
        <v>8590</v>
      </c>
      <c r="U3782" t="s">
        <v>8590</v>
      </c>
      <c r="V3782" t="s">
        <v>8590</v>
      </c>
      <c r="W3782">
        <v>3</v>
      </c>
      <c r="X3782" t="s">
        <v>12372</v>
      </c>
      <c r="Y3782">
        <v>0.33815325161648752</v>
      </c>
      <c r="Z3782" t="str">
        <f>HYPERLINK("Melting_Curves/meltCurve_tr_C9JNE2_C9JNE2_HUMAN_.pdf", "Melting_Curves/meltCurve_tr_C9JNE2_C9JNE2_HUMAN_.pdf")</f>
        <v>Melting_Curves/meltCurve_tr_C9JNE2_C9JNE2_HUMAN_.pdf</v>
      </c>
      <c r="AA3782" t="s">
        <v>16610</v>
      </c>
      <c r="AB3782" t="s">
        <v>20859</v>
      </c>
    </row>
    <row r="3783" spans="1:28" x14ac:dyDescent="0.25">
      <c r="A3783" t="s">
        <v>3787</v>
      </c>
      <c r="B3783">
        <v>0.99876560204751996</v>
      </c>
      <c r="C3783">
        <v>1.2060729981254901</v>
      </c>
      <c r="D3783">
        <v>1.0770498366361101</v>
      </c>
      <c r="E3783">
        <v>0.98408055487327595</v>
      </c>
      <c r="F3783">
        <v>0.64448697735395799</v>
      </c>
      <c r="G3783">
        <v>0.73800997183816197</v>
      </c>
      <c r="H3783">
        <v>0.45953522641394901</v>
      </c>
      <c r="I3783">
        <v>0.41720493739570202</v>
      </c>
      <c r="J3783">
        <v>0.64171377724733503</v>
      </c>
      <c r="K3783">
        <v>0.53015290044899899</v>
      </c>
      <c r="L3783">
        <v>3731.0116339268002</v>
      </c>
      <c r="M3783">
        <v>71.732120338383098</v>
      </c>
      <c r="O3783">
        <v>51.972742113787298</v>
      </c>
      <c r="P3783">
        <v>-0.153035404902506</v>
      </c>
      <c r="Q3783">
        <v>0.556479414489918</v>
      </c>
      <c r="R3783">
        <v>0.83017909477750595</v>
      </c>
      <c r="S3783" t="s">
        <v>8079</v>
      </c>
      <c r="T3783" t="s">
        <v>8590</v>
      </c>
      <c r="U3783" t="s">
        <v>8590</v>
      </c>
      <c r="V3783" t="s">
        <v>8590</v>
      </c>
      <c r="W3783">
        <v>1</v>
      </c>
      <c r="X3783" t="s">
        <v>12373</v>
      </c>
      <c r="Y3783">
        <v>0.73457464554726026</v>
      </c>
      <c r="Z3783" t="str">
        <f>HYPERLINK("Melting_Curves/meltCurve_tr_C9JP32_C9JP32_HUMAN_.pdf", "Melting_Curves/meltCurve_tr_C9JP32_C9JP32_HUMAN_.pdf")</f>
        <v>Melting_Curves/meltCurve_tr_C9JP32_C9JP32_HUMAN_.pdf</v>
      </c>
      <c r="AA3783" t="s">
        <v>16611</v>
      </c>
      <c r="AB3783" t="s">
        <v>20860</v>
      </c>
    </row>
    <row r="3784" spans="1:28" x14ac:dyDescent="0.25">
      <c r="A3784" t="s">
        <v>3788</v>
      </c>
      <c r="B3784">
        <v>0.99876560204751996</v>
      </c>
      <c r="C3784">
        <v>0.96617819670099903</v>
      </c>
      <c r="D3784">
        <v>1.07443896992729</v>
      </c>
      <c r="E3784">
        <v>0.94085994824248498</v>
      </c>
      <c r="F3784">
        <v>0.95134322368581803</v>
      </c>
      <c r="G3784">
        <v>0.79211540607803199</v>
      </c>
      <c r="H3784">
        <v>0.654275615090532</v>
      </c>
      <c r="I3784">
        <v>0.66279899020159205</v>
      </c>
      <c r="J3784">
        <v>0.75909372671387298</v>
      </c>
      <c r="K3784">
        <v>0.74201734130105701</v>
      </c>
      <c r="L3784">
        <v>2066.6646096172299</v>
      </c>
      <c r="M3784">
        <v>37.381277384705399</v>
      </c>
      <c r="O3784">
        <v>55.128580315328499</v>
      </c>
      <c r="P3784">
        <v>-5.0032391979408397E-2</v>
      </c>
      <c r="Q3784">
        <v>0.70485681922196897</v>
      </c>
      <c r="R3784">
        <v>0.90297511713506795</v>
      </c>
      <c r="S3784" t="s">
        <v>8080</v>
      </c>
      <c r="T3784" t="s">
        <v>8590</v>
      </c>
      <c r="U3784" t="s">
        <v>8590</v>
      </c>
      <c r="V3784" t="s">
        <v>8590</v>
      </c>
      <c r="W3784">
        <v>10</v>
      </c>
      <c r="X3784" t="s">
        <v>12374</v>
      </c>
      <c r="Y3784">
        <v>0.85652678865539789</v>
      </c>
      <c r="Z3784" t="str">
        <f>HYPERLINK("Melting_Curves/meltCurve_tr_C9JQ41_C9JQ41_HUMAN_.pdf", "Melting_Curves/meltCurve_tr_C9JQ41_C9JQ41_HUMAN_.pdf")</f>
        <v>Melting_Curves/meltCurve_tr_C9JQ41_C9JQ41_HUMAN_.pdf</v>
      </c>
      <c r="AA3784" t="s">
        <v>16612</v>
      </c>
      <c r="AB3784" t="s">
        <v>20861</v>
      </c>
    </row>
    <row r="3785" spans="1:28" x14ac:dyDescent="0.25">
      <c r="A3785" t="s">
        <v>3789</v>
      </c>
      <c r="B3785">
        <v>0.99876560204751996</v>
      </c>
      <c r="C3785">
        <v>1.03032871462076</v>
      </c>
      <c r="D3785">
        <v>0.85999029443762598</v>
      </c>
      <c r="E3785">
        <v>0.831177096158215</v>
      </c>
      <c r="F3785">
        <v>0.80013053587869098</v>
      </c>
      <c r="G3785">
        <v>0.56627292082559499</v>
      </c>
      <c r="H3785">
        <v>0.29582274990933199</v>
      </c>
      <c r="I3785">
        <v>0.19938743662288699</v>
      </c>
      <c r="J3785">
        <v>0.120736498787977</v>
      </c>
      <c r="K3785">
        <v>9.7893927004213399E-2</v>
      </c>
      <c r="L3785">
        <v>751.31931179175899</v>
      </c>
      <c r="M3785">
        <v>13.05608715785</v>
      </c>
      <c r="N3785">
        <v>57.5455222499332</v>
      </c>
      <c r="O3785">
        <v>56.2457132352543</v>
      </c>
      <c r="P3785">
        <v>-5.8041558544260803E-2</v>
      </c>
      <c r="Q3785">
        <v>0</v>
      </c>
      <c r="R3785">
        <v>0.98445277753875204</v>
      </c>
      <c r="S3785" t="s">
        <v>8081</v>
      </c>
      <c r="T3785" t="s">
        <v>8590</v>
      </c>
      <c r="U3785" t="s">
        <v>8590</v>
      </c>
      <c r="V3785" t="s">
        <v>8590</v>
      </c>
      <c r="W3785">
        <v>2</v>
      </c>
      <c r="X3785" t="s">
        <v>12375</v>
      </c>
      <c r="Y3785">
        <v>0.59976986008894884</v>
      </c>
      <c r="Z3785" t="str">
        <f>HYPERLINK("Melting_Curves/meltCurve_tr_C9JQB1_C9JQB1_HUMAN_.pdf", "Melting_Curves/meltCurve_tr_C9JQB1_C9JQB1_HUMAN_.pdf")</f>
        <v>Melting_Curves/meltCurve_tr_C9JQB1_C9JQB1_HUMAN_.pdf</v>
      </c>
      <c r="AA3785" t="s">
        <v>16613</v>
      </c>
      <c r="AB3785" t="s">
        <v>20862</v>
      </c>
    </row>
    <row r="3786" spans="1:28" x14ac:dyDescent="0.25">
      <c r="A3786" t="s">
        <v>3790</v>
      </c>
      <c r="B3786">
        <v>0.99876560204751996</v>
      </c>
      <c r="C3786">
        <v>0.83100539062980505</v>
      </c>
      <c r="D3786">
        <v>0.67201453500844599</v>
      </c>
      <c r="E3786">
        <v>0.54062638597217905</v>
      </c>
      <c r="F3786">
        <v>0.27648316767140202</v>
      </c>
      <c r="G3786">
        <v>0.11670496856795801</v>
      </c>
      <c r="H3786">
        <v>0.103963658242392</v>
      </c>
      <c r="I3786">
        <v>6.3067605228530499E-2</v>
      </c>
      <c r="J3786">
        <v>4.7315310370178901E-2</v>
      </c>
      <c r="K3786">
        <v>3.82523367474231E-2</v>
      </c>
      <c r="L3786">
        <v>610.79295029576997</v>
      </c>
      <c r="M3786">
        <v>12.381372137822501</v>
      </c>
      <c r="N3786">
        <v>49.374287247972497</v>
      </c>
      <c r="O3786">
        <v>48.097696026124297</v>
      </c>
      <c r="P3786">
        <v>-6.4026396481170894E-2</v>
      </c>
      <c r="Q3786">
        <v>5.3231761714618601E-3</v>
      </c>
      <c r="R3786">
        <v>0.98750113061757905</v>
      </c>
      <c r="S3786" t="s">
        <v>8082</v>
      </c>
      <c r="T3786" t="s">
        <v>8590</v>
      </c>
      <c r="U3786" t="s">
        <v>8590</v>
      </c>
      <c r="V3786" t="s">
        <v>8590</v>
      </c>
      <c r="W3786">
        <v>1</v>
      </c>
      <c r="X3786" t="s">
        <v>12376</v>
      </c>
      <c r="Y3786">
        <v>0.34873396450304411</v>
      </c>
      <c r="Z3786" t="str">
        <f>HYPERLINK("Melting_Curves/meltCurve_tr_C9JQD1_C9JQD1_HUMAN_.pdf", "Melting_Curves/meltCurve_tr_C9JQD1_C9JQD1_HUMAN_.pdf")</f>
        <v>Melting_Curves/meltCurve_tr_C9JQD1_C9JQD1_HUMAN_.pdf</v>
      </c>
      <c r="AA3786" t="s">
        <v>16614</v>
      </c>
      <c r="AB3786" t="s">
        <v>20863</v>
      </c>
    </row>
    <row r="3787" spans="1:28" x14ac:dyDescent="0.25">
      <c r="A3787" t="s">
        <v>3791</v>
      </c>
      <c r="B3787">
        <v>0.99876560204751996</v>
      </c>
      <c r="C3787">
        <v>0.94766164093164396</v>
      </c>
      <c r="D3787">
        <v>0.97292776755336197</v>
      </c>
      <c r="E3787">
        <v>0.70747151242172202</v>
      </c>
      <c r="F3787">
        <v>0.29886319234588599</v>
      </c>
      <c r="G3787">
        <v>0.15104089048223299</v>
      </c>
      <c r="H3787">
        <v>4.4643883453351303E-2</v>
      </c>
      <c r="I3787">
        <v>3.34943893543646E-2</v>
      </c>
      <c r="J3787">
        <v>1.52141367008755E-2</v>
      </c>
      <c r="K3787">
        <v>0</v>
      </c>
      <c r="L3787">
        <v>1348.84369972319</v>
      </c>
      <c r="M3787">
        <v>26.213697142560299</v>
      </c>
      <c r="N3787">
        <v>51.557620823020002</v>
      </c>
      <c r="O3787">
        <v>51.159048030831599</v>
      </c>
      <c r="P3787">
        <v>-0.12486545198756099</v>
      </c>
      <c r="Q3787">
        <v>2.5253985328292001E-2</v>
      </c>
      <c r="R3787">
        <v>0.99537777775617398</v>
      </c>
      <c r="S3787" t="s">
        <v>8083</v>
      </c>
      <c r="T3787" t="s">
        <v>8590</v>
      </c>
      <c r="U3787" t="s">
        <v>8590</v>
      </c>
      <c r="V3787" t="s">
        <v>8590</v>
      </c>
      <c r="W3787">
        <v>2</v>
      </c>
      <c r="X3787" t="s">
        <v>12377</v>
      </c>
      <c r="Y3787">
        <v>0.4055321183944427</v>
      </c>
      <c r="Z3787" t="str">
        <f>HYPERLINK("Melting_Curves/meltCurve_tr_C9JQD4_C9JQD4_HUMAN_.pdf", "Melting_Curves/meltCurve_tr_C9JQD4_C9JQD4_HUMAN_.pdf")</f>
        <v>Melting_Curves/meltCurve_tr_C9JQD4_C9JQD4_HUMAN_.pdf</v>
      </c>
      <c r="AA3787" t="s">
        <v>16615</v>
      </c>
      <c r="AB3787" t="s">
        <v>20864</v>
      </c>
    </row>
    <row r="3788" spans="1:28" x14ac:dyDescent="0.25">
      <c r="A3788" t="s">
        <v>3792</v>
      </c>
      <c r="B3788">
        <v>0.99876560204751996</v>
      </c>
      <c r="C3788">
        <v>0.87182345777508397</v>
      </c>
      <c r="D3788">
        <v>1.0001852470435799</v>
      </c>
      <c r="E3788">
        <v>0.99178776701256699</v>
      </c>
      <c r="F3788">
        <v>0.828370448562193</v>
      </c>
      <c r="G3788">
        <v>0.48022348683471699</v>
      </c>
      <c r="H3788">
        <v>0.42354561895238402</v>
      </c>
      <c r="I3788">
        <v>0.36437330534436602</v>
      </c>
      <c r="J3788">
        <v>0.33175960470049498</v>
      </c>
      <c r="K3788">
        <v>0.21164472005603599</v>
      </c>
      <c r="L3788">
        <v>1374.1304842361801</v>
      </c>
      <c r="M3788">
        <v>24.8560411082352</v>
      </c>
      <c r="N3788">
        <v>57.402567071065697</v>
      </c>
      <c r="O3788">
        <v>54.929450486015298</v>
      </c>
      <c r="P3788">
        <v>-7.9161475620048202E-2</v>
      </c>
      <c r="Q3788">
        <v>0.30025274778322802</v>
      </c>
      <c r="R3788">
        <v>0.96169416113873396</v>
      </c>
      <c r="S3788" t="s">
        <v>8084</v>
      </c>
      <c r="T3788" t="s">
        <v>8590</v>
      </c>
      <c r="U3788" t="s">
        <v>8590</v>
      </c>
      <c r="V3788" t="s">
        <v>8590</v>
      </c>
      <c r="W3788">
        <v>2</v>
      </c>
      <c r="X3788" t="s">
        <v>12378</v>
      </c>
      <c r="Y3788">
        <v>0.66327048923119292</v>
      </c>
      <c r="Z3788" t="str">
        <f>HYPERLINK("Melting_Curves/meltCurve_tr_C9JQV3_C9JQV3_HUMAN_.pdf", "Melting_Curves/meltCurve_tr_C9JQV3_C9JQV3_HUMAN_.pdf")</f>
        <v>Melting_Curves/meltCurve_tr_C9JQV3_C9JQV3_HUMAN_.pdf</v>
      </c>
      <c r="AA3788" t="s">
        <v>16616</v>
      </c>
      <c r="AB3788" t="s">
        <v>20865</v>
      </c>
    </row>
    <row r="3789" spans="1:28" x14ac:dyDescent="0.25">
      <c r="A3789" t="s">
        <v>3793</v>
      </c>
      <c r="B3789">
        <v>0.99876560204751996</v>
      </c>
      <c r="C3789">
        <v>0.99695937983743399</v>
      </c>
      <c r="D3789">
        <v>1.25241986903097</v>
      </c>
      <c r="E3789">
        <v>0.97854037843421404</v>
      </c>
      <c r="F3789">
        <v>1.27131937722689</v>
      </c>
      <c r="G3789">
        <v>1.07001648474056</v>
      </c>
      <c r="H3789">
        <v>0.87678091820750603</v>
      </c>
      <c r="I3789">
        <v>0.99942741362576704</v>
      </c>
      <c r="J3789">
        <v>1.7060013203986</v>
      </c>
      <c r="K3789">
        <v>1.5312073040738601</v>
      </c>
      <c r="L3789">
        <v>15000</v>
      </c>
      <c r="M3789">
        <v>230.58727650842701</v>
      </c>
      <c r="O3789">
        <v>65.046396808800097</v>
      </c>
      <c r="P3789">
        <v>0.44312076655949301</v>
      </c>
      <c r="Q3789">
        <v>1.5</v>
      </c>
      <c r="R3789">
        <v>0.692452068753457</v>
      </c>
      <c r="S3789" t="s">
        <v>8085</v>
      </c>
      <c r="T3789" t="s">
        <v>8590</v>
      </c>
      <c r="U3789" t="s">
        <v>8590</v>
      </c>
      <c r="V3789" t="s">
        <v>8590</v>
      </c>
      <c r="W3789">
        <v>1</v>
      </c>
      <c r="X3789" t="s">
        <v>12379</v>
      </c>
      <c r="Y3789">
        <v>1.082411385157513</v>
      </c>
      <c r="Z3789" t="str">
        <f>HYPERLINK("Melting_Curves/meltCurve_tr_C9JTW6_C9JTW6_HUMAN_.pdf", "Melting_Curves/meltCurve_tr_C9JTW6_C9JTW6_HUMAN_.pdf")</f>
        <v>Melting_Curves/meltCurve_tr_C9JTW6_C9JTW6_HUMAN_.pdf</v>
      </c>
      <c r="AA3789" t="s">
        <v>16617</v>
      </c>
      <c r="AB3789" t="s">
        <v>20866</v>
      </c>
    </row>
    <row r="3790" spans="1:28" x14ac:dyDescent="0.25">
      <c r="A3790" t="s">
        <v>3794</v>
      </c>
      <c r="B3790">
        <v>0.99876560204751996</v>
      </c>
      <c r="C3790">
        <v>0.903725334651305</v>
      </c>
      <c r="D3790">
        <v>0.75349212986085701</v>
      </c>
      <c r="E3790">
        <v>0.59170008009957198</v>
      </c>
      <c r="F3790">
        <v>0.36590320246668301</v>
      </c>
      <c r="G3790">
        <v>0.23251980641803599</v>
      </c>
      <c r="H3790">
        <v>0.150959998282538</v>
      </c>
      <c r="I3790">
        <v>0.118528379066291</v>
      </c>
      <c r="J3790">
        <v>0.127944057757609</v>
      </c>
      <c r="K3790">
        <v>0.103947853706438</v>
      </c>
      <c r="L3790">
        <v>661.65544573514899</v>
      </c>
      <c r="M3790">
        <v>13.1884858340579</v>
      </c>
      <c r="N3790">
        <v>50.830880716859802</v>
      </c>
      <c r="O3790">
        <v>49.057792780005698</v>
      </c>
      <c r="P3790">
        <v>-6.1917973068983397E-2</v>
      </c>
      <c r="Q3790">
        <v>7.8877794401938706E-2</v>
      </c>
      <c r="R3790">
        <v>0.995816327124186</v>
      </c>
      <c r="S3790" t="s">
        <v>8086</v>
      </c>
      <c r="T3790" t="s">
        <v>8590</v>
      </c>
      <c r="U3790" t="s">
        <v>8590</v>
      </c>
      <c r="V3790" t="s">
        <v>8590</v>
      </c>
      <c r="W3790">
        <v>6</v>
      </c>
      <c r="X3790" t="s">
        <v>12380</v>
      </c>
      <c r="Y3790">
        <v>0.41828516549471267</v>
      </c>
      <c r="Z3790" t="str">
        <f>HYPERLINK("Melting_Curves/meltCurve_tr_C9JVN9_C9JVN9_HUMAN_.pdf", "Melting_Curves/meltCurve_tr_C9JVN9_C9JVN9_HUMAN_.pdf")</f>
        <v>Melting_Curves/meltCurve_tr_C9JVN9_C9JVN9_HUMAN_.pdf</v>
      </c>
      <c r="AA3790" t="s">
        <v>16618</v>
      </c>
      <c r="AB3790" t="s">
        <v>20867</v>
      </c>
    </row>
    <row r="3791" spans="1:28" x14ac:dyDescent="0.25">
      <c r="A3791" t="s">
        <v>3795</v>
      </c>
      <c r="B3791">
        <v>0.99876560204751996</v>
      </c>
      <c r="C3791">
        <v>1.00852490319176</v>
      </c>
      <c r="D3791">
        <v>0.914650512468971</v>
      </c>
      <c r="E3791">
        <v>0.89171918335097999</v>
      </c>
      <c r="F3791">
        <v>0.65051859135615298</v>
      </c>
      <c r="G3791">
        <v>0.36023172976293699</v>
      </c>
      <c r="H3791">
        <v>0.20858306684136499</v>
      </c>
      <c r="I3791">
        <v>0.15982157207488301</v>
      </c>
      <c r="J3791">
        <v>0.15241753122110399</v>
      </c>
      <c r="K3791">
        <v>0.13650934344922699</v>
      </c>
      <c r="L3791">
        <v>1101.88631489931</v>
      </c>
      <c r="M3791">
        <v>20.3487214692537</v>
      </c>
      <c r="N3791">
        <v>54.952894481406098</v>
      </c>
      <c r="O3791">
        <v>53.635317789518098</v>
      </c>
      <c r="P3791">
        <v>-8.2655428242224993E-2</v>
      </c>
      <c r="Q3791">
        <v>0.12857121698906401</v>
      </c>
      <c r="R3791">
        <v>0.99621158353440598</v>
      </c>
      <c r="S3791" t="s">
        <v>8087</v>
      </c>
      <c r="T3791" t="s">
        <v>8590</v>
      </c>
      <c r="U3791" t="s">
        <v>8590</v>
      </c>
      <c r="V3791" t="s">
        <v>8590</v>
      </c>
      <c r="W3791">
        <v>23</v>
      </c>
      <c r="X3791" t="s">
        <v>12381</v>
      </c>
      <c r="Y3791">
        <v>0.5510911995283394</v>
      </c>
      <c r="Z3791" t="str">
        <f>HYPERLINK("Melting_Curves/meltCurve_tr_C9JVR1_C9JVR1_HUMAN_.pdf", "Melting_Curves/meltCurve_tr_C9JVR1_C9JVR1_HUMAN_.pdf")</f>
        <v>Melting_Curves/meltCurve_tr_C9JVR1_C9JVR1_HUMAN_.pdf</v>
      </c>
      <c r="AA3791" t="s">
        <v>16619</v>
      </c>
      <c r="AB3791" t="s">
        <v>20868</v>
      </c>
    </row>
    <row r="3792" spans="1:28" x14ac:dyDescent="0.25">
      <c r="A3792" t="s">
        <v>3796</v>
      </c>
      <c r="B3792">
        <v>0.99876560204751996</v>
      </c>
      <c r="C3792">
        <v>0.84059644403331202</v>
      </c>
      <c r="D3792">
        <v>0.434525840731595</v>
      </c>
      <c r="E3792">
        <v>0.25874622876054598</v>
      </c>
      <c r="F3792">
        <v>0.127828937077194</v>
      </c>
      <c r="G3792">
        <v>7.0288308577406103E-2</v>
      </c>
      <c r="H3792">
        <v>5.6262359944580301E-2</v>
      </c>
      <c r="I3792">
        <v>4.8373298583347601E-2</v>
      </c>
      <c r="J3792">
        <v>5.3955575449449802E-2</v>
      </c>
      <c r="K3792">
        <v>5.2176669301074299E-2</v>
      </c>
      <c r="L3792">
        <v>951.46067365359102</v>
      </c>
      <c r="M3792">
        <v>20.819633224418599</v>
      </c>
      <c r="N3792">
        <v>45.984901768936297</v>
      </c>
      <c r="O3792">
        <v>45.2848109185189</v>
      </c>
      <c r="P3792">
        <v>-0.107989666779916</v>
      </c>
      <c r="Q3792">
        <v>6.0472232970791802E-2</v>
      </c>
      <c r="R3792">
        <v>0.98937057718842603</v>
      </c>
      <c r="S3792" t="s">
        <v>8088</v>
      </c>
      <c r="T3792" t="s">
        <v>8590</v>
      </c>
      <c r="U3792" t="s">
        <v>8590</v>
      </c>
      <c r="V3792" t="s">
        <v>8590</v>
      </c>
      <c r="W3792">
        <v>5</v>
      </c>
      <c r="X3792" t="s">
        <v>12382</v>
      </c>
      <c r="Y3792">
        <v>0.25252819310507868</v>
      </c>
      <c r="Z3792" t="str">
        <f>HYPERLINK("Melting_Curves/meltCurve_tr_C9JW69_C9JW69_HUMAN_.pdf", "Melting_Curves/meltCurve_tr_C9JW69_C9JW69_HUMAN_.pdf")</f>
        <v>Melting_Curves/meltCurve_tr_C9JW69_C9JW69_HUMAN_.pdf</v>
      </c>
      <c r="AA3792" t="s">
        <v>16620</v>
      </c>
      <c r="AB3792" t="s">
        <v>20869</v>
      </c>
    </row>
    <row r="3793" spans="1:28" x14ac:dyDescent="0.25">
      <c r="A3793" t="s">
        <v>3797</v>
      </c>
      <c r="B3793">
        <v>0.99876560204751996</v>
      </c>
      <c r="C3793">
        <v>1.0151476628538301</v>
      </c>
      <c r="D3793">
        <v>0.79578906172211294</v>
      </c>
      <c r="E3793">
        <v>0.68810828617022002</v>
      </c>
      <c r="F3793">
        <v>0.71193137888164704</v>
      </c>
      <c r="G3793">
        <v>0.41067120906781301</v>
      </c>
      <c r="H3793">
        <v>0.39770795450221702</v>
      </c>
      <c r="I3793">
        <v>0.26009186825627301</v>
      </c>
      <c r="J3793">
        <v>0.39283968983113798</v>
      </c>
      <c r="K3793">
        <v>0.32948795550816201</v>
      </c>
      <c r="L3793">
        <v>621.25403220704004</v>
      </c>
      <c r="M3793">
        <v>11.954728704421999</v>
      </c>
      <c r="N3793">
        <v>55.8579275644855</v>
      </c>
      <c r="O3793">
        <v>50.577133641763702</v>
      </c>
      <c r="P3793">
        <v>-4.2404963472049299E-2</v>
      </c>
      <c r="Q3793">
        <v>0.282561056629128</v>
      </c>
      <c r="R3793">
        <v>0.94112577054722502</v>
      </c>
      <c r="S3793" t="s">
        <v>8089</v>
      </c>
      <c r="T3793" t="s">
        <v>8590</v>
      </c>
      <c r="U3793" t="s">
        <v>8590</v>
      </c>
      <c r="V3793" t="s">
        <v>8590</v>
      </c>
      <c r="W3793">
        <v>1</v>
      </c>
      <c r="X3793" t="s">
        <v>12383</v>
      </c>
      <c r="Y3793">
        <v>0.59086436055044023</v>
      </c>
      <c r="Z3793" t="str">
        <f>HYPERLINK("Melting_Curves/meltCurve_tr_C9JXB8_C9JXB8_HUMAN_.pdf", "Melting_Curves/meltCurve_tr_C9JXB8_C9JXB8_HUMAN_.pdf")</f>
        <v>Melting_Curves/meltCurve_tr_C9JXB8_C9JXB8_HUMAN_.pdf</v>
      </c>
      <c r="AA3793" t="s">
        <v>16621</v>
      </c>
      <c r="AB3793" t="s">
        <v>20870</v>
      </c>
    </row>
    <row r="3794" spans="1:28" x14ac:dyDescent="0.25">
      <c r="A3794" t="s">
        <v>3798</v>
      </c>
      <c r="B3794">
        <v>0.99876560204751996</v>
      </c>
      <c r="C3794">
        <v>0.90698704872426295</v>
      </c>
      <c r="D3794">
        <v>1.0019672345908599</v>
      </c>
      <c r="E3794">
        <v>0.95089099748708605</v>
      </c>
      <c r="F3794">
        <v>0.92915982768608396</v>
      </c>
      <c r="G3794">
        <v>0.78104801206320296</v>
      </c>
      <c r="H3794">
        <v>0.69883845262158495</v>
      </c>
      <c r="I3794">
        <v>0.67371495681125704</v>
      </c>
      <c r="J3794">
        <v>0.85822953229772003</v>
      </c>
      <c r="K3794">
        <v>0.82291268866376899</v>
      </c>
      <c r="L3794">
        <v>2266.5844616403101</v>
      </c>
      <c r="M3794">
        <v>42.1052795001522</v>
      </c>
      <c r="O3794">
        <v>53.7103580389306</v>
      </c>
      <c r="P3794">
        <v>-4.6467046066948202E-2</v>
      </c>
      <c r="Q3794">
        <v>0.76290313299898205</v>
      </c>
      <c r="R3794">
        <v>0.71220278930544101</v>
      </c>
      <c r="S3794" t="s">
        <v>8090</v>
      </c>
      <c r="T3794" t="s">
        <v>8590</v>
      </c>
      <c r="U3794" t="s">
        <v>8590</v>
      </c>
      <c r="V3794" t="s">
        <v>8590</v>
      </c>
      <c r="W3794">
        <v>4</v>
      </c>
      <c r="X3794" t="s">
        <v>12384</v>
      </c>
      <c r="Y3794">
        <v>0.87301020254500572</v>
      </c>
      <c r="Z3794" t="str">
        <f>HYPERLINK("Melting_Curves/meltCurve_tr_C9JXK0_C9JXK0_HUMAN_.pdf", "Melting_Curves/meltCurve_tr_C9JXK0_C9JXK0_HUMAN_.pdf")</f>
        <v>Melting_Curves/meltCurve_tr_C9JXK0_C9JXK0_HUMAN_.pdf</v>
      </c>
      <c r="AA3794" t="s">
        <v>16622</v>
      </c>
      <c r="AB3794" t="s">
        <v>20871</v>
      </c>
    </row>
    <row r="3795" spans="1:28" x14ac:dyDescent="0.25">
      <c r="A3795" t="s">
        <v>3799</v>
      </c>
      <c r="B3795">
        <v>0.99876560204751996</v>
      </c>
      <c r="C3795">
        <v>0.99368522259260295</v>
      </c>
      <c r="D3795">
        <v>1.1650132189928299</v>
      </c>
      <c r="E3795">
        <v>0.83059848075259102</v>
      </c>
      <c r="F3795">
        <v>0.69233733391877605</v>
      </c>
      <c r="G3795">
        <v>0.52204544014360299</v>
      </c>
      <c r="H3795">
        <v>0.58841619607778795</v>
      </c>
      <c r="I3795">
        <v>0.32391690951590701</v>
      </c>
      <c r="J3795">
        <v>0.62991253384173695</v>
      </c>
      <c r="K3795">
        <v>0.56437754719641497</v>
      </c>
      <c r="L3795">
        <v>1706.6865908167399</v>
      </c>
      <c r="M3795">
        <v>33.099257231348801</v>
      </c>
      <c r="O3795">
        <v>51.3755630065465</v>
      </c>
      <c r="P3795">
        <v>-7.66904601445631E-2</v>
      </c>
      <c r="Q3795">
        <v>0.52385660367105402</v>
      </c>
      <c r="R3795">
        <v>0.85126585351581296</v>
      </c>
      <c r="S3795" t="s">
        <v>8091</v>
      </c>
      <c r="T3795" t="s">
        <v>8590</v>
      </c>
      <c r="U3795" t="s">
        <v>8590</v>
      </c>
      <c r="V3795" t="s">
        <v>8590</v>
      </c>
      <c r="W3795">
        <v>8</v>
      </c>
      <c r="X3795" t="s">
        <v>12385</v>
      </c>
      <c r="Y3795">
        <v>0.70985541666327356</v>
      </c>
      <c r="Z3795" t="str">
        <f>HYPERLINK("Melting_Curves/meltCurve_tr_C9JXK9_C9JXK9_HUMAN_.pdf", "Melting_Curves/meltCurve_tr_C9JXK9_C9JXK9_HUMAN_.pdf")</f>
        <v>Melting_Curves/meltCurve_tr_C9JXK9_C9JXK9_HUMAN_.pdf</v>
      </c>
      <c r="AA3795" t="s">
        <v>15417</v>
      </c>
      <c r="AB3795" t="s">
        <v>20872</v>
      </c>
    </row>
    <row r="3796" spans="1:28" x14ac:dyDescent="0.25">
      <c r="A3796" t="s">
        <v>3800</v>
      </c>
      <c r="B3796">
        <v>0.99876560204751996</v>
      </c>
      <c r="C3796">
        <v>1.04288291228478</v>
      </c>
      <c r="D3796">
        <v>1.01333591039653</v>
      </c>
      <c r="E3796">
        <v>1.08624817070666</v>
      </c>
      <c r="F3796">
        <v>0.95443803603461597</v>
      </c>
      <c r="G3796">
        <v>0.80004069449601001</v>
      </c>
      <c r="H3796">
        <v>0.40853807114699298</v>
      </c>
      <c r="I3796">
        <v>0.20283586036547399</v>
      </c>
      <c r="J3796">
        <v>0.116993827598296</v>
      </c>
      <c r="K3796">
        <v>9.9358836897913597E-2</v>
      </c>
      <c r="L3796">
        <v>1650.9574110542601</v>
      </c>
      <c r="M3796">
        <v>27.667155755355001</v>
      </c>
      <c r="N3796">
        <v>60.050692851613</v>
      </c>
      <c r="O3796">
        <v>59.362993698108298</v>
      </c>
      <c r="P3796">
        <v>-0.107192900098477</v>
      </c>
      <c r="Q3796">
        <v>8.00308858111487E-2</v>
      </c>
      <c r="R3796">
        <v>0.99316327794930903</v>
      </c>
      <c r="S3796" t="s">
        <v>8092</v>
      </c>
      <c r="T3796" t="s">
        <v>8590</v>
      </c>
      <c r="U3796" t="s">
        <v>8590</v>
      </c>
      <c r="V3796" t="s">
        <v>8590</v>
      </c>
      <c r="W3796">
        <v>3</v>
      </c>
      <c r="X3796" t="s">
        <v>12386</v>
      </c>
      <c r="Y3796">
        <v>0.68962861351731986</v>
      </c>
      <c r="Z3796" t="str">
        <f>HYPERLINK("Melting_Curves/meltCurve_tr_C9JZP6_C9JZP6_HUMAN_.pdf", "Melting_Curves/meltCurve_tr_C9JZP6_C9JZP6_HUMAN_.pdf")</f>
        <v>Melting_Curves/meltCurve_tr_C9JZP6_C9JZP6_HUMAN_.pdf</v>
      </c>
      <c r="AA3796" t="s">
        <v>16623</v>
      </c>
      <c r="AB3796" t="s">
        <v>20873</v>
      </c>
    </row>
    <row r="3797" spans="1:28" x14ac:dyDescent="0.25">
      <c r="A3797" t="s">
        <v>3801</v>
      </c>
      <c r="B3797">
        <v>0.99876560204751996</v>
      </c>
      <c r="C3797">
        <v>0.86406331771838196</v>
      </c>
      <c r="D3797">
        <v>0.76369360919123996</v>
      </c>
      <c r="E3797">
        <v>0.72174425420611799</v>
      </c>
      <c r="F3797">
        <v>0.70180951333219899</v>
      </c>
      <c r="G3797">
        <v>0.61427596387898298</v>
      </c>
      <c r="H3797">
        <v>0.41090445981198298</v>
      </c>
      <c r="I3797">
        <v>0.22984566340453699</v>
      </c>
      <c r="J3797">
        <v>0.115326329379148</v>
      </c>
      <c r="K3797">
        <v>0.10623002488276</v>
      </c>
      <c r="L3797">
        <v>485.41854471874501</v>
      </c>
      <c r="M3797">
        <v>8.5543423310552509</v>
      </c>
      <c r="N3797">
        <v>56.745260476976199</v>
      </c>
      <c r="O3797">
        <v>53.899376355940099</v>
      </c>
      <c r="P3797">
        <v>-3.97122805464174E-2</v>
      </c>
      <c r="Q3797">
        <v>0</v>
      </c>
      <c r="R3797">
        <v>0.93612057633279699</v>
      </c>
      <c r="S3797" t="s">
        <v>8093</v>
      </c>
      <c r="T3797" t="s">
        <v>8590</v>
      </c>
      <c r="U3797" t="s">
        <v>8590</v>
      </c>
      <c r="V3797" t="s">
        <v>8590</v>
      </c>
      <c r="W3797">
        <v>5</v>
      </c>
      <c r="X3797" t="s">
        <v>12387</v>
      </c>
      <c r="Y3797">
        <v>0.5734409820266142</v>
      </c>
      <c r="Z3797" t="str">
        <f>HYPERLINK("Melting_Curves/meltCurve_tr_C9JZY6_C9JZY6_HUMAN_.pdf", "Melting_Curves/meltCurve_tr_C9JZY6_C9JZY6_HUMAN_.pdf")</f>
        <v>Melting_Curves/meltCurve_tr_C9JZY6_C9JZY6_HUMAN_.pdf</v>
      </c>
      <c r="AA3797" t="s">
        <v>16624</v>
      </c>
      <c r="AB3797" t="s">
        <v>20874</v>
      </c>
    </row>
    <row r="3798" spans="1:28" x14ac:dyDescent="0.25">
      <c r="A3798" t="s">
        <v>3802</v>
      </c>
      <c r="B3798">
        <v>0.99876560204751996</v>
      </c>
      <c r="C3798">
        <v>0.89160451276730301</v>
      </c>
      <c r="D3798">
        <v>0.77635390526955905</v>
      </c>
      <c r="E3798">
        <v>0.49161885710056802</v>
      </c>
      <c r="F3798">
        <v>0.171210883470614</v>
      </c>
      <c r="G3798">
        <v>0.102419073807969</v>
      </c>
      <c r="H3798">
        <v>5.59975242187341E-2</v>
      </c>
      <c r="I3798">
        <v>3.9064183639290997E-2</v>
      </c>
      <c r="J3798">
        <v>3.3811162875912001E-2</v>
      </c>
      <c r="K3798">
        <v>2.9119987828419701E-2</v>
      </c>
      <c r="L3798">
        <v>887.41560952331804</v>
      </c>
      <c r="M3798">
        <v>18.0432705579599</v>
      </c>
      <c r="N3798">
        <v>49.302007580878801</v>
      </c>
      <c r="O3798">
        <v>48.590441377345201</v>
      </c>
      <c r="P3798">
        <v>-9.0853730333624802E-2</v>
      </c>
      <c r="Q3798">
        <v>2.1373185324277798E-2</v>
      </c>
      <c r="R3798">
        <v>0.99387079938964296</v>
      </c>
      <c r="S3798" t="s">
        <v>8094</v>
      </c>
      <c r="T3798" t="s">
        <v>8590</v>
      </c>
      <c r="U3798" t="s">
        <v>8590</v>
      </c>
      <c r="V3798" t="s">
        <v>8590</v>
      </c>
      <c r="W3798">
        <v>10</v>
      </c>
      <c r="X3798" t="s">
        <v>12388</v>
      </c>
      <c r="Y3798">
        <v>0.3377335665523421</v>
      </c>
      <c r="Z3798" t="str">
        <f>HYPERLINK("Melting_Curves/meltCurve_tr_D3DR31_D3DR31_HUMAN_.pdf", "Melting_Curves/meltCurve_tr_D3DR31_D3DR31_HUMAN_.pdf")</f>
        <v>Melting_Curves/meltCurve_tr_D3DR31_D3DR31_HUMAN_.pdf</v>
      </c>
      <c r="AA3798" t="s">
        <v>16625</v>
      </c>
      <c r="AB3798" t="s">
        <v>20875</v>
      </c>
    </row>
    <row r="3799" spans="1:28" x14ac:dyDescent="0.25">
      <c r="A3799" t="s">
        <v>3803</v>
      </c>
      <c r="B3799">
        <v>0.99876560204751996</v>
      </c>
      <c r="C3799">
        <v>0.82146706413651405</v>
      </c>
      <c r="D3799">
        <v>0.59539843837901696</v>
      </c>
      <c r="E3799">
        <v>0.71802878899184697</v>
      </c>
      <c r="F3799">
        <v>0.37069336795972002</v>
      </c>
      <c r="G3799">
        <v>0.24886232180561699</v>
      </c>
      <c r="H3799">
        <v>0.12517659676456799</v>
      </c>
      <c r="I3799">
        <v>9.3535976927632603E-2</v>
      </c>
      <c r="J3799">
        <v>6.7667900191595395E-2</v>
      </c>
      <c r="K3799">
        <v>6.6617987409604201E-2</v>
      </c>
      <c r="L3799">
        <v>500.78352598770601</v>
      </c>
      <c r="M3799">
        <v>9.8577474332594406</v>
      </c>
      <c r="N3799">
        <v>50.801010003869401</v>
      </c>
      <c r="O3799">
        <v>48.8429025055229</v>
      </c>
      <c r="P3799">
        <v>-5.0482318787023202E-2</v>
      </c>
      <c r="Q3799">
        <v>0</v>
      </c>
      <c r="R3799">
        <v>0.94453394588762196</v>
      </c>
      <c r="S3799" t="s">
        <v>8095</v>
      </c>
      <c r="T3799" t="s">
        <v>8590</v>
      </c>
      <c r="U3799" t="s">
        <v>8590</v>
      </c>
      <c r="V3799" t="s">
        <v>8590</v>
      </c>
      <c r="W3799">
        <v>1</v>
      </c>
      <c r="X3799" t="s">
        <v>12389</v>
      </c>
      <c r="Y3799">
        <v>0.40310900628336338</v>
      </c>
      <c r="Z3799" t="str">
        <f>HYPERLINK("Melting_Curves/meltCurve_tr_D3DTZ5_D3DTZ5_HUMAN_.pdf", "Melting_Curves/meltCurve_tr_D3DTZ5_D3DTZ5_HUMAN_.pdf")</f>
        <v>Melting_Curves/meltCurve_tr_D3DTZ5_D3DTZ5_HUMAN_.pdf</v>
      </c>
      <c r="AA3799" t="s">
        <v>16626</v>
      </c>
      <c r="AB3799" t="s">
        <v>20876</v>
      </c>
    </row>
    <row r="3800" spans="1:28" x14ac:dyDescent="0.25">
      <c r="A3800" t="s">
        <v>3804</v>
      </c>
      <c r="B3800">
        <v>0.99876560204751996</v>
      </c>
      <c r="C3800">
        <v>0.87141131626877799</v>
      </c>
      <c r="D3800">
        <v>0.95183511101390095</v>
      </c>
      <c r="E3800">
        <v>0.79024305808251605</v>
      </c>
      <c r="F3800">
        <v>0.63401601526418605</v>
      </c>
      <c r="G3800">
        <v>0.401508595033786</v>
      </c>
      <c r="H3800">
        <v>0.326317057789272</v>
      </c>
      <c r="I3800">
        <v>0.38376843931773602</v>
      </c>
      <c r="J3800">
        <v>0.48941623061203599</v>
      </c>
      <c r="K3800">
        <v>0.40429365846543702</v>
      </c>
      <c r="L3800">
        <v>1207.8411663557199</v>
      </c>
      <c r="M3800">
        <v>23.467140755441498</v>
      </c>
      <c r="N3800">
        <v>55.023528322672099</v>
      </c>
      <c r="O3800">
        <v>51.1000994682569</v>
      </c>
      <c r="P3800">
        <v>-7.0014234130978598E-2</v>
      </c>
      <c r="Q3800">
        <v>0.390181956254393</v>
      </c>
      <c r="R3800">
        <v>0.94193503576595805</v>
      </c>
      <c r="S3800" t="s">
        <v>8096</v>
      </c>
      <c r="T3800" t="s">
        <v>8590</v>
      </c>
      <c r="U3800" t="s">
        <v>8590</v>
      </c>
      <c r="V3800" t="s">
        <v>8590</v>
      </c>
      <c r="W3800">
        <v>2</v>
      </c>
      <c r="X3800" t="s">
        <v>12390</v>
      </c>
      <c r="Y3800">
        <v>0.62958322671888722</v>
      </c>
      <c r="Z3800" t="str">
        <f>HYPERLINK("Melting_Curves/meltCurve_tr_D3YHP0_D3YHP0_HUMAN_.pdf", "Melting_Curves/meltCurve_tr_D3YHP0_D3YHP0_HUMAN_.pdf")</f>
        <v>Melting_Curves/meltCurve_tr_D3YHP0_D3YHP0_HUMAN_.pdf</v>
      </c>
      <c r="AA3800" t="s">
        <v>16627</v>
      </c>
      <c r="AB3800" t="s">
        <v>20877</v>
      </c>
    </row>
    <row r="3801" spans="1:28" x14ac:dyDescent="0.25">
      <c r="A3801" t="s">
        <v>3805</v>
      </c>
      <c r="B3801">
        <v>0.99876560204751996</v>
      </c>
      <c r="C3801">
        <v>0.94783397813581705</v>
      </c>
      <c r="D3801">
        <v>1.21151116143065</v>
      </c>
      <c r="E3801">
        <v>0.99775136314048496</v>
      </c>
      <c r="F3801">
        <v>0.91715535343626997</v>
      </c>
      <c r="G3801">
        <v>0.83098750885318695</v>
      </c>
      <c r="H3801">
        <v>0.64469052713707897</v>
      </c>
      <c r="I3801">
        <v>0.57993871920095896</v>
      </c>
      <c r="J3801">
        <v>0.80120910502089904</v>
      </c>
      <c r="K3801">
        <v>1.0050783487886199</v>
      </c>
      <c r="L3801">
        <v>2150.2633418557198</v>
      </c>
      <c r="M3801">
        <v>39.714585156849502</v>
      </c>
      <c r="O3801">
        <v>54.006181311275903</v>
      </c>
      <c r="P3801">
        <v>-4.3235732669866897E-2</v>
      </c>
      <c r="Q3801">
        <v>0.76482273975146498</v>
      </c>
      <c r="R3801">
        <v>0.49416994293309602</v>
      </c>
      <c r="S3801" t="s">
        <v>8097</v>
      </c>
      <c r="T3801" t="s">
        <v>8590</v>
      </c>
      <c r="U3801" t="s">
        <v>8590</v>
      </c>
      <c r="V3801" t="s">
        <v>8590</v>
      </c>
      <c r="W3801">
        <v>2</v>
      </c>
      <c r="X3801" t="s">
        <v>12391</v>
      </c>
      <c r="Y3801">
        <v>0.87658331462841754</v>
      </c>
      <c r="Z3801" t="str">
        <f>HYPERLINK("Melting_Curves/meltCurve_tr_D3YTE0_D3YTE0_HUMAN_.pdf", "Melting_Curves/meltCurve_tr_D3YTE0_D3YTE0_HUMAN_.pdf")</f>
        <v>Melting_Curves/meltCurve_tr_D3YTE0_D3YTE0_HUMAN_.pdf</v>
      </c>
      <c r="AA3801" t="s">
        <v>16628</v>
      </c>
      <c r="AB3801" t="s">
        <v>20878</v>
      </c>
    </row>
    <row r="3802" spans="1:28" x14ac:dyDescent="0.25">
      <c r="A3802" t="s">
        <v>3806</v>
      </c>
      <c r="B3802">
        <v>0.99876560204751996</v>
      </c>
      <c r="C3802">
        <v>0.94306824257132504</v>
      </c>
      <c r="D3802">
        <v>0.78286481668757402</v>
      </c>
      <c r="E3802">
        <v>0.51258535286224205</v>
      </c>
      <c r="F3802">
        <v>0.24296045338955299</v>
      </c>
      <c r="G3802">
        <v>0.16337157073876801</v>
      </c>
      <c r="H3802">
        <v>9.8717980525455107E-2</v>
      </c>
      <c r="I3802">
        <v>8.2875391724555506E-2</v>
      </c>
      <c r="J3802">
        <v>6.4909201959675297E-2</v>
      </c>
      <c r="K3802">
        <v>0.113828475189537</v>
      </c>
      <c r="L3802">
        <v>902.31311816700997</v>
      </c>
      <c r="M3802">
        <v>18.3098909637337</v>
      </c>
      <c r="N3802">
        <v>49.738669521726599</v>
      </c>
      <c r="O3802">
        <v>48.7035466945404</v>
      </c>
      <c r="P3802">
        <v>-8.6690865962880698E-2</v>
      </c>
      <c r="Q3802">
        <v>7.7666188990256596E-2</v>
      </c>
      <c r="R3802">
        <v>0.99635869813906397</v>
      </c>
      <c r="S3802" t="s">
        <v>8098</v>
      </c>
      <c r="T3802" t="s">
        <v>8590</v>
      </c>
      <c r="U3802" t="s">
        <v>8590</v>
      </c>
      <c r="V3802" t="s">
        <v>8590</v>
      </c>
      <c r="W3802">
        <v>4</v>
      </c>
      <c r="X3802" t="s">
        <v>12392</v>
      </c>
      <c r="Y3802">
        <v>0.37834792698561298</v>
      </c>
      <c r="Z3802" t="str">
        <f>HYPERLINK("Melting_Curves/meltCurve_tr_D6R9D6_D6R9D6_HUMAN_.pdf", "Melting_Curves/meltCurve_tr_D6R9D6_D6R9D6_HUMAN_.pdf")</f>
        <v>Melting_Curves/meltCurve_tr_D6R9D6_D6R9D6_HUMAN_.pdf</v>
      </c>
      <c r="AA3802" t="s">
        <v>16629</v>
      </c>
      <c r="AB3802" t="s">
        <v>20879</v>
      </c>
    </row>
    <row r="3803" spans="1:28" x14ac:dyDescent="0.25">
      <c r="A3803" t="s">
        <v>3807</v>
      </c>
      <c r="B3803">
        <v>0.99876560204751996</v>
      </c>
      <c r="C3803">
        <v>0.96913231521236198</v>
      </c>
      <c r="D3803">
        <v>1.1068367754239601</v>
      </c>
      <c r="E3803">
        <v>0.83234131345490303</v>
      </c>
      <c r="F3803">
        <v>0.69985926865425196</v>
      </c>
      <c r="G3803">
        <v>0.51695916682369802</v>
      </c>
      <c r="H3803">
        <v>0.12625414328408599</v>
      </c>
      <c r="I3803">
        <v>0.10075062767262299</v>
      </c>
      <c r="J3803">
        <v>0</v>
      </c>
      <c r="K3803">
        <v>0</v>
      </c>
      <c r="L3803">
        <v>1024.5700359395</v>
      </c>
      <c r="M3803">
        <v>18.282471579499799</v>
      </c>
      <c r="N3803">
        <v>56.041111913421098</v>
      </c>
      <c r="O3803">
        <v>55.383536859809404</v>
      </c>
      <c r="P3803">
        <v>-8.2530482079815795E-2</v>
      </c>
      <c r="Q3803">
        <v>0</v>
      </c>
      <c r="R3803">
        <v>0.97868779763979596</v>
      </c>
      <c r="S3803" t="s">
        <v>8099</v>
      </c>
      <c r="T3803" t="s">
        <v>8590</v>
      </c>
      <c r="U3803" t="s">
        <v>8590</v>
      </c>
      <c r="V3803" t="s">
        <v>8590</v>
      </c>
      <c r="W3803">
        <v>2</v>
      </c>
      <c r="X3803" t="s">
        <v>12393</v>
      </c>
      <c r="Y3803">
        <v>0.54912923743092146</v>
      </c>
      <c r="Z3803" t="str">
        <f>HYPERLINK("Melting_Curves/meltCurve_tr_D6R9G1_D6R9G1_HUMAN_.pdf", "Melting_Curves/meltCurve_tr_D6R9G1_D6R9G1_HUMAN_.pdf")</f>
        <v>Melting_Curves/meltCurve_tr_D6R9G1_D6R9G1_HUMAN_.pdf</v>
      </c>
      <c r="AA3803" t="s">
        <v>16630</v>
      </c>
      <c r="AB3803" t="s">
        <v>20880</v>
      </c>
    </row>
    <row r="3804" spans="1:28" x14ac:dyDescent="0.25">
      <c r="A3804" t="s">
        <v>3808</v>
      </c>
      <c r="B3804">
        <v>0.99876560204751996</v>
      </c>
      <c r="C3804">
        <v>0.92605205202271101</v>
      </c>
      <c r="D3804">
        <v>0.97575034525689897</v>
      </c>
      <c r="E3804">
        <v>0.87357048159212802</v>
      </c>
      <c r="F3804">
        <v>0.85739128782998797</v>
      </c>
      <c r="G3804">
        <v>0.637526221099874</v>
      </c>
      <c r="H3804">
        <v>0.52983984853547095</v>
      </c>
      <c r="I3804">
        <v>0.50967753501189905</v>
      </c>
      <c r="J3804">
        <v>0.580312901516428</v>
      </c>
      <c r="K3804">
        <v>0.53441344940128599</v>
      </c>
      <c r="L3804">
        <v>1067.7569157449</v>
      </c>
      <c r="M3804">
        <v>19.754832189975399</v>
      </c>
      <c r="O3804">
        <v>53.505697335775402</v>
      </c>
      <c r="P3804">
        <v>-4.4296455572388503E-2</v>
      </c>
      <c r="Q3804">
        <v>0.52011100354587703</v>
      </c>
      <c r="R3804">
        <v>0.95932683131697305</v>
      </c>
      <c r="S3804" t="s">
        <v>8100</v>
      </c>
      <c r="T3804" t="s">
        <v>8590</v>
      </c>
      <c r="U3804" t="s">
        <v>8590</v>
      </c>
      <c r="V3804" t="s">
        <v>8590</v>
      </c>
      <c r="W3804">
        <v>8</v>
      </c>
      <c r="X3804" t="s">
        <v>12394</v>
      </c>
      <c r="Y3804">
        <v>0.75151253815770758</v>
      </c>
      <c r="Z3804" t="str">
        <f>HYPERLINK("Melting_Curves/meltCurve_tr_D6R9P3_D6R9P3_HUMAN_.pdf", "Melting_Curves/meltCurve_tr_D6R9P3_D6R9P3_HUMAN_.pdf")</f>
        <v>Melting_Curves/meltCurve_tr_D6R9P3_D6R9P3_HUMAN_.pdf</v>
      </c>
      <c r="AA3804" t="s">
        <v>16631</v>
      </c>
      <c r="AB3804" t="s">
        <v>20881</v>
      </c>
    </row>
    <row r="3805" spans="1:28" x14ac:dyDescent="0.25">
      <c r="A3805" t="s">
        <v>3809</v>
      </c>
      <c r="B3805">
        <v>0.99876560204751996</v>
      </c>
      <c r="C3805">
        <v>0.96460001435195297</v>
      </c>
      <c r="D3805">
        <v>0.25459203326288099</v>
      </c>
      <c r="E3805">
        <v>0.29766785095814902</v>
      </c>
      <c r="F3805">
        <v>0.39242810299472097</v>
      </c>
      <c r="G3805">
        <v>0</v>
      </c>
      <c r="H3805">
        <v>0.16816829373183001</v>
      </c>
      <c r="I3805">
        <v>0</v>
      </c>
      <c r="J3805">
        <v>0</v>
      </c>
      <c r="K3805">
        <v>0</v>
      </c>
      <c r="L3805">
        <v>3020.2209702260002</v>
      </c>
      <c r="M3805">
        <v>67.359408895419406</v>
      </c>
      <c r="N3805">
        <v>45.0246248183335</v>
      </c>
      <c r="O3805">
        <v>44.797934359884302</v>
      </c>
      <c r="P3805">
        <v>-0.329992354578446</v>
      </c>
      <c r="Q3805">
        <v>0.1221436249986</v>
      </c>
      <c r="R3805">
        <v>0.87446277040796505</v>
      </c>
      <c r="S3805" t="s">
        <v>8101</v>
      </c>
      <c r="T3805" t="s">
        <v>8590</v>
      </c>
      <c r="U3805" t="s">
        <v>8590</v>
      </c>
      <c r="V3805" t="s">
        <v>8590</v>
      </c>
      <c r="W3805">
        <v>1</v>
      </c>
      <c r="X3805" t="s">
        <v>12395</v>
      </c>
      <c r="Y3805">
        <v>0.26465374144943038</v>
      </c>
      <c r="Z3805" t="str">
        <f>HYPERLINK("Melting_Curves/meltCurve_tr_D6RAL3_D6RAL3_HUMAN_.pdf", "Melting_Curves/meltCurve_tr_D6RAL3_D6RAL3_HUMAN_.pdf")</f>
        <v>Melting_Curves/meltCurve_tr_D6RAL3_D6RAL3_HUMAN_.pdf</v>
      </c>
      <c r="AA3805" t="s">
        <v>16632</v>
      </c>
      <c r="AB3805" t="s">
        <v>20882</v>
      </c>
    </row>
    <row r="3806" spans="1:28" x14ac:dyDescent="0.25">
      <c r="A3806" t="s">
        <v>3810</v>
      </c>
      <c r="B3806">
        <v>0.99876560204751996</v>
      </c>
      <c r="C3806">
        <v>0.950084875193968</v>
      </c>
      <c r="D3806">
        <v>0.91021588563909905</v>
      </c>
      <c r="E3806">
        <v>0.92484508955446398</v>
      </c>
      <c r="F3806">
        <v>0.66280444436339303</v>
      </c>
      <c r="G3806">
        <v>0.20327938603059001</v>
      </c>
      <c r="H3806">
        <v>0.100325707140261</v>
      </c>
      <c r="I3806">
        <v>5.8947060727206999E-2</v>
      </c>
      <c r="J3806">
        <v>5.99246653729648E-2</v>
      </c>
      <c r="K3806">
        <v>5.1338701143187199E-2</v>
      </c>
      <c r="L3806">
        <v>1627.89065286705</v>
      </c>
      <c r="M3806">
        <v>30.154506713468901</v>
      </c>
      <c r="N3806">
        <v>54.196397153926398</v>
      </c>
      <c r="O3806">
        <v>53.749233423859103</v>
      </c>
      <c r="P3806">
        <v>-0.13247408401262301</v>
      </c>
      <c r="Q3806">
        <v>5.54864660954884E-2</v>
      </c>
      <c r="R3806">
        <v>0.99390407981877205</v>
      </c>
      <c r="S3806" t="s">
        <v>8102</v>
      </c>
      <c r="T3806" t="s">
        <v>8590</v>
      </c>
      <c r="U3806" t="s">
        <v>8590</v>
      </c>
      <c r="V3806" t="s">
        <v>8590</v>
      </c>
      <c r="W3806">
        <v>23</v>
      </c>
      <c r="X3806" t="s">
        <v>12396</v>
      </c>
      <c r="Y3806">
        <v>0.50192877885939557</v>
      </c>
      <c r="Z3806" t="str">
        <f>HYPERLINK("Melting_Curves/meltCurve_tr_D6RB81_D6RB81_HUMAN_.pdf", "Melting_Curves/meltCurve_tr_D6RB81_D6RB81_HUMAN_.pdf")</f>
        <v>Melting_Curves/meltCurve_tr_D6RB81_D6RB81_HUMAN_.pdf</v>
      </c>
      <c r="AA3806" t="s">
        <v>16633</v>
      </c>
      <c r="AB3806" t="s">
        <v>20883</v>
      </c>
    </row>
    <row r="3807" spans="1:28" x14ac:dyDescent="0.25">
      <c r="A3807" t="s">
        <v>3811</v>
      </c>
      <c r="B3807">
        <v>0.99876560204751996</v>
      </c>
      <c r="C3807">
        <v>0.91511897249908203</v>
      </c>
      <c r="D3807">
        <v>1.0012391453852401</v>
      </c>
      <c r="E3807">
        <v>0.92446496863118299</v>
      </c>
      <c r="F3807">
        <v>0.86548646232964499</v>
      </c>
      <c r="G3807">
        <v>0.72936927937713303</v>
      </c>
      <c r="H3807">
        <v>0.67817295223359597</v>
      </c>
      <c r="I3807">
        <v>0.66155548926516305</v>
      </c>
      <c r="J3807">
        <v>0.83341136011820705</v>
      </c>
      <c r="K3807">
        <v>0.82382847811105298</v>
      </c>
      <c r="L3807">
        <v>1649.0757367976501</v>
      </c>
      <c r="M3807">
        <v>31.652529785577801</v>
      </c>
      <c r="O3807">
        <v>51.892707454084601</v>
      </c>
      <c r="P3807">
        <v>-3.8974534675605299E-2</v>
      </c>
      <c r="Q3807">
        <v>0.74441432694128695</v>
      </c>
      <c r="R3807">
        <v>0.73930254230921499</v>
      </c>
      <c r="S3807" t="s">
        <v>8103</v>
      </c>
      <c r="T3807" t="s">
        <v>8590</v>
      </c>
      <c r="U3807" t="s">
        <v>8590</v>
      </c>
      <c r="V3807" t="s">
        <v>8590</v>
      </c>
      <c r="W3807">
        <v>5</v>
      </c>
      <c r="X3807" t="s">
        <v>12397</v>
      </c>
      <c r="Y3807">
        <v>0.84896521066763309</v>
      </c>
      <c r="Z3807" t="str">
        <f>HYPERLINK("Melting_Curves/meltCurve_tr_D6RBN5_D6RBN5_HUMAN_.pdf", "Melting_Curves/meltCurve_tr_D6RBN5_D6RBN5_HUMAN_.pdf")</f>
        <v>Melting_Curves/meltCurve_tr_D6RBN5_D6RBN5_HUMAN_.pdf</v>
      </c>
      <c r="AA3807" t="s">
        <v>16634</v>
      </c>
      <c r="AB3807" t="s">
        <v>20884</v>
      </c>
    </row>
    <row r="3808" spans="1:28" x14ac:dyDescent="0.25">
      <c r="A3808" t="s">
        <v>3812</v>
      </c>
      <c r="B3808">
        <v>0.99876560204751996</v>
      </c>
      <c r="C3808">
        <v>0.85262494533894895</v>
      </c>
      <c r="D3808">
        <v>0.98583870136523799</v>
      </c>
      <c r="E3808">
        <v>0.837415129897355</v>
      </c>
      <c r="F3808">
        <v>1.00616302594201</v>
      </c>
      <c r="G3808">
        <v>0.74671253840503304</v>
      </c>
      <c r="H3808">
        <v>0.71867426045947702</v>
      </c>
      <c r="I3808">
        <v>0.78272829408511402</v>
      </c>
      <c r="J3808">
        <v>0.94458442895517802</v>
      </c>
      <c r="K3808">
        <v>0.88155721788222197</v>
      </c>
      <c r="L3808">
        <v>461.43513342855198</v>
      </c>
      <c r="M3808">
        <v>10.0102924203368</v>
      </c>
      <c r="O3808">
        <v>44.369745997022498</v>
      </c>
      <c r="P3808">
        <v>-9.8251622994211495E-3</v>
      </c>
      <c r="Q3808">
        <v>0.82588760434231101</v>
      </c>
      <c r="R3808">
        <v>0.21324319735314201</v>
      </c>
      <c r="S3808" t="s">
        <v>8104</v>
      </c>
      <c r="T3808" t="s">
        <v>8590</v>
      </c>
      <c r="U3808" t="s">
        <v>8590</v>
      </c>
      <c r="V3808" t="s">
        <v>8590</v>
      </c>
      <c r="W3808">
        <v>1</v>
      </c>
      <c r="X3808" t="s">
        <v>12398</v>
      </c>
      <c r="Y3808">
        <v>0.87205255882013277</v>
      </c>
      <c r="Z3808" t="str">
        <f>HYPERLINK("Melting_Curves/meltCurve_tr_D6RBV0_D6RBV0_HUMAN_.pdf", "Melting_Curves/meltCurve_tr_D6RBV0_D6RBV0_HUMAN_.pdf")</f>
        <v>Melting_Curves/meltCurve_tr_D6RBV0_D6RBV0_HUMAN_.pdf</v>
      </c>
      <c r="AA3808" t="s">
        <v>16635</v>
      </c>
      <c r="AB3808" t="s">
        <v>20885</v>
      </c>
    </row>
    <row r="3809" spans="1:28" x14ac:dyDescent="0.25">
      <c r="A3809" t="s">
        <v>3813</v>
      </c>
      <c r="B3809">
        <v>0.99876560204751996</v>
      </c>
      <c r="C3809">
        <v>0.89902017420503599</v>
      </c>
      <c r="D3809">
        <v>0.60977451466154398</v>
      </c>
      <c r="E3809">
        <v>0.36105396615603902</v>
      </c>
      <c r="F3809">
        <v>0.17527580307919299</v>
      </c>
      <c r="G3809">
        <v>8.5232060836826204E-2</v>
      </c>
      <c r="H3809">
        <v>5.2652989176965599E-2</v>
      </c>
      <c r="I3809">
        <v>4.1321713133531203E-2</v>
      </c>
      <c r="J3809">
        <v>4.1554191499147998E-2</v>
      </c>
      <c r="K3809">
        <v>3.1451367692425E-2</v>
      </c>
      <c r="L3809">
        <v>808.00524321551302</v>
      </c>
      <c r="M3809">
        <v>16.9677340438285</v>
      </c>
      <c r="N3809">
        <v>47.803254445937299</v>
      </c>
      <c r="O3809">
        <v>46.973421849509698</v>
      </c>
      <c r="P3809">
        <v>-8.7468741841016107E-2</v>
      </c>
      <c r="Q3809">
        <v>3.1467680360660097E-2</v>
      </c>
      <c r="R3809">
        <v>0.99585231026831</v>
      </c>
      <c r="S3809" t="s">
        <v>8105</v>
      </c>
      <c r="T3809" t="s">
        <v>8590</v>
      </c>
      <c r="U3809" t="s">
        <v>8590</v>
      </c>
      <c r="V3809" t="s">
        <v>8590</v>
      </c>
      <c r="W3809">
        <v>7</v>
      </c>
      <c r="X3809" t="s">
        <v>12399</v>
      </c>
      <c r="Y3809">
        <v>0.29719071275735848</v>
      </c>
      <c r="Z3809" t="str">
        <f>HYPERLINK("Melting_Curves/meltCurve_tr_D6RCD0_D6RCD0_HUMAN_.pdf", "Melting_Curves/meltCurve_tr_D6RCD0_D6RCD0_HUMAN_.pdf")</f>
        <v>Melting_Curves/meltCurve_tr_D6RCD0_D6RCD0_HUMAN_.pdf</v>
      </c>
      <c r="AA3809" t="s">
        <v>16636</v>
      </c>
      <c r="AB3809" t="s">
        <v>20886</v>
      </c>
    </row>
    <row r="3810" spans="1:28" x14ac:dyDescent="0.25">
      <c r="A3810" t="s">
        <v>3814</v>
      </c>
      <c r="B3810">
        <v>0.99876560204751996</v>
      </c>
      <c r="C3810">
        <v>1.0058927720601001</v>
      </c>
      <c r="D3810">
        <v>0.78449843877596503</v>
      </c>
      <c r="E3810">
        <v>0.57898720347239596</v>
      </c>
      <c r="F3810">
        <v>0.44093692991981998</v>
      </c>
      <c r="G3810">
        <v>0.22152284295626401</v>
      </c>
      <c r="H3810">
        <v>9.9221704415528994E-2</v>
      </c>
      <c r="I3810">
        <v>0.101207057948797</v>
      </c>
      <c r="J3810">
        <v>0.106153679132335</v>
      </c>
      <c r="K3810">
        <v>7.3262915349578295E-2</v>
      </c>
      <c r="L3810">
        <v>729.08637737899505</v>
      </c>
      <c r="M3810">
        <v>14.2992800591269</v>
      </c>
      <c r="N3810">
        <v>51.393532778735803</v>
      </c>
      <c r="O3810">
        <v>50.021513653204302</v>
      </c>
      <c r="P3810">
        <v>-6.7657930823981097E-2</v>
      </c>
      <c r="Q3810">
        <v>5.3395745339255597E-2</v>
      </c>
      <c r="R3810">
        <v>0.99169860943953803</v>
      </c>
      <c r="S3810" t="s">
        <v>8106</v>
      </c>
      <c r="T3810" t="s">
        <v>8590</v>
      </c>
      <c r="U3810" t="s">
        <v>8590</v>
      </c>
      <c r="V3810" t="s">
        <v>8590</v>
      </c>
      <c r="W3810">
        <v>1</v>
      </c>
      <c r="X3810" t="s">
        <v>12400</v>
      </c>
      <c r="Y3810">
        <v>0.42375101829078909</v>
      </c>
      <c r="Z3810" t="str">
        <f>HYPERLINK("Melting_Curves/meltCurve_tr_D6RD47_D6RD47_HUMAN_.pdf", "Melting_Curves/meltCurve_tr_D6RD47_D6RD47_HUMAN_.pdf")</f>
        <v>Melting_Curves/meltCurve_tr_D6RD47_D6RD47_HUMAN_.pdf</v>
      </c>
      <c r="AA3810" t="s">
        <v>16637</v>
      </c>
      <c r="AB3810" t="s">
        <v>20887</v>
      </c>
    </row>
    <row r="3811" spans="1:28" x14ac:dyDescent="0.25">
      <c r="A3811" t="s">
        <v>3815</v>
      </c>
      <c r="B3811">
        <v>0.99876560204751996</v>
      </c>
      <c r="C3811">
        <v>0.52578139947823099</v>
      </c>
      <c r="D3811">
        <v>0.52121096025070401</v>
      </c>
      <c r="E3811">
        <v>0.29892724006119797</v>
      </c>
      <c r="F3811">
        <v>0.27132348216201402</v>
      </c>
      <c r="G3811">
        <v>0.151425574508431</v>
      </c>
      <c r="H3811">
        <v>0.13998706481383399</v>
      </c>
      <c r="I3811">
        <v>0.10249732784783799</v>
      </c>
      <c r="J3811">
        <v>0.11616763136168699</v>
      </c>
      <c r="K3811">
        <v>9.3909120655657194E-2</v>
      </c>
      <c r="L3811">
        <v>577.597649169394</v>
      </c>
      <c r="M3811">
        <v>12.859450988117301</v>
      </c>
      <c r="N3811">
        <v>45.751861864614803</v>
      </c>
      <c r="O3811">
        <v>43.871589316521799</v>
      </c>
      <c r="P3811">
        <v>-6.5621127255426306E-2</v>
      </c>
      <c r="Q3811">
        <v>0.104667002386039</v>
      </c>
      <c r="R3811">
        <v>0.92861815828164795</v>
      </c>
      <c r="S3811" t="s">
        <v>8107</v>
      </c>
      <c r="T3811" t="s">
        <v>8590</v>
      </c>
      <c r="U3811" t="s">
        <v>8590</v>
      </c>
      <c r="V3811" t="s">
        <v>8590</v>
      </c>
      <c r="W3811">
        <v>4</v>
      </c>
      <c r="X3811" t="s">
        <v>12401</v>
      </c>
      <c r="Y3811">
        <v>0.29096645809780319</v>
      </c>
      <c r="Z3811" t="str">
        <f>HYPERLINK("Melting_Curves/meltCurve_tr_D6REA0_D6REA0_HUMAN_.pdf", "Melting_Curves/meltCurve_tr_D6REA0_D6REA0_HUMAN_.pdf")</f>
        <v>Melting_Curves/meltCurve_tr_D6REA0_D6REA0_HUMAN_.pdf</v>
      </c>
      <c r="AA3811" t="s">
        <v>16638</v>
      </c>
      <c r="AB3811" t="s">
        <v>20888</v>
      </c>
    </row>
    <row r="3812" spans="1:28" x14ac:dyDescent="0.25">
      <c r="A3812" t="s">
        <v>3816</v>
      </c>
      <c r="B3812">
        <v>0.99876560204751996</v>
      </c>
      <c r="C3812">
        <v>0.93739245792970605</v>
      </c>
      <c r="D3812">
        <v>0.92413607521972196</v>
      </c>
      <c r="E3812">
        <v>0.80299047063776297</v>
      </c>
      <c r="F3812">
        <v>0.79711286020154903</v>
      </c>
      <c r="G3812">
        <v>0.48667559880516698</v>
      </c>
      <c r="H3812">
        <v>0.26617738467806901</v>
      </c>
      <c r="I3812">
        <v>0.15638244684305899</v>
      </c>
      <c r="J3812">
        <v>0.118512947540945</v>
      </c>
      <c r="K3812">
        <v>0.10222276589731399</v>
      </c>
      <c r="L3812">
        <v>755.56247974792598</v>
      </c>
      <c r="M3812">
        <v>13.304813224853</v>
      </c>
      <c r="N3812">
        <v>56.795804640502297</v>
      </c>
      <c r="O3812">
        <v>55.551776617542103</v>
      </c>
      <c r="P3812">
        <v>-5.98352813060056E-2</v>
      </c>
      <c r="Q3812">
        <v>8.3730229395029005E-4</v>
      </c>
      <c r="R3812">
        <v>0.98854342869978395</v>
      </c>
      <c r="S3812" t="s">
        <v>8108</v>
      </c>
      <c r="T3812" t="s">
        <v>8590</v>
      </c>
      <c r="U3812" t="s">
        <v>8590</v>
      </c>
      <c r="V3812" t="s">
        <v>8590</v>
      </c>
      <c r="W3812">
        <v>4</v>
      </c>
      <c r="X3812" t="s">
        <v>12402</v>
      </c>
      <c r="Y3812">
        <v>0.57722776009104293</v>
      </c>
      <c r="Z3812" t="str">
        <f>HYPERLINK("Melting_Curves/meltCurve_tr_D6REB0_D6REB0_HUMAN_.pdf", "Melting_Curves/meltCurve_tr_D6REB0_D6REB0_HUMAN_.pdf")</f>
        <v>Melting_Curves/meltCurve_tr_D6REB0_D6REB0_HUMAN_.pdf</v>
      </c>
      <c r="AA3812" t="s">
        <v>16639</v>
      </c>
      <c r="AB3812" t="s">
        <v>20889</v>
      </c>
    </row>
    <row r="3813" spans="1:28" x14ac:dyDescent="0.25">
      <c r="A3813" t="s">
        <v>3817</v>
      </c>
      <c r="B3813">
        <v>0.99876560204751996</v>
      </c>
      <c r="C3813">
        <v>0.86948971453924795</v>
      </c>
      <c r="D3813">
        <v>0.79939313165948001</v>
      </c>
      <c r="E3813">
        <v>0.56022983312917896</v>
      </c>
      <c r="F3813">
        <v>0.35707566407945901</v>
      </c>
      <c r="G3813">
        <v>0.212796308563939</v>
      </c>
      <c r="H3813">
        <v>7.9901245420318304E-2</v>
      </c>
      <c r="I3813">
        <v>0.11270472644993</v>
      </c>
      <c r="J3813">
        <v>8.6242846760686498E-2</v>
      </c>
      <c r="K3813">
        <v>2.3050382319162101E-2</v>
      </c>
      <c r="L3813">
        <v>653.67291253870098</v>
      </c>
      <c r="M3813">
        <v>12.9269073628711</v>
      </c>
      <c r="N3813">
        <v>50.735262776024001</v>
      </c>
      <c r="O3813">
        <v>49.4025817437524</v>
      </c>
      <c r="P3813">
        <v>-6.4053831461089505E-2</v>
      </c>
      <c r="Q3813">
        <v>2.1001944303330501E-2</v>
      </c>
      <c r="R3813">
        <v>0.99441969441207401</v>
      </c>
      <c r="S3813" t="s">
        <v>8109</v>
      </c>
      <c r="T3813" t="s">
        <v>8590</v>
      </c>
      <c r="U3813" t="s">
        <v>8590</v>
      </c>
      <c r="V3813" t="s">
        <v>8590</v>
      </c>
      <c r="W3813">
        <v>1</v>
      </c>
      <c r="X3813" t="s">
        <v>12403</v>
      </c>
      <c r="Y3813">
        <v>0.39508398058166622</v>
      </c>
      <c r="Z3813" t="str">
        <f>HYPERLINK("Melting_Curves/meltCurve_tr_D6RF92_D6RF92_HUMAN_.pdf", "Melting_Curves/meltCurve_tr_D6RF92_D6RF92_HUMAN_.pdf")</f>
        <v>Melting_Curves/meltCurve_tr_D6RF92_D6RF92_HUMAN_.pdf</v>
      </c>
      <c r="AA3813" t="s">
        <v>16640</v>
      </c>
      <c r="AB3813" t="s">
        <v>20890</v>
      </c>
    </row>
    <row r="3814" spans="1:28" x14ac:dyDescent="0.25">
      <c r="A3814" t="s">
        <v>3818</v>
      </c>
      <c r="B3814">
        <v>0.99876560204751996</v>
      </c>
      <c r="C3814">
        <v>1.0331359343159101</v>
      </c>
      <c r="D3814">
        <v>0.98896875089908998</v>
      </c>
      <c r="E3814">
        <v>1.05387332274565</v>
      </c>
      <c r="F3814">
        <v>0.92707403645074304</v>
      </c>
      <c r="G3814">
        <v>0.62045346104338805</v>
      </c>
      <c r="H3814">
        <v>0.450161461170138</v>
      </c>
      <c r="I3814">
        <v>0.250647082659191</v>
      </c>
      <c r="J3814">
        <v>0.11274172669217</v>
      </c>
      <c r="K3814">
        <v>7.2776764435716498E-2</v>
      </c>
      <c r="L3814">
        <v>1040.15517534333</v>
      </c>
      <c r="M3814">
        <v>17.435870799038501</v>
      </c>
      <c r="N3814">
        <v>59.683495748476702</v>
      </c>
      <c r="O3814">
        <v>58.887912811596998</v>
      </c>
      <c r="P3814">
        <v>-7.3729987918908196E-2</v>
      </c>
      <c r="Q3814">
        <v>3.9929722488071303E-3</v>
      </c>
      <c r="R3814">
        <v>0.98802995081836398</v>
      </c>
      <c r="S3814" t="s">
        <v>8110</v>
      </c>
      <c r="T3814" t="s">
        <v>8590</v>
      </c>
      <c r="U3814" t="s">
        <v>8590</v>
      </c>
      <c r="V3814" t="s">
        <v>8590</v>
      </c>
      <c r="W3814">
        <v>15</v>
      </c>
      <c r="X3814" t="s">
        <v>12404</v>
      </c>
      <c r="Y3814">
        <v>0.66562850109441218</v>
      </c>
      <c r="Z3814" t="str">
        <f>HYPERLINK("Melting_Curves/meltCurve_tr_D6RGI3_D6RGI3_HUMAN_.pdf", "Melting_Curves/meltCurve_tr_D6RGI3_D6RGI3_HUMAN_.pdf")</f>
        <v>Melting_Curves/meltCurve_tr_D6RGI3_D6RGI3_HUMAN_.pdf</v>
      </c>
      <c r="AA3814" t="s">
        <v>16641</v>
      </c>
      <c r="AB3814" t="s">
        <v>20891</v>
      </c>
    </row>
    <row r="3815" spans="1:28" x14ac:dyDescent="0.25">
      <c r="A3815" t="s">
        <v>3819</v>
      </c>
      <c r="B3815">
        <v>0.99876560204751996</v>
      </c>
      <c r="C3815">
        <v>1.00163124864954</v>
      </c>
      <c r="D3815">
        <v>1.0284972749483801</v>
      </c>
      <c r="E3815">
        <v>0.92726950040453704</v>
      </c>
      <c r="F3815">
        <v>0.73129800838346404</v>
      </c>
      <c r="G3815">
        <v>0.49309463682425397</v>
      </c>
      <c r="H3815">
        <v>0.33710102636796002</v>
      </c>
      <c r="I3815">
        <v>0.28489977055754301</v>
      </c>
      <c r="J3815">
        <v>0.33822172298704201</v>
      </c>
      <c r="K3815">
        <v>0.326362494214119</v>
      </c>
      <c r="L3815">
        <v>1326.3697948081899</v>
      </c>
      <c r="M3815">
        <v>24.468109582748099</v>
      </c>
      <c r="N3815">
        <v>56.421086968333903</v>
      </c>
      <c r="O3815">
        <v>53.849905175755303</v>
      </c>
      <c r="P3815">
        <v>-7.8551853315078302E-2</v>
      </c>
      <c r="Q3815">
        <v>0.30849616016920001</v>
      </c>
      <c r="R3815">
        <v>0.99480061213985405</v>
      </c>
      <c r="S3815" t="s">
        <v>8111</v>
      </c>
      <c r="T3815" t="s">
        <v>8590</v>
      </c>
      <c r="U3815" t="s">
        <v>8590</v>
      </c>
      <c r="V3815" t="s">
        <v>8590</v>
      </c>
      <c r="W3815">
        <v>5</v>
      </c>
      <c r="X3815" t="s">
        <v>12405</v>
      </c>
      <c r="Y3815">
        <v>0.64264920642005052</v>
      </c>
      <c r="Z3815" t="str">
        <f>HYPERLINK("Melting_Curves/meltCurve_tr_D6RHI9_D6RHI9_HUMAN_.pdf", "Melting_Curves/meltCurve_tr_D6RHI9_D6RHI9_HUMAN_.pdf")</f>
        <v>Melting_Curves/meltCurve_tr_D6RHI9_D6RHI9_HUMAN_.pdf</v>
      </c>
      <c r="AA3815" t="s">
        <v>16642</v>
      </c>
      <c r="AB3815" t="s">
        <v>20892</v>
      </c>
    </row>
    <row r="3816" spans="1:28" x14ac:dyDescent="0.25">
      <c r="A3816" t="s">
        <v>3820</v>
      </c>
      <c r="B3816">
        <v>0.99876560204751996</v>
      </c>
      <c r="C3816">
        <v>0.91910015646767895</v>
      </c>
      <c r="D3816">
        <v>1.03293504016072</v>
      </c>
      <c r="E3816">
        <v>0.817257529440793</v>
      </c>
      <c r="F3816">
        <v>0.82746874731401399</v>
      </c>
      <c r="G3816">
        <v>0.59956845376891599</v>
      </c>
      <c r="H3816">
        <v>0.399279479146744</v>
      </c>
      <c r="I3816">
        <v>0.34368068054970902</v>
      </c>
      <c r="J3816">
        <v>0.37367619535618501</v>
      </c>
      <c r="K3816">
        <v>0.372962029252281</v>
      </c>
      <c r="L3816">
        <v>931.28717942688399</v>
      </c>
      <c r="M3816">
        <v>16.849368263252</v>
      </c>
      <c r="N3816">
        <v>58.877307671952003</v>
      </c>
      <c r="O3816">
        <v>54.510383456816797</v>
      </c>
      <c r="P3816">
        <v>-5.2408508756121797E-2</v>
      </c>
      <c r="Q3816">
        <v>0.32184370660422201</v>
      </c>
      <c r="R3816">
        <v>0.96716232010778502</v>
      </c>
      <c r="S3816" t="s">
        <v>8112</v>
      </c>
      <c r="T3816" t="s">
        <v>8590</v>
      </c>
      <c r="U3816" t="s">
        <v>8590</v>
      </c>
      <c r="V3816" t="s">
        <v>8590</v>
      </c>
      <c r="W3816">
        <v>5</v>
      </c>
      <c r="X3816" t="s">
        <v>12406</v>
      </c>
      <c r="Y3816">
        <v>0.67832342493758402</v>
      </c>
      <c r="Z3816" t="str">
        <f>HYPERLINK("Melting_Curves/meltCurve_tr_E2QRD5_E2QRD5_HUMAN_.pdf", "Melting_Curves/meltCurve_tr_E2QRD5_E2QRD5_HUMAN_.pdf")</f>
        <v>Melting_Curves/meltCurve_tr_E2QRD5_E2QRD5_HUMAN_.pdf</v>
      </c>
      <c r="AA3816" t="s">
        <v>16643</v>
      </c>
      <c r="AB3816" t="s">
        <v>20893</v>
      </c>
    </row>
    <row r="3817" spans="1:28" x14ac:dyDescent="0.25">
      <c r="A3817" t="s">
        <v>3821</v>
      </c>
      <c r="B3817">
        <v>0.99876560204751996</v>
      </c>
      <c r="C3817">
        <v>0.89474622214694</v>
      </c>
      <c r="D3817">
        <v>0.89531285413505501</v>
      </c>
      <c r="E3817">
        <v>0.83639136785286095</v>
      </c>
      <c r="F3817">
        <v>0.72019876804011995</v>
      </c>
      <c r="G3817">
        <v>0.51555992708544796</v>
      </c>
      <c r="H3817">
        <v>0.348937911068813</v>
      </c>
      <c r="I3817">
        <v>0.28378988663584997</v>
      </c>
      <c r="J3817">
        <v>0.42510457180724398</v>
      </c>
      <c r="K3817">
        <v>0.26372816140349198</v>
      </c>
      <c r="L3817">
        <v>690.320791950493</v>
      </c>
      <c r="M3817">
        <v>12.705298562749199</v>
      </c>
      <c r="N3817">
        <v>57.4527605248405</v>
      </c>
      <c r="O3817">
        <v>53.0400405267292</v>
      </c>
      <c r="P3817">
        <v>-4.4972159160894601E-2</v>
      </c>
      <c r="Q3817">
        <v>0.249174833249034</v>
      </c>
      <c r="R3817">
        <v>0.958460848720187</v>
      </c>
      <c r="S3817" t="s">
        <v>8113</v>
      </c>
      <c r="T3817" t="s">
        <v>8590</v>
      </c>
      <c r="U3817" t="s">
        <v>8590</v>
      </c>
      <c r="V3817" t="s">
        <v>8590</v>
      </c>
      <c r="W3817">
        <v>1</v>
      </c>
      <c r="X3817" t="s">
        <v>12407</v>
      </c>
      <c r="Y3817">
        <v>0.62592968005615934</v>
      </c>
      <c r="Z3817" t="str">
        <f>HYPERLINK("Melting_Curves/meltCurve_tr_E5RFY9_E5RFY9_HUMAN_.pdf", "Melting_Curves/meltCurve_tr_E5RFY9_E5RFY9_HUMAN_.pdf")</f>
        <v>Melting_Curves/meltCurve_tr_E5RFY9_E5RFY9_HUMAN_.pdf</v>
      </c>
      <c r="AA3817" t="s">
        <v>16644</v>
      </c>
      <c r="AB3817" t="s">
        <v>20894</v>
      </c>
    </row>
    <row r="3818" spans="1:28" x14ac:dyDescent="0.25">
      <c r="A3818" t="s">
        <v>3822</v>
      </c>
      <c r="B3818">
        <v>0.99876560204751996</v>
      </c>
      <c r="C3818">
        <v>0.92645394325782904</v>
      </c>
      <c r="D3818">
        <v>1.05869019099855</v>
      </c>
      <c r="E3818">
        <v>0.65060722139715599</v>
      </c>
      <c r="F3818">
        <v>0.30081510833582198</v>
      </c>
      <c r="G3818">
        <v>0.13771934517411599</v>
      </c>
      <c r="H3818">
        <v>5.4602377867086001E-2</v>
      </c>
      <c r="I3818">
        <v>4.9036901316305899E-2</v>
      </c>
      <c r="J3818">
        <v>0.10994350207814201</v>
      </c>
      <c r="K3818">
        <v>4.6996238216459103E-2</v>
      </c>
      <c r="L3818">
        <v>1584.81694206619</v>
      </c>
      <c r="M3818">
        <v>31.078291286368799</v>
      </c>
      <c r="N3818">
        <v>51.248894320224601</v>
      </c>
      <c r="O3818">
        <v>50.784599868579598</v>
      </c>
      <c r="P3818">
        <v>-0.14204990189422501</v>
      </c>
      <c r="Q3818">
        <v>7.1518270230743294E-2</v>
      </c>
      <c r="R3818">
        <v>0.98915411840341205</v>
      </c>
      <c r="S3818" t="s">
        <v>8114</v>
      </c>
      <c r="T3818" t="s">
        <v>8590</v>
      </c>
      <c r="U3818" t="s">
        <v>8590</v>
      </c>
      <c r="V3818" t="s">
        <v>8590</v>
      </c>
      <c r="W3818">
        <v>2</v>
      </c>
      <c r="X3818" t="s">
        <v>12408</v>
      </c>
      <c r="Y3818">
        <v>0.41722464764884332</v>
      </c>
      <c r="Z3818" t="str">
        <f>HYPERLINK("Melting_Curves/meltCurve_tr_E5RGS9_E5RGS9_HUMAN_.pdf", "Melting_Curves/meltCurve_tr_E5RGS9_E5RGS9_HUMAN_.pdf")</f>
        <v>Melting_Curves/meltCurve_tr_E5RGS9_E5RGS9_HUMAN_.pdf</v>
      </c>
      <c r="AA3818" t="s">
        <v>16645</v>
      </c>
      <c r="AB3818" t="s">
        <v>20895</v>
      </c>
    </row>
    <row r="3819" spans="1:28" x14ac:dyDescent="0.25">
      <c r="A3819" t="s">
        <v>3823</v>
      </c>
      <c r="B3819">
        <v>0.99876560204751996</v>
      </c>
      <c r="C3819">
        <v>0.94315223608099696</v>
      </c>
      <c r="D3819">
        <v>1.0214732442424099</v>
      </c>
      <c r="E3819">
        <v>0.97069329622738998</v>
      </c>
      <c r="F3819">
        <v>0.89244672855183904</v>
      </c>
      <c r="G3819">
        <v>0.53857523904828297</v>
      </c>
      <c r="H3819">
        <v>0.43233836871411502</v>
      </c>
      <c r="I3819">
        <v>0.412648596255908</v>
      </c>
      <c r="J3819">
        <v>0.50183601778362996</v>
      </c>
      <c r="K3819">
        <v>0.45852120785748002</v>
      </c>
      <c r="L3819">
        <v>2332.8501237055598</v>
      </c>
      <c r="M3819">
        <v>42.621494292979797</v>
      </c>
      <c r="N3819">
        <v>57.861052186890298</v>
      </c>
      <c r="O3819">
        <v>54.614047819133198</v>
      </c>
      <c r="P3819">
        <v>-0.107299352496771</v>
      </c>
      <c r="Q3819">
        <v>0.450038797992803</v>
      </c>
      <c r="R3819">
        <v>0.98599450584723602</v>
      </c>
      <c r="S3819" t="s">
        <v>8115</v>
      </c>
      <c r="T3819" t="s">
        <v>8590</v>
      </c>
      <c r="U3819" t="s">
        <v>8590</v>
      </c>
      <c r="V3819" t="s">
        <v>8590</v>
      </c>
      <c r="W3819">
        <v>4</v>
      </c>
      <c r="X3819" t="s">
        <v>12409</v>
      </c>
      <c r="Y3819">
        <v>0.72197278097607642</v>
      </c>
      <c r="Z3819" t="str">
        <f>HYPERLINK("Melting_Curves/meltCurve_tr_E5RGX5_E5RGX5_HUMAN_.pdf", "Melting_Curves/meltCurve_tr_E5RGX5_E5RGX5_HUMAN_.pdf")</f>
        <v>Melting_Curves/meltCurve_tr_E5RGX5_E5RGX5_HUMAN_.pdf</v>
      </c>
      <c r="AA3819" t="s">
        <v>16646</v>
      </c>
      <c r="AB3819" t="s">
        <v>17839</v>
      </c>
    </row>
    <row r="3820" spans="1:28" x14ac:dyDescent="0.25">
      <c r="A3820" t="s">
        <v>3824</v>
      </c>
      <c r="B3820">
        <v>0.99876560204751996</v>
      </c>
      <c r="C3820">
        <v>0.95571286191725402</v>
      </c>
      <c r="D3820">
        <v>1.0000964174115701</v>
      </c>
      <c r="E3820">
        <v>0.89684936109605795</v>
      </c>
      <c r="F3820">
        <v>0.77298714754845799</v>
      </c>
      <c r="G3820">
        <v>0.29409206280594902</v>
      </c>
      <c r="H3820">
        <v>0.119917662250106</v>
      </c>
      <c r="I3820">
        <v>7.9326601517368894E-2</v>
      </c>
      <c r="J3820">
        <v>7.1028407300353605E-2</v>
      </c>
      <c r="K3820">
        <v>6.15477743117585E-2</v>
      </c>
      <c r="L3820">
        <v>1529.7319513939599</v>
      </c>
      <c r="M3820">
        <v>27.866299319016001</v>
      </c>
      <c r="N3820">
        <v>55.1540345164059</v>
      </c>
      <c r="O3820">
        <v>54.615042518935198</v>
      </c>
      <c r="P3820">
        <v>-0.11974626428397001</v>
      </c>
      <c r="Q3820">
        <v>6.1247414685650203E-2</v>
      </c>
      <c r="R3820">
        <v>0.99704129565695698</v>
      </c>
      <c r="S3820" t="s">
        <v>8116</v>
      </c>
      <c r="T3820" t="s">
        <v>8590</v>
      </c>
      <c r="U3820" t="s">
        <v>8590</v>
      </c>
      <c r="V3820" t="s">
        <v>8590</v>
      </c>
      <c r="W3820">
        <v>6</v>
      </c>
      <c r="X3820" t="s">
        <v>12410</v>
      </c>
      <c r="Y3820">
        <v>0.53449339068039259</v>
      </c>
      <c r="Z3820" t="str">
        <f>HYPERLINK("Melting_Curves/meltCurve_tr_E5RHG8_E5RHG8_HUMAN_.pdf", "Melting_Curves/meltCurve_tr_E5RHG8_E5RHG8_HUMAN_.pdf")</f>
        <v>Melting_Curves/meltCurve_tr_E5RHG8_E5RHG8_HUMAN_.pdf</v>
      </c>
      <c r="AA3820" t="s">
        <v>16647</v>
      </c>
      <c r="AB3820" t="s">
        <v>20896</v>
      </c>
    </row>
    <row r="3821" spans="1:28" x14ac:dyDescent="0.25">
      <c r="A3821" t="s">
        <v>3825</v>
      </c>
      <c r="B3821">
        <v>0.99876560204751996</v>
      </c>
      <c r="C3821">
        <v>1.0196665362969699</v>
      </c>
      <c r="D3821">
        <v>0.92906330423223304</v>
      </c>
      <c r="E3821">
        <v>0.68947422014587301</v>
      </c>
      <c r="F3821">
        <v>0.399880723206888</v>
      </c>
      <c r="G3821">
        <v>0.24285893342485401</v>
      </c>
      <c r="H3821">
        <v>0.148587721087068</v>
      </c>
      <c r="I3821">
        <v>0.101469270747254</v>
      </c>
      <c r="J3821">
        <v>8.5675217895860106E-2</v>
      </c>
      <c r="K3821">
        <v>7.0988792462301803E-2</v>
      </c>
      <c r="L3821">
        <v>1003.99626119376</v>
      </c>
      <c r="M3821">
        <v>19.4437943840218</v>
      </c>
      <c r="N3821">
        <v>52.131088896387098</v>
      </c>
      <c r="O3821">
        <v>51.098939145912702</v>
      </c>
      <c r="P3821">
        <v>-8.7108977420404798E-2</v>
      </c>
      <c r="Q3821">
        <v>8.4332139889053803E-2</v>
      </c>
      <c r="R3821">
        <v>0.99707150056528204</v>
      </c>
      <c r="S3821" t="s">
        <v>8117</v>
      </c>
      <c r="T3821" t="s">
        <v>8590</v>
      </c>
      <c r="U3821" t="s">
        <v>8590</v>
      </c>
      <c r="V3821" t="s">
        <v>8590</v>
      </c>
      <c r="W3821">
        <v>16</v>
      </c>
      <c r="X3821" t="s">
        <v>12411</v>
      </c>
      <c r="Y3821">
        <v>0.45283755505461981</v>
      </c>
      <c r="Z3821" t="str">
        <f>HYPERLINK("Melting_Curves/meltCurve_tr_E5RJ68_E5RJ68_HUMAN_.pdf", "Melting_Curves/meltCurve_tr_E5RJ68_E5RJ68_HUMAN_.pdf")</f>
        <v>Melting_Curves/meltCurve_tr_E5RJ68_E5RJ68_HUMAN_.pdf</v>
      </c>
      <c r="AA3821" t="s">
        <v>16648</v>
      </c>
      <c r="AB3821" t="s">
        <v>20897</v>
      </c>
    </row>
    <row r="3822" spans="1:28" x14ac:dyDescent="0.25">
      <c r="A3822" t="s">
        <v>3826</v>
      </c>
      <c r="B3822">
        <v>0.99876560204751996</v>
      </c>
      <c r="C3822">
        <v>1.2336683016530501</v>
      </c>
      <c r="D3822">
        <v>0.60613180525582699</v>
      </c>
      <c r="E3822">
        <v>0.60848509730645495</v>
      </c>
      <c r="F3822">
        <v>0.23042876935948201</v>
      </c>
      <c r="G3822">
        <v>7.26287348510984E-2</v>
      </c>
      <c r="H3822">
        <v>3.5487342162385603E-2</v>
      </c>
      <c r="I3822">
        <v>2.3727556474893399E-2</v>
      </c>
      <c r="J3822">
        <v>1.7081095938153601E-2</v>
      </c>
      <c r="K3822">
        <v>1.27958111836821E-2</v>
      </c>
      <c r="L3822">
        <v>904.31046229314495</v>
      </c>
      <c r="M3822">
        <v>18.088426313289499</v>
      </c>
      <c r="N3822">
        <v>49.994299957844298</v>
      </c>
      <c r="O3822">
        <v>49.394847560749099</v>
      </c>
      <c r="P3822">
        <v>-9.15472737909373E-2</v>
      </c>
      <c r="Q3822">
        <v>7.9930558716448394E-5</v>
      </c>
      <c r="R3822">
        <v>0.92284723806466895</v>
      </c>
      <c r="S3822" t="s">
        <v>8118</v>
      </c>
      <c r="T3822" t="s">
        <v>8590</v>
      </c>
      <c r="U3822" t="s">
        <v>8590</v>
      </c>
      <c r="V3822" t="s">
        <v>8590</v>
      </c>
      <c r="W3822">
        <v>12</v>
      </c>
      <c r="X3822" t="s">
        <v>12412</v>
      </c>
      <c r="Y3822">
        <v>0.35007779310827852</v>
      </c>
      <c r="Z3822" t="str">
        <f>HYPERLINK("Melting_Curves/meltCurve_tr_E5RJD2_E5RJD2_HUMAN_.pdf", "Melting_Curves/meltCurve_tr_E5RJD2_E5RJD2_HUMAN_.pdf")</f>
        <v>Melting_Curves/meltCurve_tr_E5RJD2_E5RJD2_HUMAN_.pdf</v>
      </c>
      <c r="AA3822" t="s">
        <v>16563</v>
      </c>
      <c r="AB3822" t="s">
        <v>20898</v>
      </c>
    </row>
    <row r="3823" spans="1:28" x14ac:dyDescent="0.25">
      <c r="A3823" t="s">
        <v>3827</v>
      </c>
      <c r="B3823">
        <v>0.99876560204751996</v>
      </c>
      <c r="C3823">
        <v>1.01621012632011</v>
      </c>
      <c r="D3823">
        <v>1.043554685837</v>
      </c>
      <c r="E3823">
        <v>0.993383733749995</v>
      </c>
      <c r="F3823">
        <v>0.94605128752029799</v>
      </c>
      <c r="G3823">
        <v>0.81560803517281899</v>
      </c>
      <c r="H3823">
        <v>0.71340258172691995</v>
      </c>
      <c r="I3823">
        <v>0.75566343790295398</v>
      </c>
      <c r="J3823">
        <v>0.86178571702551998</v>
      </c>
      <c r="K3823">
        <v>0.92322230589361798</v>
      </c>
      <c r="L3823">
        <v>4066.24248562198</v>
      </c>
      <c r="M3823">
        <v>75.827141507128303</v>
      </c>
      <c r="O3823">
        <v>53.5878979619213</v>
      </c>
      <c r="P3823">
        <v>-6.5965656366261297E-2</v>
      </c>
      <c r="Q3823">
        <v>0.81352533809721495</v>
      </c>
      <c r="R3823">
        <v>0.74849900082529397</v>
      </c>
      <c r="S3823" t="s">
        <v>8119</v>
      </c>
      <c r="T3823" t="s">
        <v>8590</v>
      </c>
      <c r="U3823" t="s">
        <v>8590</v>
      </c>
      <c r="V3823" t="s">
        <v>8590</v>
      </c>
      <c r="W3823">
        <v>14</v>
      </c>
      <c r="X3823" t="s">
        <v>12413</v>
      </c>
      <c r="Y3823">
        <v>0.89840807992906913</v>
      </c>
      <c r="Z3823" t="str">
        <f>HYPERLINK("Melting_Curves/meltCurve_tr_E5RJR5_E5RJR5_HUMAN_.pdf", "Melting_Curves/meltCurve_tr_E5RJR5_E5RJR5_HUMAN_.pdf")</f>
        <v>Melting_Curves/meltCurve_tr_E5RJR5_E5RJR5_HUMAN_.pdf</v>
      </c>
      <c r="AA3823" t="s">
        <v>16649</v>
      </c>
      <c r="AB3823" t="s">
        <v>20899</v>
      </c>
    </row>
    <row r="3824" spans="1:28" x14ac:dyDescent="0.25">
      <c r="A3824" t="s">
        <v>3828</v>
      </c>
      <c r="B3824">
        <v>0.99876560204751996</v>
      </c>
      <c r="C3824">
        <v>1.0976082689422999</v>
      </c>
      <c r="D3824">
        <v>0.97143082521762703</v>
      </c>
      <c r="E3824">
        <v>1.06275296244863</v>
      </c>
      <c r="F3824">
        <v>0.92880488124098204</v>
      </c>
      <c r="G3824">
        <v>0.370847639331993</v>
      </c>
      <c r="H3824">
        <v>0.121462474173821</v>
      </c>
      <c r="I3824">
        <v>8.6087152010947104E-2</v>
      </c>
      <c r="J3824">
        <v>7.1840949952507602E-2</v>
      </c>
      <c r="K3824">
        <v>4.8184063027663301E-2</v>
      </c>
      <c r="L3824">
        <v>2439.3069369044401</v>
      </c>
      <c r="M3824">
        <v>43.5231039317948</v>
      </c>
      <c r="N3824">
        <v>56.251055342117297</v>
      </c>
      <c r="O3824">
        <v>55.928324713788903</v>
      </c>
      <c r="P3824">
        <v>-0.18029412497828901</v>
      </c>
      <c r="Q3824">
        <v>7.3270833315433007E-2</v>
      </c>
      <c r="R3824">
        <v>0.99190078978219398</v>
      </c>
      <c r="S3824" t="s">
        <v>8120</v>
      </c>
      <c r="T3824" t="s">
        <v>8590</v>
      </c>
      <c r="U3824" t="s">
        <v>8590</v>
      </c>
      <c r="V3824" t="s">
        <v>8590</v>
      </c>
      <c r="W3824">
        <v>9</v>
      </c>
      <c r="X3824" t="s">
        <v>12414</v>
      </c>
      <c r="Y3824">
        <v>0.57197315590205033</v>
      </c>
      <c r="Z3824" t="str">
        <f>HYPERLINK("Melting_Curves/meltCurve_tr_E7EM64_E7EM64_HUMAN_.pdf", "Melting_Curves/meltCurve_tr_E7EM64_E7EM64_HUMAN_.pdf")</f>
        <v>Melting_Curves/meltCurve_tr_E7EM64_E7EM64_HUMAN_.pdf</v>
      </c>
      <c r="AA3824" t="s">
        <v>16650</v>
      </c>
      <c r="AB3824" t="s">
        <v>20900</v>
      </c>
    </row>
    <row r="3825" spans="1:28" x14ac:dyDescent="0.25">
      <c r="A3825" t="s">
        <v>3829</v>
      </c>
      <c r="B3825">
        <v>0.99876560204751996</v>
      </c>
      <c r="C3825">
        <v>0.89452325271802502</v>
      </c>
      <c r="D3825">
        <v>0.85211382522787904</v>
      </c>
      <c r="E3825">
        <v>0.82839172603012201</v>
      </c>
      <c r="F3825">
        <v>0.77065072102586496</v>
      </c>
      <c r="G3825">
        <v>0.60511024021923898</v>
      </c>
      <c r="H3825">
        <v>0.52873634499348798</v>
      </c>
      <c r="I3825">
        <v>0.47496520039346202</v>
      </c>
      <c r="J3825">
        <v>0.54489320678911501</v>
      </c>
      <c r="K3825">
        <v>0.53445076848836304</v>
      </c>
      <c r="L3825">
        <v>499.61889315177001</v>
      </c>
      <c r="M3825">
        <v>9.4837328811825508</v>
      </c>
      <c r="N3825">
        <v>69.076766603049407</v>
      </c>
      <c r="O3825">
        <v>50.498807684640902</v>
      </c>
      <c r="P3825">
        <v>-2.5962563071761799E-2</v>
      </c>
      <c r="Q3825">
        <v>0.44734913701593298</v>
      </c>
      <c r="R3825">
        <v>0.94649018237776505</v>
      </c>
      <c r="S3825" t="s">
        <v>8121</v>
      </c>
      <c r="T3825" t="s">
        <v>8590</v>
      </c>
      <c r="U3825" t="s">
        <v>8590</v>
      </c>
      <c r="V3825" t="s">
        <v>8590</v>
      </c>
      <c r="W3825">
        <v>10</v>
      </c>
      <c r="X3825" t="s">
        <v>12415</v>
      </c>
      <c r="Y3825">
        <v>0.70153834820788397</v>
      </c>
      <c r="Z3825" t="str">
        <f>HYPERLINK("Melting_Curves/meltCurve_tr_E7EMM4_E7EMM4_HUMAN_.pdf", "Melting_Curves/meltCurve_tr_E7EMM4_E7EMM4_HUMAN_.pdf")</f>
        <v>Melting_Curves/meltCurve_tr_E7EMM4_E7EMM4_HUMAN_.pdf</v>
      </c>
      <c r="AA3825" t="s">
        <v>16651</v>
      </c>
      <c r="AB3825" t="s">
        <v>20901</v>
      </c>
    </row>
    <row r="3826" spans="1:28" x14ac:dyDescent="0.25">
      <c r="A3826" t="s">
        <v>3830</v>
      </c>
      <c r="B3826">
        <v>0.99876560204751996</v>
      </c>
      <c r="C3826">
        <v>1.00473288164288</v>
      </c>
      <c r="D3826">
        <v>1.1359292956864899</v>
      </c>
      <c r="E3826">
        <v>0.92558088671339001</v>
      </c>
      <c r="F3826">
        <v>0.80354196133836897</v>
      </c>
      <c r="G3826">
        <v>0.68910127703872204</v>
      </c>
      <c r="H3826">
        <v>0.36550095941269001</v>
      </c>
      <c r="I3826">
        <v>0.32602058345016399</v>
      </c>
      <c r="J3826">
        <v>0.41284468618273201</v>
      </c>
      <c r="K3826">
        <v>0.325613219109888</v>
      </c>
      <c r="L3826">
        <v>1183.9010718745001</v>
      </c>
      <c r="M3826">
        <v>21.045962893736998</v>
      </c>
      <c r="N3826">
        <v>59.122650108705102</v>
      </c>
      <c r="O3826">
        <v>55.752629674741002</v>
      </c>
      <c r="P3826">
        <v>-6.4177788918716797E-2</v>
      </c>
      <c r="Q3826">
        <v>0.31996738599188501</v>
      </c>
      <c r="R3826">
        <v>0.95554000151849605</v>
      </c>
      <c r="S3826" t="s">
        <v>8122</v>
      </c>
      <c r="T3826" t="s">
        <v>8590</v>
      </c>
      <c r="U3826" t="s">
        <v>8590</v>
      </c>
      <c r="V3826" t="s">
        <v>8590</v>
      </c>
      <c r="W3826">
        <v>2</v>
      </c>
      <c r="X3826" t="s">
        <v>12416</v>
      </c>
      <c r="Y3826">
        <v>0.69647334525293103</v>
      </c>
      <c r="Z3826" t="str">
        <f>HYPERLINK("Melting_Curves/meltCurve_tr_E7EMV7_E7EMV7_HUMAN_.pdf", "Melting_Curves/meltCurve_tr_E7EMV7_E7EMV7_HUMAN_.pdf")</f>
        <v>Melting_Curves/meltCurve_tr_E7EMV7_E7EMV7_HUMAN_.pdf</v>
      </c>
      <c r="AA3826" t="s">
        <v>16652</v>
      </c>
      <c r="AB3826" t="s">
        <v>20902</v>
      </c>
    </row>
    <row r="3827" spans="1:28" x14ac:dyDescent="0.25">
      <c r="A3827" t="s">
        <v>3831</v>
      </c>
      <c r="B3827">
        <v>0.99876560204751996</v>
      </c>
      <c r="C3827">
        <v>0.91181505331428403</v>
      </c>
      <c r="D3827">
        <v>1.00840973833849</v>
      </c>
      <c r="E3827">
        <v>0.84204462832653004</v>
      </c>
      <c r="F3827">
        <v>0.93245707272711098</v>
      </c>
      <c r="G3827">
        <v>0.79711323112638</v>
      </c>
      <c r="H3827">
        <v>0.67298827421335405</v>
      </c>
      <c r="I3827">
        <v>0.74322507398598403</v>
      </c>
      <c r="J3827">
        <v>1.0179164456066201</v>
      </c>
      <c r="K3827">
        <v>0.96978188247077601</v>
      </c>
      <c r="L3827">
        <v>11974.537629455401</v>
      </c>
      <c r="M3827">
        <v>250</v>
      </c>
      <c r="O3827">
        <v>47.895085236306599</v>
      </c>
      <c r="P3827">
        <v>-0.190982313251503</v>
      </c>
      <c r="Q3827">
        <v>0.85364617306330604</v>
      </c>
      <c r="R3827">
        <v>0.21258960752262901</v>
      </c>
      <c r="S3827" t="s">
        <v>8123</v>
      </c>
      <c r="T3827" t="s">
        <v>8590</v>
      </c>
      <c r="U3827" t="s">
        <v>8590</v>
      </c>
      <c r="V3827" t="s">
        <v>8590</v>
      </c>
      <c r="W3827">
        <v>7</v>
      </c>
      <c r="X3827" t="s">
        <v>12417</v>
      </c>
      <c r="Y3827">
        <v>0.89218929410728975</v>
      </c>
      <c r="Z3827" t="str">
        <f>HYPERLINK("Melting_Curves/meltCurve_tr_E7EMZ9_E7EMZ9_HUMAN_.pdf", "Melting_Curves/meltCurve_tr_E7EMZ9_E7EMZ9_HUMAN_.pdf")</f>
        <v>Melting_Curves/meltCurve_tr_E7EMZ9_E7EMZ9_HUMAN_.pdf</v>
      </c>
      <c r="AA3827" t="s">
        <v>16653</v>
      </c>
      <c r="AB3827" t="s">
        <v>20903</v>
      </c>
    </row>
    <row r="3828" spans="1:28" x14ac:dyDescent="0.25">
      <c r="A3828" t="s">
        <v>3832</v>
      </c>
      <c r="B3828">
        <v>0.99876560204751996</v>
      </c>
      <c r="C3828">
        <v>0.99107539005462497</v>
      </c>
      <c r="D3828">
        <v>0.89976623208017703</v>
      </c>
      <c r="E3828">
        <v>0.88289427745596405</v>
      </c>
      <c r="F3828">
        <v>0.81136273228308697</v>
      </c>
      <c r="G3828">
        <v>0.47246589929931998</v>
      </c>
      <c r="H3828">
        <v>0.27754768632169902</v>
      </c>
      <c r="I3828">
        <v>0.13852248983611501</v>
      </c>
      <c r="J3828">
        <v>0.135032181006252</v>
      </c>
      <c r="K3828">
        <v>0.13859586688563899</v>
      </c>
      <c r="L3828">
        <v>1014.28072217333</v>
      </c>
      <c r="M3828">
        <v>18.052289935728599</v>
      </c>
      <c r="N3828">
        <v>56.790087778331497</v>
      </c>
      <c r="O3828">
        <v>55.5098696867257</v>
      </c>
      <c r="P3828">
        <v>-7.4200371872346099E-2</v>
      </c>
      <c r="Q3828">
        <v>8.7395336016257402E-2</v>
      </c>
      <c r="R3828">
        <v>0.99048156805341603</v>
      </c>
      <c r="S3828" t="s">
        <v>8124</v>
      </c>
      <c r="T3828" t="s">
        <v>8590</v>
      </c>
      <c r="U3828" t="s">
        <v>8590</v>
      </c>
      <c r="V3828" t="s">
        <v>8590</v>
      </c>
      <c r="W3828">
        <v>3</v>
      </c>
      <c r="X3828" t="s">
        <v>12418</v>
      </c>
      <c r="Y3828">
        <v>0.59301601889789424</v>
      </c>
      <c r="Z3828" t="str">
        <f>HYPERLINK("Melting_Curves/meltCurve_tr_E7EN68_E7EN68_HUMAN_.pdf", "Melting_Curves/meltCurve_tr_E7EN68_E7EN68_HUMAN_.pdf")</f>
        <v>Melting_Curves/meltCurve_tr_E7EN68_E7EN68_HUMAN_.pdf</v>
      </c>
      <c r="AA3828" t="s">
        <v>16654</v>
      </c>
      <c r="AB3828" t="s">
        <v>20904</v>
      </c>
    </row>
    <row r="3829" spans="1:28" x14ac:dyDescent="0.25">
      <c r="A3829" t="s">
        <v>3833</v>
      </c>
      <c r="B3829">
        <v>0.99876560204751996</v>
      </c>
      <c r="C3829">
        <v>0.93535370132398898</v>
      </c>
      <c r="D3829">
        <v>0.89733146822028598</v>
      </c>
      <c r="E3829">
        <v>0.76219787779495096</v>
      </c>
      <c r="F3829">
        <v>0.66149796124726201</v>
      </c>
      <c r="G3829">
        <v>0.50049719756099698</v>
      </c>
      <c r="H3829">
        <v>0.32453247876083202</v>
      </c>
      <c r="I3829">
        <v>0.34323285395424502</v>
      </c>
      <c r="J3829">
        <v>0.38919541168026101</v>
      </c>
      <c r="K3829">
        <v>0.35184273856089998</v>
      </c>
      <c r="L3829">
        <v>715.17907442208002</v>
      </c>
      <c r="M3829">
        <v>13.6418254600119</v>
      </c>
      <c r="N3829">
        <v>56.455949540660903</v>
      </c>
      <c r="O3829">
        <v>51.337401632515999</v>
      </c>
      <c r="P3829">
        <v>-4.57652853214221E-2</v>
      </c>
      <c r="Q3829">
        <v>0.311198546143923</v>
      </c>
      <c r="R3829">
        <v>0.98292291145461796</v>
      </c>
      <c r="S3829" t="s">
        <v>8125</v>
      </c>
      <c r="T3829" t="s">
        <v>8590</v>
      </c>
      <c r="U3829" t="s">
        <v>8590</v>
      </c>
      <c r="V3829" t="s">
        <v>8590</v>
      </c>
      <c r="W3829">
        <v>16</v>
      </c>
      <c r="X3829" t="s">
        <v>12419</v>
      </c>
      <c r="Y3829">
        <v>0.6138368849282132</v>
      </c>
      <c r="Z3829" t="str">
        <f>HYPERLINK("Melting_Curves/meltCurve_tr_E7END2_E7END2_HUMAN_.pdf", "Melting_Curves/meltCurve_tr_E7END2_E7END2_HUMAN_.pdf")</f>
        <v>Melting_Curves/meltCurve_tr_E7END2_E7END2_HUMAN_.pdf</v>
      </c>
      <c r="AA3829" t="s">
        <v>16655</v>
      </c>
      <c r="AB3829" t="s">
        <v>20905</v>
      </c>
    </row>
    <row r="3830" spans="1:28" x14ac:dyDescent="0.25">
      <c r="A3830" t="s">
        <v>3834</v>
      </c>
      <c r="B3830">
        <v>0.99876560204751996</v>
      </c>
      <c r="C3830">
        <v>1.0563943445738</v>
      </c>
      <c r="D3830">
        <v>1.07104280447115</v>
      </c>
      <c r="E3830">
        <v>0.64779532362676695</v>
      </c>
      <c r="F3830">
        <v>0.20875683177866999</v>
      </c>
      <c r="G3830">
        <v>9.1874554442687703E-2</v>
      </c>
      <c r="H3830">
        <v>8.8143626454248905E-2</v>
      </c>
      <c r="I3830">
        <v>7.7750480663333996E-2</v>
      </c>
      <c r="J3830">
        <v>9.0302372180651694E-2</v>
      </c>
      <c r="K3830">
        <v>7.2215867117019605E-2</v>
      </c>
      <c r="L3830">
        <v>2226.4798490421699</v>
      </c>
      <c r="M3830">
        <v>44.008822616937302</v>
      </c>
      <c r="N3830">
        <v>50.805821295606101</v>
      </c>
      <c r="O3830">
        <v>50.487542392688603</v>
      </c>
      <c r="P3830">
        <v>-0.19947095056879399</v>
      </c>
      <c r="Q3830">
        <v>8.4657738188173196E-2</v>
      </c>
      <c r="R3830">
        <v>0.99419325314336005</v>
      </c>
      <c r="S3830" t="s">
        <v>8126</v>
      </c>
      <c r="T3830" t="s">
        <v>8590</v>
      </c>
      <c r="U3830" t="s">
        <v>8590</v>
      </c>
      <c r="V3830" t="s">
        <v>8590</v>
      </c>
      <c r="W3830">
        <v>8</v>
      </c>
      <c r="X3830" t="s">
        <v>12420</v>
      </c>
      <c r="Y3830">
        <v>0.41046540956399141</v>
      </c>
      <c r="Z3830" t="str">
        <f>HYPERLINK("Melting_Curves/meltCurve_tr_E7ENN3_E7ENN3_HUMAN_.pdf", "Melting_Curves/meltCurve_tr_E7ENN3_E7ENN3_HUMAN_.pdf")</f>
        <v>Melting_Curves/meltCurve_tr_E7ENN3_E7ENN3_HUMAN_.pdf</v>
      </c>
      <c r="AA3830" t="s">
        <v>16656</v>
      </c>
      <c r="AB3830" t="s">
        <v>20906</v>
      </c>
    </row>
    <row r="3831" spans="1:28" x14ac:dyDescent="0.25">
      <c r="A3831" t="s">
        <v>3835</v>
      </c>
      <c r="B3831">
        <v>0.99876560204751996</v>
      </c>
      <c r="C3831">
        <v>1.1479784581567301</v>
      </c>
      <c r="D3831">
        <v>0.86785063504205795</v>
      </c>
      <c r="E3831">
        <v>0.97257079468795105</v>
      </c>
      <c r="F3831">
        <v>0.79025684418236297</v>
      </c>
      <c r="G3831">
        <v>0.59943632030465099</v>
      </c>
      <c r="H3831">
        <v>0.39551311922500698</v>
      </c>
      <c r="I3831">
        <v>0.42870323115998998</v>
      </c>
      <c r="J3831">
        <v>0.31177020823178597</v>
      </c>
      <c r="K3831">
        <v>0.353301511033555</v>
      </c>
      <c r="L3831">
        <v>1069.0979841523099</v>
      </c>
      <c r="M3831">
        <v>19.239957277755501</v>
      </c>
      <c r="N3831">
        <v>58.820169287261102</v>
      </c>
      <c r="O3831">
        <v>54.976706833725203</v>
      </c>
      <c r="P3831">
        <v>-5.8839567518305103E-2</v>
      </c>
      <c r="Q3831">
        <v>0.327507250593987</v>
      </c>
      <c r="R3831">
        <v>0.94662402301752901</v>
      </c>
      <c r="S3831" t="s">
        <v>8127</v>
      </c>
      <c r="T3831" t="s">
        <v>8590</v>
      </c>
      <c r="U3831" t="s">
        <v>8590</v>
      </c>
      <c r="V3831" t="s">
        <v>8590</v>
      </c>
      <c r="W3831">
        <v>2</v>
      </c>
      <c r="X3831" t="s">
        <v>12421</v>
      </c>
      <c r="Y3831">
        <v>0.68574595357881074</v>
      </c>
      <c r="Z3831" t="str">
        <f>HYPERLINK("Melting_Curves/meltCurve_tr_E7ENY8_E7ENY8_HUMAN_.pdf", "Melting_Curves/meltCurve_tr_E7ENY8_E7ENY8_HUMAN_.pdf")</f>
        <v>Melting_Curves/meltCurve_tr_E7ENY8_E7ENY8_HUMAN_.pdf</v>
      </c>
      <c r="AA3831" t="s">
        <v>16657</v>
      </c>
      <c r="AB3831" t="s">
        <v>20907</v>
      </c>
    </row>
    <row r="3832" spans="1:28" x14ac:dyDescent="0.25">
      <c r="A3832" t="s">
        <v>3836</v>
      </c>
      <c r="B3832">
        <v>0.99876560204751996</v>
      </c>
      <c r="C3832">
        <v>0.97167205696015302</v>
      </c>
      <c r="D3832">
        <v>0.97988241595501302</v>
      </c>
      <c r="E3832">
        <v>0.877410897820316</v>
      </c>
      <c r="F3832">
        <v>0.79854810658259601</v>
      </c>
      <c r="G3832">
        <v>0.47026890346299</v>
      </c>
      <c r="H3832">
        <v>0.36022660341428098</v>
      </c>
      <c r="I3832">
        <v>0.29449476986662898</v>
      </c>
      <c r="J3832">
        <v>0.35070174910909202</v>
      </c>
      <c r="K3832">
        <v>0.31473306058387901</v>
      </c>
      <c r="L3832">
        <v>1272.348972455</v>
      </c>
      <c r="M3832">
        <v>23.367813939769299</v>
      </c>
      <c r="N3832">
        <v>56.769449195522199</v>
      </c>
      <c r="O3832">
        <v>54.054720645933202</v>
      </c>
      <c r="P3832">
        <v>-7.4827823574115201E-2</v>
      </c>
      <c r="Q3832">
        <v>0.30764140070537499</v>
      </c>
      <c r="R3832">
        <v>0.99178542084190302</v>
      </c>
      <c r="S3832" t="s">
        <v>8128</v>
      </c>
      <c r="T3832" t="s">
        <v>8590</v>
      </c>
      <c r="U3832" t="s">
        <v>8590</v>
      </c>
      <c r="V3832" t="s">
        <v>8590</v>
      </c>
      <c r="W3832">
        <v>10</v>
      </c>
      <c r="X3832" t="s">
        <v>12422</v>
      </c>
      <c r="Y3832">
        <v>0.64832059143048648</v>
      </c>
      <c r="Z3832" t="str">
        <f>HYPERLINK("Melting_Curves/meltCurve_tr_E7EPD0_E7EPD0_HUMAN_.pdf", "Melting_Curves/meltCurve_tr_E7EPD0_E7EPD0_HUMAN_.pdf")</f>
        <v>Melting_Curves/meltCurve_tr_E7EPD0_E7EPD0_HUMAN_.pdf</v>
      </c>
      <c r="AA3832" t="s">
        <v>16658</v>
      </c>
      <c r="AB3832" t="s">
        <v>20908</v>
      </c>
    </row>
    <row r="3833" spans="1:28" x14ac:dyDescent="0.25">
      <c r="A3833" t="s">
        <v>3837</v>
      </c>
      <c r="B3833">
        <v>0.99876560204751996</v>
      </c>
      <c r="C3833">
        <v>1.0022402929594201</v>
      </c>
      <c r="D3833">
        <v>0.568205467925191</v>
      </c>
      <c r="E3833">
        <v>0.40569508255488201</v>
      </c>
      <c r="F3833">
        <v>0.23444354070671999</v>
      </c>
      <c r="G3833">
        <v>0.16852182101674901</v>
      </c>
      <c r="H3833">
        <v>0.11929557324510701</v>
      </c>
      <c r="I3833">
        <v>0.103212049417077</v>
      </c>
      <c r="J3833">
        <v>0.125479215812968</v>
      </c>
      <c r="K3833">
        <v>0.104760869569125</v>
      </c>
      <c r="L3833">
        <v>888.08656984344395</v>
      </c>
      <c r="M3833">
        <v>18.762355194316299</v>
      </c>
      <c r="N3833">
        <v>48.015490285174202</v>
      </c>
      <c r="O3833">
        <v>46.8055552830523</v>
      </c>
      <c r="P3833">
        <v>-8.8494752477707397E-2</v>
      </c>
      <c r="Q3833">
        <v>0.11698238958460799</v>
      </c>
      <c r="R3833">
        <v>0.97502729910930896</v>
      </c>
      <c r="S3833" t="s">
        <v>8129</v>
      </c>
      <c r="T3833" t="s">
        <v>8590</v>
      </c>
      <c r="U3833" t="s">
        <v>8590</v>
      </c>
      <c r="V3833" t="s">
        <v>8590</v>
      </c>
      <c r="W3833">
        <v>14</v>
      </c>
      <c r="X3833" t="s">
        <v>12423</v>
      </c>
      <c r="Y3833">
        <v>0.34750683887311479</v>
      </c>
      <c r="Z3833" t="str">
        <f>HYPERLINK("Melting_Curves/meltCurve_tr_E7EPL4_E7EPL4_HUMAN_.pdf", "Melting_Curves/meltCurve_tr_E7EPL4_E7EPL4_HUMAN_.pdf")</f>
        <v>Melting_Curves/meltCurve_tr_E7EPL4_E7EPL4_HUMAN_.pdf</v>
      </c>
      <c r="AA3833" t="s">
        <v>16659</v>
      </c>
      <c r="AB3833" t="s">
        <v>20909</v>
      </c>
    </row>
    <row r="3834" spans="1:28" x14ac:dyDescent="0.25">
      <c r="A3834" t="s">
        <v>3838</v>
      </c>
      <c r="B3834">
        <v>0.99876560204751996</v>
      </c>
      <c r="C3834">
        <v>1.0717388728676001</v>
      </c>
      <c r="D3834">
        <v>1.0475315241485901</v>
      </c>
      <c r="E3834">
        <v>0.80033217798660505</v>
      </c>
      <c r="F3834">
        <v>0.33787277802327997</v>
      </c>
      <c r="G3834">
        <v>0.119219462607766</v>
      </c>
      <c r="H3834">
        <v>7.8504373808334499E-2</v>
      </c>
      <c r="I3834">
        <v>5.7243618650056498E-2</v>
      </c>
      <c r="J3834">
        <v>8.1179273371993405E-2</v>
      </c>
      <c r="K3834">
        <v>6.1747918248906901E-2</v>
      </c>
      <c r="L3834">
        <v>1967.17642633992</v>
      </c>
      <c r="M3834">
        <v>38.023890438757199</v>
      </c>
      <c r="N3834">
        <v>51.951023612577998</v>
      </c>
      <c r="O3834">
        <v>51.592800487650102</v>
      </c>
      <c r="P3834">
        <v>-0.17079338051454601</v>
      </c>
      <c r="Q3834">
        <v>7.3036833982448895E-2</v>
      </c>
      <c r="R3834">
        <v>0.99509675571445699</v>
      </c>
      <c r="S3834" t="s">
        <v>8130</v>
      </c>
      <c r="T3834" t="s">
        <v>8590</v>
      </c>
      <c r="U3834" t="s">
        <v>8590</v>
      </c>
      <c r="V3834" t="s">
        <v>8590</v>
      </c>
      <c r="W3834">
        <v>5</v>
      </c>
      <c r="X3834" t="s">
        <v>12424</v>
      </c>
      <c r="Y3834">
        <v>0.43931164769263997</v>
      </c>
      <c r="Z3834" t="str">
        <f>HYPERLINK("Melting_Curves/meltCurve_tr_E7EQ69_E7EQ69_HUMAN_.pdf", "Melting_Curves/meltCurve_tr_E7EQ69_E7EQ69_HUMAN_.pdf")</f>
        <v>Melting_Curves/meltCurve_tr_E7EQ69_E7EQ69_HUMAN_.pdf</v>
      </c>
      <c r="AA3834" t="s">
        <v>16660</v>
      </c>
      <c r="AB3834" t="s">
        <v>20910</v>
      </c>
    </row>
    <row r="3835" spans="1:28" x14ac:dyDescent="0.25">
      <c r="A3835" t="s">
        <v>3839</v>
      </c>
      <c r="B3835">
        <v>0.99876560204751996</v>
      </c>
      <c r="C3835">
        <v>1.0132122661576699</v>
      </c>
      <c r="D3835">
        <v>0.936401541461092</v>
      </c>
      <c r="E3835">
        <v>0.669632559813791</v>
      </c>
      <c r="F3835">
        <v>0.57659588185016097</v>
      </c>
      <c r="G3835">
        <v>0.49344895551586399</v>
      </c>
      <c r="H3835">
        <v>0.51625696858347103</v>
      </c>
      <c r="I3835">
        <v>0.470228127107092</v>
      </c>
      <c r="J3835">
        <v>0.58868217984756499</v>
      </c>
      <c r="K3835">
        <v>0.59022487763070697</v>
      </c>
      <c r="L3835">
        <v>1607.1809903107801</v>
      </c>
      <c r="M3835">
        <v>33.018484440305997</v>
      </c>
      <c r="O3835">
        <v>48.497677618503097</v>
      </c>
      <c r="P3835">
        <v>-7.9434308323557107E-2</v>
      </c>
      <c r="Q3835">
        <v>0.53330832242797399</v>
      </c>
      <c r="R3835">
        <v>0.96821208781456802</v>
      </c>
      <c r="S3835" t="s">
        <v>8131</v>
      </c>
      <c r="T3835" t="s">
        <v>8590</v>
      </c>
      <c r="U3835" t="s">
        <v>8590</v>
      </c>
      <c r="V3835" t="s">
        <v>8590</v>
      </c>
      <c r="W3835">
        <v>3</v>
      </c>
      <c r="X3835" t="s">
        <v>12425</v>
      </c>
      <c r="Y3835">
        <v>0.67058697954280722</v>
      </c>
      <c r="Z3835" t="str">
        <f>HYPERLINK("Melting_Curves/meltCurve_tr_E7EQA9_E7EQA9_HUMAN_.pdf", "Melting_Curves/meltCurve_tr_E7EQA9_E7EQA9_HUMAN_.pdf")</f>
        <v>Melting_Curves/meltCurve_tr_E7EQA9_E7EQA9_HUMAN_.pdf</v>
      </c>
      <c r="AA3835" t="s">
        <v>16661</v>
      </c>
      <c r="AB3835" t="s">
        <v>20911</v>
      </c>
    </row>
    <row r="3836" spans="1:28" x14ac:dyDescent="0.25">
      <c r="A3836" t="s">
        <v>3840</v>
      </c>
      <c r="B3836">
        <v>0.99876560204751996</v>
      </c>
      <c r="C3836">
        <v>0.90560324481900101</v>
      </c>
      <c r="D3836">
        <v>0.85323789178407095</v>
      </c>
      <c r="E3836">
        <v>0.60042490822140504</v>
      </c>
      <c r="F3836">
        <v>0.34787666388155902</v>
      </c>
      <c r="G3836">
        <v>0.20657609568680099</v>
      </c>
      <c r="H3836">
        <v>0.127747424431435</v>
      </c>
      <c r="I3836">
        <v>0.12923197709356099</v>
      </c>
      <c r="J3836">
        <v>0.12515258053007</v>
      </c>
      <c r="K3836">
        <v>5.5889459022954197E-2</v>
      </c>
      <c r="L3836">
        <v>815.37151823220404</v>
      </c>
      <c r="M3836">
        <v>16.144455150140701</v>
      </c>
      <c r="N3836">
        <v>51.056575680627901</v>
      </c>
      <c r="O3836">
        <v>49.748930845995602</v>
      </c>
      <c r="P3836">
        <v>-7.4640156817582404E-2</v>
      </c>
      <c r="Q3836">
        <v>8.0059100010092601E-2</v>
      </c>
      <c r="R3836">
        <v>0.99528205691723104</v>
      </c>
      <c r="S3836" t="s">
        <v>8132</v>
      </c>
      <c r="T3836" t="s">
        <v>8590</v>
      </c>
      <c r="U3836" t="s">
        <v>8590</v>
      </c>
      <c r="V3836" t="s">
        <v>8590</v>
      </c>
      <c r="W3836">
        <v>2</v>
      </c>
      <c r="X3836" t="s">
        <v>12426</v>
      </c>
      <c r="Y3836">
        <v>0.42117456776670648</v>
      </c>
      <c r="Z3836" t="str">
        <f>HYPERLINK("Melting_Curves/meltCurve_tr_E7EQB9_E7EQB9_HUMAN_.pdf", "Melting_Curves/meltCurve_tr_E7EQB9_E7EQB9_HUMAN_.pdf")</f>
        <v>Melting_Curves/meltCurve_tr_E7EQB9_E7EQB9_HUMAN_.pdf</v>
      </c>
      <c r="AA3836" t="s">
        <v>16662</v>
      </c>
      <c r="AB3836" t="s">
        <v>20912</v>
      </c>
    </row>
    <row r="3837" spans="1:28" x14ac:dyDescent="0.25">
      <c r="A3837" t="s">
        <v>3841</v>
      </c>
      <c r="B3837">
        <v>0.99876560204751996</v>
      </c>
      <c r="C3837">
        <v>0.94289973253969295</v>
      </c>
      <c r="D3837">
        <v>1.03063154993258</v>
      </c>
      <c r="E3837">
        <v>0.92058721983745795</v>
      </c>
      <c r="F3837">
        <v>0.89106995350448304</v>
      </c>
      <c r="G3837">
        <v>0.75000788512022498</v>
      </c>
      <c r="H3837">
        <v>0.67786608947438398</v>
      </c>
      <c r="I3837">
        <v>0.60959382342591095</v>
      </c>
      <c r="J3837">
        <v>0.85433504513182201</v>
      </c>
      <c r="K3837">
        <v>0.82814753591359702</v>
      </c>
      <c r="L3837">
        <v>1633.9558497041201</v>
      </c>
      <c r="M3837">
        <v>30.968591413963299</v>
      </c>
      <c r="O3837">
        <v>52.543170399837301</v>
      </c>
      <c r="P3837">
        <v>-3.8202790064940297E-2</v>
      </c>
      <c r="Q3837">
        <v>0.74073290439251605</v>
      </c>
      <c r="R3837">
        <v>0.70586419716916404</v>
      </c>
      <c r="S3837" t="s">
        <v>8133</v>
      </c>
      <c r="T3837" t="s">
        <v>8590</v>
      </c>
      <c r="U3837" t="s">
        <v>8590</v>
      </c>
      <c r="V3837" t="s">
        <v>8590</v>
      </c>
      <c r="W3837">
        <v>15</v>
      </c>
      <c r="X3837" t="s">
        <v>12427</v>
      </c>
      <c r="Y3837">
        <v>0.85259663001434527</v>
      </c>
      <c r="Z3837" t="str">
        <f>HYPERLINK("Melting_Curves/meltCurve_tr_E7EQT4_E7EQT4_HUMAN_.pdf", "Melting_Curves/meltCurve_tr_E7EQT4_E7EQT4_HUMAN_.pdf")</f>
        <v>Melting_Curves/meltCurve_tr_E7EQT4_E7EQT4_HUMAN_.pdf</v>
      </c>
      <c r="AA3837" t="s">
        <v>16663</v>
      </c>
      <c r="AB3837" t="s">
        <v>20913</v>
      </c>
    </row>
    <row r="3838" spans="1:28" x14ac:dyDescent="0.25">
      <c r="A3838" t="s">
        <v>3842</v>
      </c>
      <c r="B3838">
        <v>0.99876560204751996</v>
      </c>
      <c r="C3838">
        <v>0.86871874899149304</v>
      </c>
      <c r="D3838">
        <v>0.757853396475067</v>
      </c>
      <c r="E3838">
        <v>0.55418185633025796</v>
      </c>
      <c r="F3838">
        <v>0.47614108627225699</v>
      </c>
      <c r="G3838">
        <v>0.18608722680256301</v>
      </c>
      <c r="H3838">
        <v>0.21756104390327899</v>
      </c>
      <c r="I3838">
        <v>9.3188716586944401E-2</v>
      </c>
      <c r="J3838">
        <v>0</v>
      </c>
      <c r="K3838">
        <v>0</v>
      </c>
      <c r="L3838">
        <v>574.71466352459095</v>
      </c>
      <c r="M3838">
        <v>11.218141574136901</v>
      </c>
      <c r="N3838">
        <v>51.230826426905601</v>
      </c>
      <c r="O3838">
        <v>49.683791019663403</v>
      </c>
      <c r="P3838">
        <v>-5.6465352248173402E-2</v>
      </c>
      <c r="Q3838">
        <v>0</v>
      </c>
      <c r="R3838">
        <v>0.98080645685207601</v>
      </c>
      <c r="S3838" t="s">
        <v>8134</v>
      </c>
      <c r="T3838" t="s">
        <v>8590</v>
      </c>
      <c r="U3838" t="s">
        <v>8590</v>
      </c>
      <c r="V3838" t="s">
        <v>8590</v>
      </c>
      <c r="W3838">
        <v>1</v>
      </c>
      <c r="X3838" t="s">
        <v>12428</v>
      </c>
      <c r="Y3838">
        <v>0.40960760746981051</v>
      </c>
      <c r="Z3838" t="str">
        <f>HYPERLINK("Melting_Curves/meltCurve_tr_E7EQV9_E7EQV9_HUMAN_.pdf", "Melting_Curves/meltCurve_tr_E7EQV9_E7EQV9_HUMAN_.pdf")</f>
        <v>Melting_Curves/meltCurve_tr_E7EQV9_E7EQV9_HUMAN_.pdf</v>
      </c>
      <c r="AA3838" t="s">
        <v>16664</v>
      </c>
      <c r="AB3838" t="s">
        <v>20914</v>
      </c>
    </row>
    <row r="3839" spans="1:28" x14ac:dyDescent="0.25">
      <c r="A3839" t="s">
        <v>3843</v>
      </c>
      <c r="B3839">
        <v>0.99876560204751996</v>
      </c>
      <c r="C3839">
        <v>0.94150891374262602</v>
      </c>
      <c r="D3839">
        <v>1.1005107289584199</v>
      </c>
      <c r="E3839">
        <v>1.04430409702524</v>
      </c>
      <c r="F3839">
        <v>1.22211807350628</v>
      </c>
      <c r="G3839">
        <v>1.0299720675997299</v>
      </c>
      <c r="H3839">
        <v>0.91591048146522402</v>
      </c>
      <c r="I3839">
        <v>0.96197393829130595</v>
      </c>
      <c r="J3839">
        <v>1.18665416737047</v>
      </c>
      <c r="K3839">
        <v>1.1470010562061601</v>
      </c>
      <c r="L3839">
        <v>174.93792260958301</v>
      </c>
      <c r="M3839">
        <v>1.0615798083346899</v>
      </c>
      <c r="O3839">
        <v>61.894726534573302</v>
      </c>
      <c r="P3839">
        <v>2.84987925353343E-3</v>
      </c>
      <c r="Q3839">
        <v>1.5</v>
      </c>
      <c r="R3839">
        <v>7.3673375029753199E-2</v>
      </c>
      <c r="S3839" t="s">
        <v>8135</v>
      </c>
      <c r="T3839" t="s">
        <v>8590</v>
      </c>
      <c r="U3839" t="s">
        <v>8590</v>
      </c>
      <c r="V3839" t="s">
        <v>8590</v>
      </c>
      <c r="W3839">
        <v>11</v>
      </c>
      <c r="X3839" t="s">
        <v>12429</v>
      </c>
      <c r="Y3839">
        <v>1.0546349242646129</v>
      </c>
      <c r="Z3839" t="str">
        <f>HYPERLINK("Melting_Curves/meltCurve_tr_E7ES08_E7ES08_HUMAN_.pdf", "Melting_Curves/meltCurve_tr_E7ES08_E7ES08_HUMAN_.pdf")</f>
        <v>Melting_Curves/meltCurve_tr_E7ES08_E7ES08_HUMAN_.pdf</v>
      </c>
      <c r="AA3839" t="s">
        <v>16665</v>
      </c>
      <c r="AB3839" t="s">
        <v>20915</v>
      </c>
    </row>
    <row r="3840" spans="1:28" x14ac:dyDescent="0.25">
      <c r="A3840" t="s">
        <v>3844</v>
      </c>
      <c r="B3840">
        <v>0.99876560204751996</v>
      </c>
      <c r="C3840">
        <v>0.79409888251529503</v>
      </c>
      <c r="D3840">
        <v>0.92230849679363203</v>
      </c>
      <c r="E3840">
        <v>0.71938692270791504</v>
      </c>
      <c r="F3840">
        <v>0.87495656428703406</v>
      </c>
      <c r="G3840">
        <v>0.58411803453420597</v>
      </c>
      <c r="H3840">
        <v>0.60840373518348101</v>
      </c>
      <c r="I3840">
        <v>0.53397856931252197</v>
      </c>
      <c r="J3840">
        <v>0.69144358641385295</v>
      </c>
      <c r="K3840">
        <v>0.69519158995526797</v>
      </c>
      <c r="L3840">
        <v>461.394484347</v>
      </c>
      <c r="M3840">
        <v>9.5223893378377102</v>
      </c>
      <c r="O3840">
        <v>46.461129383059102</v>
      </c>
      <c r="P3840">
        <v>-2.0402498200885199E-2</v>
      </c>
      <c r="Q3840">
        <v>0.602046081418673</v>
      </c>
      <c r="R3840">
        <v>0.63271955252337797</v>
      </c>
      <c r="S3840" t="s">
        <v>8136</v>
      </c>
      <c r="T3840" t="s">
        <v>8590</v>
      </c>
      <c r="U3840" t="s">
        <v>8590</v>
      </c>
      <c r="V3840" t="s">
        <v>8590</v>
      </c>
      <c r="W3840">
        <v>1</v>
      </c>
      <c r="X3840" t="s">
        <v>12430</v>
      </c>
      <c r="Y3840">
        <v>0.73605652933796617</v>
      </c>
      <c r="Z3840" t="str">
        <f>HYPERLINK("Melting_Curves/meltCurve_tr_E7ESU4_E7ESU4_HUMAN_.pdf", "Melting_Curves/meltCurve_tr_E7ESU4_E7ESU4_HUMAN_.pdf")</f>
        <v>Melting_Curves/meltCurve_tr_E7ESU4_E7ESU4_HUMAN_.pdf</v>
      </c>
      <c r="AA3840" t="s">
        <v>16666</v>
      </c>
      <c r="AB3840" t="s">
        <v>20916</v>
      </c>
    </row>
    <row r="3841" spans="1:28" x14ac:dyDescent="0.25">
      <c r="A3841" t="s">
        <v>3845</v>
      </c>
      <c r="B3841">
        <v>0.99876560204751996</v>
      </c>
      <c r="C3841">
        <v>0.89695922473020195</v>
      </c>
      <c r="D3841">
        <v>1.2346091511772099</v>
      </c>
      <c r="E3841">
        <v>0.86532277617748099</v>
      </c>
      <c r="F3841">
        <v>0.79843170384877804</v>
      </c>
      <c r="G3841">
        <v>0.83658527111479397</v>
      </c>
      <c r="H3841">
        <v>0.64620932709359702</v>
      </c>
      <c r="I3841">
        <v>0.58130791829718997</v>
      </c>
      <c r="J3841">
        <v>0.89809758390314998</v>
      </c>
      <c r="K3841">
        <v>0.88154584756131504</v>
      </c>
      <c r="L3841">
        <v>5680.2792614600403</v>
      </c>
      <c r="M3841">
        <v>113.986682684768</v>
      </c>
      <c r="O3841">
        <v>49.817499164462603</v>
      </c>
      <c r="P3841">
        <v>-0.12948568787096801</v>
      </c>
      <c r="Q3841">
        <v>0.77363485800516696</v>
      </c>
      <c r="R3841">
        <v>0.481541230681585</v>
      </c>
      <c r="S3841" t="s">
        <v>8137</v>
      </c>
      <c r="T3841" t="s">
        <v>8590</v>
      </c>
      <c r="U3841" t="s">
        <v>8590</v>
      </c>
      <c r="V3841" t="s">
        <v>8590</v>
      </c>
      <c r="W3841">
        <v>1</v>
      </c>
      <c r="X3841" t="s">
        <v>12431</v>
      </c>
      <c r="Y3841">
        <v>0.84792385155429162</v>
      </c>
      <c r="Z3841" t="str">
        <f>HYPERLINK("Melting_Curves/meltCurve_tr_E7ESY6_E7ESY6_HUMAN_.pdf", "Melting_Curves/meltCurve_tr_E7ESY6_E7ESY6_HUMAN_.pdf")</f>
        <v>Melting_Curves/meltCurve_tr_E7ESY6_E7ESY6_HUMAN_.pdf</v>
      </c>
      <c r="AA3841" t="s">
        <v>16667</v>
      </c>
      <c r="AB3841" t="s">
        <v>20917</v>
      </c>
    </row>
    <row r="3842" spans="1:28" x14ac:dyDescent="0.25">
      <c r="A3842" t="s">
        <v>3846</v>
      </c>
      <c r="B3842">
        <v>0.99876560204751996</v>
      </c>
      <c r="C3842">
        <v>0.99988255543889804</v>
      </c>
      <c r="D3842">
        <v>0.96380853488364304</v>
      </c>
      <c r="E3842">
        <v>0.88806857064479205</v>
      </c>
      <c r="F3842">
        <v>0.60852013601202803</v>
      </c>
      <c r="G3842">
        <v>0.26974331858982797</v>
      </c>
      <c r="H3842">
        <v>0.17535223281405601</v>
      </c>
      <c r="I3842">
        <v>0.15934567033689201</v>
      </c>
      <c r="J3842">
        <v>0.16671094161496</v>
      </c>
      <c r="K3842">
        <v>0.145913265068293</v>
      </c>
      <c r="L3842">
        <v>1486.9154173059001</v>
      </c>
      <c r="M3842">
        <v>27.901883638391901</v>
      </c>
      <c r="N3842">
        <v>53.995484631492999</v>
      </c>
      <c r="O3842">
        <v>53.019375757993302</v>
      </c>
      <c r="P3842">
        <v>-0.111489736051228</v>
      </c>
      <c r="Q3842">
        <v>0.15259272257159101</v>
      </c>
      <c r="R3842">
        <v>0.99934445026575303</v>
      </c>
      <c r="S3842" t="s">
        <v>8138</v>
      </c>
      <c r="T3842" t="s">
        <v>8590</v>
      </c>
      <c r="U3842" t="s">
        <v>8590</v>
      </c>
      <c r="V3842" t="s">
        <v>8590</v>
      </c>
      <c r="W3842">
        <v>4</v>
      </c>
      <c r="X3842" t="s">
        <v>12432</v>
      </c>
      <c r="Y3842">
        <v>0.53436778761894166</v>
      </c>
      <c r="Z3842" t="str">
        <f>HYPERLINK("Melting_Curves/meltCurve_tr_E7ET15_E7ET15_HUMAN_.pdf", "Melting_Curves/meltCurve_tr_E7ET15_E7ET15_HUMAN_.pdf")</f>
        <v>Melting_Curves/meltCurve_tr_E7ET15_E7ET15_HUMAN_.pdf</v>
      </c>
      <c r="AA3842" t="s">
        <v>16668</v>
      </c>
      <c r="AB3842" t="s">
        <v>20918</v>
      </c>
    </row>
    <row r="3843" spans="1:28" x14ac:dyDescent="0.25">
      <c r="A3843" t="s">
        <v>3847</v>
      </c>
      <c r="B3843">
        <v>0.99876560204751996</v>
      </c>
      <c r="C3843">
        <v>1.0251441319816399</v>
      </c>
      <c r="D3843">
        <v>0.87783484974431403</v>
      </c>
      <c r="E3843">
        <v>0.895583193299478</v>
      </c>
      <c r="F3843">
        <v>0.77057270595005201</v>
      </c>
      <c r="G3843">
        <v>0.61604456805937002</v>
      </c>
      <c r="H3843">
        <v>0.485450183531138</v>
      </c>
      <c r="I3843">
        <v>0.42092864979503802</v>
      </c>
      <c r="J3843">
        <v>0.42366854983221403</v>
      </c>
      <c r="K3843">
        <v>0.45465398928852002</v>
      </c>
      <c r="L3843">
        <v>797.68811789029201</v>
      </c>
      <c r="M3843">
        <v>14.615977586588199</v>
      </c>
      <c r="N3843">
        <v>60.979295730072899</v>
      </c>
      <c r="O3843">
        <v>53.585330277063797</v>
      </c>
      <c r="P3843">
        <v>-4.1448055800408397E-2</v>
      </c>
      <c r="Q3843">
        <v>0.39223786970649199</v>
      </c>
      <c r="R3843">
        <v>0.97733747368081603</v>
      </c>
      <c r="S3843" t="s">
        <v>8139</v>
      </c>
      <c r="T3843" t="s">
        <v>8590</v>
      </c>
      <c r="U3843" t="s">
        <v>8590</v>
      </c>
      <c r="V3843" t="s">
        <v>8590</v>
      </c>
      <c r="W3843">
        <v>10</v>
      </c>
      <c r="X3843" t="s">
        <v>12433</v>
      </c>
      <c r="Y3843">
        <v>0.69995136488387877</v>
      </c>
      <c r="Z3843" t="str">
        <f>HYPERLINK("Melting_Curves/meltCurve_tr_E7ETA6_E7ETA6_HUMAN_.pdf", "Melting_Curves/meltCurve_tr_E7ETA6_E7ETA6_HUMAN_.pdf")</f>
        <v>Melting_Curves/meltCurve_tr_E7ETA6_E7ETA6_HUMAN_.pdf</v>
      </c>
      <c r="AA3843" t="s">
        <v>16669</v>
      </c>
      <c r="AB3843" t="s">
        <v>20919</v>
      </c>
    </row>
    <row r="3844" spans="1:28" x14ac:dyDescent="0.25">
      <c r="A3844" t="s">
        <v>3848</v>
      </c>
      <c r="B3844">
        <v>0.99876560204751996</v>
      </c>
      <c r="C3844">
        <v>1.0907961590589399</v>
      </c>
      <c r="D3844">
        <v>1.1633982177169799</v>
      </c>
      <c r="E3844">
        <v>1.00438635027398</v>
      </c>
      <c r="F3844">
        <v>1.0186877253558999</v>
      </c>
      <c r="G3844">
        <v>0.66623769039652503</v>
      </c>
      <c r="H3844">
        <v>0.621794379900941</v>
      </c>
      <c r="I3844">
        <v>0.67216638794203498</v>
      </c>
      <c r="J3844">
        <v>0.77934839664637301</v>
      </c>
      <c r="K3844">
        <v>0.60891926388143003</v>
      </c>
      <c r="L3844">
        <v>13779.557172508299</v>
      </c>
      <c r="M3844">
        <v>250</v>
      </c>
      <c r="O3844">
        <v>55.114701503241797</v>
      </c>
      <c r="P3844">
        <v>-0.37458655555395698</v>
      </c>
      <c r="Q3844">
        <v>0.66967638132887097</v>
      </c>
      <c r="R3844">
        <v>0.86978297223112899</v>
      </c>
      <c r="S3844" t="s">
        <v>8140</v>
      </c>
      <c r="T3844" t="s">
        <v>8590</v>
      </c>
      <c r="U3844" t="s">
        <v>8590</v>
      </c>
      <c r="V3844" t="s">
        <v>8590</v>
      </c>
      <c r="W3844">
        <v>1</v>
      </c>
      <c r="X3844" t="s">
        <v>12434</v>
      </c>
      <c r="Y3844">
        <v>0.83617193436507753</v>
      </c>
      <c r="Z3844" t="str">
        <f>HYPERLINK("Melting_Curves/meltCurve_tr_E7ETD6_E7ETD6_HUMAN_.pdf", "Melting_Curves/meltCurve_tr_E7ETD6_E7ETD6_HUMAN_.pdf")</f>
        <v>Melting_Curves/meltCurve_tr_E7ETD6_E7ETD6_HUMAN_.pdf</v>
      </c>
      <c r="AA3844" t="s">
        <v>16670</v>
      </c>
      <c r="AB3844" t="s">
        <v>20920</v>
      </c>
    </row>
    <row r="3845" spans="1:28" x14ac:dyDescent="0.25">
      <c r="A3845" t="s">
        <v>3849</v>
      </c>
      <c r="B3845">
        <v>0.99876560204751996</v>
      </c>
      <c r="C3845">
        <v>0.91057316497890295</v>
      </c>
      <c r="D3845">
        <v>0.91963076691867596</v>
      </c>
      <c r="E3845">
        <v>0.79354848201036798</v>
      </c>
      <c r="F3845">
        <v>0.68539944573975098</v>
      </c>
      <c r="G3845">
        <v>0.22846293861005501</v>
      </c>
      <c r="H3845">
        <v>0.117697568055169</v>
      </c>
      <c r="I3845">
        <v>8.8483408729402593E-2</v>
      </c>
      <c r="J3845">
        <v>8.40053275341687E-2</v>
      </c>
      <c r="K3845">
        <v>5.96085303207304E-2</v>
      </c>
      <c r="L3845">
        <v>1101.93406926017</v>
      </c>
      <c r="M3845">
        <v>20.4370770099782</v>
      </c>
      <c r="N3845">
        <v>54.1787712432603</v>
      </c>
      <c r="O3845">
        <v>53.410104677692701</v>
      </c>
      <c r="P3845">
        <v>-9.1189119880989405E-2</v>
      </c>
      <c r="Q3845">
        <v>4.6776622570418397E-2</v>
      </c>
      <c r="R3845">
        <v>0.98510073218935901</v>
      </c>
      <c r="S3845" t="s">
        <v>8141</v>
      </c>
      <c r="T3845" t="s">
        <v>8590</v>
      </c>
      <c r="U3845" t="s">
        <v>8590</v>
      </c>
      <c r="V3845" t="s">
        <v>8590</v>
      </c>
      <c r="W3845">
        <v>9</v>
      </c>
      <c r="X3845" t="s">
        <v>12435</v>
      </c>
      <c r="Y3845">
        <v>0.50154332002533064</v>
      </c>
      <c r="Z3845" t="str">
        <f>HYPERLINK("Melting_Curves/meltCurve_tr_E7ETZ4_E7ETZ4_HUMAN_.pdf", "Melting_Curves/meltCurve_tr_E7ETZ4_E7ETZ4_HUMAN_.pdf")</f>
        <v>Melting_Curves/meltCurve_tr_E7ETZ4_E7ETZ4_HUMAN_.pdf</v>
      </c>
      <c r="AA3845" t="s">
        <v>16671</v>
      </c>
      <c r="AB3845" t="s">
        <v>20921</v>
      </c>
    </row>
    <row r="3846" spans="1:28" x14ac:dyDescent="0.25">
      <c r="A3846" t="s">
        <v>3850</v>
      </c>
      <c r="B3846">
        <v>0.99876560204751996</v>
      </c>
      <c r="C3846">
        <v>1.02926954467801</v>
      </c>
      <c r="D3846">
        <v>0.93271236943644598</v>
      </c>
      <c r="E3846">
        <v>0.91360419481412702</v>
      </c>
      <c r="F3846">
        <v>0.55085239106805095</v>
      </c>
      <c r="G3846">
        <v>0.21531776664254701</v>
      </c>
      <c r="H3846">
        <v>0.14583153816217601</v>
      </c>
      <c r="I3846">
        <v>0.10802554521869399</v>
      </c>
      <c r="J3846">
        <v>0.1198507210373</v>
      </c>
      <c r="K3846">
        <v>9.6682890632743698E-2</v>
      </c>
      <c r="L3846">
        <v>1676.0330923593599</v>
      </c>
      <c r="M3846">
        <v>31.585577974239001</v>
      </c>
      <c r="N3846">
        <v>53.501672412561497</v>
      </c>
      <c r="O3846">
        <v>52.8518972879423</v>
      </c>
      <c r="P3846">
        <v>-0.13237077345072701</v>
      </c>
      <c r="Q3846">
        <v>0.11402483837003299</v>
      </c>
      <c r="R3846">
        <v>0.99597285687075998</v>
      </c>
      <c r="S3846" t="s">
        <v>8142</v>
      </c>
      <c r="T3846" t="s">
        <v>8590</v>
      </c>
      <c r="U3846" t="s">
        <v>8590</v>
      </c>
      <c r="V3846" t="s">
        <v>8590</v>
      </c>
      <c r="W3846">
        <v>12</v>
      </c>
      <c r="X3846" t="s">
        <v>12436</v>
      </c>
      <c r="Y3846">
        <v>0.50501215086160267</v>
      </c>
      <c r="Z3846" t="str">
        <f>HYPERLINK("Melting_Curves/meltCurve_tr_E7EU96_E7EU96_HUMAN_.pdf", "Melting_Curves/meltCurve_tr_E7EU96_E7EU96_HUMAN_.pdf")</f>
        <v>Melting_Curves/meltCurve_tr_E7EU96_E7EU96_HUMAN_.pdf</v>
      </c>
      <c r="AA3846" t="s">
        <v>16672</v>
      </c>
      <c r="AB3846" t="s">
        <v>17876</v>
      </c>
    </row>
    <row r="3847" spans="1:28" x14ac:dyDescent="0.25">
      <c r="A3847" t="s">
        <v>3851</v>
      </c>
      <c r="B3847">
        <v>0.99876560204751996</v>
      </c>
      <c r="C3847">
        <v>0.92801019274788299</v>
      </c>
      <c r="D3847">
        <v>0.634663305955806</v>
      </c>
      <c r="E3847">
        <v>0.372129930121187</v>
      </c>
      <c r="F3847">
        <v>0.195976796333313</v>
      </c>
      <c r="G3847">
        <v>0.10211218601995301</v>
      </c>
      <c r="H3847">
        <v>7.3251196738095201E-2</v>
      </c>
      <c r="I3847">
        <v>4.96805564494485E-2</v>
      </c>
      <c r="J3847">
        <v>5.9637245020173799E-2</v>
      </c>
      <c r="K3847">
        <v>4.4916535818811297E-2</v>
      </c>
      <c r="L3847">
        <v>839.21010682403505</v>
      </c>
      <c r="M3847">
        <v>17.556150863519601</v>
      </c>
      <c r="N3847">
        <v>48.081855695559703</v>
      </c>
      <c r="O3847">
        <v>47.1942250822311</v>
      </c>
      <c r="P3847">
        <v>-8.8479546022123198E-2</v>
      </c>
      <c r="Q3847">
        <v>4.8653455571297001E-2</v>
      </c>
      <c r="R3847">
        <v>0.99571045572475902</v>
      </c>
      <c r="S3847" t="s">
        <v>8143</v>
      </c>
      <c r="T3847" t="s">
        <v>8590</v>
      </c>
      <c r="U3847" t="s">
        <v>8590</v>
      </c>
      <c r="V3847" t="s">
        <v>8590</v>
      </c>
      <c r="W3847">
        <v>5</v>
      </c>
      <c r="X3847" t="s">
        <v>12437</v>
      </c>
      <c r="Y3847">
        <v>0.31395212070913492</v>
      </c>
      <c r="Z3847" t="str">
        <f>HYPERLINK("Melting_Curves/meltCurve_tr_E7EUY0_E7EUY0_HUMAN_.pdf", "Melting_Curves/meltCurve_tr_E7EUY0_E7EUY0_HUMAN_.pdf")</f>
        <v>Melting_Curves/meltCurve_tr_E7EUY0_E7EUY0_HUMAN_.pdf</v>
      </c>
      <c r="AA3847" t="s">
        <v>16673</v>
      </c>
      <c r="AB3847" t="s">
        <v>20922</v>
      </c>
    </row>
    <row r="3848" spans="1:28" x14ac:dyDescent="0.25">
      <c r="A3848" t="s">
        <v>3852</v>
      </c>
      <c r="B3848">
        <v>0.99876560204751996</v>
      </c>
      <c r="C3848">
        <v>0.98062641318722499</v>
      </c>
      <c r="D3848">
        <v>0.87966069540227598</v>
      </c>
      <c r="E3848">
        <v>0.81359430131467003</v>
      </c>
      <c r="F3848">
        <v>1.0928290770272999</v>
      </c>
      <c r="G3848">
        <v>0.74678059220370596</v>
      </c>
      <c r="H3848">
        <v>0.57379611486636495</v>
      </c>
      <c r="I3848">
        <v>0.55741966890151595</v>
      </c>
      <c r="J3848">
        <v>0.60468103595367895</v>
      </c>
      <c r="K3848">
        <v>0.52885934103257404</v>
      </c>
      <c r="L3848">
        <v>14230.7329520323</v>
      </c>
      <c r="M3848">
        <v>250</v>
      </c>
      <c r="O3848">
        <v>56.919289139876497</v>
      </c>
      <c r="P3848">
        <v>-0.47634441453756399</v>
      </c>
      <c r="Q3848">
        <v>0.56618903329513803</v>
      </c>
      <c r="R3848">
        <v>0.84052061063255701</v>
      </c>
      <c r="S3848" t="s">
        <v>8144</v>
      </c>
      <c r="T3848" t="s">
        <v>8590</v>
      </c>
      <c r="U3848" t="s">
        <v>8590</v>
      </c>
      <c r="V3848" t="s">
        <v>8590</v>
      </c>
      <c r="W3848">
        <v>3</v>
      </c>
      <c r="X3848" t="s">
        <v>12438</v>
      </c>
      <c r="Y3848">
        <v>0.81094415075474291</v>
      </c>
      <c r="Z3848" t="str">
        <f>HYPERLINK("Melting_Curves/meltCurve_tr_E7EV62_E7EV62_HUMAN_.pdf", "Melting_Curves/meltCurve_tr_E7EV62_E7EV62_HUMAN_.pdf")</f>
        <v>Melting_Curves/meltCurve_tr_E7EV62_E7EV62_HUMAN_.pdf</v>
      </c>
      <c r="AA3848" t="s">
        <v>16674</v>
      </c>
      <c r="AB3848" t="s">
        <v>20923</v>
      </c>
    </row>
    <row r="3849" spans="1:28" x14ac:dyDescent="0.25">
      <c r="A3849" t="s">
        <v>3853</v>
      </c>
      <c r="B3849">
        <v>0.99876560204751996</v>
      </c>
      <c r="C3849">
        <v>0.97045892025344005</v>
      </c>
      <c r="D3849">
        <v>1.08206819972292</v>
      </c>
      <c r="E3849">
        <v>0.87768989730095304</v>
      </c>
      <c r="F3849">
        <v>0.87999123728943396</v>
      </c>
      <c r="G3849">
        <v>0.64784008904994195</v>
      </c>
      <c r="H3849">
        <v>0.49789107497898699</v>
      </c>
      <c r="I3849">
        <v>0.42608086067576101</v>
      </c>
      <c r="J3849">
        <v>0.55873586826941402</v>
      </c>
      <c r="K3849">
        <v>0.487268224202212</v>
      </c>
      <c r="L3849">
        <v>1324.2214248069899</v>
      </c>
      <c r="M3849">
        <v>24.0677490632388</v>
      </c>
      <c r="N3849">
        <v>63.225570659316503</v>
      </c>
      <c r="O3849">
        <v>54.644949773547502</v>
      </c>
      <c r="P3849">
        <v>-5.7478658337607701E-2</v>
      </c>
      <c r="Q3849">
        <v>0.47799531308868998</v>
      </c>
      <c r="R3849">
        <v>0.95061780947017005</v>
      </c>
      <c r="S3849" t="s">
        <v>8145</v>
      </c>
      <c r="T3849" t="s">
        <v>8590</v>
      </c>
      <c r="U3849" t="s">
        <v>8590</v>
      </c>
      <c r="V3849" t="s">
        <v>8590</v>
      </c>
      <c r="W3849">
        <v>6</v>
      </c>
      <c r="X3849" t="s">
        <v>12439</v>
      </c>
      <c r="Y3849">
        <v>0.74451316678122026</v>
      </c>
      <c r="Z3849" t="str">
        <f>HYPERLINK("Melting_Curves/meltCurve_tr_E7EVD1_E7EVD1_HUMAN_.pdf", "Melting_Curves/meltCurve_tr_E7EVD1_E7EVD1_HUMAN_.pdf")</f>
        <v>Melting_Curves/meltCurve_tr_E7EVD1_E7EVD1_HUMAN_.pdf</v>
      </c>
      <c r="AA3849" t="s">
        <v>16675</v>
      </c>
      <c r="AB3849" t="s">
        <v>20924</v>
      </c>
    </row>
    <row r="3850" spans="1:28" x14ac:dyDescent="0.25">
      <c r="A3850" t="s">
        <v>3854</v>
      </c>
      <c r="B3850">
        <v>0.99876560204751996</v>
      </c>
      <c r="C3850">
        <v>0.73142113823756505</v>
      </c>
      <c r="D3850">
        <v>0.851492498238825</v>
      </c>
      <c r="E3850">
        <v>0.71510600006778202</v>
      </c>
      <c r="F3850">
        <v>0.36212078226601102</v>
      </c>
      <c r="G3850">
        <v>0.17826730173691799</v>
      </c>
      <c r="H3850">
        <v>0.158810468456309</v>
      </c>
      <c r="I3850">
        <v>0.124205779892522</v>
      </c>
      <c r="J3850">
        <v>0.14825218382090599</v>
      </c>
      <c r="K3850">
        <v>0.16599870916964199</v>
      </c>
      <c r="L3850">
        <v>718.42009432906104</v>
      </c>
      <c r="M3850">
        <v>14.181592659692299</v>
      </c>
      <c r="N3850">
        <v>51.439286760623297</v>
      </c>
      <c r="O3850">
        <v>49.683267349147997</v>
      </c>
      <c r="P3850">
        <v>-6.4459106662709598E-2</v>
      </c>
      <c r="Q3850">
        <v>9.6819128799061599E-2</v>
      </c>
      <c r="R3850">
        <v>0.93404180622676403</v>
      </c>
      <c r="S3850" t="s">
        <v>8146</v>
      </c>
      <c r="T3850" t="s">
        <v>8590</v>
      </c>
      <c r="U3850" t="s">
        <v>8590</v>
      </c>
      <c r="V3850" t="s">
        <v>8590</v>
      </c>
      <c r="W3850">
        <v>1</v>
      </c>
      <c r="X3850" t="s">
        <v>12440</v>
      </c>
      <c r="Y3850">
        <v>0.44087230265989241</v>
      </c>
      <c r="Z3850" t="str">
        <f>HYPERLINK("Melting_Curves/meltCurve_tr_E7EVG2_E7EVG2_HUMAN_.pdf", "Melting_Curves/meltCurve_tr_E7EVG2_E7EVG2_HUMAN_.pdf")</f>
        <v>Melting_Curves/meltCurve_tr_E7EVG2_E7EVG2_HUMAN_.pdf</v>
      </c>
      <c r="AA3850" t="s">
        <v>16676</v>
      </c>
      <c r="AB3850" t="s">
        <v>20925</v>
      </c>
    </row>
    <row r="3851" spans="1:28" x14ac:dyDescent="0.25">
      <c r="A3851" t="s">
        <v>3855</v>
      </c>
      <c r="B3851">
        <v>0.99876560204751996</v>
      </c>
      <c r="C3851">
        <v>1.07688657802285</v>
      </c>
      <c r="D3851">
        <v>1.0788861528247899</v>
      </c>
      <c r="E3851">
        <v>0.96401254139909198</v>
      </c>
      <c r="F3851">
        <v>0.77973114363252305</v>
      </c>
      <c r="G3851">
        <v>0.25887901465247998</v>
      </c>
      <c r="H3851">
        <v>0.18934905304243799</v>
      </c>
      <c r="I3851">
        <v>0.11597465912292899</v>
      </c>
      <c r="J3851">
        <v>0.104005960115485</v>
      </c>
      <c r="K3851">
        <v>9.5495274752195797E-2</v>
      </c>
      <c r="L3851">
        <v>1982.7751606255399</v>
      </c>
      <c r="M3851">
        <v>36.337934384295302</v>
      </c>
      <c r="N3851">
        <v>54.970189405365701</v>
      </c>
      <c r="O3851">
        <v>54.4004215354515</v>
      </c>
      <c r="P3851">
        <v>-0.14736807491613599</v>
      </c>
      <c r="Q3851">
        <v>0.11752155381092701</v>
      </c>
      <c r="R3851">
        <v>0.99100983030022705</v>
      </c>
      <c r="S3851" t="s">
        <v>8147</v>
      </c>
      <c r="T3851" t="s">
        <v>8590</v>
      </c>
      <c r="U3851" t="s">
        <v>8590</v>
      </c>
      <c r="V3851" t="s">
        <v>8590</v>
      </c>
      <c r="W3851">
        <v>12</v>
      </c>
      <c r="X3851" t="s">
        <v>12441</v>
      </c>
      <c r="Y3851">
        <v>0.5499773742599241</v>
      </c>
      <c r="Z3851" t="str">
        <f>HYPERLINK("Melting_Curves/meltCurve_tr_E7EVJ5_E7EVJ5_HUMAN_.pdf", "Melting_Curves/meltCurve_tr_E7EVJ5_E7EVJ5_HUMAN_.pdf")</f>
        <v>Melting_Curves/meltCurve_tr_E7EVJ5_E7EVJ5_HUMAN_.pdf</v>
      </c>
      <c r="AA3851" t="s">
        <v>16677</v>
      </c>
      <c r="AB3851" t="s">
        <v>20926</v>
      </c>
    </row>
    <row r="3852" spans="1:28" x14ac:dyDescent="0.25">
      <c r="A3852" t="s">
        <v>3856</v>
      </c>
      <c r="B3852">
        <v>0.99876560204751996</v>
      </c>
      <c r="C3852">
        <v>0.89441066170519201</v>
      </c>
      <c r="D3852">
        <v>0.96329921520682504</v>
      </c>
      <c r="E3852">
        <v>0.93110129379088802</v>
      </c>
      <c r="F3852">
        <v>0.72057612665689597</v>
      </c>
      <c r="G3852">
        <v>0.66234303198503797</v>
      </c>
      <c r="H3852">
        <v>0.48757933537144099</v>
      </c>
      <c r="I3852">
        <v>0.40432878165123198</v>
      </c>
      <c r="J3852">
        <v>0.54178070396455902</v>
      </c>
      <c r="K3852">
        <v>0.47947247520651498</v>
      </c>
      <c r="L3852">
        <v>953.52252681177299</v>
      </c>
      <c r="M3852">
        <v>17.713963710305698</v>
      </c>
      <c r="N3852">
        <v>62.582608240950201</v>
      </c>
      <c r="O3852">
        <v>53.156898899444698</v>
      </c>
      <c r="P3852">
        <v>-4.5153473768898403E-2</v>
      </c>
      <c r="Q3852">
        <v>0.45803371327276399</v>
      </c>
      <c r="R3852">
        <v>0.93447935246786495</v>
      </c>
      <c r="S3852" t="s">
        <v>8148</v>
      </c>
      <c r="T3852" t="s">
        <v>8590</v>
      </c>
      <c r="U3852" t="s">
        <v>8590</v>
      </c>
      <c r="V3852" t="s">
        <v>8590</v>
      </c>
      <c r="W3852">
        <v>1</v>
      </c>
      <c r="X3852" t="s">
        <v>12442</v>
      </c>
      <c r="Y3852">
        <v>0.71678217191506022</v>
      </c>
      <c r="Z3852" t="str">
        <f>HYPERLINK("Melting_Curves/meltCurve_tr_E7EVX9_E7EVX9_HUMAN_.pdf", "Melting_Curves/meltCurve_tr_E7EVX9_E7EVX9_HUMAN_.pdf")</f>
        <v>Melting_Curves/meltCurve_tr_E7EVX9_E7EVX9_HUMAN_.pdf</v>
      </c>
      <c r="AA3852" t="s">
        <v>16678</v>
      </c>
      <c r="AB3852" t="s">
        <v>20927</v>
      </c>
    </row>
    <row r="3853" spans="1:28" x14ac:dyDescent="0.25">
      <c r="A3853" t="s">
        <v>3857</v>
      </c>
      <c r="B3853">
        <v>0.99876560204751996</v>
      </c>
      <c r="C3853">
        <v>1.0863910675244099</v>
      </c>
      <c r="D3853">
        <v>1.04136113666553</v>
      </c>
      <c r="E3853">
        <v>1.0576366456033599</v>
      </c>
      <c r="F3853">
        <v>0.83002633744334697</v>
      </c>
      <c r="G3853">
        <v>0.31674663528156499</v>
      </c>
      <c r="H3853">
        <v>9.4498436802904096E-2</v>
      </c>
      <c r="I3853">
        <v>7.1553900713752505E-2</v>
      </c>
      <c r="J3853">
        <v>5.9555962554578901E-2</v>
      </c>
      <c r="K3853">
        <v>5.5470236206576498E-2</v>
      </c>
      <c r="L3853">
        <v>2016.0058870493399</v>
      </c>
      <c r="M3853">
        <v>36.379945694683798</v>
      </c>
      <c r="N3853">
        <v>55.612253278361699</v>
      </c>
      <c r="O3853">
        <v>55.248664956703102</v>
      </c>
      <c r="P3853">
        <v>-0.154669340973449</v>
      </c>
      <c r="Q3853">
        <v>6.0444023618511401E-2</v>
      </c>
      <c r="R3853">
        <v>0.99245245986947594</v>
      </c>
      <c r="S3853" t="s">
        <v>8149</v>
      </c>
      <c r="T3853" t="s">
        <v>8590</v>
      </c>
      <c r="U3853" t="s">
        <v>8590</v>
      </c>
      <c r="V3853" t="s">
        <v>8590</v>
      </c>
      <c r="W3853">
        <v>9</v>
      </c>
      <c r="X3853" t="s">
        <v>12443</v>
      </c>
      <c r="Y3853">
        <v>0.54754717728212732</v>
      </c>
      <c r="Z3853" t="str">
        <f>HYPERLINK("Melting_Curves/meltCurve_tr_E7EW69_E7EW69_HUMAN_.pdf", "Melting_Curves/meltCurve_tr_E7EW69_E7EW69_HUMAN_.pdf")</f>
        <v>Melting_Curves/meltCurve_tr_E7EW69_E7EW69_HUMAN_.pdf</v>
      </c>
      <c r="AA3853" t="s">
        <v>16679</v>
      </c>
      <c r="AB3853" t="s">
        <v>20928</v>
      </c>
    </row>
    <row r="3854" spans="1:28" x14ac:dyDescent="0.25">
      <c r="A3854" t="s">
        <v>3858</v>
      </c>
      <c r="B3854">
        <v>0.99876560204751996</v>
      </c>
      <c r="C3854">
        <v>0.85449196104710801</v>
      </c>
      <c r="D3854">
        <v>0.94712545054108599</v>
      </c>
      <c r="E3854">
        <v>1.05258084741414</v>
      </c>
      <c r="F3854">
        <v>0.99374031663430396</v>
      </c>
      <c r="G3854">
        <v>0.728578046538782</v>
      </c>
      <c r="H3854">
        <v>0.68453117429006705</v>
      </c>
      <c r="I3854">
        <v>0.63016436791568398</v>
      </c>
      <c r="J3854">
        <v>0.75946169769130301</v>
      </c>
      <c r="K3854">
        <v>0.732158986074677</v>
      </c>
      <c r="L3854">
        <v>4767.0473916609399</v>
      </c>
      <c r="M3854">
        <v>85.950367015758104</v>
      </c>
      <c r="O3854">
        <v>55.4327914780946</v>
      </c>
      <c r="P3854">
        <v>-0.11567019834180201</v>
      </c>
      <c r="Q3854">
        <v>0.70159889705356504</v>
      </c>
      <c r="R3854">
        <v>0.82184117767880605</v>
      </c>
      <c r="S3854" t="s">
        <v>8150</v>
      </c>
      <c r="T3854" t="s">
        <v>8590</v>
      </c>
      <c r="U3854" t="s">
        <v>8590</v>
      </c>
      <c r="V3854" t="s">
        <v>8590</v>
      </c>
      <c r="W3854">
        <v>3</v>
      </c>
      <c r="X3854" t="s">
        <v>12444</v>
      </c>
      <c r="Y3854">
        <v>0.85564884861003965</v>
      </c>
      <c r="Z3854" t="str">
        <f>HYPERLINK("Melting_Curves/meltCurve_tr_E7EWG4_E7EWG4_HUMAN_.pdf", "Melting_Curves/meltCurve_tr_E7EWG4_E7EWG4_HUMAN_.pdf")</f>
        <v>Melting_Curves/meltCurve_tr_E7EWG4_E7EWG4_HUMAN_.pdf</v>
      </c>
      <c r="AA3854" t="s">
        <v>16680</v>
      </c>
      <c r="AB3854" t="s">
        <v>20929</v>
      </c>
    </row>
    <row r="3855" spans="1:28" x14ac:dyDescent="0.25">
      <c r="A3855" t="s">
        <v>3859</v>
      </c>
      <c r="B3855">
        <v>0.99876560204751996</v>
      </c>
      <c r="C3855">
        <v>0.98560992508881895</v>
      </c>
      <c r="D3855">
        <v>0.84206863559107603</v>
      </c>
      <c r="E3855">
        <v>0.68876411823012895</v>
      </c>
      <c r="F3855">
        <v>0.52603946084956399</v>
      </c>
      <c r="G3855">
        <v>0.36740285401782202</v>
      </c>
      <c r="H3855">
        <v>0.18126740888734699</v>
      </c>
      <c r="I3855">
        <v>0.137620978999479</v>
      </c>
      <c r="J3855">
        <v>9.7427935120845202E-2</v>
      </c>
      <c r="K3855">
        <v>0.10053518225727701</v>
      </c>
      <c r="L3855">
        <v>633.06846332305804</v>
      </c>
      <c r="M3855">
        <v>11.884790512362001</v>
      </c>
      <c r="N3855">
        <v>53.534977798120202</v>
      </c>
      <c r="O3855">
        <v>51.826181890918299</v>
      </c>
      <c r="P3855">
        <v>-5.5689043976843697E-2</v>
      </c>
      <c r="Q3855">
        <v>2.8866870212056299E-2</v>
      </c>
      <c r="R3855">
        <v>0.99609216242119802</v>
      </c>
      <c r="S3855" t="s">
        <v>8151</v>
      </c>
      <c r="T3855" t="s">
        <v>8590</v>
      </c>
      <c r="U3855" t="s">
        <v>8590</v>
      </c>
      <c r="V3855" t="s">
        <v>8590</v>
      </c>
      <c r="W3855">
        <v>2</v>
      </c>
      <c r="X3855" t="s">
        <v>12445</v>
      </c>
      <c r="Y3855">
        <v>0.48568001679232847</v>
      </c>
      <c r="Z3855" t="str">
        <f>HYPERLINK("Melting_Curves/meltCurve_tr_E7EX83_E7EX83_HUMAN_.pdf", "Melting_Curves/meltCurve_tr_E7EX83_E7EX83_HUMAN_.pdf")</f>
        <v>Melting_Curves/meltCurve_tr_E7EX83_E7EX83_HUMAN_.pdf</v>
      </c>
      <c r="AA3855" t="s">
        <v>16681</v>
      </c>
      <c r="AB3855" t="s">
        <v>20930</v>
      </c>
    </row>
    <row r="3856" spans="1:28" x14ac:dyDescent="0.25">
      <c r="A3856" t="s">
        <v>3860</v>
      </c>
      <c r="B3856">
        <v>0.99876560204751996</v>
      </c>
      <c r="C3856">
        <v>1.00651430183754</v>
      </c>
      <c r="D3856">
        <v>1.0788038120194801</v>
      </c>
      <c r="E3856">
        <v>0.89421021203242501</v>
      </c>
      <c r="F3856">
        <v>0.53771690054242605</v>
      </c>
      <c r="G3856">
        <v>0.46197253622784501</v>
      </c>
      <c r="H3856">
        <v>0.41446732469299502</v>
      </c>
      <c r="I3856">
        <v>0.37609342805477203</v>
      </c>
      <c r="J3856">
        <v>9.83002402752889E-2</v>
      </c>
      <c r="K3856">
        <v>0.13002487452789599</v>
      </c>
      <c r="L3856">
        <v>707.544820437966</v>
      </c>
      <c r="M3856">
        <v>12.7191304084024</v>
      </c>
      <c r="N3856">
        <v>56.710626227738601</v>
      </c>
      <c r="O3856">
        <v>54.307075081062798</v>
      </c>
      <c r="P3856">
        <v>-5.2252630854277497E-2</v>
      </c>
      <c r="Q3856">
        <v>0.107756018392588</v>
      </c>
      <c r="R3856">
        <v>0.9318892813295</v>
      </c>
      <c r="S3856" t="s">
        <v>8152</v>
      </c>
      <c r="T3856" t="s">
        <v>8590</v>
      </c>
      <c r="U3856" t="s">
        <v>8590</v>
      </c>
      <c r="V3856" t="s">
        <v>8590</v>
      </c>
      <c r="W3856">
        <v>1</v>
      </c>
      <c r="X3856" t="s">
        <v>12446</v>
      </c>
      <c r="Y3856">
        <v>0.59119315342905154</v>
      </c>
      <c r="Z3856" t="str">
        <f>HYPERLINK("Melting_Curves/meltCurve_tr_E9PB09_E9PB09_HUMAN_.pdf", "Melting_Curves/meltCurve_tr_E9PB09_E9PB09_HUMAN_.pdf")</f>
        <v>Melting_Curves/meltCurve_tr_E9PB09_E9PB09_HUMAN_.pdf</v>
      </c>
      <c r="AA3856" t="s">
        <v>16682</v>
      </c>
      <c r="AB3856" t="s">
        <v>20931</v>
      </c>
    </row>
    <row r="3857" spans="1:28" x14ac:dyDescent="0.25">
      <c r="A3857" t="s">
        <v>3861</v>
      </c>
      <c r="B3857">
        <v>0.99876560204751996</v>
      </c>
      <c r="C3857">
        <v>1.02367844188307</v>
      </c>
      <c r="D3857">
        <v>0.86276195445701997</v>
      </c>
      <c r="E3857">
        <v>0.62699256828440397</v>
      </c>
      <c r="F3857">
        <v>0.39975054497965001</v>
      </c>
      <c r="G3857">
        <v>0.29563503534386298</v>
      </c>
      <c r="H3857">
        <v>0.25479272546779103</v>
      </c>
      <c r="I3857">
        <v>0.22313909976738999</v>
      </c>
      <c r="J3857">
        <v>0.260464133553447</v>
      </c>
      <c r="K3857">
        <v>0.241515455942059</v>
      </c>
      <c r="L3857">
        <v>1057.6114382083999</v>
      </c>
      <c r="M3857">
        <v>21.190175005309499</v>
      </c>
      <c r="N3857">
        <v>51.486442940486903</v>
      </c>
      <c r="O3857">
        <v>49.472339683978198</v>
      </c>
      <c r="P3857">
        <v>-8.1531657772837704E-2</v>
      </c>
      <c r="Q3857">
        <v>0.238617443437937</v>
      </c>
      <c r="R3857">
        <v>0.99563256510769305</v>
      </c>
      <c r="S3857" t="s">
        <v>8153</v>
      </c>
      <c r="T3857" t="s">
        <v>8590</v>
      </c>
      <c r="U3857" t="s">
        <v>8590</v>
      </c>
      <c r="V3857" t="s">
        <v>8590</v>
      </c>
      <c r="W3857">
        <v>7</v>
      </c>
      <c r="X3857" t="s">
        <v>12447</v>
      </c>
      <c r="Y3857">
        <v>0.49960192504807482</v>
      </c>
      <c r="Z3857" t="str">
        <f>HYPERLINK("Melting_Curves/meltCurve_tr_E9PB14_E9PB14_HUMAN_.pdf", "Melting_Curves/meltCurve_tr_E9PB14_E9PB14_HUMAN_.pdf")</f>
        <v>Melting_Curves/meltCurve_tr_E9PB14_E9PB14_HUMAN_.pdf</v>
      </c>
      <c r="AA3857" t="s">
        <v>16683</v>
      </c>
      <c r="AB3857" t="s">
        <v>20932</v>
      </c>
    </row>
    <row r="3858" spans="1:28" x14ac:dyDescent="0.25">
      <c r="A3858" t="s">
        <v>3862</v>
      </c>
      <c r="B3858">
        <v>0.99876560204751996</v>
      </c>
      <c r="C3858">
        <v>1.0620449901881199</v>
      </c>
      <c r="D3858">
        <v>0.77235140823705895</v>
      </c>
      <c r="E3858">
        <v>0.55071126411612903</v>
      </c>
      <c r="F3858">
        <v>0.28350581241138001</v>
      </c>
      <c r="G3858">
        <v>0.168038250557597</v>
      </c>
      <c r="H3858">
        <v>0.103280711463084</v>
      </c>
      <c r="I3858">
        <v>0.106251093756485</v>
      </c>
      <c r="J3858">
        <v>0.114904769778262</v>
      </c>
      <c r="K3858">
        <v>9.78253156229872E-2</v>
      </c>
      <c r="L3858">
        <v>973.12964699336999</v>
      </c>
      <c r="M3858">
        <v>19.5997464940695</v>
      </c>
      <c r="N3858">
        <v>50.194937899808799</v>
      </c>
      <c r="O3858">
        <v>49.1419125062124</v>
      </c>
      <c r="P3858">
        <v>-9.0159276412044798E-2</v>
      </c>
      <c r="Q3858">
        <v>9.5816046748741501E-2</v>
      </c>
      <c r="R3858">
        <v>0.98747629205806697</v>
      </c>
      <c r="S3858" t="s">
        <v>8154</v>
      </c>
      <c r="T3858" t="s">
        <v>8590</v>
      </c>
      <c r="U3858" t="s">
        <v>8590</v>
      </c>
      <c r="V3858" t="s">
        <v>8590</v>
      </c>
      <c r="W3858">
        <v>9</v>
      </c>
      <c r="X3858" t="s">
        <v>12448</v>
      </c>
      <c r="Y3858">
        <v>0.39978610436111611</v>
      </c>
      <c r="Z3858" t="str">
        <f>HYPERLINK("Melting_Curves/meltCurve_tr_E9PBL8_E9PBL8_HUMAN_.pdf", "Melting_Curves/meltCurve_tr_E9PBL8_E9PBL8_HUMAN_.pdf")</f>
        <v>Melting_Curves/meltCurve_tr_E9PBL8_E9PBL8_HUMAN_.pdf</v>
      </c>
      <c r="AA3858" t="s">
        <v>16684</v>
      </c>
      <c r="AB3858" t="s">
        <v>20933</v>
      </c>
    </row>
    <row r="3859" spans="1:28" x14ac:dyDescent="0.25">
      <c r="A3859" t="s">
        <v>3863</v>
      </c>
      <c r="B3859">
        <v>0.99876560204751996</v>
      </c>
      <c r="C3859">
        <v>1.06756826969913</v>
      </c>
      <c r="D3859">
        <v>0.68184780853898297</v>
      </c>
      <c r="E3859">
        <v>0.60540173538373199</v>
      </c>
      <c r="F3859">
        <v>0.38106855191740402</v>
      </c>
      <c r="G3859">
        <v>0.24199212203274401</v>
      </c>
      <c r="H3859">
        <v>0.13559170378201099</v>
      </c>
      <c r="I3859">
        <v>0.11579493089677401</v>
      </c>
      <c r="J3859">
        <v>6.3454081961025796E-2</v>
      </c>
      <c r="K3859">
        <v>4.9351342072880902E-2</v>
      </c>
      <c r="L3859">
        <v>670.03148292841001</v>
      </c>
      <c r="M3859">
        <v>13.182157994401599</v>
      </c>
      <c r="N3859">
        <v>51.138598182860498</v>
      </c>
      <c r="O3859">
        <v>49.701623692119902</v>
      </c>
      <c r="P3859">
        <v>-6.3771479849195303E-2</v>
      </c>
      <c r="Q3859">
        <v>3.83922716852826E-2</v>
      </c>
      <c r="R3859">
        <v>0.97010976783593095</v>
      </c>
      <c r="S3859" t="s">
        <v>8155</v>
      </c>
      <c r="T3859" t="s">
        <v>8590</v>
      </c>
      <c r="U3859" t="s">
        <v>8590</v>
      </c>
      <c r="V3859" t="s">
        <v>8590</v>
      </c>
      <c r="W3859">
        <v>5</v>
      </c>
      <c r="X3859" t="s">
        <v>12449</v>
      </c>
      <c r="Y3859">
        <v>0.41300581377584439</v>
      </c>
      <c r="Z3859" t="str">
        <f>HYPERLINK("Melting_Curves/meltCurve_tr_E9PCG9_E9PCG9_HUMAN_.pdf", "Melting_Curves/meltCurve_tr_E9PCG9_E9PCG9_HUMAN_.pdf")</f>
        <v>Melting_Curves/meltCurve_tr_E9PCG9_E9PCG9_HUMAN_.pdf</v>
      </c>
      <c r="AA3859" t="s">
        <v>16685</v>
      </c>
      <c r="AB3859" t="s">
        <v>20934</v>
      </c>
    </row>
    <row r="3860" spans="1:28" x14ac:dyDescent="0.25">
      <c r="A3860" t="s">
        <v>3864</v>
      </c>
      <c r="B3860">
        <v>0.99876560204751996</v>
      </c>
      <c r="C3860">
        <v>0.929241543113004</v>
      </c>
      <c r="D3860">
        <v>0.93528820428329096</v>
      </c>
      <c r="E3860">
        <v>0.90276670528330405</v>
      </c>
      <c r="F3860">
        <v>0.83832275661698796</v>
      </c>
      <c r="G3860">
        <v>0.69114128692445698</v>
      </c>
      <c r="H3860">
        <v>0.55908507319121203</v>
      </c>
      <c r="I3860">
        <v>0.55316995803269298</v>
      </c>
      <c r="J3860">
        <v>0.60129113127120104</v>
      </c>
      <c r="K3860">
        <v>0.56554565783265398</v>
      </c>
      <c r="L3860">
        <v>856.372578523946</v>
      </c>
      <c r="M3860">
        <v>15.8182712977686</v>
      </c>
      <c r="O3860">
        <v>53.2951056092638</v>
      </c>
      <c r="P3860">
        <v>-3.4072461449649503E-2</v>
      </c>
      <c r="Q3860">
        <v>0.54084830872613199</v>
      </c>
      <c r="R3860">
        <v>0.96239777854375497</v>
      </c>
      <c r="S3860" t="s">
        <v>8156</v>
      </c>
      <c r="T3860" t="s">
        <v>8590</v>
      </c>
      <c r="U3860" t="s">
        <v>8590</v>
      </c>
      <c r="V3860" t="s">
        <v>8590</v>
      </c>
      <c r="W3860">
        <v>6</v>
      </c>
      <c r="X3860" t="s">
        <v>12450</v>
      </c>
      <c r="Y3860">
        <v>0.76598077985540369</v>
      </c>
      <c r="Z3860" t="str">
        <f>HYPERLINK("Melting_Curves/meltCurve_tr_E9PCJ7_E9PCJ7_HUMAN_.pdf", "Melting_Curves/meltCurve_tr_E9PCJ7_E9PCJ7_HUMAN_.pdf")</f>
        <v>Melting_Curves/meltCurve_tr_E9PCJ7_E9PCJ7_HUMAN_.pdf</v>
      </c>
      <c r="AA3860" t="s">
        <v>16686</v>
      </c>
      <c r="AB3860" t="s">
        <v>20935</v>
      </c>
    </row>
    <row r="3861" spans="1:28" x14ac:dyDescent="0.25">
      <c r="A3861" t="s">
        <v>3865</v>
      </c>
      <c r="B3861">
        <v>0.99876560204751996</v>
      </c>
      <c r="C3861">
        <v>0.93987151656184698</v>
      </c>
      <c r="D3861">
        <v>1.0492716782431</v>
      </c>
      <c r="E3861">
        <v>0.81660795504931105</v>
      </c>
      <c r="F3861">
        <v>0.65159091781039202</v>
      </c>
      <c r="G3861">
        <v>0.38450158355005498</v>
      </c>
      <c r="H3861">
        <v>0.20976045545081201</v>
      </c>
      <c r="I3861">
        <v>0.15223961312322101</v>
      </c>
      <c r="J3861">
        <v>0.12850944045653601</v>
      </c>
      <c r="K3861">
        <v>0.12709734907273301</v>
      </c>
      <c r="L3861">
        <v>987.90130215271301</v>
      </c>
      <c r="M3861">
        <v>18.186830785677799</v>
      </c>
      <c r="N3861">
        <v>55.033658243301701</v>
      </c>
      <c r="O3861">
        <v>53.675652292424999</v>
      </c>
      <c r="P3861">
        <v>-7.5808027071221695E-2</v>
      </c>
      <c r="Q3861">
        <v>0.10509950332248399</v>
      </c>
      <c r="R3861">
        <v>0.992105108538471</v>
      </c>
      <c r="S3861" t="s">
        <v>8157</v>
      </c>
      <c r="T3861" t="s">
        <v>8590</v>
      </c>
      <c r="U3861" t="s">
        <v>8590</v>
      </c>
      <c r="V3861" t="s">
        <v>8590</v>
      </c>
      <c r="W3861">
        <v>11</v>
      </c>
      <c r="X3861" t="s">
        <v>12451</v>
      </c>
      <c r="Y3861">
        <v>0.54622658055982298</v>
      </c>
      <c r="Z3861" t="str">
        <f>HYPERLINK("Melting_Curves/meltCurve_tr_E9PCY7_E9PCY7_HUMAN_.pdf", "Melting_Curves/meltCurve_tr_E9PCY7_E9PCY7_HUMAN_.pdf")</f>
        <v>Melting_Curves/meltCurve_tr_E9PCY7_E9PCY7_HUMAN_.pdf</v>
      </c>
      <c r="AA3861" t="s">
        <v>16687</v>
      </c>
      <c r="AB3861" t="s">
        <v>20936</v>
      </c>
    </row>
    <row r="3862" spans="1:28" x14ac:dyDescent="0.25">
      <c r="A3862" t="s">
        <v>3866</v>
      </c>
      <c r="B3862">
        <v>0.99876560204751996</v>
      </c>
      <c r="C3862">
        <v>0.924994495172068</v>
      </c>
      <c r="D3862">
        <v>0.87302310468019895</v>
      </c>
      <c r="E3862">
        <v>0.832273726552066</v>
      </c>
      <c r="F3862">
        <v>0.70255456453014697</v>
      </c>
      <c r="G3862">
        <v>0.63938538633430797</v>
      </c>
      <c r="H3862">
        <v>0.45152383297937099</v>
      </c>
      <c r="I3862">
        <v>0.40650235912906701</v>
      </c>
      <c r="J3862">
        <v>0.55517529560804302</v>
      </c>
      <c r="K3862">
        <v>0.69344098813078803</v>
      </c>
      <c r="L3862">
        <v>751.54262081577201</v>
      </c>
      <c r="M3862">
        <v>14.7971748246238</v>
      </c>
      <c r="O3862">
        <v>49.889048831465303</v>
      </c>
      <c r="P3862">
        <v>-3.5458198993909201E-2</v>
      </c>
      <c r="Q3862">
        <v>0.52185809644749903</v>
      </c>
      <c r="R3862">
        <v>0.81946176064115295</v>
      </c>
      <c r="S3862" t="s">
        <v>8158</v>
      </c>
      <c r="T3862" t="s">
        <v>8590</v>
      </c>
      <c r="U3862" t="s">
        <v>8590</v>
      </c>
      <c r="V3862" t="s">
        <v>8590</v>
      </c>
      <c r="W3862">
        <v>2</v>
      </c>
      <c r="X3862" t="s">
        <v>12452</v>
      </c>
      <c r="Y3862">
        <v>0.70520043319401138</v>
      </c>
      <c r="Z3862" t="str">
        <f>HYPERLINK("Melting_Curves/meltCurve_tr_E9PDC3_E9PDC3_HUMAN_.pdf", "Melting_Curves/meltCurve_tr_E9PDC3_E9PDC3_HUMAN_.pdf")</f>
        <v>Melting_Curves/meltCurve_tr_E9PDC3_E9PDC3_HUMAN_.pdf</v>
      </c>
      <c r="AA3862" t="s">
        <v>16688</v>
      </c>
      <c r="AB3862" t="s">
        <v>20937</v>
      </c>
    </row>
    <row r="3863" spans="1:28" x14ac:dyDescent="0.25">
      <c r="A3863" t="s">
        <v>3867</v>
      </c>
      <c r="B3863">
        <v>0.99876560204751996</v>
      </c>
      <c r="C3863">
        <v>0.98518252570613996</v>
      </c>
      <c r="D3863">
        <v>1.13376514844909</v>
      </c>
      <c r="E3863">
        <v>1.1195525655185901</v>
      </c>
      <c r="F3863">
        <v>0.89955955661937403</v>
      </c>
      <c r="G3863">
        <v>0.67236958040181904</v>
      </c>
      <c r="H3863">
        <v>0.73403187252687396</v>
      </c>
      <c r="I3863">
        <v>0.69298272926007198</v>
      </c>
      <c r="J3863">
        <v>0.644314014426147</v>
      </c>
      <c r="K3863">
        <v>0.63411057914829105</v>
      </c>
      <c r="L3863">
        <v>13292.509838150199</v>
      </c>
      <c r="M3863">
        <v>250</v>
      </c>
      <c r="O3863">
        <v>53.166630152139497</v>
      </c>
      <c r="P3863">
        <v>-0.38139314120219397</v>
      </c>
      <c r="Q3863">
        <v>0.67556175030046295</v>
      </c>
      <c r="R3863">
        <v>0.89048237989160395</v>
      </c>
      <c r="S3863" t="s">
        <v>8159</v>
      </c>
      <c r="T3863" t="s">
        <v>8590</v>
      </c>
      <c r="U3863" t="s">
        <v>8590</v>
      </c>
      <c r="V3863" t="s">
        <v>8590</v>
      </c>
      <c r="W3863">
        <v>1</v>
      </c>
      <c r="X3863" t="s">
        <v>12453</v>
      </c>
      <c r="Y3863">
        <v>0.81802084167540279</v>
      </c>
      <c r="Z3863" t="str">
        <f>HYPERLINK("Melting_Curves/meltCurve_tr_E9PEG3_E9PEG3_HUMAN_.pdf", "Melting_Curves/meltCurve_tr_E9PEG3_E9PEG3_HUMAN_.pdf")</f>
        <v>Melting_Curves/meltCurve_tr_E9PEG3_E9PEG3_HUMAN_.pdf</v>
      </c>
      <c r="AA3863" t="s">
        <v>16689</v>
      </c>
      <c r="AB3863" t="s">
        <v>20938</v>
      </c>
    </row>
    <row r="3864" spans="1:28" x14ac:dyDescent="0.25">
      <c r="A3864" t="s">
        <v>3868</v>
      </c>
      <c r="B3864">
        <v>0.99876560204751996</v>
      </c>
      <c r="C3864">
        <v>1.0637940159319299</v>
      </c>
      <c r="D3864">
        <v>0.90167106299900202</v>
      </c>
      <c r="E3864">
        <v>0.73226798720077801</v>
      </c>
      <c r="F3864">
        <v>0.34229403317602503</v>
      </c>
      <c r="G3864">
        <v>0.15658236908776199</v>
      </c>
      <c r="H3864">
        <v>9.1551490333378005E-2</v>
      </c>
      <c r="I3864">
        <v>7.8642788307605196E-2</v>
      </c>
      <c r="J3864">
        <v>7.5905727882998597E-2</v>
      </c>
      <c r="K3864">
        <v>6.6664175279063695E-2</v>
      </c>
      <c r="L3864">
        <v>1354.21580918522</v>
      </c>
      <c r="M3864">
        <v>26.326264595957301</v>
      </c>
      <c r="N3864">
        <v>51.7543755639526</v>
      </c>
      <c r="O3864">
        <v>51.145682391569501</v>
      </c>
      <c r="P3864">
        <v>-0.11916770858606</v>
      </c>
      <c r="Q3864">
        <v>7.3952095868263998E-2</v>
      </c>
      <c r="R3864">
        <v>0.99387742715155203</v>
      </c>
      <c r="S3864" t="s">
        <v>8160</v>
      </c>
      <c r="T3864" t="s">
        <v>8590</v>
      </c>
      <c r="U3864" t="s">
        <v>8590</v>
      </c>
      <c r="V3864" t="s">
        <v>8590</v>
      </c>
      <c r="W3864">
        <v>38</v>
      </c>
      <c r="X3864" t="s">
        <v>12454</v>
      </c>
      <c r="Y3864">
        <v>0.43467324821142211</v>
      </c>
      <c r="Z3864" t="str">
        <f>HYPERLINK("Melting_Curves/meltCurve_tr_E9PEZ3_E9PEZ3_HUMAN_.pdf", "Melting_Curves/meltCurve_tr_E9PEZ3_E9PEZ3_HUMAN_.pdf")</f>
        <v>Melting_Curves/meltCurve_tr_E9PEZ3_E9PEZ3_HUMAN_.pdf</v>
      </c>
      <c r="AA3864" t="s">
        <v>16690</v>
      </c>
      <c r="AB3864" t="s">
        <v>20939</v>
      </c>
    </row>
    <row r="3865" spans="1:28" x14ac:dyDescent="0.25">
      <c r="A3865" t="s">
        <v>3869</v>
      </c>
      <c r="B3865">
        <v>0.99876560204751996</v>
      </c>
      <c r="C3865">
        <v>0.88073838206562904</v>
      </c>
      <c r="D3865">
        <v>0.73939755181488298</v>
      </c>
      <c r="E3865">
        <v>0.31610923588686701</v>
      </c>
      <c r="F3865">
        <v>0.202617333980394</v>
      </c>
      <c r="G3865">
        <v>0.124661041535079</v>
      </c>
      <c r="H3865">
        <v>7.0475700330882199E-2</v>
      </c>
      <c r="I3865">
        <v>0.106891280739078</v>
      </c>
      <c r="J3865">
        <v>3.3857588058883697E-2</v>
      </c>
      <c r="K3865">
        <v>6.0512631356233998E-2</v>
      </c>
      <c r="L3865">
        <v>942.50293830425096</v>
      </c>
      <c r="M3865">
        <v>19.693285793959301</v>
      </c>
      <c r="N3865">
        <v>48.207195476510996</v>
      </c>
      <c r="O3865">
        <v>47.3738274431904</v>
      </c>
      <c r="P3865">
        <v>-9.7040457191054794E-2</v>
      </c>
      <c r="Q3865">
        <v>6.6277352787889293E-2</v>
      </c>
      <c r="R3865">
        <v>0.99482299697730003</v>
      </c>
      <c r="S3865" t="s">
        <v>8161</v>
      </c>
      <c r="T3865" t="s">
        <v>8590</v>
      </c>
      <c r="U3865" t="s">
        <v>8590</v>
      </c>
      <c r="V3865" t="s">
        <v>8590</v>
      </c>
      <c r="W3865">
        <v>1</v>
      </c>
      <c r="X3865" t="s">
        <v>12455</v>
      </c>
      <c r="Y3865">
        <v>0.32464068925834921</v>
      </c>
      <c r="Z3865" t="str">
        <f>HYPERLINK("Melting_Curves/meltCurve_tr_E9PF10_E9PF10_HUMAN_.pdf", "Melting_Curves/meltCurve_tr_E9PF10_E9PF10_HUMAN_.pdf")</f>
        <v>Melting_Curves/meltCurve_tr_E9PF10_E9PF10_HUMAN_.pdf</v>
      </c>
      <c r="AA3865" t="s">
        <v>16691</v>
      </c>
      <c r="AB3865" t="s">
        <v>20940</v>
      </c>
    </row>
    <row r="3866" spans="1:28" x14ac:dyDescent="0.25">
      <c r="A3866" t="s">
        <v>3870</v>
      </c>
      <c r="B3866">
        <v>0.99876560204751996</v>
      </c>
      <c r="C3866">
        <v>0.88485913675446903</v>
      </c>
      <c r="D3866">
        <v>0.80613849340778099</v>
      </c>
      <c r="E3866">
        <v>0.45339921107522801</v>
      </c>
      <c r="F3866">
        <v>0.18817010765377901</v>
      </c>
      <c r="G3866">
        <v>0.16137992330751899</v>
      </c>
      <c r="H3866">
        <v>0.11801741260521301</v>
      </c>
      <c r="I3866">
        <v>0.105803547365796</v>
      </c>
      <c r="J3866">
        <v>0.131049563603056</v>
      </c>
      <c r="K3866">
        <v>0.13476308569954101</v>
      </c>
      <c r="L3866">
        <v>1033.6408754711299</v>
      </c>
      <c r="M3866">
        <v>21.293216796487599</v>
      </c>
      <c r="N3866">
        <v>49.1388151314856</v>
      </c>
      <c r="O3866">
        <v>48.121143734459999</v>
      </c>
      <c r="P3866">
        <v>-9.8043262717150303E-2</v>
      </c>
      <c r="Q3866">
        <v>0.113739717481007</v>
      </c>
      <c r="R3866">
        <v>0.99230757819978199</v>
      </c>
      <c r="S3866" t="s">
        <v>8162</v>
      </c>
      <c r="T3866" t="s">
        <v>8590</v>
      </c>
      <c r="U3866" t="s">
        <v>8590</v>
      </c>
      <c r="V3866" t="s">
        <v>8590</v>
      </c>
      <c r="W3866">
        <v>2</v>
      </c>
      <c r="X3866" t="s">
        <v>12456</v>
      </c>
      <c r="Y3866">
        <v>0.37707847454745641</v>
      </c>
      <c r="Z3866" t="str">
        <f>HYPERLINK("Melting_Curves/meltCurve_tr_E9PF19_E9PF19_HUMAN_.pdf", "Melting_Curves/meltCurve_tr_E9PF19_E9PF19_HUMAN_.pdf")</f>
        <v>Melting_Curves/meltCurve_tr_E9PF19_E9PF19_HUMAN_.pdf</v>
      </c>
      <c r="AA3866" t="s">
        <v>16692</v>
      </c>
      <c r="AB3866" t="s">
        <v>20941</v>
      </c>
    </row>
    <row r="3867" spans="1:28" x14ac:dyDescent="0.25">
      <c r="A3867" t="s">
        <v>3871</v>
      </c>
      <c r="B3867">
        <v>0.99876560204751996</v>
      </c>
      <c r="C3867">
        <v>1.17922462143</v>
      </c>
      <c r="D3867">
        <v>1.1092957352071</v>
      </c>
      <c r="E3867">
        <v>0.99568770156958697</v>
      </c>
      <c r="F3867">
        <v>0.89900896606028402</v>
      </c>
      <c r="G3867">
        <v>0.668834439220091</v>
      </c>
      <c r="H3867">
        <v>0.64086319184762297</v>
      </c>
      <c r="I3867">
        <v>0.56304036668359003</v>
      </c>
      <c r="J3867">
        <v>0.63856370555178699</v>
      </c>
      <c r="K3867">
        <v>0.67949526956128503</v>
      </c>
      <c r="L3867">
        <v>2436.39989499288</v>
      </c>
      <c r="M3867">
        <v>44.967611260366901</v>
      </c>
      <c r="O3867">
        <v>54.074389984070201</v>
      </c>
      <c r="P3867">
        <v>-7.6869086876093201E-2</v>
      </c>
      <c r="Q3867">
        <v>0.63025444596747104</v>
      </c>
      <c r="R3867">
        <v>0.88672888292987595</v>
      </c>
      <c r="S3867" t="s">
        <v>8163</v>
      </c>
      <c r="T3867" t="s">
        <v>8590</v>
      </c>
      <c r="U3867" t="s">
        <v>8590</v>
      </c>
      <c r="V3867" t="s">
        <v>8590</v>
      </c>
      <c r="W3867">
        <v>5</v>
      </c>
      <c r="X3867" t="s">
        <v>12457</v>
      </c>
      <c r="Y3867">
        <v>0.80612881581694162</v>
      </c>
      <c r="Z3867" t="str">
        <f>HYPERLINK("Melting_Curves/meltCurve_tr_E9PFC1_E9PFC1_HUMAN_.pdf", "Melting_Curves/meltCurve_tr_E9PFC1_E9PFC1_HUMAN_.pdf")</f>
        <v>Melting_Curves/meltCurve_tr_E9PFC1_E9PFC1_HUMAN_.pdf</v>
      </c>
      <c r="AA3867" t="s">
        <v>16693</v>
      </c>
      <c r="AB3867" t="s">
        <v>20942</v>
      </c>
    </row>
    <row r="3868" spans="1:28" x14ac:dyDescent="0.25">
      <c r="A3868" t="s">
        <v>3872</v>
      </c>
      <c r="B3868">
        <v>0.99876560204751996</v>
      </c>
      <c r="C3868">
        <v>0.84304716258506496</v>
      </c>
      <c r="D3868">
        <v>0.92539095653942505</v>
      </c>
      <c r="E3868">
        <v>0.85018706146203704</v>
      </c>
      <c r="F3868">
        <v>0.78819060974231803</v>
      </c>
      <c r="G3868">
        <v>0.72867894467500305</v>
      </c>
      <c r="H3868">
        <v>0.62132515083990703</v>
      </c>
      <c r="I3868">
        <v>0.54974907025019804</v>
      </c>
      <c r="J3868">
        <v>0.62388176916609295</v>
      </c>
      <c r="K3868">
        <v>0.66580100670262199</v>
      </c>
      <c r="L3868">
        <v>439.46029581536902</v>
      </c>
      <c r="M3868">
        <v>8.3441513617090699</v>
      </c>
      <c r="O3868">
        <v>49.9022345826316</v>
      </c>
      <c r="P3868">
        <v>-1.8835947117211801E-2</v>
      </c>
      <c r="Q3868">
        <v>0.54984096619087497</v>
      </c>
      <c r="R3868">
        <v>0.86626053995584595</v>
      </c>
      <c r="S3868" t="s">
        <v>8164</v>
      </c>
      <c r="T3868" t="s">
        <v>8590</v>
      </c>
      <c r="U3868" t="s">
        <v>8590</v>
      </c>
      <c r="V3868" t="s">
        <v>8590</v>
      </c>
      <c r="W3868">
        <v>7</v>
      </c>
      <c r="X3868" t="s">
        <v>12458</v>
      </c>
      <c r="Y3868">
        <v>0.75860430412002222</v>
      </c>
      <c r="Z3868" t="str">
        <f>HYPERLINK("Melting_Curves/meltCurve_tr_E9PFD7_E9PFD7_HUMAN_.pdf", "Melting_Curves/meltCurve_tr_E9PFD7_E9PFD7_HUMAN_.pdf")</f>
        <v>Melting_Curves/meltCurve_tr_E9PFD7_E9PFD7_HUMAN_.pdf</v>
      </c>
      <c r="AA3868" t="s">
        <v>16694</v>
      </c>
      <c r="AB3868" t="s">
        <v>20943</v>
      </c>
    </row>
    <row r="3869" spans="1:28" x14ac:dyDescent="0.25">
      <c r="A3869" t="s">
        <v>3873</v>
      </c>
      <c r="B3869">
        <v>0.99876560204751996</v>
      </c>
      <c r="C3869">
        <v>1.04457918027305</v>
      </c>
      <c r="D3869">
        <v>0.87249777934890804</v>
      </c>
      <c r="E3869">
        <v>0.70153721404186697</v>
      </c>
      <c r="F3869">
        <v>0.25687260286337299</v>
      </c>
      <c r="G3869">
        <v>0.122717563600145</v>
      </c>
      <c r="H3869">
        <v>8.0548660379450895E-2</v>
      </c>
      <c r="I3869">
        <v>6.7199393514613306E-2</v>
      </c>
      <c r="J3869">
        <v>7.0213583661146994E-2</v>
      </c>
      <c r="K3869">
        <v>5.0137809471638602E-2</v>
      </c>
      <c r="L3869">
        <v>1505.7367076236101</v>
      </c>
      <c r="M3869">
        <v>29.543317369490399</v>
      </c>
      <c r="N3869">
        <v>51.2075296624608</v>
      </c>
      <c r="O3869">
        <v>50.735275582812797</v>
      </c>
      <c r="P3869">
        <v>-0.13614882604753201</v>
      </c>
      <c r="Q3869">
        <v>6.4763098769656094E-2</v>
      </c>
      <c r="R3869">
        <v>0.991381344448379</v>
      </c>
      <c r="S3869" t="s">
        <v>8165</v>
      </c>
      <c r="T3869" t="s">
        <v>8590</v>
      </c>
      <c r="U3869" t="s">
        <v>8590</v>
      </c>
      <c r="V3869" t="s">
        <v>8590</v>
      </c>
      <c r="W3869">
        <v>14</v>
      </c>
      <c r="X3869" t="s">
        <v>12459</v>
      </c>
      <c r="Y3869">
        <v>0.41271754699716201</v>
      </c>
      <c r="Z3869" t="str">
        <f>HYPERLINK("Melting_Curves/meltCurve_tr_E9PFR3_E9PFR3_HUMAN_.pdf", "Melting_Curves/meltCurve_tr_E9PFR3_E9PFR3_HUMAN_.pdf")</f>
        <v>Melting_Curves/meltCurve_tr_E9PFR3_E9PFR3_HUMAN_.pdf</v>
      </c>
      <c r="AA3869" t="s">
        <v>16695</v>
      </c>
      <c r="AB3869" t="s">
        <v>20944</v>
      </c>
    </row>
    <row r="3870" spans="1:28" x14ac:dyDescent="0.25">
      <c r="A3870" t="s">
        <v>3874</v>
      </c>
      <c r="B3870">
        <v>0.99876560204751996</v>
      </c>
      <c r="C3870">
        <v>1.0088503155305399</v>
      </c>
      <c r="D3870">
        <v>0.985772887495448</v>
      </c>
      <c r="E3870">
        <v>0.70910852232413402</v>
      </c>
      <c r="F3870">
        <v>0.36310150639973299</v>
      </c>
      <c r="G3870">
        <v>0.22891077274100999</v>
      </c>
      <c r="H3870">
        <v>0.17055134038917</v>
      </c>
      <c r="I3870">
        <v>0.133167239022291</v>
      </c>
      <c r="J3870">
        <v>0.133179283091619</v>
      </c>
      <c r="K3870">
        <v>0.181658181940134</v>
      </c>
      <c r="L3870">
        <v>1514.53629714422</v>
      </c>
      <c r="M3870">
        <v>29.6495574054345</v>
      </c>
      <c r="N3870">
        <v>51.746475964180902</v>
      </c>
      <c r="O3870">
        <v>50.850566093203199</v>
      </c>
      <c r="P3870">
        <v>-0.122669399351784</v>
      </c>
      <c r="Q3870">
        <v>0.15846760127131301</v>
      </c>
      <c r="R3870">
        <v>0.997345325158564</v>
      </c>
      <c r="S3870" t="s">
        <v>8166</v>
      </c>
      <c r="T3870" t="s">
        <v>8590</v>
      </c>
      <c r="U3870" t="s">
        <v>8590</v>
      </c>
      <c r="V3870" t="s">
        <v>8590</v>
      </c>
      <c r="W3870">
        <v>2</v>
      </c>
      <c r="X3870" t="s">
        <v>12460</v>
      </c>
      <c r="Y3870">
        <v>0.47473264020807471</v>
      </c>
      <c r="Z3870" t="str">
        <f>HYPERLINK("Melting_Curves/meltCurve_tr_E9PG46_E9PG46_HUMAN_.pdf", "Melting_Curves/meltCurve_tr_E9PG46_E9PG46_HUMAN_.pdf")</f>
        <v>Melting_Curves/meltCurve_tr_E9PG46_E9PG46_HUMAN_.pdf</v>
      </c>
      <c r="AA3870" t="s">
        <v>16696</v>
      </c>
      <c r="AB3870" t="s">
        <v>20945</v>
      </c>
    </row>
    <row r="3871" spans="1:28" x14ac:dyDescent="0.25">
      <c r="A3871" t="s">
        <v>3875</v>
      </c>
      <c r="B3871">
        <v>0.99876560204751996</v>
      </c>
      <c r="C3871">
        <v>0.93185404089290302</v>
      </c>
      <c r="D3871">
        <v>0.96147457240980205</v>
      </c>
      <c r="E3871">
        <v>0.75308630230902296</v>
      </c>
      <c r="F3871">
        <v>0.62129136673063601</v>
      </c>
      <c r="G3871">
        <v>0.386204707609763</v>
      </c>
      <c r="H3871">
        <v>0.27502432618074202</v>
      </c>
      <c r="I3871">
        <v>0.27127525009703302</v>
      </c>
      <c r="J3871">
        <v>0.30747056513877002</v>
      </c>
      <c r="K3871">
        <v>0.299669970071342</v>
      </c>
      <c r="L3871">
        <v>973.42587568041802</v>
      </c>
      <c r="M3871">
        <v>18.6359974324624</v>
      </c>
      <c r="N3871">
        <v>54.481958134957999</v>
      </c>
      <c r="O3871">
        <v>51.643336839918</v>
      </c>
      <c r="P3871">
        <v>-6.6015409128116403E-2</v>
      </c>
      <c r="Q3871">
        <v>0.268274349663008</v>
      </c>
      <c r="R3871">
        <v>0.98974559133567397</v>
      </c>
      <c r="S3871" t="s">
        <v>8167</v>
      </c>
      <c r="T3871" t="s">
        <v>8590</v>
      </c>
      <c r="U3871" t="s">
        <v>8590</v>
      </c>
      <c r="V3871" t="s">
        <v>8590</v>
      </c>
      <c r="W3871">
        <v>34</v>
      </c>
      <c r="X3871" t="s">
        <v>12461</v>
      </c>
      <c r="Y3871">
        <v>0.57810442012416596</v>
      </c>
      <c r="Z3871" t="str">
        <f>HYPERLINK("Melting_Curves/meltCurve_tr_E9PGF5_E9PGF5_HUMAN_.pdf", "Melting_Curves/meltCurve_tr_E9PGF5_E9PGF5_HUMAN_.pdf")</f>
        <v>Melting_Curves/meltCurve_tr_E9PGF5_E9PGF5_HUMAN_.pdf</v>
      </c>
      <c r="AA3871" t="s">
        <v>16697</v>
      </c>
      <c r="AB3871" t="s">
        <v>20946</v>
      </c>
    </row>
    <row r="3872" spans="1:28" x14ac:dyDescent="0.25">
      <c r="A3872" t="s">
        <v>3876</v>
      </c>
      <c r="B3872">
        <v>0.99876560204751996</v>
      </c>
      <c r="C3872">
        <v>1.0238147128167501</v>
      </c>
      <c r="D3872">
        <v>0.88717770742839397</v>
      </c>
      <c r="E3872">
        <v>0.93157563068155702</v>
      </c>
      <c r="F3872">
        <v>0.78633706977643303</v>
      </c>
      <c r="G3872">
        <v>0.28304292106203199</v>
      </c>
      <c r="H3872">
        <v>9.7841301691502E-2</v>
      </c>
      <c r="I3872">
        <v>7.8136792248180195E-2</v>
      </c>
      <c r="J3872">
        <v>7.0713840313652507E-2</v>
      </c>
      <c r="K3872">
        <v>6.1441437531978602E-2</v>
      </c>
      <c r="L3872">
        <v>1709.8919924864099</v>
      </c>
      <c r="M3872">
        <v>31.1331680807785</v>
      </c>
      <c r="N3872">
        <v>55.157430018221298</v>
      </c>
      <c r="O3872">
        <v>54.696770791643203</v>
      </c>
      <c r="P3872">
        <v>-0.133441887266325</v>
      </c>
      <c r="Q3872">
        <v>6.2247786980026601E-2</v>
      </c>
      <c r="R3872">
        <v>0.991834110309885</v>
      </c>
      <c r="S3872" t="s">
        <v>8168</v>
      </c>
      <c r="T3872" t="s">
        <v>8590</v>
      </c>
      <c r="U3872" t="s">
        <v>8590</v>
      </c>
      <c r="V3872" t="s">
        <v>8590</v>
      </c>
      <c r="W3872">
        <v>13</v>
      </c>
      <c r="X3872" t="s">
        <v>12462</v>
      </c>
      <c r="Y3872">
        <v>0.53447519154599454</v>
      </c>
      <c r="Z3872" t="str">
        <f>HYPERLINK("Melting_Curves/meltCurve_tr_E9PGF9_E9PGF9_HUMAN_.pdf", "Melting_Curves/meltCurve_tr_E9PGF9_E9PGF9_HUMAN_.pdf")</f>
        <v>Melting_Curves/meltCurve_tr_E9PGF9_E9PGF9_HUMAN_.pdf</v>
      </c>
      <c r="AA3872" t="s">
        <v>16698</v>
      </c>
      <c r="AB3872" t="s">
        <v>20947</v>
      </c>
    </row>
    <row r="3873" spans="1:28" x14ac:dyDescent="0.25">
      <c r="A3873" t="s">
        <v>3877</v>
      </c>
      <c r="B3873">
        <v>0.99876560204751996</v>
      </c>
      <c r="C3873">
        <v>0.89479645686812703</v>
      </c>
      <c r="D3873">
        <v>1.14705586652179</v>
      </c>
      <c r="E3873">
        <v>0.928431257607926</v>
      </c>
      <c r="F3873">
        <v>0.83816779427933596</v>
      </c>
      <c r="G3873">
        <v>0.57907218495125701</v>
      </c>
      <c r="H3873">
        <v>0.36549004231813897</v>
      </c>
      <c r="I3873">
        <v>0.36803713935591398</v>
      </c>
      <c r="J3873">
        <v>0.43023628573810802</v>
      </c>
      <c r="K3873">
        <v>0.50501877732151901</v>
      </c>
      <c r="L3873">
        <v>1674.0827909966299</v>
      </c>
      <c r="M3873">
        <v>30.6001916175234</v>
      </c>
      <c r="N3873">
        <v>58.074995785849602</v>
      </c>
      <c r="O3873">
        <v>54.476192723683504</v>
      </c>
      <c r="P3873">
        <v>-8.2127589384760294E-2</v>
      </c>
      <c r="Q3873">
        <v>0.41517079418297098</v>
      </c>
      <c r="R3873">
        <v>0.92987944828453595</v>
      </c>
      <c r="S3873" t="s">
        <v>8169</v>
      </c>
      <c r="T3873" t="s">
        <v>8590</v>
      </c>
      <c r="U3873" t="s">
        <v>8590</v>
      </c>
      <c r="V3873" t="s">
        <v>8590</v>
      </c>
      <c r="W3873">
        <v>2</v>
      </c>
      <c r="X3873" t="s">
        <v>12463</v>
      </c>
      <c r="Y3873">
        <v>0.70562425274476093</v>
      </c>
      <c r="Z3873" t="str">
        <f>HYPERLINK("Melting_Curves/meltCurve_tr_E9PGM7_E9PGM7_HUMAN_.pdf", "Melting_Curves/meltCurve_tr_E9PGM7_E9PGM7_HUMAN_.pdf")</f>
        <v>Melting_Curves/meltCurve_tr_E9PGM7_E9PGM7_HUMAN_.pdf</v>
      </c>
      <c r="AA3873" t="s">
        <v>16699</v>
      </c>
      <c r="AB3873" t="s">
        <v>20948</v>
      </c>
    </row>
    <row r="3874" spans="1:28" x14ac:dyDescent="0.25">
      <c r="A3874" t="s">
        <v>3878</v>
      </c>
      <c r="B3874">
        <v>0.99876560204751996</v>
      </c>
      <c r="C3874">
        <v>1.0381336821932601</v>
      </c>
      <c r="D3874">
        <v>0.91684133146449298</v>
      </c>
      <c r="E3874">
        <v>1.0207722229470799</v>
      </c>
      <c r="F3874">
        <v>0.88447982801768799</v>
      </c>
      <c r="G3874">
        <v>0.68472952361861905</v>
      </c>
      <c r="H3874">
        <v>0.56934701661984399</v>
      </c>
      <c r="I3874">
        <v>0.47829347597342797</v>
      </c>
      <c r="J3874">
        <v>0.44409405785676298</v>
      </c>
      <c r="K3874">
        <v>0.22759781887351099</v>
      </c>
      <c r="L3874">
        <v>643.12521538207602</v>
      </c>
      <c r="M3874">
        <v>10.263633090070799</v>
      </c>
      <c r="N3874">
        <v>63.155863468792198</v>
      </c>
      <c r="O3874">
        <v>60.421656361737199</v>
      </c>
      <c r="P3874">
        <v>-4.0842634759666999E-2</v>
      </c>
      <c r="Q3874">
        <v>3.8666496986197202E-2</v>
      </c>
      <c r="R3874">
        <v>0.96339771600108304</v>
      </c>
      <c r="S3874" t="s">
        <v>8170</v>
      </c>
      <c r="T3874" t="s">
        <v>8590</v>
      </c>
      <c r="U3874" t="s">
        <v>8590</v>
      </c>
      <c r="V3874" t="s">
        <v>8590</v>
      </c>
      <c r="W3874">
        <v>14</v>
      </c>
      <c r="X3874" t="s">
        <v>12464</v>
      </c>
      <c r="Y3874">
        <v>0.73982625035695793</v>
      </c>
      <c r="Z3874" t="str">
        <f>HYPERLINK("Melting_Curves/meltCurve_tr_E9PGT1_E9PGT1_HUMAN_.pdf", "Melting_Curves/meltCurve_tr_E9PGT1_E9PGT1_HUMAN_.pdf")</f>
        <v>Melting_Curves/meltCurve_tr_E9PGT1_E9PGT1_HUMAN_.pdf</v>
      </c>
      <c r="AA3874" t="s">
        <v>16700</v>
      </c>
      <c r="AB3874" t="s">
        <v>20949</v>
      </c>
    </row>
    <row r="3875" spans="1:28" x14ac:dyDescent="0.25">
      <c r="A3875" t="s">
        <v>3879</v>
      </c>
      <c r="B3875">
        <v>0.99876560204751996</v>
      </c>
      <c r="C3875">
        <v>1.0558377875426901</v>
      </c>
      <c r="D3875">
        <v>1.14303296679677</v>
      </c>
      <c r="E3875">
        <v>0.94277439270724195</v>
      </c>
      <c r="F3875">
        <v>0.70972774823561902</v>
      </c>
      <c r="G3875">
        <v>0.53110541535087996</v>
      </c>
      <c r="H3875">
        <v>0.45818939671359799</v>
      </c>
      <c r="I3875">
        <v>0.36083260730368499</v>
      </c>
      <c r="J3875">
        <v>0.26523764331469002</v>
      </c>
      <c r="K3875">
        <v>0.16690022251178499</v>
      </c>
      <c r="L3875">
        <v>839.92501943284799</v>
      </c>
      <c r="M3875">
        <v>14.823104416238699</v>
      </c>
      <c r="N3875">
        <v>58.491326420201801</v>
      </c>
      <c r="O3875">
        <v>55.661945128667298</v>
      </c>
      <c r="P3875">
        <v>-5.42394309880945E-2</v>
      </c>
      <c r="Q3875">
        <v>0.18539259507677899</v>
      </c>
      <c r="R3875">
        <v>0.95401752188007205</v>
      </c>
      <c r="S3875" t="s">
        <v>8171</v>
      </c>
      <c r="T3875" t="s">
        <v>8590</v>
      </c>
      <c r="U3875" t="s">
        <v>8590</v>
      </c>
      <c r="V3875" t="s">
        <v>8590</v>
      </c>
      <c r="W3875">
        <v>15</v>
      </c>
      <c r="X3875" t="s">
        <v>12465</v>
      </c>
      <c r="Y3875">
        <v>0.65141783073844173</v>
      </c>
      <c r="Z3875" t="str">
        <f>HYPERLINK("Melting_Curves/meltCurve_tr_E9PH29_E9PH29_HUMAN_.pdf", "Melting_Curves/meltCurve_tr_E9PH29_E9PH29_HUMAN_.pdf")</f>
        <v>Melting_Curves/meltCurve_tr_E9PH29_E9PH29_HUMAN_.pdf</v>
      </c>
      <c r="AA3875" t="s">
        <v>16701</v>
      </c>
      <c r="AB3875" t="s">
        <v>20950</v>
      </c>
    </row>
    <row r="3876" spans="1:28" x14ac:dyDescent="0.25">
      <c r="A3876" t="s">
        <v>3880</v>
      </c>
      <c r="B3876">
        <v>0.99876560204751996</v>
      </c>
      <c r="C3876">
        <v>0.87295060618826004</v>
      </c>
      <c r="D3876">
        <v>0.86376528324684898</v>
      </c>
      <c r="E3876">
        <v>0.85001131646747796</v>
      </c>
      <c r="F3876">
        <v>0.65081917729419603</v>
      </c>
      <c r="G3876">
        <v>0.58647110451140505</v>
      </c>
      <c r="H3876">
        <v>0.35992651783917301</v>
      </c>
      <c r="I3876">
        <v>0.310987977671558</v>
      </c>
      <c r="J3876">
        <v>0.311365866481364</v>
      </c>
      <c r="K3876">
        <v>0.25302197155088502</v>
      </c>
      <c r="L3876">
        <v>480.37941384345999</v>
      </c>
      <c r="M3876">
        <v>8.4495450042095293</v>
      </c>
      <c r="N3876">
        <v>58.131644465345602</v>
      </c>
      <c r="O3876">
        <v>53.936169121215499</v>
      </c>
      <c r="P3876">
        <v>-3.58756251804642E-2</v>
      </c>
      <c r="Q3876">
        <v>8.48206836734091E-2</v>
      </c>
      <c r="R3876">
        <v>0.973100617300376</v>
      </c>
      <c r="S3876" t="s">
        <v>8172</v>
      </c>
      <c r="T3876" t="s">
        <v>8590</v>
      </c>
      <c r="U3876" t="s">
        <v>8590</v>
      </c>
      <c r="V3876" t="s">
        <v>8590</v>
      </c>
      <c r="W3876">
        <v>3</v>
      </c>
      <c r="X3876" t="s">
        <v>12466</v>
      </c>
      <c r="Y3876">
        <v>0.61198527527537772</v>
      </c>
      <c r="Z3876" t="str">
        <f>HYPERLINK("Melting_Curves/meltCurve_tr_E9PHK0_E9PHK0_HUMAN_.pdf", "Melting_Curves/meltCurve_tr_E9PHK0_E9PHK0_HUMAN_.pdf")</f>
        <v>Melting_Curves/meltCurve_tr_E9PHK0_E9PHK0_HUMAN_.pdf</v>
      </c>
      <c r="AA3876" t="s">
        <v>16702</v>
      </c>
      <c r="AB3876" t="s">
        <v>20951</v>
      </c>
    </row>
    <row r="3877" spans="1:28" x14ac:dyDescent="0.25">
      <c r="A3877" t="s">
        <v>3881</v>
      </c>
      <c r="B3877">
        <v>0.99876560204751996</v>
      </c>
      <c r="C3877">
        <v>0.96610188262618701</v>
      </c>
      <c r="D3877">
        <v>0.772778029231873</v>
      </c>
      <c r="E3877">
        <v>0.47324174255137602</v>
      </c>
      <c r="F3877">
        <v>0.21918921439251399</v>
      </c>
      <c r="G3877">
        <v>0.15565405536038601</v>
      </c>
      <c r="H3877">
        <v>8.6729055858176293E-2</v>
      </c>
      <c r="I3877">
        <v>4.84549303497568E-2</v>
      </c>
      <c r="J3877">
        <v>3.6122798520304603E-2</v>
      </c>
      <c r="K3877">
        <v>3.3674368934012003E-2</v>
      </c>
      <c r="L3877">
        <v>888.62091381312803</v>
      </c>
      <c r="M3877">
        <v>18.036958004796102</v>
      </c>
      <c r="N3877">
        <v>49.503000137906596</v>
      </c>
      <c r="O3877">
        <v>48.673060367945098</v>
      </c>
      <c r="P3877">
        <v>-8.8826004150301993E-2</v>
      </c>
      <c r="Q3877">
        <v>4.1252567663608602E-2</v>
      </c>
      <c r="R3877">
        <v>0.99665526298401697</v>
      </c>
      <c r="S3877" t="s">
        <v>8173</v>
      </c>
      <c r="T3877" t="s">
        <v>8590</v>
      </c>
      <c r="U3877" t="s">
        <v>8590</v>
      </c>
      <c r="V3877" t="s">
        <v>8590</v>
      </c>
      <c r="W3877">
        <v>18</v>
      </c>
      <c r="X3877" t="s">
        <v>12467</v>
      </c>
      <c r="Y3877">
        <v>0.35386020469913032</v>
      </c>
      <c r="Z3877" t="str">
        <f>HYPERLINK("Melting_Curves/meltCurve_tr_E9PHM2_E9PHM2_HUMAN_.pdf", "Melting_Curves/meltCurve_tr_E9PHM2_E9PHM2_HUMAN_.pdf")</f>
        <v>Melting_Curves/meltCurve_tr_E9PHM2_E9PHM2_HUMAN_.pdf</v>
      </c>
      <c r="AA3877" t="s">
        <v>16703</v>
      </c>
      <c r="AB3877" t="s">
        <v>20952</v>
      </c>
    </row>
    <row r="3878" spans="1:28" x14ac:dyDescent="0.25">
      <c r="A3878" t="s">
        <v>3882</v>
      </c>
      <c r="B3878">
        <v>0.99876560204751996</v>
      </c>
      <c r="C3878">
        <v>0.95316162430791795</v>
      </c>
      <c r="D3878">
        <v>0.84654777586571095</v>
      </c>
      <c r="E3878">
        <v>0.79995010821415202</v>
      </c>
      <c r="F3878">
        <v>0.496926321904123</v>
      </c>
      <c r="G3878">
        <v>0.32123658771814001</v>
      </c>
      <c r="H3878">
        <v>0.14361083080322301</v>
      </c>
      <c r="I3878">
        <v>0.13717350439214701</v>
      </c>
      <c r="J3878">
        <v>0.126457257886887</v>
      </c>
      <c r="K3878">
        <v>0.131464088784779</v>
      </c>
      <c r="L3878">
        <v>835.94128957458599</v>
      </c>
      <c r="M3878">
        <v>15.8475527748739</v>
      </c>
      <c r="N3878">
        <v>53.4119834484449</v>
      </c>
      <c r="O3878">
        <v>51.930426224085899</v>
      </c>
      <c r="P3878">
        <v>-6.9485356048642699E-2</v>
      </c>
      <c r="Q3878">
        <v>8.9295278838868605E-2</v>
      </c>
      <c r="R3878">
        <v>0.98850290519625095</v>
      </c>
      <c r="S3878" t="s">
        <v>8174</v>
      </c>
      <c r="T3878" t="s">
        <v>8590</v>
      </c>
      <c r="U3878" t="s">
        <v>8590</v>
      </c>
      <c r="V3878" t="s">
        <v>8590</v>
      </c>
      <c r="W3878">
        <v>1</v>
      </c>
      <c r="X3878" t="s">
        <v>12468</v>
      </c>
      <c r="Y3878">
        <v>0.49458626764021568</v>
      </c>
      <c r="Z3878" t="str">
        <f>HYPERLINK("Melting_Curves/meltCurve_tr_E9PHY8_E9PHY8_HUMAN_.pdf", "Melting_Curves/meltCurve_tr_E9PHY8_E9PHY8_HUMAN_.pdf")</f>
        <v>Melting_Curves/meltCurve_tr_E9PHY8_E9PHY8_HUMAN_.pdf</v>
      </c>
      <c r="AA3878" t="s">
        <v>16704</v>
      </c>
      <c r="AB3878" t="s">
        <v>20953</v>
      </c>
    </row>
    <row r="3879" spans="1:28" x14ac:dyDescent="0.25">
      <c r="A3879" t="s">
        <v>3883</v>
      </c>
      <c r="B3879">
        <v>0.99876560204751996</v>
      </c>
      <c r="C3879">
        <v>1.11289314617635</v>
      </c>
      <c r="D3879">
        <v>0.87702060279027505</v>
      </c>
      <c r="E3879">
        <v>0.48173026396083601</v>
      </c>
      <c r="F3879">
        <v>0.117474625981044</v>
      </c>
      <c r="G3879">
        <v>4.5236869776822897E-2</v>
      </c>
      <c r="H3879">
        <v>1.79782770600109E-2</v>
      </c>
      <c r="I3879">
        <v>1.2012974835068999E-2</v>
      </c>
      <c r="J3879">
        <v>9.5294049895617693E-3</v>
      </c>
      <c r="K3879">
        <v>9.0047308101086701E-3</v>
      </c>
      <c r="L3879">
        <v>1506.95045571839</v>
      </c>
      <c r="M3879">
        <v>30.313435911006199</v>
      </c>
      <c r="N3879">
        <v>49.748696975556499</v>
      </c>
      <c r="O3879">
        <v>49.497453753992602</v>
      </c>
      <c r="P3879">
        <v>-0.15142768913363</v>
      </c>
      <c r="Q3879">
        <v>1.0968184363946301E-2</v>
      </c>
      <c r="R3879">
        <v>0.99065382517051603</v>
      </c>
      <c r="S3879" t="s">
        <v>8175</v>
      </c>
      <c r="T3879" t="s">
        <v>8590</v>
      </c>
      <c r="U3879" t="s">
        <v>8590</v>
      </c>
      <c r="V3879" t="s">
        <v>8590</v>
      </c>
      <c r="W3879">
        <v>1</v>
      </c>
      <c r="X3879" t="s">
        <v>12469</v>
      </c>
      <c r="Y3879">
        <v>0.33712248202023321</v>
      </c>
      <c r="Z3879" t="str">
        <f>HYPERLINK("Melting_Curves/meltCurve_tr_E9PIB9_E9PIB9_HUMAN_.pdf", "Melting_Curves/meltCurve_tr_E9PIB9_E9PIB9_HUMAN_.pdf")</f>
        <v>Melting_Curves/meltCurve_tr_E9PIB9_E9PIB9_HUMAN_.pdf</v>
      </c>
      <c r="AA3879" t="s">
        <v>16705</v>
      </c>
      <c r="AB3879" t="s">
        <v>20954</v>
      </c>
    </row>
    <row r="3880" spans="1:28" x14ac:dyDescent="0.25">
      <c r="A3880" t="s">
        <v>3884</v>
      </c>
      <c r="B3880">
        <v>0.99876560204751996</v>
      </c>
      <c r="C3880">
        <v>0.92622543214305197</v>
      </c>
      <c r="D3880">
        <v>1.0496152646093799</v>
      </c>
      <c r="E3880">
        <v>0.87171586592166295</v>
      </c>
      <c r="F3880">
        <v>0.78479921618731796</v>
      </c>
      <c r="G3880">
        <v>0.44843761125834197</v>
      </c>
      <c r="H3880">
        <v>0.32326172469805903</v>
      </c>
      <c r="I3880">
        <v>0.22746195650892401</v>
      </c>
      <c r="J3880">
        <v>0.226231444577465</v>
      </c>
      <c r="K3880">
        <v>0.205715104505863</v>
      </c>
      <c r="L3880">
        <v>1122.3434255356401</v>
      </c>
      <c r="M3880">
        <v>20.352612503457699</v>
      </c>
      <c r="N3880">
        <v>56.5506329346954</v>
      </c>
      <c r="O3880">
        <v>54.6208353289325</v>
      </c>
      <c r="P3880">
        <v>-7.4663155940386097E-2</v>
      </c>
      <c r="Q3880">
        <v>0.19852247957073901</v>
      </c>
      <c r="R3880">
        <v>0.98820852898982903</v>
      </c>
      <c r="S3880" t="s">
        <v>8176</v>
      </c>
      <c r="T3880" t="s">
        <v>8590</v>
      </c>
      <c r="U3880" t="s">
        <v>8590</v>
      </c>
      <c r="V3880" t="s">
        <v>8590</v>
      </c>
      <c r="W3880">
        <v>4</v>
      </c>
      <c r="X3880" t="s">
        <v>12470</v>
      </c>
      <c r="Y3880">
        <v>0.61348959700283912</v>
      </c>
      <c r="Z3880" t="str">
        <f>HYPERLINK("Melting_Curves/meltCurve_tr_E9PIC2_E9PIC2_HUMAN_.pdf", "Melting_Curves/meltCurve_tr_E9PIC2_E9PIC2_HUMAN_.pdf")</f>
        <v>Melting_Curves/meltCurve_tr_E9PIC2_E9PIC2_HUMAN_.pdf</v>
      </c>
      <c r="AA3880" t="s">
        <v>16706</v>
      </c>
      <c r="AB3880" t="s">
        <v>20955</v>
      </c>
    </row>
    <row r="3881" spans="1:28" x14ac:dyDescent="0.25">
      <c r="A3881" t="s">
        <v>3885</v>
      </c>
      <c r="B3881">
        <v>0.99876560204751996</v>
      </c>
      <c r="C3881">
        <v>1.02317401828327</v>
      </c>
      <c r="D3881">
        <v>0.93761924064627999</v>
      </c>
      <c r="E3881">
        <v>1.0653089559290001</v>
      </c>
      <c r="F3881">
        <v>0.84453977697277705</v>
      </c>
      <c r="G3881">
        <v>0.65623004674575802</v>
      </c>
      <c r="H3881">
        <v>0.47329823297727602</v>
      </c>
      <c r="I3881">
        <v>0.30597792881859098</v>
      </c>
      <c r="J3881">
        <v>0.157787391080636</v>
      </c>
      <c r="K3881">
        <v>0.105201754728075</v>
      </c>
      <c r="L3881">
        <v>893.79458957694601</v>
      </c>
      <c r="M3881">
        <v>14.868514260274599</v>
      </c>
      <c r="N3881">
        <v>60.1132417336337</v>
      </c>
      <c r="O3881">
        <v>59.057276901765199</v>
      </c>
      <c r="P3881">
        <v>-6.2947657123369999E-2</v>
      </c>
      <c r="Q3881">
        <v>0</v>
      </c>
      <c r="R3881">
        <v>0.98383252917874797</v>
      </c>
      <c r="S3881" t="s">
        <v>8177</v>
      </c>
      <c r="T3881" t="s">
        <v>8590</v>
      </c>
      <c r="U3881" t="s">
        <v>8590</v>
      </c>
      <c r="V3881" t="s">
        <v>8590</v>
      </c>
      <c r="W3881">
        <v>20</v>
      </c>
      <c r="X3881" t="s">
        <v>12471</v>
      </c>
      <c r="Y3881">
        <v>0.67673452991072902</v>
      </c>
      <c r="Z3881" t="str">
        <f>HYPERLINK("Melting_Curves/meltCurve_tr_E9PIR7_E9PIR7_HUMAN_.pdf", "Melting_Curves/meltCurve_tr_E9PIR7_E9PIR7_HUMAN_.pdf")</f>
        <v>Melting_Curves/meltCurve_tr_E9PIR7_E9PIR7_HUMAN_.pdf</v>
      </c>
      <c r="AA3881" t="s">
        <v>16707</v>
      </c>
      <c r="AB3881" t="s">
        <v>20956</v>
      </c>
    </row>
    <row r="3882" spans="1:28" x14ac:dyDescent="0.25">
      <c r="A3882" t="s">
        <v>3886</v>
      </c>
      <c r="B3882">
        <v>0.99876560204751996</v>
      </c>
      <c r="C3882">
        <v>1.0242001276752299</v>
      </c>
      <c r="D3882">
        <v>1.2613816895577701</v>
      </c>
      <c r="E3882">
        <v>1.01345162745643</v>
      </c>
      <c r="F3882">
        <v>0.85173042501892904</v>
      </c>
      <c r="G3882">
        <v>0.90684750872710795</v>
      </c>
      <c r="H3882">
        <v>0.88533084830542597</v>
      </c>
      <c r="I3882">
        <v>1.0784415219383501</v>
      </c>
      <c r="J3882">
        <v>1.45815424279061</v>
      </c>
      <c r="K3882">
        <v>0.89001018793949704</v>
      </c>
      <c r="L3882">
        <v>15000</v>
      </c>
      <c r="M3882">
        <v>234.17767260591299</v>
      </c>
      <c r="O3882">
        <v>64.049257379180204</v>
      </c>
      <c r="P3882">
        <v>0.15911105915812199</v>
      </c>
      <c r="Q3882">
        <v>1.1740720205838999</v>
      </c>
      <c r="R3882">
        <v>0.162427063874414</v>
      </c>
      <c r="S3882" t="s">
        <v>8178</v>
      </c>
      <c r="T3882" t="s">
        <v>8590</v>
      </c>
      <c r="U3882" t="s">
        <v>8590</v>
      </c>
      <c r="V3882" t="s">
        <v>8590</v>
      </c>
      <c r="W3882">
        <v>1</v>
      </c>
      <c r="X3882" t="s">
        <v>12472</v>
      </c>
      <c r="Y3882">
        <v>1.034479184470811</v>
      </c>
      <c r="Z3882" t="str">
        <f>HYPERLINK("Melting_Curves/meltCurve_tr_E9PJ24_E9PJ24_HUMAN_.pdf", "Melting_Curves/meltCurve_tr_E9PJ24_E9PJ24_HUMAN_.pdf")</f>
        <v>Melting_Curves/meltCurve_tr_E9PJ24_E9PJ24_HUMAN_.pdf</v>
      </c>
      <c r="AA3882" t="s">
        <v>16708</v>
      </c>
      <c r="AB3882" t="s">
        <v>20957</v>
      </c>
    </row>
    <row r="3883" spans="1:28" x14ac:dyDescent="0.25">
      <c r="A3883" t="s">
        <v>3887</v>
      </c>
      <c r="B3883">
        <v>0.99876560204751996</v>
      </c>
      <c r="C3883">
        <v>0.93741138541729097</v>
      </c>
      <c r="D3883">
        <v>1.00826259148071</v>
      </c>
      <c r="E3883">
        <v>0.85550585250073197</v>
      </c>
      <c r="F3883">
        <v>0.91835108524542697</v>
      </c>
      <c r="G3883">
        <v>0.77358800538588002</v>
      </c>
      <c r="H3883">
        <v>0.72267644161334699</v>
      </c>
      <c r="I3883">
        <v>0.75127653749908396</v>
      </c>
      <c r="J3883">
        <v>1.00222647286538</v>
      </c>
      <c r="K3883">
        <v>0.94070830118011495</v>
      </c>
      <c r="L3883">
        <v>9127.5214516069791</v>
      </c>
      <c r="M3883">
        <v>186.12750699245399</v>
      </c>
      <c r="O3883">
        <v>49.033438042251802</v>
      </c>
      <c r="P3883">
        <v>-0.140952017688457</v>
      </c>
      <c r="Q3883">
        <v>0.85147044124569204</v>
      </c>
      <c r="R3883">
        <v>0.322290563037888</v>
      </c>
      <c r="S3883" t="s">
        <v>8179</v>
      </c>
      <c r="T3883" t="s">
        <v>8590</v>
      </c>
      <c r="U3883" t="s">
        <v>8590</v>
      </c>
      <c r="V3883" t="s">
        <v>8590</v>
      </c>
      <c r="W3883">
        <v>9</v>
      </c>
      <c r="X3883" t="s">
        <v>12473</v>
      </c>
      <c r="Y3883">
        <v>0.89624585221507658</v>
      </c>
      <c r="Z3883" t="str">
        <f>HYPERLINK("Melting_Curves/meltCurve_tr_E9PJ81_E9PJ81_HUMAN_.pdf", "Melting_Curves/meltCurve_tr_E9PJ81_E9PJ81_HUMAN_.pdf")</f>
        <v>Melting_Curves/meltCurve_tr_E9PJ81_E9PJ81_HUMAN_.pdf</v>
      </c>
      <c r="AA3883" t="s">
        <v>16709</v>
      </c>
      <c r="AB3883" t="s">
        <v>20958</v>
      </c>
    </row>
    <row r="3884" spans="1:28" x14ac:dyDescent="0.25">
      <c r="A3884" t="s">
        <v>3888</v>
      </c>
      <c r="B3884">
        <v>0.99876560204751996</v>
      </c>
      <c r="C3884">
        <v>0.96026690091710099</v>
      </c>
      <c r="D3884">
        <v>1.1408121736472701</v>
      </c>
      <c r="E3884">
        <v>0.802318699032052</v>
      </c>
      <c r="F3884">
        <v>0.56624212390816597</v>
      </c>
      <c r="G3884">
        <v>0.34944574116674298</v>
      </c>
      <c r="H3884">
        <v>6.1577188985473798E-2</v>
      </c>
      <c r="I3884">
        <v>1.11141238661422E-2</v>
      </c>
      <c r="J3884">
        <v>1.5491109102055299E-2</v>
      </c>
      <c r="K3884">
        <v>2.24607377199274E-2</v>
      </c>
      <c r="L3884">
        <v>1072.3539649028801</v>
      </c>
      <c r="M3884">
        <v>19.793839899700199</v>
      </c>
      <c r="N3884">
        <v>54.176146324363003</v>
      </c>
      <c r="O3884">
        <v>53.632271768661397</v>
      </c>
      <c r="P3884">
        <v>-9.2269591630321598E-2</v>
      </c>
      <c r="Q3884">
        <v>0</v>
      </c>
      <c r="R3884">
        <v>0.97787288269195005</v>
      </c>
      <c r="S3884" t="s">
        <v>8180</v>
      </c>
      <c r="T3884" t="s">
        <v>8590</v>
      </c>
      <c r="U3884" t="s">
        <v>8590</v>
      </c>
      <c r="V3884" t="s">
        <v>8590</v>
      </c>
      <c r="W3884">
        <v>1</v>
      </c>
      <c r="X3884" t="s">
        <v>12474</v>
      </c>
      <c r="Y3884">
        <v>0.4863147416519723</v>
      </c>
      <c r="Z3884" t="str">
        <f>HYPERLINK("Melting_Curves/meltCurve_tr_E9PJB2_E9PJB2_HUMAN_.pdf", "Melting_Curves/meltCurve_tr_E9PJB2_E9PJB2_HUMAN_.pdf")</f>
        <v>Melting_Curves/meltCurve_tr_E9PJB2_E9PJB2_HUMAN_.pdf</v>
      </c>
      <c r="AA3884" t="s">
        <v>16710</v>
      </c>
      <c r="AB3884" t="s">
        <v>20959</v>
      </c>
    </row>
    <row r="3885" spans="1:28" x14ac:dyDescent="0.25">
      <c r="A3885" t="s">
        <v>3889</v>
      </c>
      <c r="B3885">
        <v>0.99876560204751996</v>
      </c>
      <c r="C3885">
        <v>1.0128370075108899</v>
      </c>
      <c r="D3885">
        <v>1.0254961609475599</v>
      </c>
      <c r="E3885">
        <v>0.959109174001331</v>
      </c>
      <c r="F3885">
        <v>0.66154833128833601</v>
      </c>
      <c r="G3885">
        <v>0.26378278521707399</v>
      </c>
      <c r="H3885">
        <v>0.128843512039233</v>
      </c>
      <c r="I3885">
        <v>5.3341674160488503E-2</v>
      </c>
      <c r="J3885">
        <v>6.1837142034924998E-2</v>
      </c>
      <c r="K3885">
        <v>3.3978791269028301E-2</v>
      </c>
      <c r="L3885">
        <v>1496.7213032552399</v>
      </c>
      <c r="M3885">
        <v>27.540816595424999</v>
      </c>
      <c r="N3885">
        <v>54.565399610613099</v>
      </c>
      <c r="O3885">
        <v>54.061466169009101</v>
      </c>
      <c r="P3885">
        <v>-0.120672904184722</v>
      </c>
      <c r="Q3885">
        <v>5.2505327560808397E-2</v>
      </c>
      <c r="R3885">
        <v>0.99731277901811399</v>
      </c>
      <c r="S3885" t="s">
        <v>8181</v>
      </c>
      <c r="T3885" t="s">
        <v>8590</v>
      </c>
      <c r="U3885" t="s">
        <v>8590</v>
      </c>
      <c r="V3885" t="s">
        <v>8590</v>
      </c>
      <c r="W3885">
        <v>4</v>
      </c>
      <c r="X3885" t="s">
        <v>12475</v>
      </c>
      <c r="Y3885">
        <v>0.51292920180129054</v>
      </c>
      <c r="Z3885" t="str">
        <f>HYPERLINK("Melting_Curves/meltCurve_tr_E9PJD7_E9PJD7_HUMAN_.pdf", "Melting_Curves/meltCurve_tr_E9PJD7_E9PJD7_HUMAN_.pdf")</f>
        <v>Melting_Curves/meltCurve_tr_E9PJD7_E9PJD7_HUMAN_.pdf</v>
      </c>
      <c r="AA3885" t="s">
        <v>16711</v>
      </c>
      <c r="AB3885" t="s">
        <v>20960</v>
      </c>
    </row>
    <row r="3886" spans="1:28" x14ac:dyDescent="0.25">
      <c r="A3886" t="s">
        <v>3890</v>
      </c>
      <c r="B3886">
        <v>0.99876560204751996</v>
      </c>
      <c r="C3886">
        <v>0.96580569626688195</v>
      </c>
      <c r="D3886">
        <v>0.98173189761766899</v>
      </c>
      <c r="E3886">
        <v>0.76766325557047499</v>
      </c>
      <c r="F3886">
        <v>0.56011468244570095</v>
      </c>
      <c r="G3886">
        <v>0.25001332450905001</v>
      </c>
      <c r="H3886">
        <v>0.16405972021172699</v>
      </c>
      <c r="I3886">
        <v>0.11288738385040301</v>
      </c>
      <c r="J3886">
        <v>0.13654073282492399</v>
      </c>
      <c r="K3886">
        <v>6.3090393304258793E-2</v>
      </c>
      <c r="L3886">
        <v>1048.03404034496</v>
      </c>
      <c r="M3886">
        <v>19.780840425528201</v>
      </c>
      <c r="N3886">
        <v>53.505416770460698</v>
      </c>
      <c r="O3886">
        <v>52.449703378427401</v>
      </c>
      <c r="P3886">
        <v>-8.59977560714036E-2</v>
      </c>
      <c r="Q3886">
        <v>8.7924808362099094E-2</v>
      </c>
      <c r="R3886">
        <v>0.99670971667338704</v>
      </c>
      <c r="S3886" t="s">
        <v>8182</v>
      </c>
      <c r="T3886" t="s">
        <v>8590</v>
      </c>
      <c r="U3886" t="s">
        <v>8590</v>
      </c>
      <c r="V3886" t="s">
        <v>8590</v>
      </c>
      <c r="W3886">
        <v>2</v>
      </c>
      <c r="X3886" t="s">
        <v>12476</v>
      </c>
      <c r="Y3886">
        <v>0.49540276614917411</v>
      </c>
      <c r="Z3886" t="str">
        <f>HYPERLINK("Melting_Curves/meltCurve_tr_E9PJH1_E9PJH1_HUMAN_.pdf", "Melting_Curves/meltCurve_tr_E9PJH1_E9PJH1_HUMAN_.pdf")</f>
        <v>Melting_Curves/meltCurve_tr_E9PJH1_E9PJH1_HUMAN_.pdf</v>
      </c>
      <c r="AA3886" t="s">
        <v>16712</v>
      </c>
      <c r="AB3886" t="s">
        <v>20961</v>
      </c>
    </row>
    <row r="3887" spans="1:28" x14ac:dyDescent="0.25">
      <c r="A3887" t="s">
        <v>3891</v>
      </c>
      <c r="B3887">
        <v>0.99876560204751996</v>
      </c>
      <c r="C3887">
        <v>1.0767550295188599</v>
      </c>
      <c r="D3887">
        <v>0.98263592145280498</v>
      </c>
      <c r="E3887">
        <v>0.85572649269631895</v>
      </c>
      <c r="F3887">
        <v>0.60532058521833099</v>
      </c>
      <c r="G3887">
        <v>0.44797577013848799</v>
      </c>
      <c r="H3887">
        <v>0.32142104074820399</v>
      </c>
      <c r="I3887">
        <v>0.30333981717166397</v>
      </c>
      <c r="J3887">
        <v>0.37662823571955201</v>
      </c>
      <c r="K3887">
        <v>0.34662729755032401</v>
      </c>
      <c r="L3887">
        <v>1347.37603199194</v>
      </c>
      <c r="M3887">
        <v>25.711792747810399</v>
      </c>
      <c r="N3887">
        <v>54.790263181710102</v>
      </c>
      <c r="O3887">
        <v>52.089129686877101</v>
      </c>
      <c r="P3887">
        <v>-8.1828937095552501E-2</v>
      </c>
      <c r="Q3887">
        <v>0.33690397267273903</v>
      </c>
      <c r="R3887">
        <v>0.98654122189648896</v>
      </c>
      <c r="S3887" t="s">
        <v>8183</v>
      </c>
      <c r="T3887" t="s">
        <v>8590</v>
      </c>
      <c r="U3887" t="s">
        <v>8590</v>
      </c>
      <c r="V3887" t="s">
        <v>8590</v>
      </c>
      <c r="W3887">
        <v>16</v>
      </c>
      <c r="X3887" t="s">
        <v>12477</v>
      </c>
      <c r="Y3887">
        <v>0.61680923018307232</v>
      </c>
      <c r="Z3887" t="str">
        <f>HYPERLINK("Melting_Curves/meltCurve_tr_E9PK01_E9PK01_HUMAN_.pdf", "Melting_Curves/meltCurve_tr_E9PK01_E9PK01_HUMAN_.pdf")</f>
        <v>Melting_Curves/meltCurve_tr_E9PK01_E9PK01_HUMAN_.pdf</v>
      </c>
      <c r="AA3887" t="s">
        <v>16713</v>
      </c>
      <c r="AB3887" t="s">
        <v>20962</v>
      </c>
    </row>
    <row r="3888" spans="1:28" x14ac:dyDescent="0.25">
      <c r="A3888" t="s">
        <v>3892</v>
      </c>
      <c r="B3888">
        <v>0.99876560204751996</v>
      </c>
      <c r="C3888">
        <v>0.93431496964440897</v>
      </c>
      <c r="D3888">
        <v>0.81027412155920397</v>
      </c>
      <c r="E3888">
        <v>0.65071428098975403</v>
      </c>
      <c r="F3888">
        <v>0.40623970707878398</v>
      </c>
      <c r="G3888">
        <v>0.20017106288241099</v>
      </c>
      <c r="H3888">
        <v>0.13570793304826601</v>
      </c>
      <c r="I3888">
        <v>9.9247901832190899E-2</v>
      </c>
      <c r="J3888">
        <v>0.115685415479228</v>
      </c>
      <c r="K3888">
        <v>0.106788046587924</v>
      </c>
      <c r="L3888">
        <v>775.03432045860097</v>
      </c>
      <c r="M3888">
        <v>15.1989229795605</v>
      </c>
      <c r="N3888">
        <v>51.5344679751813</v>
      </c>
      <c r="O3888">
        <v>50.1344006031661</v>
      </c>
      <c r="P3888">
        <v>-7.0201689542252102E-2</v>
      </c>
      <c r="Q3888">
        <v>7.3833613101589493E-2</v>
      </c>
      <c r="R3888">
        <v>0.99522944924442203</v>
      </c>
      <c r="S3888" t="s">
        <v>8184</v>
      </c>
      <c r="T3888" t="s">
        <v>8590</v>
      </c>
      <c r="U3888" t="s">
        <v>8590</v>
      </c>
      <c r="V3888" t="s">
        <v>8590</v>
      </c>
      <c r="W3888">
        <v>7</v>
      </c>
      <c r="X3888" t="s">
        <v>12478</v>
      </c>
      <c r="Y3888">
        <v>0.43414367813802979</v>
      </c>
      <c r="Z3888" t="str">
        <f>HYPERLINK("Melting_Curves/meltCurve_tr_E9PK67_E9PK67_HUMAN_.pdf", "Melting_Curves/meltCurve_tr_E9PK67_E9PK67_HUMAN_.pdf")</f>
        <v>Melting_Curves/meltCurve_tr_E9PK67_E9PK67_HUMAN_.pdf</v>
      </c>
      <c r="AA3888" t="s">
        <v>16714</v>
      </c>
      <c r="AB3888" t="s">
        <v>20963</v>
      </c>
    </row>
    <row r="3889" spans="1:28" x14ac:dyDescent="0.25">
      <c r="A3889" t="s">
        <v>3893</v>
      </c>
      <c r="B3889">
        <v>0.99876560204751996</v>
      </c>
      <c r="C3889">
        <v>0.88079267519286697</v>
      </c>
      <c r="D3889">
        <v>1.0662007227651</v>
      </c>
      <c r="E3889">
        <v>0.81349921518178703</v>
      </c>
      <c r="F3889">
        <v>0.82388793118918502</v>
      </c>
      <c r="G3889">
        <v>0.53774277172613305</v>
      </c>
      <c r="H3889">
        <v>0.35374843728927902</v>
      </c>
      <c r="I3889">
        <v>0.29524958314871902</v>
      </c>
      <c r="J3889">
        <v>0.35213007146441</v>
      </c>
      <c r="K3889">
        <v>0.28680151682770799</v>
      </c>
      <c r="L3889">
        <v>1007.37282923922</v>
      </c>
      <c r="M3889">
        <v>18.256039327433498</v>
      </c>
      <c r="N3889">
        <v>57.695123269602298</v>
      </c>
      <c r="O3889">
        <v>54.530938977482201</v>
      </c>
      <c r="P3889">
        <v>-6.0734050614592E-2</v>
      </c>
      <c r="Q3889">
        <v>0.27438146200292401</v>
      </c>
      <c r="R3889">
        <v>0.95714815183364599</v>
      </c>
      <c r="S3889" t="s">
        <v>8185</v>
      </c>
      <c r="T3889" t="s">
        <v>8590</v>
      </c>
      <c r="U3889" t="s">
        <v>8590</v>
      </c>
      <c r="V3889" t="s">
        <v>8590</v>
      </c>
      <c r="W3889">
        <v>1</v>
      </c>
      <c r="X3889" t="s">
        <v>12479</v>
      </c>
      <c r="Y3889">
        <v>0.65248396677928722</v>
      </c>
      <c r="Z3889" t="str">
        <f>HYPERLINK("Melting_Curves/meltCurve_tr_E9PKB0_E9PKB0_HUMAN_.pdf", "Melting_Curves/meltCurve_tr_E9PKB0_E9PKB0_HUMAN_.pdf")</f>
        <v>Melting_Curves/meltCurve_tr_E9PKB0_E9PKB0_HUMAN_.pdf</v>
      </c>
      <c r="AA3889" t="s">
        <v>16715</v>
      </c>
      <c r="AB3889" t="s">
        <v>20964</v>
      </c>
    </row>
    <row r="3890" spans="1:28" x14ac:dyDescent="0.25">
      <c r="A3890" t="s">
        <v>3894</v>
      </c>
      <c r="B3890">
        <v>0.99876560204751996</v>
      </c>
      <c r="C3890">
        <v>1.0513472338017</v>
      </c>
      <c r="D3890">
        <v>1.0133746871295899</v>
      </c>
      <c r="E3890">
        <v>0.93194805094754196</v>
      </c>
      <c r="F3890">
        <v>0.85107036063710095</v>
      </c>
      <c r="G3890">
        <v>0.67709824476236002</v>
      </c>
      <c r="H3890">
        <v>0.57241167384587499</v>
      </c>
      <c r="I3890">
        <v>0.49604208816762002</v>
      </c>
      <c r="J3890">
        <v>0.65185359951734501</v>
      </c>
      <c r="K3890">
        <v>0.53699751536001705</v>
      </c>
      <c r="L3890">
        <v>1323.41770349791</v>
      </c>
      <c r="M3890">
        <v>24.3327398716266</v>
      </c>
      <c r="O3890">
        <v>54.025001807375098</v>
      </c>
      <c r="P3890">
        <v>-5.0091935145572197E-2</v>
      </c>
      <c r="Q3890">
        <v>0.55513823940788298</v>
      </c>
      <c r="R3890">
        <v>0.95730804523447999</v>
      </c>
      <c r="S3890" t="s">
        <v>8186</v>
      </c>
      <c r="T3890" t="s">
        <v>8590</v>
      </c>
      <c r="U3890" t="s">
        <v>8590</v>
      </c>
      <c r="V3890" t="s">
        <v>8590</v>
      </c>
      <c r="W3890">
        <v>11</v>
      </c>
      <c r="X3890" t="s">
        <v>12480</v>
      </c>
      <c r="Y3890">
        <v>0.77282227204339238</v>
      </c>
      <c r="Z3890" t="str">
        <f>HYPERLINK("Melting_Curves/meltCurve_tr_E9PKC0_E9PKC0_HUMAN_.pdf", "Melting_Curves/meltCurve_tr_E9PKC0_E9PKC0_HUMAN_.pdf")</f>
        <v>Melting_Curves/meltCurve_tr_E9PKC0_E9PKC0_HUMAN_.pdf</v>
      </c>
      <c r="AA3890" t="s">
        <v>16716</v>
      </c>
      <c r="AB3890" t="s">
        <v>20965</v>
      </c>
    </row>
    <row r="3891" spans="1:28" x14ac:dyDescent="0.25">
      <c r="A3891" t="s">
        <v>3895</v>
      </c>
      <c r="B3891">
        <v>0.99876560204751996</v>
      </c>
      <c r="C3891">
        <v>0.99160274525786496</v>
      </c>
      <c r="D3891">
        <v>0.86213538704114601</v>
      </c>
      <c r="E3891">
        <v>0.80405102955795205</v>
      </c>
      <c r="F3891">
        <v>0.25827733467123198</v>
      </c>
      <c r="G3891">
        <v>0.104778795415871</v>
      </c>
      <c r="H3891">
        <v>5.8815563560521103E-2</v>
      </c>
      <c r="I3891">
        <v>4.4854838040802002E-2</v>
      </c>
      <c r="J3891">
        <v>3.5999550693635897E-2</v>
      </c>
      <c r="K3891">
        <v>4.00212920486092E-2</v>
      </c>
      <c r="L3891">
        <v>2134.7551139063198</v>
      </c>
      <c r="M3891">
        <v>41.459694222130999</v>
      </c>
      <c r="N3891">
        <v>51.624444752415101</v>
      </c>
      <c r="O3891">
        <v>51.370517933607402</v>
      </c>
      <c r="P3891">
        <v>-0.19143498446193699</v>
      </c>
      <c r="Q3891">
        <v>5.1213501194247502E-2</v>
      </c>
      <c r="R3891">
        <v>0.98841206628651901</v>
      </c>
      <c r="S3891" t="s">
        <v>8187</v>
      </c>
      <c r="T3891" t="s">
        <v>8590</v>
      </c>
      <c r="U3891" t="s">
        <v>8590</v>
      </c>
      <c r="V3891" t="s">
        <v>8590</v>
      </c>
      <c r="W3891">
        <v>5</v>
      </c>
      <c r="X3891" t="s">
        <v>12481</v>
      </c>
      <c r="Y3891">
        <v>0.41773629808026669</v>
      </c>
      <c r="Z3891" t="str">
        <f>HYPERLINK("Melting_Curves/meltCurve_tr_E9PKF3_E9PKF3_HUMAN_.pdf", "Melting_Curves/meltCurve_tr_E9PKF3_E9PKF3_HUMAN_.pdf")</f>
        <v>Melting_Curves/meltCurve_tr_E9PKF3_E9PKF3_HUMAN_.pdf</v>
      </c>
      <c r="AA3891" t="s">
        <v>13732</v>
      </c>
      <c r="AB3891" t="s">
        <v>20966</v>
      </c>
    </row>
    <row r="3892" spans="1:28" x14ac:dyDescent="0.25">
      <c r="A3892" t="s">
        <v>3896</v>
      </c>
      <c r="B3892">
        <v>0.99876560204751996</v>
      </c>
      <c r="C3892">
        <v>1.02764168802123</v>
      </c>
      <c r="D3892">
        <v>0.87323193997712401</v>
      </c>
      <c r="E3892">
        <v>0.61680606854181497</v>
      </c>
      <c r="F3892">
        <v>0.29271058099069203</v>
      </c>
      <c r="G3892">
        <v>0.14501810843950499</v>
      </c>
      <c r="H3892">
        <v>9.6643233919572094E-2</v>
      </c>
      <c r="I3892">
        <v>7.6494648031393997E-2</v>
      </c>
      <c r="J3892">
        <v>7.7644741608402498E-2</v>
      </c>
      <c r="K3892">
        <v>6.77053031372193E-2</v>
      </c>
      <c r="L3892">
        <v>1139.57631928917</v>
      </c>
      <c r="M3892">
        <v>22.543042630337101</v>
      </c>
      <c r="N3892">
        <v>50.897368508296402</v>
      </c>
      <c r="O3892">
        <v>50.158381460000399</v>
      </c>
      <c r="P3892">
        <v>-0.10437421331090301</v>
      </c>
      <c r="Q3892">
        <v>7.1086263516574294E-2</v>
      </c>
      <c r="R3892">
        <v>0.99707126054004702</v>
      </c>
      <c r="S3892" t="s">
        <v>8188</v>
      </c>
      <c r="T3892" t="s">
        <v>8590</v>
      </c>
      <c r="U3892" t="s">
        <v>8590</v>
      </c>
      <c r="V3892" t="s">
        <v>8590</v>
      </c>
      <c r="W3892">
        <v>10</v>
      </c>
      <c r="X3892" t="s">
        <v>12482</v>
      </c>
      <c r="Y3892">
        <v>0.40803103316419059</v>
      </c>
      <c r="Z3892" t="str">
        <f>HYPERLINK("Melting_Curves/meltCurve_tr_E9PKG1_E9PKG1_HUMAN_.pdf", "Melting_Curves/meltCurve_tr_E9PKG1_E9PKG1_HUMAN_.pdf")</f>
        <v>Melting_Curves/meltCurve_tr_E9PKG1_E9PKG1_HUMAN_.pdf</v>
      </c>
      <c r="AA3892" t="s">
        <v>16717</v>
      </c>
      <c r="AB3892" t="s">
        <v>20967</v>
      </c>
    </row>
    <row r="3893" spans="1:28" x14ac:dyDescent="0.25">
      <c r="A3893" t="s">
        <v>3897</v>
      </c>
      <c r="B3893">
        <v>0.99876560204751996</v>
      </c>
      <c r="C3893">
        <v>0.96331040441506499</v>
      </c>
      <c r="D3893">
        <v>1.0269961486227901</v>
      </c>
      <c r="E3893">
        <v>0.85335915782000504</v>
      </c>
      <c r="F3893">
        <v>0.56810893906645699</v>
      </c>
      <c r="G3893">
        <v>0.22530894904448201</v>
      </c>
      <c r="H3893">
        <v>0.15521605254669901</v>
      </c>
      <c r="I3893">
        <v>0.13519545884506101</v>
      </c>
      <c r="J3893">
        <v>0.18440685556814801</v>
      </c>
      <c r="K3893">
        <v>0.18627547234820799</v>
      </c>
      <c r="L3893">
        <v>1640.04636808961</v>
      </c>
      <c r="M3893">
        <v>31.067603689939599</v>
      </c>
      <c r="N3893">
        <v>53.450888418509102</v>
      </c>
      <c r="O3893">
        <v>52.572326359385698</v>
      </c>
      <c r="P3893">
        <v>-0.12416535342512799</v>
      </c>
      <c r="Q3893">
        <v>0.15955867590044201</v>
      </c>
      <c r="R3893">
        <v>0.99594200868527405</v>
      </c>
      <c r="S3893" t="s">
        <v>8189</v>
      </c>
      <c r="T3893" t="s">
        <v>8590</v>
      </c>
      <c r="U3893" t="s">
        <v>8590</v>
      </c>
      <c r="V3893" t="s">
        <v>8590</v>
      </c>
      <c r="W3893">
        <v>3</v>
      </c>
      <c r="X3893" t="s">
        <v>12483</v>
      </c>
      <c r="Y3893">
        <v>0.52292802892516788</v>
      </c>
      <c r="Z3893" t="str">
        <f>HYPERLINK("Melting_Curves/meltCurve_tr_E9PKV8_E9PKV8_HUMAN_.pdf", "Melting_Curves/meltCurve_tr_E9PKV8_E9PKV8_HUMAN_.pdf")</f>
        <v>Melting_Curves/meltCurve_tr_E9PKV8_E9PKV8_HUMAN_.pdf</v>
      </c>
      <c r="AA3893" t="s">
        <v>16718</v>
      </c>
      <c r="AB3893" t="s">
        <v>20968</v>
      </c>
    </row>
    <row r="3894" spans="1:28" x14ac:dyDescent="0.25">
      <c r="A3894" t="s">
        <v>3898</v>
      </c>
      <c r="B3894">
        <v>0.99876560204751996</v>
      </c>
      <c r="C3894">
        <v>0.84502940174650598</v>
      </c>
      <c r="D3894">
        <v>0.93624534785018099</v>
      </c>
      <c r="E3894">
        <v>0.77672622677044001</v>
      </c>
      <c r="F3894">
        <v>0.71997086525876597</v>
      </c>
      <c r="G3894">
        <v>0.56496332389099202</v>
      </c>
      <c r="H3894">
        <v>0.42212608030429699</v>
      </c>
      <c r="I3894">
        <v>0.46021773900088803</v>
      </c>
      <c r="J3894">
        <v>0.58157065888205595</v>
      </c>
      <c r="K3894">
        <v>0.55000028968135395</v>
      </c>
      <c r="L3894">
        <v>713.07697359738199</v>
      </c>
      <c r="M3894">
        <v>14.0290527536272</v>
      </c>
      <c r="N3894">
        <v>68.0877154645556</v>
      </c>
      <c r="O3894">
        <v>49.829244721647903</v>
      </c>
      <c r="P3894">
        <v>-3.6202291002696702E-2</v>
      </c>
      <c r="Q3894">
        <v>0.48572549018847</v>
      </c>
      <c r="R3894">
        <v>0.88423589732692698</v>
      </c>
      <c r="S3894" t="s">
        <v>8190</v>
      </c>
      <c r="T3894" t="s">
        <v>8590</v>
      </c>
      <c r="U3894" t="s">
        <v>8590</v>
      </c>
      <c r="V3894" t="s">
        <v>8590</v>
      </c>
      <c r="W3894">
        <v>4</v>
      </c>
      <c r="X3894" t="s">
        <v>12484</v>
      </c>
      <c r="Y3894">
        <v>0.68468990349451597</v>
      </c>
      <c r="Z3894" t="str">
        <f>HYPERLINK("Melting_Curves/meltCurve_tr_E9PKY5_E9PKY5_HUMAN_.pdf", "Melting_Curves/meltCurve_tr_E9PKY5_E9PKY5_HUMAN_.pdf")</f>
        <v>Melting_Curves/meltCurve_tr_E9PKY5_E9PKY5_HUMAN_.pdf</v>
      </c>
      <c r="AA3894" t="s">
        <v>16719</v>
      </c>
      <c r="AB3894" t="s">
        <v>20864</v>
      </c>
    </row>
    <row r="3895" spans="1:28" x14ac:dyDescent="0.25">
      <c r="A3895" t="s">
        <v>3899</v>
      </c>
      <c r="B3895">
        <v>0.99876560204751996</v>
      </c>
      <c r="C3895">
        <v>0.92194194451276201</v>
      </c>
      <c r="D3895">
        <v>0.72174494887671004</v>
      </c>
      <c r="E3895">
        <v>0.38376315330585498</v>
      </c>
      <c r="F3895">
        <v>0.20471553969433501</v>
      </c>
      <c r="G3895">
        <v>0.121323312406758</v>
      </c>
      <c r="H3895">
        <v>9.1848062380455495E-2</v>
      </c>
      <c r="I3895">
        <v>8.6240539828033994E-2</v>
      </c>
      <c r="J3895">
        <v>9.4884168903027796E-2</v>
      </c>
      <c r="K3895">
        <v>8.7727119092028599E-2</v>
      </c>
      <c r="L3895">
        <v>942.34101530641703</v>
      </c>
      <c r="M3895">
        <v>19.611839139943001</v>
      </c>
      <c r="N3895">
        <v>48.4992571602317</v>
      </c>
      <c r="O3895">
        <v>47.558387178843802</v>
      </c>
      <c r="P3895">
        <v>-9.4526570845599595E-2</v>
      </c>
      <c r="Q3895">
        <v>8.3130734524778302E-2</v>
      </c>
      <c r="R3895">
        <v>0.99953797426837199</v>
      </c>
      <c r="S3895" t="s">
        <v>8191</v>
      </c>
      <c r="T3895" t="s">
        <v>8590</v>
      </c>
      <c r="U3895" t="s">
        <v>8590</v>
      </c>
      <c r="V3895" t="s">
        <v>8590</v>
      </c>
      <c r="W3895">
        <v>35</v>
      </c>
      <c r="X3895" t="s">
        <v>12485</v>
      </c>
      <c r="Y3895">
        <v>0.34271253477762659</v>
      </c>
      <c r="Z3895" t="str">
        <f>HYPERLINK("Melting_Curves/meltCurve_tr_E9PL22_E9PL22_HUMAN_.pdf", "Melting_Curves/meltCurve_tr_E9PL22_E9PL22_HUMAN_.pdf")</f>
        <v>Melting_Curves/meltCurve_tr_E9PL22_E9PL22_HUMAN_.pdf</v>
      </c>
      <c r="AA3895" t="s">
        <v>16720</v>
      </c>
      <c r="AB3895" t="s">
        <v>20969</v>
      </c>
    </row>
    <row r="3896" spans="1:28" x14ac:dyDescent="0.25">
      <c r="A3896" t="s">
        <v>3900</v>
      </c>
      <c r="B3896">
        <v>0.99876560204751996</v>
      </c>
      <c r="C3896">
        <v>1.04958493142098</v>
      </c>
      <c r="D3896">
        <v>0.930559907765098</v>
      </c>
      <c r="E3896">
        <v>0.86297551367514602</v>
      </c>
      <c r="F3896">
        <v>0.64088223570719705</v>
      </c>
      <c r="G3896">
        <v>0.38880388551319001</v>
      </c>
      <c r="H3896">
        <v>0.296958063034789</v>
      </c>
      <c r="I3896">
        <v>0.25144850447404998</v>
      </c>
      <c r="J3896">
        <v>0.38482723794686402</v>
      </c>
      <c r="K3896">
        <v>0.249287330816543</v>
      </c>
      <c r="L3896">
        <v>1279.91107728527</v>
      </c>
      <c r="M3896">
        <v>24.1932357771644</v>
      </c>
      <c r="N3896">
        <v>54.8133763541761</v>
      </c>
      <c r="O3896">
        <v>52.546201224441099</v>
      </c>
      <c r="P3896">
        <v>-8.2327698368205499E-2</v>
      </c>
      <c r="Q3896">
        <v>0.28476846473588702</v>
      </c>
      <c r="R3896">
        <v>0.981297914048745</v>
      </c>
      <c r="S3896" t="s">
        <v>8192</v>
      </c>
      <c r="T3896" t="s">
        <v>8590</v>
      </c>
      <c r="U3896" t="s">
        <v>8590</v>
      </c>
      <c r="V3896" t="s">
        <v>8590</v>
      </c>
      <c r="W3896">
        <v>4</v>
      </c>
      <c r="X3896" t="s">
        <v>12486</v>
      </c>
      <c r="Y3896">
        <v>0.59940325051504761</v>
      </c>
      <c r="Z3896" t="str">
        <f>HYPERLINK("Melting_Curves/meltCurve_tr_E9PL24_E9PL24_HUMAN_.pdf", "Melting_Curves/meltCurve_tr_E9PL24_E9PL24_HUMAN_.pdf")</f>
        <v>Melting_Curves/meltCurve_tr_E9PL24_E9PL24_HUMAN_.pdf</v>
      </c>
      <c r="AA3896" t="s">
        <v>16721</v>
      </c>
      <c r="AB3896" t="s">
        <v>20970</v>
      </c>
    </row>
    <row r="3897" spans="1:28" x14ac:dyDescent="0.25">
      <c r="A3897" t="s">
        <v>3901</v>
      </c>
      <c r="B3897">
        <v>0.99876560204751996</v>
      </c>
      <c r="C3897">
        <v>0.88480169055083102</v>
      </c>
      <c r="D3897">
        <v>0.91886988596639296</v>
      </c>
      <c r="E3897">
        <v>0.79364003830918595</v>
      </c>
      <c r="F3897">
        <v>0.80866814311978097</v>
      </c>
      <c r="G3897">
        <v>0.62712763059251597</v>
      </c>
      <c r="H3897">
        <v>0.45831184361333899</v>
      </c>
      <c r="I3897">
        <v>0.400472618801479</v>
      </c>
      <c r="J3897">
        <v>0.410217631394173</v>
      </c>
      <c r="K3897">
        <v>0.42559732881742202</v>
      </c>
      <c r="L3897">
        <v>536.92967313122904</v>
      </c>
      <c r="M3897">
        <v>9.6262858074061501</v>
      </c>
      <c r="N3897">
        <v>61.2953030080415</v>
      </c>
      <c r="O3897">
        <v>53.529760365020302</v>
      </c>
      <c r="P3897">
        <v>-3.1946700233320698E-2</v>
      </c>
      <c r="Q3897">
        <v>0.28980351901532603</v>
      </c>
      <c r="R3897">
        <v>0.95908585013195402</v>
      </c>
      <c r="S3897" t="s">
        <v>8193</v>
      </c>
      <c r="T3897" t="s">
        <v>8590</v>
      </c>
      <c r="U3897" t="s">
        <v>8590</v>
      </c>
      <c r="V3897" t="s">
        <v>8590</v>
      </c>
      <c r="W3897">
        <v>9</v>
      </c>
      <c r="X3897" t="s">
        <v>12487</v>
      </c>
      <c r="Y3897">
        <v>0.67910492938827383</v>
      </c>
      <c r="Z3897" t="str">
        <f>HYPERLINK("Melting_Curves/meltCurve_tr_E9PL57_E9PL57_HUMAN_.pdf", "Melting_Curves/meltCurve_tr_E9PL57_E9PL57_HUMAN_.pdf")</f>
        <v>Melting_Curves/meltCurve_tr_E9PL57_E9PL57_HUMAN_.pdf</v>
      </c>
      <c r="AA3897" t="s">
        <v>16722</v>
      </c>
      <c r="AB3897" t="s">
        <v>20971</v>
      </c>
    </row>
    <row r="3898" spans="1:28" x14ac:dyDescent="0.25">
      <c r="A3898" t="s">
        <v>3902</v>
      </c>
      <c r="B3898">
        <v>0.99876560204751996</v>
      </c>
      <c r="C3898">
        <v>0.95560085353540103</v>
      </c>
      <c r="D3898">
        <v>0.88731038870553203</v>
      </c>
      <c r="E3898">
        <v>0.89149854145046803</v>
      </c>
      <c r="F3898">
        <v>0.68457892570047296</v>
      </c>
      <c r="G3898">
        <v>0.37089150534166798</v>
      </c>
      <c r="H3898">
        <v>9.5373392816163E-2</v>
      </c>
      <c r="I3898">
        <v>6.5307897599133802E-2</v>
      </c>
      <c r="J3898">
        <v>5.2427949873692002E-2</v>
      </c>
      <c r="K3898">
        <v>4.5922975697261302E-2</v>
      </c>
      <c r="L3898">
        <v>1065.48887238874</v>
      </c>
      <c r="M3898">
        <v>19.351789840681398</v>
      </c>
      <c r="N3898">
        <v>55.118533708884797</v>
      </c>
      <c r="O3898">
        <v>54.481079472988199</v>
      </c>
      <c r="P3898">
        <v>-8.7884225989590697E-2</v>
      </c>
      <c r="Q3898">
        <v>1.03547677313685E-2</v>
      </c>
      <c r="R3898">
        <v>0.99150363495302596</v>
      </c>
      <c r="S3898" t="s">
        <v>8194</v>
      </c>
      <c r="T3898" t="s">
        <v>8590</v>
      </c>
      <c r="U3898" t="s">
        <v>8590</v>
      </c>
      <c r="V3898" t="s">
        <v>8590</v>
      </c>
      <c r="W3898">
        <v>34</v>
      </c>
      <c r="X3898" t="s">
        <v>12488</v>
      </c>
      <c r="Y3898">
        <v>0.52092924515283134</v>
      </c>
      <c r="Z3898" t="str">
        <f>HYPERLINK("Melting_Curves/meltCurve_tr_E9PLK3_E9PLK3_HUMAN_.pdf", "Melting_Curves/meltCurve_tr_E9PLK3_E9PLK3_HUMAN_.pdf")</f>
        <v>Melting_Curves/meltCurve_tr_E9PLK3_E9PLK3_HUMAN_.pdf</v>
      </c>
      <c r="AA3898" t="s">
        <v>16723</v>
      </c>
      <c r="AB3898" t="s">
        <v>20972</v>
      </c>
    </row>
    <row r="3899" spans="1:28" x14ac:dyDescent="0.25">
      <c r="A3899" t="s">
        <v>3903</v>
      </c>
      <c r="B3899">
        <v>0.99876560204751996</v>
      </c>
      <c r="C3899">
        <v>1.02536363924087</v>
      </c>
      <c r="D3899">
        <v>0.89563186078033996</v>
      </c>
      <c r="E3899">
        <v>0.61444188715858805</v>
      </c>
      <c r="F3899">
        <v>0.30389722163035898</v>
      </c>
      <c r="G3899">
        <v>0.16784470345788099</v>
      </c>
      <c r="H3899">
        <v>0.107001654259538</v>
      </c>
      <c r="I3899">
        <v>7.9413415145515504E-2</v>
      </c>
      <c r="J3899">
        <v>7.8709798318963395E-2</v>
      </c>
      <c r="K3899">
        <v>6.6238293895889894E-2</v>
      </c>
      <c r="L3899">
        <v>1138.6474367465701</v>
      </c>
      <c r="M3899">
        <v>22.493944835454499</v>
      </c>
      <c r="N3899">
        <v>50.999302525313603</v>
      </c>
      <c r="O3899">
        <v>50.225192314090599</v>
      </c>
      <c r="P3899">
        <v>-0.10334701847354399</v>
      </c>
      <c r="Q3899">
        <v>7.6992889833417802E-2</v>
      </c>
      <c r="R3899">
        <v>0.99779321498721196</v>
      </c>
      <c r="S3899" t="s">
        <v>8195</v>
      </c>
      <c r="T3899" t="s">
        <v>8590</v>
      </c>
      <c r="U3899" t="s">
        <v>8590</v>
      </c>
      <c r="V3899" t="s">
        <v>8590</v>
      </c>
      <c r="W3899">
        <v>22</v>
      </c>
      <c r="X3899" t="s">
        <v>12489</v>
      </c>
      <c r="Y3899">
        <v>0.41396680081804882</v>
      </c>
      <c r="Z3899" t="str">
        <f>HYPERLINK("Melting_Curves/meltCurve_tr_E9PM46_E9PM46_HUMAN_.pdf", "Melting_Curves/meltCurve_tr_E9PM46_E9PM46_HUMAN_.pdf")</f>
        <v>Melting_Curves/meltCurve_tr_E9PM46_E9PM46_HUMAN_.pdf</v>
      </c>
      <c r="AA3899" t="s">
        <v>16724</v>
      </c>
      <c r="AB3899" t="s">
        <v>20815</v>
      </c>
    </row>
    <row r="3900" spans="1:28" x14ac:dyDescent="0.25">
      <c r="A3900" t="s">
        <v>3904</v>
      </c>
      <c r="B3900">
        <v>0.99876560204751996</v>
      </c>
      <c r="C3900">
        <v>0.94434603046651999</v>
      </c>
      <c r="D3900">
        <v>1.05796696466169</v>
      </c>
      <c r="E3900">
        <v>0.97354425391768895</v>
      </c>
      <c r="F3900">
        <v>1.1726199753722799</v>
      </c>
      <c r="G3900">
        <v>0.99638475007346095</v>
      </c>
      <c r="H3900">
        <v>1.20872870012165</v>
      </c>
      <c r="I3900">
        <v>1.29949500409767</v>
      </c>
      <c r="J3900">
        <v>1.65357985725775</v>
      </c>
      <c r="K3900">
        <v>1.73033183354053</v>
      </c>
      <c r="L3900">
        <v>2676.6131285403899</v>
      </c>
      <c r="M3900">
        <v>43.216683887386402</v>
      </c>
      <c r="O3900">
        <v>61.802529879074598</v>
      </c>
      <c r="P3900">
        <v>8.7408920715032798E-2</v>
      </c>
      <c r="Q3900">
        <v>1.5</v>
      </c>
      <c r="R3900">
        <v>0.81434294284402697</v>
      </c>
      <c r="S3900" t="s">
        <v>8196</v>
      </c>
      <c r="T3900" t="s">
        <v>8590</v>
      </c>
      <c r="U3900" t="s">
        <v>8590</v>
      </c>
      <c r="V3900" t="s">
        <v>8590</v>
      </c>
      <c r="W3900">
        <v>3</v>
      </c>
      <c r="X3900" t="s">
        <v>12490</v>
      </c>
      <c r="Y3900">
        <v>1.132810488575092</v>
      </c>
      <c r="Z3900" t="str">
        <f>HYPERLINK("Melting_Curves/meltCurve_tr_E9PM92_E9PM92_HUMAN_.pdf", "Melting_Curves/meltCurve_tr_E9PM92_E9PM92_HUMAN_.pdf")</f>
        <v>Melting_Curves/meltCurve_tr_E9PM92_E9PM92_HUMAN_.pdf</v>
      </c>
      <c r="AA3900" t="s">
        <v>16725</v>
      </c>
      <c r="AB3900" t="s">
        <v>20973</v>
      </c>
    </row>
    <row r="3901" spans="1:28" x14ac:dyDescent="0.25">
      <c r="A3901" t="s">
        <v>3905</v>
      </c>
      <c r="B3901">
        <v>0.99876560204751996</v>
      </c>
      <c r="C3901">
        <v>1.0567834554575499</v>
      </c>
      <c r="D3901">
        <v>1.00307466304114</v>
      </c>
      <c r="E3901">
        <v>0.97783989397401105</v>
      </c>
      <c r="F3901">
        <v>0.84591844455575704</v>
      </c>
      <c r="G3901">
        <v>0.68035507480929303</v>
      </c>
      <c r="H3901">
        <v>0.55310278339909202</v>
      </c>
      <c r="I3901">
        <v>0.50219574074052298</v>
      </c>
      <c r="J3901">
        <v>0.58670221719736804</v>
      </c>
      <c r="K3901">
        <v>0.57586647456304796</v>
      </c>
      <c r="L3901">
        <v>1495.0623644505399</v>
      </c>
      <c r="M3901">
        <v>27.389920071026499</v>
      </c>
      <c r="O3901">
        <v>54.295905288403098</v>
      </c>
      <c r="P3901">
        <v>-5.6821720467180301E-2</v>
      </c>
      <c r="Q3901">
        <v>0.54944607956297797</v>
      </c>
      <c r="R3901">
        <v>0.97813984255519804</v>
      </c>
      <c r="S3901" t="s">
        <v>8197</v>
      </c>
      <c r="T3901" t="s">
        <v>8590</v>
      </c>
      <c r="U3901" t="s">
        <v>8590</v>
      </c>
      <c r="V3901" t="s">
        <v>8590</v>
      </c>
      <c r="W3901">
        <v>4</v>
      </c>
      <c r="X3901" t="s">
        <v>12491</v>
      </c>
      <c r="Y3901">
        <v>0.7720151741996979</v>
      </c>
      <c r="Z3901" t="str">
        <f>HYPERLINK("Melting_Curves/meltCurve_tr_E9PMI6_E9PMI6_HUMAN_.pdf", "Melting_Curves/meltCurve_tr_E9PMI6_E9PMI6_HUMAN_.pdf")</f>
        <v>Melting_Curves/meltCurve_tr_E9PMI6_E9PMI6_HUMAN_.pdf</v>
      </c>
      <c r="AA3901" t="s">
        <v>16726</v>
      </c>
      <c r="AB3901" t="s">
        <v>20974</v>
      </c>
    </row>
    <row r="3902" spans="1:28" x14ac:dyDescent="0.25">
      <c r="A3902" t="s">
        <v>3906</v>
      </c>
      <c r="B3902">
        <v>0.99876560204751996</v>
      </c>
      <c r="C3902">
        <v>0.95038942521604797</v>
      </c>
      <c r="D3902">
        <v>1.0128882999489599</v>
      </c>
      <c r="E3902">
        <v>0.77025652612908901</v>
      </c>
      <c r="F3902">
        <v>0.44589097794584598</v>
      </c>
      <c r="G3902">
        <v>0.17701490830102701</v>
      </c>
      <c r="H3902">
        <v>8.3015975923149896E-2</v>
      </c>
      <c r="I3902">
        <v>7.5884250233505396E-2</v>
      </c>
      <c r="J3902">
        <v>0.100917176901395</v>
      </c>
      <c r="K3902">
        <v>5.0635188272192197E-2</v>
      </c>
      <c r="L3902">
        <v>1359.04252565563</v>
      </c>
      <c r="M3902">
        <v>26.0255954446442</v>
      </c>
      <c r="N3902">
        <v>52.530674013683097</v>
      </c>
      <c r="O3902">
        <v>51.914077513087001</v>
      </c>
      <c r="P3902">
        <v>-0.116377422825132</v>
      </c>
      <c r="Q3902">
        <v>7.1443758419976397E-2</v>
      </c>
      <c r="R3902">
        <v>0.99674384706860797</v>
      </c>
      <c r="S3902" t="s">
        <v>8198</v>
      </c>
      <c r="T3902" t="s">
        <v>8590</v>
      </c>
      <c r="U3902" t="s">
        <v>8590</v>
      </c>
      <c r="V3902" t="s">
        <v>8590</v>
      </c>
      <c r="W3902">
        <v>1</v>
      </c>
      <c r="X3902" t="s">
        <v>12492</v>
      </c>
      <c r="Y3902">
        <v>0.45752118245896861</v>
      </c>
      <c r="Z3902" t="str">
        <f>HYPERLINK("Melting_Curves/meltCurve_tr_E9PMJ2_E9PMJ2_HUMAN_.pdf", "Melting_Curves/meltCurve_tr_E9PMJ2_E9PMJ2_HUMAN_.pdf")</f>
        <v>Melting_Curves/meltCurve_tr_E9PMJ2_E9PMJ2_HUMAN_.pdf</v>
      </c>
      <c r="AA3902" t="s">
        <v>16727</v>
      </c>
      <c r="AB3902" t="s">
        <v>20975</v>
      </c>
    </row>
    <row r="3903" spans="1:28" x14ac:dyDescent="0.25">
      <c r="A3903" t="s">
        <v>3907</v>
      </c>
      <c r="B3903">
        <v>0.99876560204751996</v>
      </c>
      <c r="C3903">
        <v>0.95682216784338803</v>
      </c>
      <c r="D3903">
        <v>0.99155174773140797</v>
      </c>
      <c r="E3903">
        <v>0.93521805629089805</v>
      </c>
      <c r="F3903">
        <v>0.90882453296785104</v>
      </c>
      <c r="G3903">
        <v>0.73650718066674403</v>
      </c>
      <c r="H3903">
        <v>0.63039113317121098</v>
      </c>
      <c r="I3903">
        <v>0.61614745496773005</v>
      </c>
      <c r="J3903">
        <v>0.72385363330631003</v>
      </c>
      <c r="K3903">
        <v>0.71190203152942699</v>
      </c>
      <c r="L3903">
        <v>1691.0986405999099</v>
      </c>
      <c r="M3903">
        <v>31.169142660893399</v>
      </c>
      <c r="O3903">
        <v>54.033675609194198</v>
      </c>
      <c r="P3903">
        <v>-4.7673929125968503E-2</v>
      </c>
      <c r="Q3903">
        <v>0.66941879655859404</v>
      </c>
      <c r="R3903">
        <v>0.93091941255664701</v>
      </c>
      <c r="S3903" t="s">
        <v>8199</v>
      </c>
      <c r="T3903" t="s">
        <v>8590</v>
      </c>
      <c r="U3903" t="s">
        <v>8590</v>
      </c>
      <c r="V3903" t="s">
        <v>8590</v>
      </c>
      <c r="W3903">
        <v>45</v>
      </c>
      <c r="X3903" t="s">
        <v>12493</v>
      </c>
      <c r="Y3903">
        <v>0.82852885200224591</v>
      </c>
      <c r="Z3903" t="str">
        <f>HYPERLINK("Melting_Curves/meltCurve_tr_E9PMS6_E9PMS6_HUMAN_.pdf", "Melting_Curves/meltCurve_tr_E9PMS6_E9PMS6_HUMAN_.pdf")</f>
        <v>Melting_Curves/meltCurve_tr_E9PMS6_E9PMS6_HUMAN_.pdf</v>
      </c>
      <c r="AA3903" t="s">
        <v>16728</v>
      </c>
      <c r="AB3903" t="s">
        <v>20976</v>
      </c>
    </row>
    <row r="3904" spans="1:28" x14ac:dyDescent="0.25">
      <c r="A3904" t="s">
        <v>3908</v>
      </c>
      <c r="B3904">
        <v>0.99876560204751996</v>
      </c>
      <c r="C3904">
        <v>0.92890309050922804</v>
      </c>
      <c r="D3904">
        <v>1.02504291985943</v>
      </c>
      <c r="E3904">
        <v>0.87373290762301703</v>
      </c>
      <c r="F3904">
        <v>0.67960216630754</v>
      </c>
      <c r="G3904">
        <v>0.27631258612056298</v>
      </c>
      <c r="H3904">
        <v>0.18590329500379901</v>
      </c>
      <c r="I3904">
        <v>0.133206866104713</v>
      </c>
      <c r="J3904">
        <v>0.16974579126884301</v>
      </c>
      <c r="K3904">
        <v>0.134034026155326</v>
      </c>
      <c r="L3904">
        <v>1465.5886657467299</v>
      </c>
      <c r="M3904">
        <v>27.237407056655002</v>
      </c>
      <c r="N3904">
        <v>54.469275534996697</v>
      </c>
      <c r="O3904">
        <v>53.520398411482297</v>
      </c>
      <c r="P3904">
        <v>-0.109317452019331</v>
      </c>
      <c r="Q3904">
        <v>0.14079080580324699</v>
      </c>
      <c r="R3904">
        <v>0.99357507306765702</v>
      </c>
      <c r="S3904" t="s">
        <v>8200</v>
      </c>
      <c r="T3904" t="s">
        <v>8590</v>
      </c>
      <c r="U3904" t="s">
        <v>8590</v>
      </c>
      <c r="V3904" t="s">
        <v>8590</v>
      </c>
      <c r="W3904">
        <v>4</v>
      </c>
      <c r="X3904" t="s">
        <v>12494</v>
      </c>
      <c r="Y3904">
        <v>0.5430284259026007</v>
      </c>
      <c r="Z3904" t="str">
        <f>HYPERLINK("Melting_Curves/meltCurve_tr_E9PN48_E9PN48_HUMAN_.pdf", "Melting_Curves/meltCurve_tr_E9PN48_E9PN48_HUMAN_.pdf")</f>
        <v>Melting_Curves/meltCurve_tr_E9PN48_E9PN48_HUMAN_.pdf</v>
      </c>
      <c r="AA3904" t="s">
        <v>15210</v>
      </c>
      <c r="AB3904" t="s">
        <v>20977</v>
      </c>
    </row>
    <row r="3905" spans="1:28" x14ac:dyDescent="0.25">
      <c r="A3905" t="s">
        <v>3909</v>
      </c>
      <c r="B3905">
        <v>0.99876560204751996</v>
      </c>
      <c r="C3905">
        <v>1.0779258067881801</v>
      </c>
      <c r="D3905">
        <v>1.1759092856398099</v>
      </c>
      <c r="E3905">
        <v>0.97715701621052897</v>
      </c>
      <c r="F3905">
        <v>0.99183596091773796</v>
      </c>
      <c r="G3905">
        <v>0.69683931899447604</v>
      </c>
      <c r="H3905">
        <v>0.56097129400574397</v>
      </c>
      <c r="I3905">
        <v>0.61097161416472001</v>
      </c>
      <c r="J3905">
        <v>0.69965230138865597</v>
      </c>
      <c r="K3905">
        <v>0.62718222614212105</v>
      </c>
      <c r="L3905">
        <v>14168.171615212599</v>
      </c>
      <c r="M3905">
        <v>250</v>
      </c>
      <c r="O3905">
        <v>56.669057199970503</v>
      </c>
      <c r="P3905">
        <v>-0.41392256505279801</v>
      </c>
      <c r="Q3905">
        <v>0.62469435906340598</v>
      </c>
      <c r="R3905">
        <v>0.89502049483728596</v>
      </c>
      <c r="S3905" t="s">
        <v>8201</v>
      </c>
      <c r="T3905" t="s">
        <v>8590</v>
      </c>
      <c r="U3905" t="s">
        <v>8590</v>
      </c>
      <c r="V3905" t="s">
        <v>8590</v>
      </c>
      <c r="W3905">
        <v>3</v>
      </c>
      <c r="X3905" t="s">
        <v>12495</v>
      </c>
      <c r="Y3905">
        <v>0.83331012945418659</v>
      </c>
      <c r="Z3905" t="str">
        <f>HYPERLINK("Melting_Curves/meltCurve_tr_E9PNK6_E9PNK6_HUMAN_.pdf", "Melting_Curves/meltCurve_tr_E9PNK6_E9PNK6_HUMAN_.pdf")</f>
        <v>Melting_Curves/meltCurve_tr_E9PNK6_E9PNK6_HUMAN_.pdf</v>
      </c>
      <c r="AA3905" t="s">
        <v>16729</v>
      </c>
      <c r="AB3905" t="s">
        <v>20978</v>
      </c>
    </row>
    <row r="3906" spans="1:28" x14ac:dyDescent="0.25">
      <c r="A3906" t="s">
        <v>3910</v>
      </c>
      <c r="B3906">
        <v>0.99876560204751996</v>
      </c>
      <c r="C3906">
        <v>0.96659501797542102</v>
      </c>
      <c r="D3906">
        <v>0.912937057819876</v>
      </c>
      <c r="E3906">
        <v>0.87232653858643605</v>
      </c>
      <c r="F3906">
        <v>0.78856503789274601</v>
      </c>
      <c r="G3906">
        <v>0.71337127913688003</v>
      </c>
      <c r="H3906">
        <v>0.41060926805347697</v>
      </c>
      <c r="I3906">
        <v>0.36090407491006399</v>
      </c>
      <c r="J3906">
        <v>0.230954452975841</v>
      </c>
      <c r="K3906">
        <v>0.20959578180519101</v>
      </c>
      <c r="L3906">
        <v>614.39331547310599</v>
      </c>
      <c r="M3906">
        <v>10.221093732628001</v>
      </c>
      <c r="N3906">
        <v>60.110352620890303</v>
      </c>
      <c r="O3906">
        <v>57.945668969007002</v>
      </c>
      <c r="P3906">
        <v>-4.4117474004471302E-2</v>
      </c>
      <c r="Q3906">
        <v>0</v>
      </c>
      <c r="R3906">
        <v>0.98549448245323901</v>
      </c>
      <c r="S3906" t="s">
        <v>8202</v>
      </c>
      <c r="T3906" t="s">
        <v>8590</v>
      </c>
      <c r="U3906" t="s">
        <v>8590</v>
      </c>
      <c r="V3906" t="s">
        <v>8590</v>
      </c>
      <c r="W3906">
        <v>4</v>
      </c>
      <c r="X3906" t="s">
        <v>12496</v>
      </c>
      <c r="Y3906">
        <v>0.66641427620235327</v>
      </c>
      <c r="Z3906" t="str">
        <f>HYPERLINK("Melting_Curves/meltCurve_tr_E9PNN3_E9PNN3_HUMAN_.pdf", "Melting_Curves/meltCurve_tr_E9PNN3_E9PNN3_HUMAN_.pdf")</f>
        <v>Melting_Curves/meltCurve_tr_E9PNN3_E9PNN3_HUMAN_.pdf</v>
      </c>
      <c r="AA3906" t="s">
        <v>16730</v>
      </c>
      <c r="AB3906" t="s">
        <v>20979</v>
      </c>
    </row>
    <row r="3907" spans="1:28" x14ac:dyDescent="0.25">
      <c r="A3907" t="s">
        <v>3911</v>
      </c>
      <c r="B3907">
        <v>0.99876560204751996</v>
      </c>
      <c r="C3907">
        <v>0.89277885780003197</v>
      </c>
      <c r="D3907">
        <v>0.79493148881503195</v>
      </c>
      <c r="E3907">
        <v>0.63030107948678804</v>
      </c>
      <c r="F3907">
        <v>0.43145251058814399</v>
      </c>
      <c r="G3907">
        <v>0.34293405862140502</v>
      </c>
      <c r="H3907">
        <v>0.25431545512626302</v>
      </c>
      <c r="I3907">
        <v>0.29404298444203902</v>
      </c>
      <c r="J3907">
        <v>0.34000466981119998</v>
      </c>
      <c r="K3907">
        <v>0.31708775427337399</v>
      </c>
      <c r="L3907">
        <v>763.57704236167297</v>
      </c>
      <c r="M3907">
        <v>15.6018611165475</v>
      </c>
      <c r="N3907">
        <v>51.726422870301299</v>
      </c>
      <c r="O3907">
        <v>48.158525154990201</v>
      </c>
      <c r="P3907">
        <v>-5.79831827029215E-2</v>
      </c>
      <c r="Q3907">
        <v>0.28415135179587597</v>
      </c>
      <c r="R3907">
        <v>0.98392690245186798</v>
      </c>
      <c r="S3907" t="s">
        <v>8203</v>
      </c>
      <c r="T3907" t="s">
        <v>8590</v>
      </c>
      <c r="U3907" t="s">
        <v>8590</v>
      </c>
      <c r="V3907" t="s">
        <v>8590</v>
      </c>
      <c r="W3907">
        <v>3</v>
      </c>
      <c r="X3907" t="s">
        <v>12497</v>
      </c>
      <c r="Y3907">
        <v>0.51393777203284852</v>
      </c>
      <c r="Z3907" t="str">
        <f>HYPERLINK("Melting_Curves/meltCurve_tr_E9PNU4_E9PNU4_HUMAN_.pdf", "Melting_Curves/meltCurve_tr_E9PNU4_E9PNU4_HUMAN_.pdf")</f>
        <v>Melting_Curves/meltCurve_tr_E9PNU4_E9PNU4_HUMAN_.pdf</v>
      </c>
      <c r="AA3907" t="s">
        <v>16731</v>
      </c>
      <c r="AB3907" t="s">
        <v>20980</v>
      </c>
    </row>
    <row r="3908" spans="1:28" x14ac:dyDescent="0.25">
      <c r="A3908" t="s">
        <v>3912</v>
      </c>
      <c r="B3908">
        <v>0.99876560204751996</v>
      </c>
      <c r="C3908">
        <v>1.1042856259759899</v>
      </c>
      <c r="D3908">
        <v>0.79874962994302301</v>
      </c>
      <c r="E3908">
        <v>0.85862284357888496</v>
      </c>
      <c r="F3908">
        <v>0.73434536739215495</v>
      </c>
      <c r="G3908">
        <v>0.56511237667233205</v>
      </c>
      <c r="H3908">
        <v>0.33813534426623199</v>
      </c>
      <c r="I3908">
        <v>0.38300657583209202</v>
      </c>
      <c r="J3908">
        <v>0.40587291779898399</v>
      </c>
      <c r="K3908">
        <v>0.444132787417094</v>
      </c>
      <c r="L3908">
        <v>849.58697567837305</v>
      </c>
      <c r="M3908">
        <v>15.9223299854269</v>
      </c>
      <c r="N3908">
        <v>58.159227472212599</v>
      </c>
      <c r="O3908">
        <v>52.5378048325572</v>
      </c>
      <c r="P3908">
        <v>-4.8063775112296897E-2</v>
      </c>
      <c r="Q3908">
        <v>0.365679748454251</v>
      </c>
      <c r="R3908">
        <v>0.91710234616099096</v>
      </c>
      <c r="S3908" t="s">
        <v>8204</v>
      </c>
      <c r="T3908" t="s">
        <v>8590</v>
      </c>
      <c r="U3908" t="s">
        <v>8590</v>
      </c>
      <c r="V3908" t="s">
        <v>8590</v>
      </c>
      <c r="W3908">
        <v>2</v>
      </c>
      <c r="X3908" t="s">
        <v>12498</v>
      </c>
      <c r="Y3908">
        <v>0.66050221132324538</v>
      </c>
      <c r="Z3908" t="str">
        <f>HYPERLINK("Melting_Curves/meltCurve_tr_E9PNW4_E9PNW4_HUMAN_.pdf", "Melting_Curves/meltCurve_tr_E9PNW4_E9PNW4_HUMAN_.pdf")</f>
        <v>Melting_Curves/meltCurve_tr_E9PNW4_E9PNW4_HUMAN_.pdf</v>
      </c>
      <c r="AA3908" t="s">
        <v>16732</v>
      </c>
      <c r="AB3908" t="s">
        <v>20981</v>
      </c>
    </row>
    <row r="3909" spans="1:28" x14ac:dyDescent="0.25">
      <c r="A3909" t="s">
        <v>3913</v>
      </c>
      <c r="B3909">
        <v>0.99876560204751996</v>
      </c>
      <c r="C3909">
        <v>1.13780121056549</v>
      </c>
      <c r="D3909">
        <v>0.79552732162503403</v>
      </c>
      <c r="E3909">
        <v>0.78749448159694202</v>
      </c>
      <c r="F3909">
        <v>0.69956799137195802</v>
      </c>
      <c r="G3909">
        <v>0.39790253050352498</v>
      </c>
      <c r="H3909">
        <v>0.28927122785093501</v>
      </c>
      <c r="I3909">
        <v>0.183557734853035</v>
      </c>
      <c r="J3909">
        <v>0.20816092649773199</v>
      </c>
      <c r="K3909">
        <v>0.22835159743184499</v>
      </c>
      <c r="L3909">
        <v>782.292628495484</v>
      </c>
      <c r="M3909">
        <v>14.495922018682901</v>
      </c>
      <c r="N3909">
        <v>55.399863280618703</v>
      </c>
      <c r="O3909">
        <v>52.970551782171</v>
      </c>
      <c r="P3909">
        <v>-5.7722705253434398E-2</v>
      </c>
      <c r="Q3909">
        <v>0.15638330535963499</v>
      </c>
      <c r="R3909">
        <v>0.95182874603544598</v>
      </c>
      <c r="S3909" t="s">
        <v>8205</v>
      </c>
      <c r="T3909" t="s">
        <v>8590</v>
      </c>
      <c r="U3909" t="s">
        <v>8590</v>
      </c>
      <c r="V3909" t="s">
        <v>8590</v>
      </c>
      <c r="W3909">
        <v>3</v>
      </c>
      <c r="X3909" t="s">
        <v>12499</v>
      </c>
      <c r="Y3909">
        <v>0.56720538564291512</v>
      </c>
      <c r="Z3909" t="str">
        <f>HYPERLINK("Melting_Curves/meltCurve_tr_E9PP36_E9PP36_HUMAN_.pdf", "Melting_Curves/meltCurve_tr_E9PP36_E9PP36_HUMAN_.pdf")</f>
        <v>Melting_Curves/meltCurve_tr_E9PP36_E9PP36_HUMAN_.pdf</v>
      </c>
      <c r="AA3909" t="s">
        <v>16733</v>
      </c>
      <c r="AB3909" t="s">
        <v>20982</v>
      </c>
    </row>
    <row r="3910" spans="1:28" x14ac:dyDescent="0.25">
      <c r="A3910" t="s">
        <v>3914</v>
      </c>
      <c r="B3910">
        <v>0.99876560204751996</v>
      </c>
      <c r="C3910">
        <v>1.1736118524782699</v>
      </c>
      <c r="D3910">
        <v>1.20418075722286</v>
      </c>
      <c r="E3910">
        <v>1.2060924330546501</v>
      </c>
      <c r="F3910">
        <v>0.97982418388845904</v>
      </c>
      <c r="G3910">
        <v>0.70665099094152195</v>
      </c>
      <c r="H3910">
        <v>0.65573559949726501</v>
      </c>
      <c r="I3910">
        <v>0.54866185875753504</v>
      </c>
      <c r="J3910">
        <v>0.59159927612042995</v>
      </c>
      <c r="K3910">
        <v>0.39598710180280999</v>
      </c>
      <c r="L3910">
        <v>1643.8792307030401</v>
      </c>
      <c r="M3910">
        <v>28.745264675826299</v>
      </c>
      <c r="O3910">
        <v>56.913199269349001</v>
      </c>
      <c r="P3910">
        <v>-6.1346927972151501E-2</v>
      </c>
      <c r="Q3910">
        <v>0.51415678421634103</v>
      </c>
      <c r="R3910">
        <v>0.82010670552090703</v>
      </c>
      <c r="S3910" t="s">
        <v>8206</v>
      </c>
      <c r="T3910" t="s">
        <v>8590</v>
      </c>
      <c r="U3910" t="s">
        <v>8590</v>
      </c>
      <c r="V3910" t="s">
        <v>8590</v>
      </c>
      <c r="W3910">
        <v>1</v>
      </c>
      <c r="X3910" t="s">
        <v>12500</v>
      </c>
      <c r="Y3910">
        <v>0.79598698180532279</v>
      </c>
      <c r="Z3910" t="str">
        <f>HYPERLINK("Melting_Curves/meltCurve_tr_E9PPR2_E9PPR2_HUMAN_.pdf", "Melting_Curves/meltCurve_tr_E9PPR2_E9PPR2_HUMAN_.pdf")</f>
        <v>Melting_Curves/meltCurve_tr_E9PPR2_E9PPR2_HUMAN_.pdf</v>
      </c>
      <c r="AA3910" t="s">
        <v>16734</v>
      </c>
      <c r="AB3910" t="s">
        <v>20983</v>
      </c>
    </row>
    <row r="3911" spans="1:28" x14ac:dyDescent="0.25">
      <c r="A3911" t="s">
        <v>3915</v>
      </c>
      <c r="B3911">
        <v>0.99876560204751996</v>
      </c>
      <c r="C3911">
        <v>0.98995910420038702</v>
      </c>
      <c r="D3911">
        <v>1.1653332453682801</v>
      </c>
      <c r="E3911">
        <v>0.95301780605444897</v>
      </c>
      <c r="F3911">
        <v>0.95884201486240395</v>
      </c>
      <c r="G3911">
        <v>0.70858947455507104</v>
      </c>
      <c r="H3911">
        <v>0.34949161803364798</v>
      </c>
      <c r="I3911">
        <v>0.14912476708358</v>
      </c>
      <c r="J3911">
        <v>0.125032936051308</v>
      </c>
      <c r="K3911">
        <v>0.107763499743064</v>
      </c>
      <c r="L3911">
        <v>1562.4007835913001</v>
      </c>
      <c r="M3911">
        <v>26.617617710649899</v>
      </c>
      <c r="N3911">
        <v>59.120996539895799</v>
      </c>
      <c r="O3911">
        <v>58.369682376160398</v>
      </c>
      <c r="P3911">
        <v>-0.104120866731258</v>
      </c>
      <c r="Q3911">
        <v>8.6704363761750294E-2</v>
      </c>
      <c r="R3911">
        <v>0.98102769258586198</v>
      </c>
      <c r="S3911" t="s">
        <v>8207</v>
      </c>
      <c r="T3911" t="s">
        <v>8590</v>
      </c>
      <c r="U3911" t="s">
        <v>8590</v>
      </c>
      <c r="V3911" t="s">
        <v>8590</v>
      </c>
      <c r="W3911">
        <v>5</v>
      </c>
      <c r="X3911" t="s">
        <v>12501</v>
      </c>
      <c r="Y3911">
        <v>0.66297319605377447</v>
      </c>
      <c r="Z3911" t="str">
        <f>HYPERLINK("Melting_Curves/meltCurve_tr_E9PQ74_E9PQ74_HUMAN_.pdf", "Melting_Curves/meltCurve_tr_E9PQ74_E9PQ74_HUMAN_.pdf")</f>
        <v>Melting_Curves/meltCurve_tr_E9PQ74_E9PQ74_HUMAN_.pdf</v>
      </c>
      <c r="AA3911" t="s">
        <v>16735</v>
      </c>
      <c r="AB3911" t="s">
        <v>20984</v>
      </c>
    </row>
    <row r="3912" spans="1:28" x14ac:dyDescent="0.25">
      <c r="A3912" t="s">
        <v>3916</v>
      </c>
      <c r="B3912">
        <v>0.99876560204751996</v>
      </c>
      <c r="C3912">
        <v>0.965401437586214</v>
      </c>
      <c r="D3912">
        <v>0.92190310566039602</v>
      </c>
      <c r="E3912">
        <v>0.87920736705323699</v>
      </c>
      <c r="F3912">
        <v>0.59025777448161698</v>
      </c>
      <c r="G3912">
        <v>0.31952479804255302</v>
      </c>
      <c r="H3912">
        <v>0.17392988614720001</v>
      </c>
      <c r="I3912">
        <v>0.13851294477103801</v>
      </c>
      <c r="J3912">
        <v>0.13702140883821501</v>
      </c>
      <c r="K3912">
        <v>0.111077996127009</v>
      </c>
      <c r="L3912">
        <v>1124.32589109277</v>
      </c>
      <c r="M3912">
        <v>20.964466829901301</v>
      </c>
      <c r="N3912">
        <v>54.288453964324901</v>
      </c>
      <c r="O3912">
        <v>53.149258882993003</v>
      </c>
      <c r="P3912">
        <v>-8.7544903294595799E-2</v>
      </c>
      <c r="Q3912">
        <v>0.112246249501987</v>
      </c>
      <c r="R3912">
        <v>0.99573752124797799</v>
      </c>
      <c r="S3912" t="s">
        <v>8208</v>
      </c>
      <c r="T3912" t="s">
        <v>8590</v>
      </c>
      <c r="U3912" t="s">
        <v>8590</v>
      </c>
      <c r="V3912" t="s">
        <v>8590</v>
      </c>
      <c r="W3912">
        <v>7</v>
      </c>
      <c r="X3912" t="s">
        <v>12502</v>
      </c>
      <c r="Y3912">
        <v>0.52679530997627699</v>
      </c>
      <c r="Z3912" t="str">
        <f>HYPERLINK("Melting_Curves/meltCurve_tr_E9PQR7_E9PQR7_HUMAN_.pdf", "Melting_Curves/meltCurve_tr_E9PQR7_E9PQR7_HUMAN_.pdf")</f>
        <v>Melting_Curves/meltCurve_tr_E9PQR7_E9PQR7_HUMAN_.pdf</v>
      </c>
      <c r="AA3912" t="s">
        <v>16736</v>
      </c>
      <c r="AB3912" t="s">
        <v>20985</v>
      </c>
    </row>
    <row r="3913" spans="1:28" x14ac:dyDescent="0.25">
      <c r="A3913" t="s">
        <v>3917</v>
      </c>
      <c r="B3913">
        <v>0.99876560204751996</v>
      </c>
      <c r="C3913">
        <v>0.92572346319385701</v>
      </c>
      <c r="D3913">
        <v>0.59107116568919604</v>
      </c>
      <c r="E3913">
        <v>0.25957989563141498</v>
      </c>
      <c r="F3913">
        <v>0.125489997435657</v>
      </c>
      <c r="G3913">
        <v>0.112278209775952</v>
      </c>
      <c r="H3913">
        <v>7.66290024816529E-2</v>
      </c>
      <c r="I3913">
        <v>6.4022940688523405E-2</v>
      </c>
      <c r="J3913">
        <v>8.5115670321104994E-2</v>
      </c>
      <c r="K3913">
        <v>2.93095288030546E-2</v>
      </c>
      <c r="L3913">
        <v>1070.68758405837</v>
      </c>
      <c r="M3913">
        <v>22.910442909510898</v>
      </c>
      <c r="N3913">
        <v>47.043710725731202</v>
      </c>
      <c r="O3913">
        <v>46.3819275727624</v>
      </c>
      <c r="P3913">
        <v>-0.114835436290477</v>
      </c>
      <c r="Q3913">
        <v>7.0085726956841995E-2</v>
      </c>
      <c r="R3913">
        <v>0.99580926213310605</v>
      </c>
      <c r="S3913" t="s">
        <v>8209</v>
      </c>
      <c r="T3913" t="s">
        <v>8590</v>
      </c>
      <c r="U3913" t="s">
        <v>8590</v>
      </c>
      <c r="V3913" t="s">
        <v>8590</v>
      </c>
      <c r="W3913">
        <v>5</v>
      </c>
      <c r="X3913" t="s">
        <v>12503</v>
      </c>
      <c r="Y3913">
        <v>0.28896450899754739</v>
      </c>
      <c r="Z3913" t="str">
        <f>HYPERLINK("Melting_Curves/meltCurve_tr_E9PQW4_E9PQW4_HUMAN_.pdf", "Melting_Curves/meltCurve_tr_E9PQW4_E9PQW4_HUMAN_.pdf")</f>
        <v>Melting_Curves/meltCurve_tr_E9PQW4_E9PQW4_HUMAN_.pdf</v>
      </c>
      <c r="AA3913" t="s">
        <v>16737</v>
      </c>
      <c r="AB3913" t="s">
        <v>20986</v>
      </c>
    </row>
    <row r="3914" spans="1:28" x14ac:dyDescent="0.25">
      <c r="A3914" t="s">
        <v>3918</v>
      </c>
      <c r="B3914">
        <v>0.99876560204751996</v>
      </c>
      <c r="C3914">
        <v>0.93289325629310005</v>
      </c>
      <c r="D3914">
        <v>1.1188768127047699</v>
      </c>
      <c r="E3914">
        <v>0.97001836385825901</v>
      </c>
      <c r="F3914">
        <v>0.66974356195722395</v>
      </c>
      <c r="G3914">
        <v>0.23968934705860601</v>
      </c>
      <c r="H3914">
        <v>8.9967802813466502E-2</v>
      </c>
      <c r="I3914">
        <v>5.2064029943768297E-2</v>
      </c>
      <c r="J3914">
        <v>4.8882539820734802E-2</v>
      </c>
      <c r="K3914">
        <v>3.5210756566170502E-2</v>
      </c>
      <c r="L3914">
        <v>1673.5577161935701</v>
      </c>
      <c r="M3914">
        <v>30.833370314235101</v>
      </c>
      <c r="N3914">
        <v>54.453450248381003</v>
      </c>
      <c r="O3914">
        <v>54.0507022031302</v>
      </c>
      <c r="P3914">
        <v>-0.13585156020959499</v>
      </c>
      <c r="Q3914">
        <v>4.7417885984533198E-2</v>
      </c>
      <c r="R3914">
        <v>0.988711462218684</v>
      </c>
      <c r="S3914" t="s">
        <v>8210</v>
      </c>
      <c r="T3914" t="s">
        <v>8590</v>
      </c>
      <c r="U3914" t="s">
        <v>8590</v>
      </c>
      <c r="V3914" t="s">
        <v>8590</v>
      </c>
      <c r="W3914">
        <v>7</v>
      </c>
      <c r="X3914" t="s">
        <v>12504</v>
      </c>
      <c r="Y3914">
        <v>0.5067211251284236</v>
      </c>
      <c r="Z3914" t="str">
        <f>HYPERLINK("Melting_Curves/meltCurve_tr_E9PQY3_E9PQY3_HUMAN_.pdf", "Melting_Curves/meltCurve_tr_E9PQY3_E9PQY3_HUMAN_.pdf")</f>
        <v>Melting_Curves/meltCurve_tr_E9PQY3_E9PQY3_HUMAN_.pdf</v>
      </c>
      <c r="AA3914" t="s">
        <v>16738</v>
      </c>
      <c r="AB3914" t="s">
        <v>20987</v>
      </c>
    </row>
    <row r="3915" spans="1:28" x14ac:dyDescent="0.25">
      <c r="A3915" t="s">
        <v>3919</v>
      </c>
      <c r="B3915">
        <v>0.99876560204751996</v>
      </c>
      <c r="C3915">
        <v>1.18519241697514</v>
      </c>
      <c r="D3915">
        <v>1.73995493502147</v>
      </c>
      <c r="E3915">
        <v>2.0182988233406101</v>
      </c>
      <c r="F3915">
        <v>2.3210948954137001</v>
      </c>
      <c r="G3915">
        <v>2.3582236118444602</v>
      </c>
      <c r="H3915">
        <v>1.0094874077117899</v>
      </c>
      <c r="I3915">
        <v>0.72467681298048603</v>
      </c>
      <c r="J3915">
        <v>0.85089549554533905</v>
      </c>
      <c r="K3915">
        <v>0.35396036896262401</v>
      </c>
      <c r="L3915">
        <v>2371.5003200395799</v>
      </c>
      <c r="M3915">
        <v>34.320531741902897</v>
      </c>
      <c r="N3915">
        <v>69.098600840226894</v>
      </c>
      <c r="O3915">
        <v>68.865258179064497</v>
      </c>
      <c r="P3915">
        <v>-0.12459353047317</v>
      </c>
      <c r="Q3915">
        <v>0</v>
      </c>
      <c r="R3915">
        <v>-0.182434286053584</v>
      </c>
      <c r="S3915" t="s">
        <v>8211</v>
      </c>
      <c r="T3915" t="s">
        <v>8590</v>
      </c>
      <c r="U3915" t="s">
        <v>8590</v>
      </c>
      <c r="V3915" t="s">
        <v>8590</v>
      </c>
      <c r="W3915">
        <v>5</v>
      </c>
      <c r="X3915" t="s">
        <v>12505</v>
      </c>
      <c r="Y3915">
        <v>0.93974626291055308</v>
      </c>
      <c r="Z3915" t="str">
        <f>HYPERLINK("Melting_Curves/meltCurve_tr_E9PR54_E9PR54_HUMAN_.pdf", "Melting_Curves/meltCurve_tr_E9PR54_E9PR54_HUMAN_.pdf")</f>
        <v>Melting_Curves/meltCurve_tr_E9PR54_E9PR54_HUMAN_.pdf</v>
      </c>
      <c r="AA3915" t="s">
        <v>13445</v>
      </c>
      <c r="AB3915" t="s">
        <v>20988</v>
      </c>
    </row>
    <row r="3916" spans="1:28" x14ac:dyDescent="0.25">
      <c r="A3916" t="s">
        <v>3920</v>
      </c>
      <c r="B3916">
        <v>0.99876560204751996</v>
      </c>
      <c r="C3916">
        <v>0.88299968191664102</v>
      </c>
      <c r="D3916">
        <v>0.968688678803449</v>
      </c>
      <c r="E3916">
        <v>1.00784902640524</v>
      </c>
      <c r="F3916">
        <v>0.86799409891468204</v>
      </c>
      <c r="G3916">
        <v>0.76958539889519295</v>
      </c>
      <c r="H3916">
        <v>0.62075031712860096</v>
      </c>
      <c r="I3916">
        <v>0.59760057479101003</v>
      </c>
      <c r="J3916">
        <v>0.64419589359664797</v>
      </c>
      <c r="K3916">
        <v>0.36410283038522301</v>
      </c>
      <c r="L3916">
        <v>474.81950424836702</v>
      </c>
      <c r="M3916">
        <v>7.0190492109616702</v>
      </c>
      <c r="N3916">
        <v>67.647268155353601</v>
      </c>
      <c r="O3916">
        <v>62.798788373837503</v>
      </c>
      <c r="P3916">
        <v>-2.7993905270014899E-2</v>
      </c>
      <c r="Q3916">
        <v>0</v>
      </c>
      <c r="R3916">
        <v>0.89180652987487097</v>
      </c>
      <c r="S3916" t="s">
        <v>8212</v>
      </c>
      <c r="T3916" t="s">
        <v>8590</v>
      </c>
      <c r="U3916" t="s">
        <v>8590</v>
      </c>
      <c r="V3916" t="s">
        <v>8590</v>
      </c>
      <c r="W3916">
        <v>1</v>
      </c>
      <c r="X3916" t="s">
        <v>12506</v>
      </c>
      <c r="Y3916">
        <v>0.78912161418821569</v>
      </c>
      <c r="Z3916" t="str">
        <f>HYPERLINK("Melting_Curves/meltCurve_tr_E9PRD9_E9PRD9_HUMAN_.pdf", "Melting_Curves/meltCurve_tr_E9PRD9_E9PRD9_HUMAN_.pdf")</f>
        <v>Melting_Curves/meltCurve_tr_E9PRD9_E9PRD9_HUMAN_.pdf</v>
      </c>
      <c r="AA3916" t="s">
        <v>16739</v>
      </c>
      <c r="AB3916" t="s">
        <v>20989</v>
      </c>
    </row>
    <row r="3917" spans="1:28" x14ac:dyDescent="0.25">
      <c r="A3917" t="s">
        <v>3921</v>
      </c>
      <c r="B3917">
        <v>0.99876560204751996</v>
      </c>
      <c r="C3917">
        <v>1.0998701601187899</v>
      </c>
      <c r="D3917">
        <v>0.38406094214448699</v>
      </c>
      <c r="E3917">
        <v>0.20213811628504899</v>
      </c>
      <c r="F3917">
        <v>6.6120162312008401E-2</v>
      </c>
      <c r="G3917">
        <v>5.6797595683286101E-2</v>
      </c>
      <c r="H3917">
        <v>3.5260932926664802E-2</v>
      </c>
      <c r="I3917">
        <v>3.50682443066513E-2</v>
      </c>
      <c r="J3917">
        <v>3.1506456262694799E-2</v>
      </c>
      <c r="K3917">
        <v>4.2516544296172402E-2</v>
      </c>
      <c r="L3917">
        <v>11469.4450601723</v>
      </c>
      <c r="M3917">
        <v>250</v>
      </c>
      <c r="N3917">
        <v>45.904222315475899</v>
      </c>
      <c r="O3917">
        <v>45.874840040999501</v>
      </c>
      <c r="P3917">
        <v>-1.27104206318966</v>
      </c>
      <c r="Q3917">
        <v>6.7058291638471407E-2</v>
      </c>
      <c r="R3917">
        <v>0.97903109935939603</v>
      </c>
      <c r="S3917" t="s">
        <v>8213</v>
      </c>
      <c r="T3917" t="s">
        <v>8590</v>
      </c>
      <c r="U3917" t="s">
        <v>8590</v>
      </c>
      <c r="V3917" t="s">
        <v>8590</v>
      </c>
      <c r="W3917">
        <v>32</v>
      </c>
      <c r="X3917" t="s">
        <v>12507</v>
      </c>
      <c r="Y3917">
        <v>0.2499209518818955</v>
      </c>
      <c r="Z3917" t="str">
        <f>HYPERLINK("Melting_Curves/meltCurve_tr_E9PRE7_E9PRE7_HUMAN_.pdf", "Melting_Curves/meltCurve_tr_E9PRE7_E9PRE7_HUMAN_.pdf")</f>
        <v>Melting_Curves/meltCurve_tr_E9PRE7_E9PRE7_HUMAN_.pdf</v>
      </c>
      <c r="AA3917" t="s">
        <v>13543</v>
      </c>
      <c r="AB3917" t="s">
        <v>17755</v>
      </c>
    </row>
    <row r="3918" spans="1:28" x14ac:dyDescent="0.25">
      <c r="A3918" t="s">
        <v>3922</v>
      </c>
      <c r="B3918">
        <v>0.99876560204751996</v>
      </c>
      <c r="C3918">
        <v>0.96139702590435006</v>
      </c>
      <c r="D3918">
        <v>0.713701576678901</v>
      </c>
      <c r="E3918">
        <v>0.44386968508602898</v>
      </c>
      <c r="F3918">
        <v>0.17819584801129501</v>
      </c>
      <c r="G3918">
        <v>0.104470573164133</v>
      </c>
      <c r="H3918">
        <v>5.95857395099419E-2</v>
      </c>
      <c r="I3918">
        <v>7.4941008074965301E-2</v>
      </c>
      <c r="J3918">
        <v>6.3332950313944897E-2</v>
      </c>
      <c r="K3918">
        <v>3.4703883521076999E-2</v>
      </c>
      <c r="L3918">
        <v>915.20527146184702</v>
      </c>
      <c r="M3918">
        <v>18.830415948405498</v>
      </c>
      <c r="N3918">
        <v>48.856709388722301</v>
      </c>
      <c r="O3918">
        <v>48.064311773974502</v>
      </c>
      <c r="P3918">
        <v>-9.33770972226073E-2</v>
      </c>
      <c r="Q3918">
        <v>4.6665617205503503E-2</v>
      </c>
      <c r="R3918">
        <v>0.99498541521607098</v>
      </c>
      <c r="S3918" t="s">
        <v>8214</v>
      </c>
      <c r="T3918" t="s">
        <v>8590</v>
      </c>
      <c r="U3918" t="s">
        <v>8590</v>
      </c>
      <c r="V3918" t="s">
        <v>8590</v>
      </c>
      <c r="W3918">
        <v>12</v>
      </c>
      <c r="X3918" t="s">
        <v>12508</v>
      </c>
      <c r="Y3918">
        <v>0.33521893924448681</v>
      </c>
      <c r="Z3918" t="str">
        <f>HYPERLINK("Melting_Curves/meltCurve_tr_E9PRI4_E9PRI4_HUMAN_.pdf", "Melting_Curves/meltCurve_tr_E9PRI4_E9PRI4_HUMAN_.pdf")</f>
        <v>Melting_Curves/meltCurve_tr_E9PRI4_E9PRI4_HUMAN_.pdf</v>
      </c>
      <c r="AA3918" t="s">
        <v>16740</v>
      </c>
      <c r="AB3918" t="s">
        <v>20990</v>
      </c>
    </row>
    <row r="3919" spans="1:28" x14ac:dyDescent="0.25">
      <c r="A3919" t="s">
        <v>3923</v>
      </c>
      <c r="B3919">
        <v>0.99876560204751996</v>
      </c>
      <c r="C3919">
        <v>0.61745433059544397</v>
      </c>
      <c r="D3919">
        <v>0.55870286995053597</v>
      </c>
      <c r="E3919">
        <v>0.33208173152863601</v>
      </c>
      <c r="F3919">
        <v>0.22907268073935999</v>
      </c>
      <c r="G3919">
        <v>0.194510271322277</v>
      </c>
      <c r="H3919">
        <v>0.17738535761377</v>
      </c>
      <c r="I3919">
        <v>0.199035551664729</v>
      </c>
      <c r="J3919">
        <v>5.5758681400554497E-2</v>
      </c>
      <c r="K3919">
        <v>0.33635320698981303</v>
      </c>
      <c r="L3919">
        <v>726.193541617542</v>
      </c>
      <c r="M3919">
        <v>16.225890626107098</v>
      </c>
      <c r="N3919">
        <v>46.071479474594803</v>
      </c>
      <c r="O3919">
        <v>44.091983843994001</v>
      </c>
      <c r="P3919">
        <v>-7.4941357364795E-2</v>
      </c>
      <c r="Q3919">
        <v>0.18548222727859501</v>
      </c>
      <c r="R3919">
        <v>0.90535947864032995</v>
      </c>
      <c r="S3919" t="s">
        <v>8215</v>
      </c>
      <c r="T3919" t="s">
        <v>8590</v>
      </c>
      <c r="U3919" t="s">
        <v>8590</v>
      </c>
      <c r="V3919" t="s">
        <v>8590</v>
      </c>
      <c r="W3919">
        <v>1</v>
      </c>
      <c r="X3919" t="s">
        <v>12509</v>
      </c>
      <c r="Y3919">
        <v>0.33733563733637462</v>
      </c>
      <c r="Z3919" t="str">
        <f>HYPERLINK("Melting_Curves/meltCurve_tr_F2Z2E1_F2Z2E1_HUMAN_.pdf", "Melting_Curves/meltCurve_tr_F2Z2E1_F2Z2E1_HUMAN_.pdf")</f>
        <v>Melting_Curves/meltCurve_tr_F2Z2E1_F2Z2E1_HUMAN_.pdf</v>
      </c>
      <c r="AA3919" t="s">
        <v>16741</v>
      </c>
      <c r="AB3919" t="s">
        <v>20991</v>
      </c>
    </row>
    <row r="3920" spans="1:28" x14ac:dyDescent="0.25">
      <c r="A3920" t="s">
        <v>3924</v>
      </c>
      <c r="B3920">
        <v>0.99876560204751996</v>
      </c>
      <c r="C3920">
        <v>0.92606520262130299</v>
      </c>
      <c r="D3920">
        <v>0.945711392482531</v>
      </c>
      <c r="E3920">
        <v>0.67472753259242102</v>
      </c>
      <c r="F3920">
        <v>0.20688236663107801</v>
      </c>
      <c r="G3920">
        <v>9.1718434043605607E-2</v>
      </c>
      <c r="H3920">
        <v>5.3385682825537503E-2</v>
      </c>
      <c r="I3920">
        <v>5.5081440304174202E-2</v>
      </c>
      <c r="J3920">
        <v>5.1551477541155299E-2</v>
      </c>
      <c r="K3920">
        <v>4.4555611534080101E-2</v>
      </c>
      <c r="L3920">
        <v>1883.3386635319901</v>
      </c>
      <c r="M3920">
        <v>37.070763709846801</v>
      </c>
      <c r="N3920">
        <v>50.959826313976698</v>
      </c>
      <c r="O3920">
        <v>50.656725860201199</v>
      </c>
      <c r="P3920">
        <v>-0.173140277634696</v>
      </c>
      <c r="Q3920">
        <v>5.3626845855620803E-2</v>
      </c>
      <c r="R3920">
        <v>0.99543776888748803</v>
      </c>
      <c r="S3920" t="s">
        <v>8216</v>
      </c>
      <c r="T3920" t="s">
        <v>8590</v>
      </c>
      <c r="U3920" t="s">
        <v>8590</v>
      </c>
      <c r="V3920" t="s">
        <v>8590</v>
      </c>
      <c r="W3920">
        <v>14</v>
      </c>
      <c r="X3920" t="s">
        <v>12510</v>
      </c>
      <c r="Y3920">
        <v>0.39831749042678283</v>
      </c>
      <c r="Z3920" t="str">
        <f>HYPERLINK("Melting_Curves/meltCurve_tr_F2Z2V0_F2Z2V0_HUMAN_.pdf", "Melting_Curves/meltCurve_tr_F2Z2V0_F2Z2V0_HUMAN_.pdf")</f>
        <v>Melting_Curves/meltCurve_tr_F2Z2V0_F2Z2V0_HUMAN_.pdf</v>
      </c>
      <c r="AA3920" t="s">
        <v>16742</v>
      </c>
      <c r="AB3920" t="s">
        <v>20992</v>
      </c>
    </row>
    <row r="3921" spans="1:28" x14ac:dyDescent="0.25">
      <c r="A3921" t="s">
        <v>3925</v>
      </c>
      <c r="B3921">
        <v>0.99876560204751996</v>
      </c>
      <c r="C3921">
        <v>0.98911459267380697</v>
      </c>
      <c r="D3921">
        <v>0.87386583922380401</v>
      </c>
      <c r="E3921">
        <v>0.86581438734626004</v>
      </c>
      <c r="F3921">
        <v>0.55187627142630202</v>
      </c>
      <c r="G3921">
        <v>0.14918836615547301</v>
      </c>
      <c r="H3921">
        <v>0.10472073009672</v>
      </c>
      <c r="I3921">
        <v>8.0560549479536295E-2</v>
      </c>
      <c r="J3921">
        <v>8.1784340852722001E-2</v>
      </c>
      <c r="K3921">
        <v>5.9905585207549003E-2</v>
      </c>
      <c r="L3921">
        <v>1519.1016213740299</v>
      </c>
      <c r="M3921">
        <v>28.647875526317002</v>
      </c>
      <c r="N3921">
        <v>53.301246554909703</v>
      </c>
      <c r="O3921">
        <v>52.770310390848401</v>
      </c>
      <c r="P3921">
        <v>-0.12641021206696401</v>
      </c>
      <c r="Q3921">
        <v>6.8600544677512296E-2</v>
      </c>
      <c r="R3921">
        <v>0.99061391653465103</v>
      </c>
      <c r="S3921" t="s">
        <v>8217</v>
      </c>
      <c r="T3921" t="s">
        <v>8590</v>
      </c>
      <c r="U3921" t="s">
        <v>8590</v>
      </c>
      <c r="V3921" t="s">
        <v>8590</v>
      </c>
      <c r="W3921">
        <v>10</v>
      </c>
      <c r="X3921" t="s">
        <v>12511</v>
      </c>
      <c r="Y3921">
        <v>0.47964628021098032</v>
      </c>
      <c r="Z3921" t="str">
        <f>HYPERLINK("Melting_Curves/meltCurve_tr_F2Z2X4_F2Z2X4_HUMAN_.pdf", "Melting_Curves/meltCurve_tr_F2Z2X4_F2Z2X4_HUMAN_.pdf")</f>
        <v>Melting_Curves/meltCurve_tr_F2Z2X4_F2Z2X4_HUMAN_.pdf</v>
      </c>
      <c r="AA3921" t="s">
        <v>16743</v>
      </c>
      <c r="AB3921" t="s">
        <v>20993</v>
      </c>
    </row>
    <row r="3922" spans="1:28" x14ac:dyDescent="0.25">
      <c r="A3922" t="s">
        <v>3926</v>
      </c>
      <c r="B3922">
        <v>0.99876560204751996</v>
      </c>
      <c r="C3922">
        <v>1.05710958201698</v>
      </c>
      <c r="D3922">
        <v>1.0921544106037999</v>
      </c>
      <c r="E3922">
        <v>0.87282761904071005</v>
      </c>
      <c r="F3922">
        <v>0.67176886369444899</v>
      </c>
      <c r="G3922">
        <v>0.37314467959780001</v>
      </c>
      <c r="H3922">
        <v>0.239900536993674</v>
      </c>
      <c r="I3922">
        <v>0.197692892006919</v>
      </c>
      <c r="J3922">
        <v>0.242154123599997</v>
      </c>
      <c r="K3922">
        <v>0.18150172625939001</v>
      </c>
      <c r="L3922">
        <v>1332.320641349</v>
      </c>
      <c r="M3922">
        <v>24.759852044849701</v>
      </c>
      <c r="N3922">
        <v>54.950652323484498</v>
      </c>
      <c r="O3922">
        <v>53.462411158497801</v>
      </c>
      <c r="P3922">
        <v>-9.2513520821273995E-2</v>
      </c>
      <c r="Q3922">
        <v>0.20097662658395299</v>
      </c>
      <c r="R3922">
        <v>0.98731151123625904</v>
      </c>
      <c r="S3922" t="s">
        <v>8218</v>
      </c>
      <c r="T3922" t="s">
        <v>8590</v>
      </c>
      <c r="U3922" t="s">
        <v>8590</v>
      </c>
      <c r="V3922" t="s">
        <v>8590</v>
      </c>
      <c r="W3922">
        <v>3</v>
      </c>
      <c r="X3922" t="s">
        <v>12512</v>
      </c>
      <c r="Y3922">
        <v>0.57630722689063618</v>
      </c>
      <c r="Z3922" t="str">
        <f>HYPERLINK("Melting_Curves/meltCurve_tr_F2Z3K9_F2Z3K9_HUMAN_.pdf", "Melting_Curves/meltCurve_tr_F2Z3K9_F2Z3K9_HUMAN_.pdf")</f>
        <v>Melting_Curves/meltCurve_tr_F2Z3K9_F2Z3K9_HUMAN_.pdf</v>
      </c>
      <c r="AA3922" t="s">
        <v>16744</v>
      </c>
      <c r="AB3922" t="s">
        <v>20994</v>
      </c>
    </row>
    <row r="3923" spans="1:28" x14ac:dyDescent="0.25">
      <c r="A3923" t="s">
        <v>3927</v>
      </c>
      <c r="B3923">
        <v>0.99876560204751996</v>
      </c>
      <c r="C3923">
        <v>1.0119150501263701</v>
      </c>
      <c r="D3923">
        <v>1.10819598194313</v>
      </c>
      <c r="E3923">
        <v>1.02126686647222</v>
      </c>
      <c r="F3923">
        <v>0.99021085621416105</v>
      </c>
      <c r="G3923">
        <v>0.79255510577924104</v>
      </c>
      <c r="H3923">
        <v>0.56872521139518595</v>
      </c>
      <c r="I3923">
        <v>0.417163012368583</v>
      </c>
      <c r="J3923">
        <v>0.25533448577774398</v>
      </c>
      <c r="K3923">
        <v>0.25090016166200102</v>
      </c>
      <c r="L3923">
        <v>1247.3754449432499</v>
      </c>
      <c r="M3923">
        <v>20.607448255872601</v>
      </c>
      <c r="N3923">
        <v>61.984020486049801</v>
      </c>
      <c r="O3923">
        <v>59.968969380447099</v>
      </c>
      <c r="P3923">
        <v>-6.9448235989396701E-2</v>
      </c>
      <c r="Q3923">
        <v>0.19162847175938999</v>
      </c>
      <c r="R3923">
        <v>0.98342230020019905</v>
      </c>
      <c r="S3923" t="s">
        <v>8219</v>
      </c>
      <c r="T3923" t="s">
        <v>8590</v>
      </c>
      <c r="U3923" t="s">
        <v>8590</v>
      </c>
      <c r="V3923" t="s">
        <v>8590</v>
      </c>
      <c r="W3923">
        <v>1</v>
      </c>
      <c r="X3923" t="s">
        <v>12513</v>
      </c>
      <c r="Y3923">
        <v>0.75071019483613466</v>
      </c>
      <c r="Z3923" t="str">
        <f>HYPERLINK("Melting_Curves/meltCurve_tr_F2Z3M0_F2Z3M0_HUMAN_.pdf", "Melting_Curves/meltCurve_tr_F2Z3M0_F2Z3M0_HUMAN_.pdf")</f>
        <v>Melting_Curves/meltCurve_tr_F2Z3M0_F2Z3M0_HUMAN_.pdf</v>
      </c>
      <c r="AA3923" t="s">
        <v>16745</v>
      </c>
      <c r="AB3923" t="s">
        <v>20995</v>
      </c>
    </row>
    <row r="3924" spans="1:28" x14ac:dyDescent="0.25">
      <c r="A3924" t="s">
        <v>3928</v>
      </c>
      <c r="B3924">
        <v>0.99876560204751996</v>
      </c>
      <c r="C3924">
        <v>1.06744636137674</v>
      </c>
      <c r="D3924">
        <v>1.0804998990242101</v>
      </c>
      <c r="E3924">
        <v>0.949127362850125</v>
      </c>
      <c r="F3924">
        <v>0.79264490851796199</v>
      </c>
      <c r="G3924">
        <v>0.57502302964002405</v>
      </c>
      <c r="H3924">
        <v>0.45127694231833698</v>
      </c>
      <c r="I3924">
        <v>0.38492815288346</v>
      </c>
      <c r="J3924">
        <v>0.52342944170479699</v>
      </c>
      <c r="K3924">
        <v>0.361207645968389</v>
      </c>
      <c r="L3924">
        <v>1399.9711034658101</v>
      </c>
      <c r="M3924">
        <v>25.706840172666599</v>
      </c>
      <c r="N3924">
        <v>58.606707167223</v>
      </c>
      <c r="O3924">
        <v>54.132743027132101</v>
      </c>
      <c r="P3924">
        <v>-6.8986349493900395E-2</v>
      </c>
      <c r="Q3924">
        <v>0.41892892879913701</v>
      </c>
      <c r="R3924">
        <v>0.96294343544302297</v>
      </c>
      <c r="S3924" t="s">
        <v>8220</v>
      </c>
      <c r="T3924" t="s">
        <v>8590</v>
      </c>
      <c r="U3924" t="s">
        <v>8590</v>
      </c>
      <c r="V3924" t="s">
        <v>8590</v>
      </c>
      <c r="W3924">
        <v>4</v>
      </c>
      <c r="X3924" t="s">
        <v>12514</v>
      </c>
      <c r="Y3924">
        <v>0.70410456865138948</v>
      </c>
      <c r="Z3924" t="str">
        <f>HYPERLINK("Melting_Curves/meltCurve_tr_F5GWI9_F5GWI9_HUMAN_.pdf", "Melting_Curves/meltCurve_tr_F5GWI9_F5GWI9_HUMAN_.pdf")</f>
        <v>Melting_Curves/meltCurve_tr_F5GWI9_F5GWI9_HUMAN_.pdf</v>
      </c>
      <c r="AA3924" t="s">
        <v>16746</v>
      </c>
      <c r="AB3924" t="s">
        <v>20996</v>
      </c>
    </row>
    <row r="3925" spans="1:28" x14ac:dyDescent="0.25">
      <c r="A3925" t="s">
        <v>3929</v>
      </c>
      <c r="B3925">
        <v>0.99876560204751996</v>
      </c>
      <c r="C3925">
        <v>1.02220645416858</v>
      </c>
      <c r="D3925">
        <v>0.90999909621040898</v>
      </c>
      <c r="E3925">
        <v>0.93366028369952403</v>
      </c>
      <c r="F3925">
        <v>0.68671024290262495</v>
      </c>
      <c r="G3925">
        <v>0.46773545585081899</v>
      </c>
      <c r="H3925">
        <v>0.17844868741112699</v>
      </c>
      <c r="I3925">
        <v>7.4986564536139097E-2</v>
      </c>
      <c r="J3925">
        <v>4.8899917022900197E-2</v>
      </c>
      <c r="K3925">
        <v>6.0259630307500298E-2</v>
      </c>
      <c r="L3925">
        <v>972.51913203745903</v>
      </c>
      <c r="M3925">
        <v>17.359322406095401</v>
      </c>
      <c r="N3925">
        <v>56.023627076986998</v>
      </c>
      <c r="O3925">
        <v>55.295306982457802</v>
      </c>
      <c r="P3925">
        <v>-7.8479955610829197E-2</v>
      </c>
      <c r="Q3925">
        <v>1.1665844434619E-4</v>
      </c>
      <c r="R3925">
        <v>0.99192357826824096</v>
      </c>
      <c r="S3925" t="s">
        <v>8221</v>
      </c>
      <c r="T3925" t="s">
        <v>8590</v>
      </c>
      <c r="U3925" t="s">
        <v>8590</v>
      </c>
      <c r="V3925" t="s">
        <v>8590</v>
      </c>
      <c r="W3925">
        <v>15</v>
      </c>
      <c r="X3925" t="s">
        <v>12515</v>
      </c>
      <c r="Y3925">
        <v>0.54948549495602572</v>
      </c>
      <c r="Z3925" t="str">
        <f>HYPERLINK("Melting_Curves/meltCurve_tr_F5GWP8_F5GWP8_HUMAN_.pdf", "Melting_Curves/meltCurve_tr_F5GWP8_F5GWP8_HUMAN_.pdf")</f>
        <v>Melting_Curves/meltCurve_tr_F5GWP8_F5GWP8_HUMAN_.pdf</v>
      </c>
      <c r="AA3925" t="s">
        <v>13595</v>
      </c>
      <c r="AB3925" t="s">
        <v>17808</v>
      </c>
    </row>
    <row r="3926" spans="1:28" x14ac:dyDescent="0.25">
      <c r="A3926" t="s">
        <v>3930</v>
      </c>
      <c r="B3926">
        <v>0.99876560204751996</v>
      </c>
      <c r="C3926">
        <v>0.99529650730762498</v>
      </c>
      <c r="D3926">
        <v>0.96075256342258497</v>
      </c>
      <c r="E3926">
        <v>0.86128072434505498</v>
      </c>
      <c r="F3926">
        <v>0.638399112149028</v>
      </c>
      <c r="G3926">
        <v>0.39327858875904598</v>
      </c>
      <c r="H3926">
        <v>0.27901410624544598</v>
      </c>
      <c r="I3926">
        <v>0.25108606776082598</v>
      </c>
      <c r="J3926">
        <v>0.27640589634962698</v>
      </c>
      <c r="K3926">
        <v>0.24611618083299799</v>
      </c>
      <c r="L3926">
        <v>1180.5115770094501</v>
      </c>
      <c r="M3926">
        <v>22.177027821162099</v>
      </c>
      <c r="N3926">
        <v>54.912399288116703</v>
      </c>
      <c r="O3926">
        <v>52.804125798246901</v>
      </c>
      <c r="P3926">
        <v>-7.9124794938588303E-2</v>
      </c>
      <c r="Q3926">
        <v>0.24642286593246199</v>
      </c>
      <c r="R3926">
        <v>0.998877751083045</v>
      </c>
      <c r="S3926" t="s">
        <v>8222</v>
      </c>
      <c r="T3926" t="s">
        <v>8590</v>
      </c>
      <c r="U3926" t="s">
        <v>8590</v>
      </c>
      <c r="V3926" t="s">
        <v>8590</v>
      </c>
      <c r="W3926">
        <v>16</v>
      </c>
      <c r="X3926" t="s">
        <v>12516</v>
      </c>
      <c r="Y3926">
        <v>0.58742895731560785</v>
      </c>
      <c r="Z3926" t="str">
        <f>HYPERLINK("Melting_Curves/meltCurve_tr_F5GWT4_F5GWT4_HUMAN_.pdf", "Melting_Curves/meltCurve_tr_F5GWT4_F5GWT4_HUMAN_.pdf")</f>
        <v>Melting_Curves/meltCurve_tr_F5GWT4_F5GWT4_HUMAN_.pdf</v>
      </c>
      <c r="AA3926" t="s">
        <v>16747</v>
      </c>
      <c r="AB3926" t="s">
        <v>20997</v>
      </c>
    </row>
    <row r="3927" spans="1:28" x14ac:dyDescent="0.25">
      <c r="A3927" t="s">
        <v>3931</v>
      </c>
      <c r="B3927">
        <v>0.99876560204751996</v>
      </c>
      <c r="C3927">
        <v>1.06811668114841</v>
      </c>
      <c r="D3927">
        <v>0.96349255925453303</v>
      </c>
      <c r="E3927">
        <v>0.76105682134519004</v>
      </c>
      <c r="F3927">
        <v>0.39532142827890998</v>
      </c>
      <c r="G3927">
        <v>0.22888520857140601</v>
      </c>
      <c r="H3927">
        <v>0.13197067726462799</v>
      </c>
      <c r="I3927">
        <v>9.5544408822868104E-2</v>
      </c>
      <c r="J3927">
        <v>8.3192349438768506E-2</v>
      </c>
      <c r="K3927">
        <v>6.3004832858885904E-2</v>
      </c>
      <c r="L3927">
        <v>1267.8718256838299</v>
      </c>
      <c r="M3927">
        <v>24.426197830329901</v>
      </c>
      <c r="N3927">
        <v>52.331567623110601</v>
      </c>
      <c r="O3927">
        <v>51.5620981423057</v>
      </c>
      <c r="P3927">
        <v>-0.10776940952061501</v>
      </c>
      <c r="Q3927">
        <v>9.0037221101708906E-2</v>
      </c>
      <c r="R3927">
        <v>0.99336412247569605</v>
      </c>
      <c r="S3927" t="s">
        <v>8223</v>
      </c>
      <c r="T3927" t="s">
        <v>8590</v>
      </c>
      <c r="U3927" t="s">
        <v>8590</v>
      </c>
      <c r="V3927" t="s">
        <v>8590</v>
      </c>
      <c r="W3927">
        <v>15</v>
      </c>
      <c r="X3927" t="s">
        <v>12517</v>
      </c>
      <c r="Y3927">
        <v>0.45985661949289602</v>
      </c>
      <c r="Z3927" t="str">
        <f>HYPERLINK("Melting_Curves/meltCurve_tr_F5GWX5_F5GWX5_HUMAN_.pdf", "Melting_Curves/meltCurve_tr_F5GWX5_F5GWX5_HUMAN_.pdf")</f>
        <v>Melting_Curves/meltCurve_tr_F5GWX5_F5GWX5_HUMAN_.pdf</v>
      </c>
      <c r="AA3927" t="s">
        <v>16748</v>
      </c>
      <c r="AB3927" t="s">
        <v>20998</v>
      </c>
    </row>
    <row r="3928" spans="1:28" x14ac:dyDescent="0.25">
      <c r="A3928" t="s">
        <v>3932</v>
      </c>
      <c r="B3928">
        <v>0.99876560204751996</v>
      </c>
      <c r="C3928">
        <v>0.95666369101592297</v>
      </c>
      <c r="D3928">
        <v>0.93634734524352004</v>
      </c>
      <c r="E3928">
        <v>0.85757859597778496</v>
      </c>
      <c r="F3928">
        <v>0.79448537915685202</v>
      </c>
      <c r="G3928">
        <v>0.386312323782177</v>
      </c>
      <c r="H3928">
        <v>0.23850230302547201</v>
      </c>
      <c r="I3928">
        <v>0.16445698070718801</v>
      </c>
      <c r="J3928">
        <v>0.191467611119503</v>
      </c>
      <c r="K3928">
        <v>0.12948910665222901</v>
      </c>
      <c r="L3928">
        <v>1163.3721693026</v>
      </c>
      <c r="M3928">
        <v>21.1297712854644</v>
      </c>
      <c r="N3928">
        <v>55.8973289766638</v>
      </c>
      <c r="O3928">
        <v>54.5723983573046</v>
      </c>
      <c r="P3928">
        <v>-8.3646903130150801E-2</v>
      </c>
      <c r="Q3928">
        <v>0.13587471020433201</v>
      </c>
      <c r="R3928">
        <v>0.98946202609567402</v>
      </c>
      <c r="S3928" t="s">
        <v>8224</v>
      </c>
      <c r="T3928" t="s">
        <v>8590</v>
      </c>
      <c r="U3928" t="s">
        <v>8590</v>
      </c>
      <c r="V3928" t="s">
        <v>8590</v>
      </c>
      <c r="W3928">
        <v>3</v>
      </c>
      <c r="X3928" t="s">
        <v>12518</v>
      </c>
      <c r="Y3928">
        <v>0.58018441841992485</v>
      </c>
      <c r="Z3928" t="str">
        <f>HYPERLINK("Melting_Curves/meltCurve_tr_F5GX77_F5GX77_HUMAN_.pdf", "Melting_Curves/meltCurve_tr_F5GX77_F5GX77_HUMAN_.pdf")</f>
        <v>Melting_Curves/meltCurve_tr_F5GX77_F5GX77_HUMAN_.pdf</v>
      </c>
      <c r="AA3928" t="s">
        <v>16749</v>
      </c>
      <c r="AB3928" t="s">
        <v>20999</v>
      </c>
    </row>
    <row r="3929" spans="1:28" x14ac:dyDescent="0.25">
      <c r="A3929" t="s">
        <v>3933</v>
      </c>
      <c r="B3929">
        <v>0.99876560204751996</v>
      </c>
      <c r="C3929">
        <v>0.936463034518207</v>
      </c>
      <c r="D3929">
        <v>0.96154325483224601</v>
      </c>
      <c r="E3929">
        <v>0.563735747796</v>
      </c>
      <c r="F3929">
        <v>0.17645290161493499</v>
      </c>
      <c r="G3929">
        <v>8.5382380078967299E-2</v>
      </c>
      <c r="H3929">
        <v>5.0503390654303398E-2</v>
      </c>
      <c r="I3929">
        <v>4.1651639526031001E-2</v>
      </c>
      <c r="J3929">
        <v>4.6127047556902098E-2</v>
      </c>
      <c r="K3929">
        <v>3.5222109044329201E-2</v>
      </c>
      <c r="L3929">
        <v>1692.06501971273</v>
      </c>
      <c r="M3929">
        <v>33.6860226392809</v>
      </c>
      <c r="N3929">
        <v>50.375599319919203</v>
      </c>
      <c r="O3929">
        <v>50.0544485665637</v>
      </c>
      <c r="P3929">
        <v>-0.160467893224359</v>
      </c>
      <c r="Q3929">
        <v>4.62395685198453E-2</v>
      </c>
      <c r="R3929">
        <v>0.99731398684771</v>
      </c>
      <c r="S3929" t="s">
        <v>8225</v>
      </c>
      <c r="T3929" t="s">
        <v>8590</v>
      </c>
      <c r="U3929" t="s">
        <v>8590</v>
      </c>
      <c r="V3929" t="s">
        <v>8590</v>
      </c>
      <c r="W3929">
        <v>19</v>
      </c>
      <c r="X3929" t="s">
        <v>12519</v>
      </c>
      <c r="Y3929">
        <v>0.37617266997690679</v>
      </c>
      <c r="Z3929" t="str">
        <f>HYPERLINK("Melting_Curves/meltCurve_tr_F5GXC8_F5GXC8_HUMAN_.pdf", "Melting_Curves/meltCurve_tr_F5GXC8_F5GXC8_HUMAN_.pdf")</f>
        <v>Melting_Curves/meltCurve_tr_F5GXC8_F5GXC8_HUMAN_.pdf</v>
      </c>
      <c r="AA3929" t="s">
        <v>16750</v>
      </c>
      <c r="AB3929" t="s">
        <v>21000</v>
      </c>
    </row>
    <row r="3930" spans="1:28" x14ac:dyDescent="0.25">
      <c r="A3930" t="s">
        <v>3934</v>
      </c>
      <c r="B3930">
        <v>0.99876560204751996</v>
      </c>
      <c r="C3930">
        <v>0.95451722300981801</v>
      </c>
      <c r="D3930">
        <v>0.99776992747020699</v>
      </c>
      <c r="E3930">
        <v>0.78227529947555996</v>
      </c>
      <c r="F3930">
        <v>0.74558657576881404</v>
      </c>
      <c r="G3930">
        <v>0.81393762537495296</v>
      </c>
      <c r="H3930">
        <v>0.41734314541079698</v>
      </c>
      <c r="I3930">
        <v>0.316326418817373</v>
      </c>
      <c r="J3930">
        <v>0.338999565538674</v>
      </c>
      <c r="K3930">
        <v>0.289583725605085</v>
      </c>
      <c r="L3930">
        <v>564.36320858350996</v>
      </c>
      <c r="M3930">
        <v>9.4541560825564392</v>
      </c>
      <c r="N3930">
        <v>60.714270256322301</v>
      </c>
      <c r="O3930">
        <v>57.206829257055603</v>
      </c>
      <c r="P3930">
        <v>-3.8306203753456697E-2</v>
      </c>
      <c r="Q3930">
        <v>7.3399375277919204E-2</v>
      </c>
      <c r="R3930">
        <v>0.92767418224470699</v>
      </c>
      <c r="S3930" t="s">
        <v>8226</v>
      </c>
      <c r="T3930" t="s">
        <v>8590</v>
      </c>
      <c r="U3930" t="s">
        <v>8590</v>
      </c>
      <c r="V3930" t="s">
        <v>8590</v>
      </c>
      <c r="W3930">
        <v>5</v>
      </c>
      <c r="X3930" t="s">
        <v>12520</v>
      </c>
      <c r="Y3930">
        <v>0.67803789807156634</v>
      </c>
      <c r="Z3930" t="str">
        <f>HYPERLINK("Melting_Curves/meltCurve_tr_F5GXD1_F5GXD1_HUMAN_.pdf", "Melting_Curves/meltCurve_tr_F5GXD1_F5GXD1_HUMAN_.pdf")</f>
        <v>Melting_Curves/meltCurve_tr_F5GXD1_F5GXD1_HUMAN_.pdf</v>
      </c>
      <c r="AA3930" t="s">
        <v>16136</v>
      </c>
      <c r="AB3930" t="s">
        <v>20380</v>
      </c>
    </row>
    <row r="3931" spans="1:28" x14ac:dyDescent="0.25">
      <c r="A3931" t="s">
        <v>3935</v>
      </c>
      <c r="B3931">
        <v>0.99876560204751996</v>
      </c>
      <c r="C3931">
        <v>1.1302238666461999</v>
      </c>
      <c r="D3931">
        <v>1.0166495600197401</v>
      </c>
      <c r="E3931">
        <v>0.96442944086726701</v>
      </c>
      <c r="F3931">
        <v>0.83538107944024498</v>
      </c>
      <c r="G3931">
        <v>0.66845497873580495</v>
      </c>
      <c r="H3931">
        <v>0.508866737845591</v>
      </c>
      <c r="I3931">
        <v>0.41357187295192399</v>
      </c>
      <c r="J3931">
        <v>0.43397074918645501</v>
      </c>
      <c r="K3931">
        <v>0.43361181731728499</v>
      </c>
      <c r="L3931">
        <v>1162.36867994611</v>
      </c>
      <c r="M3931">
        <v>20.756820508877901</v>
      </c>
      <c r="N3931">
        <v>61.006017689931902</v>
      </c>
      <c r="O3931">
        <v>55.487363053491997</v>
      </c>
      <c r="P3931">
        <v>-5.5274538375037E-2</v>
      </c>
      <c r="Q3931">
        <v>0.408974573976989</v>
      </c>
      <c r="R3931">
        <v>0.971085459967859</v>
      </c>
      <c r="S3931" t="s">
        <v>8227</v>
      </c>
      <c r="T3931" t="s">
        <v>8590</v>
      </c>
      <c r="U3931" t="s">
        <v>8590</v>
      </c>
      <c r="V3931" t="s">
        <v>8590</v>
      </c>
      <c r="W3931">
        <v>2</v>
      </c>
      <c r="X3931" t="s">
        <v>12521</v>
      </c>
      <c r="Y3931">
        <v>0.73140654587576059</v>
      </c>
      <c r="Z3931" t="str">
        <f>HYPERLINK("Melting_Curves/meltCurve_tr_F5GXJ9_F5GXJ9_HUMAN_.pdf", "Melting_Curves/meltCurve_tr_F5GXJ9_F5GXJ9_HUMAN_.pdf")</f>
        <v>Melting_Curves/meltCurve_tr_F5GXJ9_F5GXJ9_HUMAN_.pdf</v>
      </c>
      <c r="AA3931" t="s">
        <v>16751</v>
      </c>
      <c r="AB3931" t="s">
        <v>21001</v>
      </c>
    </row>
    <row r="3932" spans="1:28" x14ac:dyDescent="0.25">
      <c r="A3932" t="s">
        <v>3936</v>
      </c>
      <c r="B3932">
        <v>0.99876560204751996</v>
      </c>
      <c r="C3932">
        <v>1.0072535164959999</v>
      </c>
      <c r="D3932">
        <v>0.92876921870986395</v>
      </c>
      <c r="E3932">
        <v>0.79146714424632303</v>
      </c>
      <c r="F3932">
        <v>0.46866114270387199</v>
      </c>
      <c r="G3932">
        <v>0.204750765744004</v>
      </c>
      <c r="H3932">
        <v>0.11839219904350801</v>
      </c>
      <c r="I3932">
        <v>8.4759293467954494E-2</v>
      </c>
      <c r="J3932">
        <v>8.1319510839655801E-2</v>
      </c>
      <c r="K3932">
        <v>6.7431977474315202E-2</v>
      </c>
      <c r="L3932">
        <v>1189.11016451347</v>
      </c>
      <c r="M3932">
        <v>22.669881501996599</v>
      </c>
      <c r="N3932">
        <v>52.815013578027099</v>
      </c>
      <c r="O3932">
        <v>52.050263484144601</v>
      </c>
      <c r="P3932">
        <v>-0.10105747937091</v>
      </c>
      <c r="Q3932">
        <v>7.1902663403891301E-2</v>
      </c>
      <c r="R3932">
        <v>0.99861638531138697</v>
      </c>
      <c r="S3932" t="s">
        <v>8228</v>
      </c>
      <c r="T3932" t="s">
        <v>8590</v>
      </c>
      <c r="U3932" t="s">
        <v>8590</v>
      </c>
      <c r="V3932" t="s">
        <v>8590</v>
      </c>
      <c r="W3932">
        <v>7</v>
      </c>
      <c r="X3932" t="s">
        <v>12522</v>
      </c>
      <c r="Y3932">
        <v>0.46738874259656621</v>
      </c>
      <c r="Z3932" t="str">
        <f>HYPERLINK("Melting_Curves/meltCurve_tr_F5GY80_F5GY80_HUMAN_.pdf", "Melting_Curves/meltCurve_tr_F5GY80_F5GY80_HUMAN_.pdf")</f>
        <v>Melting_Curves/meltCurve_tr_F5GY80_F5GY80_HUMAN_.pdf</v>
      </c>
      <c r="AA3932" t="s">
        <v>16752</v>
      </c>
      <c r="AB3932" t="s">
        <v>21002</v>
      </c>
    </row>
    <row r="3933" spans="1:28" x14ac:dyDescent="0.25">
      <c r="A3933" t="s">
        <v>3937</v>
      </c>
      <c r="B3933">
        <v>0.99876560204751996</v>
      </c>
      <c r="C3933">
        <v>0.90994623347137904</v>
      </c>
      <c r="D3933">
        <v>1.02576191750458</v>
      </c>
      <c r="E3933">
        <v>0.68281358905496703</v>
      </c>
      <c r="F3933">
        <v>0.35468070732933898</v>
      </c>
      <c r="G3933">
        <v>0.15710408943586299</v>
      </c>
      <c r="H3933">
        <v>0.128644122786853</v>
      </c>
      <c r="I3933">
        <v>0.1119322665353</v>
      </c>
      <c r="J3933">
        <v>8.2600483564616203E-2</v>
      </c>
      <c r="K3933">
        <v>9.8252351003174906E-2</v>
      </c>
      <c r="L3933">
        <v>1465.2439177423901</v>
      </c>
      <c r="M3933">
        <v>28.625006789168602</v>
      </c>
      <c r="N3933">
        <v>51.607844679843303</v>
      </c>
      <c r="O3933">
        <v>50.939682096761601</v>
      </c>
      <c r="P3933">
        <v>-0.12587930259591401</v>
      </c>
      <c r="Q3933">
        <v>0.103972091053423</v>
      </c>
      <c r="R3933">
        <v>0.99167573927686803</v>
      </c>
      <c r="S3933" t="s">
        <v>8229</v>
      </c>
      <c r="T3933" t="s">
        <v>8590</v>
      </c>
      <c r="U3933" t="s">
        <v>8590</v>
      </c>
      <c r="V3933" t="s">
        <v>8590</v>
      </c>
      <c r="W3933">
        <v>1</v>
      </c>
      <c r="X3933" t="s">
        <v>12523</v>
      </c>
      <c r="Y3933">
        <v>0.44432304115082638</v>
      </c>
      <c r="Z3933" t="str">
        <f>HYPERLINK("Melting_Curves/meltCurve_tr_F5GYA2_F5GYA2_HUMAN_.pdf", "Melting_Curves/meltCurve_tr_F5GYA2_F5GYA2_HUMAN_.pdf")</f>
        <v>Melting_Curves/meltCurve_tr_F5GYA2_F5GYA2_HUMAN_.pdf</v>
      </c>
      <c r="AA3933" t="s">
        <v>16753</v>
      </c>
      <c r="AB3933" t="s">
        <v>21003</v>
      </c>
    </row>
    <row r="3934" spans="1:28" x14ac:dyDescent="0.25">
      <c r="A3934" t="s">
        <v>3938</v>
      </c>
      <c r="B3934">
        <v>0.99876560204751996</v>
      </c>
      <c r="C3934">
        <v>0.96316045308253195</v>
      </c>
      <c r="D3934">
        <v>0.84969955931289498</v>
      </c>
      <c r="E3934">
        <v>0.52826411977758503</v>
      </c>
      <c r="F3934">
        <v>0.25542576443708598</v>
      </c>
      <c r="G3934">
        <v>0.15221198112812001</v>
      </c>
      <c r="H3934">
        <v>8.3449405204025204E-2</v>
      </c>
      <c r="I3934">
        <v>7.1860071237243001E-2</v>
      </c>
      <c r="J3934">
        <v>6.7114287965578195E-2</v>
      </c>
      <c r="K3934">
        <v>5.8730531174674402E-2</v>
      </c>
      <c r="L3934">
        <v>1010.18505054643</v>
      </c>
      <c r="M3934">
        <v>20.270102674838501</v>
      </c>
      <c r="N3934">
        <v>50.1657253911753</v>
      </c>
      <c r="O3934">
        <v>49.358788754277697</v>
      </c>
      <c r="P3934">
        <v>-9.6270790995693106E-2</v>
      </c>
      <c r="Q3934">
        <v>6.2331177503690403E-2</v>
      </c>
      <c r="R3934">
        <v>0.99913023628251296</v>
      </c>
      <c r="S3934" t="s">
        <v>8230</v>
      </c>
      <c r="T3934" t="s">
        <v>8590</v>
      </c>
      <c r="U3934" t="s">
        <v>8590</v>
      </c>
      <c r="V3934" t="s">
        <v>8590</v>
      </c>
      <c r="W3934">
        <v>17</v>
      </c>
      <c r="X3934" t="s">
        <v>12524</v>
      </c>
      <c r="Y3934">
        <v>0.38249035968988948</v>
      </c>
      <c r="Z3934" t="str">
        <f>HYPERLINK("Melting_Curves/meltCurve_tr_F5GYC4_F5GYC4_HUMAN_.pdf", "Melting_Curves/meltCurve_tr_F5GYC4_F5GYC4_HUMAN_.pdf")</f>
        <v>Melting_Curves/meltCurve_tr_F5GYC4_F5GYC4_HUMAN_.pdf</v>
      </c>
      <c r="AA3934" t="s">
        <v>16754</v>
      </c>
      <c r="AB3934" t="s">
        <v>21004</v>
      </c>
    </row>
    <row r="3935" spans="1:28" x14ac:dyDescent="0.25">
      <c r="A3935" t="s">
        <v>3939</v>
      </c>
      <c r="B3935">
        <v>0.99876560204751996</v>
      </c>
      <c r="C3935">
        <v>0.93807720529802197</v>
      </c>
      <c r="D3935">
        <v>0.90498270425972405</v>
      </c>
      <c r="E3935">
        <v>0.959357793825516</v>
      </c>
      <c r="F3935">
        <v>0.84086331375738999</v>
      </c>
      <c r="G3935">
        <v>0.72105637030880099</v>
      </c>
      <c r="H3935">
        <v>0.52634659321218702</v>
      </c>
      <c r="I3935">
        <v>0.45826686233591901</v>
      </c>
      <c r="J3935">
        <v>0.47132645133087497</v>
      </c>
      <c r="K3935">
        <v>0.46609404400689097</v>
      </c>
      <c r="L3935">
        <v>929.83802586737499</v>
      </c>
      <c r="M3935">
        <v>16.475345378190401</v>
      </c>
      <c r="N3935">
        <v>63.495834016469502</v>
      </c>
      <c r="O3935">
        <v>55.626334336456502</v>
      </c>
      <c r="P3935">
        <v>-4.2956771649322698E-2</v>
      </c>
      <c r="Q3935">
        <v>0.419894360884496</v>
      </c>
      <c r="R3935">
        <v>0.96909566353696397</v>
      </c>
      <c r="S3935" t="s">
        <v>8231</v>
      </c>
      <c r="T3935" t="s">
        <v>8590</v>
      </c>
      <c r="U3935" t="s">
        <v>8590</v>
      </c>
      <c r="V3935" t="s">
        <v>8590</v>
      </c>
      <c r="W3935">
        <v>5</v>
      </c>
      <c r="X3935" t="s">
        <v>12525</v>
      </c>
      <c r="Y3935">
        <v>0.74684991643165188</v>
      </c>
      <c r="Z3935" t="str">
        <f>HYPERLINK("Melting_Curves/meltCurve_tr_F5GYJ5_F5GYJ5_HUMAN_.pdf", "Melting_Curves/meltCurve_tr_F5GYJ5_F5GYJ5_HUMAN_.pdf")</f>
        <v>Melting_Curves/meltCurve_tr_F5GYJ5_F5GYJ5_HUMAN_.pdf</v>
      </c>
      <c r="AB3935" t="s">
        <v>21005</v>
      </c>
    </row>
    <row r="3936" spans="1:28" x14ac:dyDescent="0.25">
      <c r="A3936" t="s">
        <v>3940</v>
      </c>
      <c r="B3936">
        <v>0.99876560204751996</v>
      </c>
      <c r="C3936">
        <v>0.84761813837135003</v>
      </c>
      <c r="D3936">
        <v>0.74264026516152803</v>
      </c>
      <c r="E3936">
        <v>0.60238336246844204</v>
      </c>
      <c r="F3936">
        <v>0.36602361824583501</v>
      </c>
      <c r="G3936">
        <v>0.19990004213596499</v>
      </c>
      <c r="H3936">
        <v>0.129808510808749</v>
      </c>
      <c r="I3936">
        <v>8.7744859170336101E-2</v>
      </c>
      <c r="J3936">
        <v>6.6590847416407098E-2</v>
      </c>
      <c r="K3936">
        <v>0.104775108193331</v>
      </c>
      <c r="L3936">
        <v>605.69774115169605</v>
      </c>
      <c r="M3936">
        <v>12.011210218595</v>
      </c>
      <c r="N3936">
        <v>50.698598227063897</v>
      </c>
      <c r="O3936">
        <v>49.090901049790197</v>
      </c>
      <c r="P3936">
        <v>-5.9281252916744402E-2</v>
      </c>
      <c r="Q3936">
        <v>3.1081391832883502E-2</v>
      </c>
      <c r="R3936">
        <v>0.99008809922031304</v>
      </c>
      <c r="S3936" t="s">
        <v>8232</v>
      </c>
      <c r="T3936" t="s">
        <v>8590</v>
      </c>
      <c r="U3936" t="s">
        <v>8590</v>
      </c>
      <c r="V3936" t="s">
        <v>8590</v>
      </c>
      <c r="W3936">
        <v>6</v>
      </c>
      <c r="X3936" t="s">
        <v>12526</v>
      </c>
      <c r="Y3936">
        <v>0.40052626680432157</v>
      </c>
      <c r="Z3936" t="str">
        <f>HYPERLINK("Melting_Curves/meltCurve_tr_F5GYK2_F5GYK2_HUMAN_.pdf", "Melting_Curves/meltCurve_tr_F5GYK2_F5GYK2_HUMAN_.pdf")</f>
        <v>Melting_Curves/meltCurve_tr_F5GYK2_F5GYK2_HUMAN_.pdf</v>
      </c>
      <c r="AA3936" t="s">
        <v>16755</v>
      </c>
      <c r="AB3936" t="s">
        <v>21006</v>
      </c>
    </row>
    <row r="3937" spans="1:28" x14ac:dyDescent="0.25">
      <c r="A3937" t="s">
        <v>3941</v>
      </c>
      <c r="B3937">
        <v>0.99876560204751996</v>
      </c>
      <c r="C3937">
        <v>0.83784350823564901</v>
      </c>
      <c r="D3937">
        <v>0.88839813153518499</v>
      </c>
      <c r="E3937">
        <v>0.83149291881360599</v>
      </c>
      <c r="F3937">
        <v>0.60152021373360498</v>
      </c>
      <c r="G3937">
        <v>0.169528415313494</v>
      </c>
      <c r="H3937">
        <v>7.6719332674988996E-2</v>
      </c>
      <c r="I3937">
        <v>4.0918532425392798E-2</v>
      </c>
      <c r="J3937">
        <v>3.3986900291039901E-2</v>
      </c>
      <c r="K3937">
        <v>2.4021721667290299E-2</v>
      </c>
      <c r="L3937">
        <v>1189.10085458611</v>
      </c>
      <c r="M3937">
        <v>22.210142338504699</v>
      </c>
      <c r="N3937">
        <v>53.599845492575298</v>
      </c>
      <c r="O3937">
        <v>53.110266943180498</v>
      </c>
      <c r="P3937">
        <v>-0.103240575376704</v>
      </c>
      <c r="Q3937">
        <v>1.2519893843527599E-2</v>
      </c>
      <c r="R3937">
        <v>0.97656323992181904</v>
      </c>
      <c r="S3937" t="s">
        <v>8233</v>
      </c>
      <c r="T3937" t="s">
        <v>8590</v>
      </c>
      <c r="U3937" t="s">
        <v>8590</v>
      </c>
      <c r="V3937" t="s">
        <v>8590</v>
      </c>
      <c r="W3937">
        <v>10</v>
      </c>
      <c r="X3937" t="s">
        <v>12527</v>
      </c>
      <c r="Y3937">
        <v>0.46945078406699869</v>
      </c>
      <c r="Z3937" t="str">
        <f>HYPERLINK("Melting_Curves/meltCurve_tr_F5GYN4_F5GYN4_HUMAN_.pdf", "Melting_Curves/meltCurve_tr_F5GYN4_F5GYN4_HUMAN_.pdf")</f>
        <v>Melting_Curves/meltCurve_tr_F5GYN4_F5GYN4_HUMAN_.pdf</v>
      </c>
      <c r="AA3937" t="s">
        <v>16756</v>
      </c>
      <c r="AB3937" t="s">
        <v>21007</v>
      </c>
    </row>
    <row r="3938" spans="1:28" x14ac:dyDescent="0.25">
      <c r="A3938" t="s">
        <v>3942</v>
      </c>
      <c r="B3938">
        <v>0.99876560204751996</v>
      </c>
      <c r="C3938">
        <v>0.99080457357193696</v>
      </c>
      <c r="D3938">
        <v>1.0045766526359901</v>
      </c>
      <c r="E3938">
        <v>1.0062194491576599</v>
      </c>
      <c r="F3938">
        <v>0.88474889152874003</v>
      </c>
      <c r="G3938">
        <v>0.50736442023266803</v>
      </c>
      <c r="H3938">
        <v>0.421988460356993</v>
      </c>
      <c r="I3938">
        <v>0.42496446386893799</v>
      </c>
      <c r="J3938">
        <v>0.50318229133376902</v>
      </c>
      <c r="K3938">
        <v>0.402314057049864</v>
      </c>
      <c r="L3938">
        <v>2575.9227440426298</v>
      </c>
      <c r="M3938">
        <v>47.215810042781399</v>
      </c>
      <c r="N3938">
        <v>57.076125123035801</v>
      </c>
      <c r="O3938">
        <v>54.4587774762118</v>
      </c>
      <c r="P3938">
        <v>-0.12185437851508001</v>
      </c>
      <c r="Q3938">
        <v>0.43781273954482802</v>
      </c>
      <c r="R3938">
        <v>0.99097290326460596</v>
      </c>
      <c r="S3938" t="s">
        <v>8234</v>
      </c>
      <c r="T3938" t="s">
        <v>8590</v>
      </c>
      <c r="U3938" t="s">
        <v>8590</v>
      </c>
      <c r="V3938" t="s">
        <v>8590</v>
      </c>
      <c r="W3938">
        <v>3</v>
      </c>
      <c r="X3938" t="s">
        <v>12528</v>
      </c>
      <c r="Y3938">
        <v>0.71210982626793606</v>
      </c>
      <c r="Z3938" t="str">
        <f>HYPERLINK("Melting_Curves/meltCurve_tr_F5GZY0_F5GZY0_HUMAN_.pdf", "Melting_Curves/meltCurve_tr_F5GZY0_F5GZY0_HUMAN_.pdf")</f>
        <v>Melting_Curves/meltCurve_tr_F5GZY0_F5GZY0_HUMAN_.pdf</v>
      </c>
      <c r="AA3938" t="s">
        <v>16757</v>
      </c>
      <c r="AB3938" t="s">
        <v>21008</v>
      </c>
    </row>
    <row r="3939" spans="1:28" x14ac:dyDescent="0.25">
      <c r="A3939" t="s">
        <v>3943</v>
      </c>
      <c r="B3939">
        <v>0.99876560204751996</v>
      </c>
      <c r="C3939">
        <v>1.1402387251255801</v>
      </c>
      <c r="D3939">
        <v>1.1127555332144401</v>
      </c>
      <c r="E3939">
        <v>0.919700430843157</v>
      </c>
      <c r="F3939">
        <v>0.78667268094892295</v>
      </c>
      <c r="G3939">
        <v>0.58914895896800201</v>
      </c>
      <c r="H3939">
        <v>0.39781055233451001</v>
      </c>
      <c r="I3939">
        <v>0.35769135091464199</v>
      </c>
      <c r="J3939">
        <v>0.29923553809699099</v>
      </c>
      <c r="K3939">
        <v>0.148004818273967</v>
      </c>
      <c r="L3939">
        <v>883.37428368645203</v>
      </c>
      <c r="M3939">
        <v>15.409342510202</v>
      </c>
      <c r="N3939">
        <v>58.928158763257102</v>
      </c>
      <c r="O3939">
        <v>56.387732034616697</v>
      </c>
      <c r="P3939">
        <v>-5.66391305747092E-2</v>
      </c>
      <c r="Q3939">
        <v>0.17103229902679101</v>
      </c>
      <c r="R3939">
        <v>0.95885244903796796</v>
      </c>
      <c r="S3939" t="s">
        <v>8235</v>
      </c>
      <c r="T3939" t="s">
        <v>8590</v>
      </c>
      <c r="U3939" t="s">
        <v>8590</v>
      </c>
      <c r="V3939" t="s">
        <v>8590</v>
      </c>
      <c r="W3939">
        <v>2</v>
      </c>
      <c r="X3939" t="s">
        <v>12529</v>
      </c>
      <c r="Y3939">
        <v>0.66216894723337771</v>
      </c>
      <c r="Z3939" t="str">
        <f>HYPERLINK("Melting_Curves/meltCurve_tr_F5GZY7_F5GZY7_HUMAN_.pdf", "Melting_Curves/meltCurve_tr_F5GZY7_F5GZY7_HUMAN_.pdf")</f>
        <v>Melting_Curves/meltCurve_tr_F5GZY7_F5GZY7_HUMAN_.pdf</v>
      </c>
      <c r="AA3939" t="s">
        <v>16758</v>
      </c>
      <c r="AB3939" t="s">
        <v>21009</v>
      </c>
    </row>
    <row r="3940" spans="1:28" x14ac:dyDescent="0.25">
      <c r="A3940" t="s">
        <v>3944</v>
      </c>
      <c r="B3940">
        <v>0.99876560204751996</v>
      </c>
      <c r="C3940">
        <v>1.03987216328648</v>
      </c>
      <c r="D3940">
        <v>0.89891524316851501</v>
      </c>
      <c r="E3940">
        <v>0.92312622028915103</v>
      </c>
      <c r="F3940">
        <v>0.84208365394444695</v>
      </c>
      <c r="G3940">
        <v>0.67772711129382301</v>
      </c>
      <c r="H3940">
        <v>0.54871888764426102</v>
      </c>
      <c r="I3940">
        <v>0.523125318808908</v>
      </c>
      <c r="J3940">
        <v>0.55248687940857499</v>
      </c>
      <c r="K3940">
        <v>0.49905898736545001</v>
      </c>
      <c r="L3940">
        <v>904.37332950095902</v>
      </c>
      <c r="M3940">
        <v>16.4388694104893</v>
      </c>
      <c r="O3940">
        <v>54.219549595709303</v>
      </c>
      <c r="P3940">
        <v>-3.8589804479906002E-2</v>
      </c>
      <c r="Q3940">
        <v>0.49092017551647699</v>
      </c>
      <c r="R3940">
        <v>0.97209175096881095</v>
      </c>
      <c r="S3940" t="s">
        <v>8236</v>
      </c>
      <c r="T3940" t="s">
        <v>8590</v>
      </c>
      <c r="U3940" t="s">
        <v>8590</v>
      </c>
      <c r="V3940" t="s">
        <v>8590</v>
      </c>
      <c r="W3940">
        <v>13</v>
      </c>
      <c r="X3940" t="s">
        <v>12530</v>
      </c>
      <c r="Y3940">
        <v>0.75454165709090071</v>
      </c>
      <c r="Z3940" t="str">
        <f>HYPERLINK("Melting_Curves/meltCurve_tr_F5GZZ9_F5GZZ9_HUMAN_.pdf", "Melting_Curves/meltCurve_tr_F5GZZ9_F5GZZ9_HUMAN_.pdf")</f>
        <v>Melting_Curves/meltCurve_tr_F5GZZ9_F5GZZ9_HUMAN_.pdf</v>
      </c>
      <c r="AA3940" t="s">
        <v>16759</v>
      </c>
      <c r="AB3940" t="s">
        <v>21010</v>
      </c>
    </row>
    <row r="3941" spans="1:28" x14ac:dyDescent="0.25">
      <c r="A3941" t="s">
        <v>3945</v>
      </c>
      <c r="B3941">
        <v>0.99876560204751996</v>
      </c>
      <c r="C3941">
        <v>1.0160788759103301</v>
      </c>
      <c r="D3941">
        <v>0.88950048018556405</v>
      </c>
      <c r="E3941">
        <v>0.38635491642335101</v>
      </c>
      <c r="F3941">
        <v>0.19556864759427001</v>
      </c>
      <c r="G3941">
        <v>0.12713771167769</v>
      </c>
      <c r="H3941">
        <v>8.0980759590516496E-2</v>
      </c>
      <c r="I3941">
        <v>7.7719237503570598E-2</v>
      </c>
      <c r="J3941">
        <v>8.2842664621710096E-2</v>
      </c>
      <c r="K3941">
        <v>7.5450815030839405E-2</v>
      </c>
      <c r="L3941">
        <v>1461.28968393168</v>
      </c>
      <c r="M3941">
        <v>29.8665992214741</v>
      </c>
      <c r="N3941">
        <v>49.246235216790801</v>
      </c>
      <c r="O3941">
        <v>48.709451534967201</v>
      </c>
      <c r="P3941">
        <v>-0.13980789451161499</v>
      </c>
      <c r="Q3941">
        <v>8.7955111464816493E-2</v>
      </c>
      <c r="R3941">
        <v>0.99809236576433502</v>
      </c>
      <c r="S3941" t="s">
        <v>8237</v>
      </c>
      <c r="T3941" t="s">
        <v>8590</v>
      </c>
      <c r="U3941" t="s">
        <v>8590</v>
      </c>
      <c r="V3941" t="s">
        <v>8590</v>
      </c>
      <c r="W3941">
        <v>8</v>
      </c>
      <c r="X3941" t="s">
        <v>12531</v>
      </c>
      <c r="Y3941">
        <v>0.36495619331517049</v>
      </c>
      <c r="Z3941" t="str">
        <f>HYPERLINK("Melting_Curves/meltCurve_tr_F5H012_F5H012_HUMAN_.pdf", "Melting_Curves/meltCurve_tr_F5H012_F5H012_HUMAN_.pdf")</f>
        <v>Melting_Curves/meltCurve_tr_F5H012_F5H012_HUMAN_.pdf</v>
      </c>
      <c r="AA3941" t="s">
        <v>16760</v>
      </c>
      <c r="AB3941" t="s">
        <v>21011</v>
      </c>
    </row>
    <row r="3942" spans="1:28" x14ac:dyDescent="0.25">
      <c r="A3942" t="s">
        <v>3946</v>
      </c>
      <c r="B3942">
        <v>0.99876560204751996</v>
      </c>
      <c r="C3942">
        <v>1.1628836827438001</v>
      </c>
      <c r="D3942">
        <v>1.1048524752626601</v>
      </c>
      <c r="E3942">
        <v>0.92029216129456104</v>
      </c>
      <c r="F3942">
        <v>0.59616410760405203</v>
      </c>
      <c r="G3942">
        <v>0.51131451239316295</v>
      </c>
      <c r="H3942">
        <v>0.26204167480203</v>
      </c>
      <c r="I3942">
        <v>0.167533934120808</v>
      </c>
      <c r="J3942">
        <v>3.8800710830037097E-2</v>
      </c>
      <c r="K3942">
        <v>0</v>
      </c>
      <c r="L3942">
        <v>878.01278957108195</v>
      </c>
      <c r="M3942">
        <v>15.572837047879601</v>
      </c>
      <c r="N3942">
        <v>56.381017969851101</v>
      </c>
      <c r="O3942">
        <v>55.475877904779701</v>
      </c>
      <c r="P3942">
        <v>-7.0184537591683194E-2</v>
      </c>
      <c r="Q3942">
        <v>0</v>
      </c>
      <c r="R3942">
        <v>0.95876834806064404</v>
      </c>
      <c r="S3942" t="s">
        <v>8238</v>
      </c>
      <c r="T3942" t="s">
        <v>8590</v>
      </c>
      <c r="U3942" t="s">
        <v>8590</v>
      </c>
      <c r="V3942" t="s">
        <v>8590</v>
      </c>
      <c r="W3942">
        <v>10</v>
      </c>
      <c r="X3942" t="s">
        <v>12532</v>
      </c>
      <c r="Y3942">
        <v>0.56259567811509181</v>
      </c>
      <c r="Z3942" t="str">
        <f>HYPERLINK("Melting_Curves/meltCurve_tr_F5H0B0_F5H0B0_HUMAN_.pdf", "Melting_Curves/meltCurve_tr_F5H0B0_F5H0B0_HUMAN_.pdf")</f>
        <v>Melting_Curves/meltCurve_tr_F5H0B0_F5H0B0_HUMAN_.pdf</v>
      </c>
      <c r="AA3942" t="s">
        <v>14195</v>
      </c>
      <c r="AB3942" t="s">
        <v>21012</v>
      </c>
    </row>
    <row r="3943" spans="1:28" x14ac:dyDescent="0.25">
      <c r="A3943" t="s">
        <v>3947</v>
      </c>
      <c r="B3943">
        <v>0.99876560204751996</v>
      </c>
      <c r="C3943">
        <v>0.96776859702398998</v>
      </c>
      <c r="D3943">
        <v>0.69329411660818097</v>
      </c>
      <c r="E3943">
        <v>0.98909193326943701</v>
      </c>
      <c r="F3943">
        <v>0.76523220391535596</v>
      </c>
      <c r="G3943">
        <v>0.419377793411713</v>
      </c>
      <c r="H3943">
        <v>0.123430137779732</v>
      </c>
      <c r="I3943">
        <v>6.2469268350965799E-2</v>
      </c>
      <c r="J3943">
        <v>4.8106319154153997E-2</v>
      </c>
      <c r="K3943">
        <v>4.40837462797464E-2</v>
      </c>
      <c r="L3943">
        <v>1229.17077867686</v>
      </c>
      <c r="M3943">
        <v>21.989850823893502</v>
      </c>
      <c r="N3943">
        <v>55.976940039589302</v>
      </c>
      <c r="O3943">
        <v>55.441076974558896</v>
      </c>
      <c r="P3943">
        <v>-9.7631583173477698E-2</v>
      </c>
      <c r="Q3943">
        <v>1.5422367622064699E-2</v>
      </c>
      <c r="R3943">
        <v>0.93955811178850202</v>
      </c>
      <c r="S3943" t="s">
        <v>8239</v>
      </c>
      <c r="T3943" t="s">
        <v>8590</v>
      </c>
      <c r="U3943" t="s">
        <v>8590</v>
      </c>
      <c r="V3943" t="s">
        <v>8590</v>
      </c>
      <c r="W3943">
        <v>6</v>
      </c>
      <c r="X3943" t="s">
        <v>12533</v>
      </c>
      <c r="Y3943">
        <v>0.54826027820624945</v>
      </c>
      <c r="Z3943" t="str">
        <f>HYPERLINK("Melting_Curves/meltCurve_tr_F5H0C8_F5H0C8_HUMAN_.pdf", "Melting_Curves/meltCurve_tr_F5H0C8_F5H0C8_HUMAN_.pdf")</f>
        <v>Melting_Curves/meltCurve_tr_F5H0C8_F5H0C8_HUMAN_.pdf</v>
      </c>
      <c r="AA3943" t="s">
        <v>16761</v>
      </c>
      <c r="AB3943" t="s">
        <v>21013</v>
      </c>
    </row>
    <row r="3944" spans="1:28" x14ac:dyDescent="0.25">
      <c r="A3944" t="s">
        <v>3948</v>
      </c>
      <c r="B3944">
        <v>0.99876560204751996</v>
      </c>
      <c r="C3944">
        <v>0.99488210340058802</v>
      </c>
      <c r="D3944">
        <v>0.90514002069871002</v>
      </c>
      <c r="E3944">
        <v>0.720406543610279</v>
      </c>
      <c r="F3944">
        <v>0.47817759192679499</v>
      </c>
      <c r="G3944">
        <v>0.22777825727856299</v>
      </c>
      <c r="H3944">
        <v>0.16203320126319301</v>
      </c>
      <c r="I3944">
        <v>0.110399669977733</v>
      </c>
      <c r="J3944">
        <v>0.104856648529856</v>
      </c>
      <c r="K3944">
        <v>0.10411145286538701</v>
      </c>
      <c r="L3944">
        <v>963.41026374383705</v>
      </c>
      <c r="M3944">
        <v>18.499464474552401</v>
      </c>
      <c r="N3944">
        <v>52.649386152447804</v>
      </c>
      <c r="O3944">
        <v>51.4806733721597</v>
      </c>
      <c r="P3944">
        <v>-8.1666674428695796E-2</v>
      </c>
      <c r="Q3944">
        <v>9.0986190288406904E-2</v>
      </c>
      <c r="R3944">
        <v>0.999038121686188</v>
      </c>
      <c r="S3944" t="s">
        <v>8240</v>
      </c>
      <c r="T3944" t="s">
        <v>8590</v>
      </c>
      <c r="U3944" t="s">
        <v>8590</v>
      </c>
      <c r="V3944" t="s">
        <v>8590</v>
      </c>
      <c r="W3944">
        <v>16</v>
      </c>
      <c r="X3944" t="s">
        <v>12534</v>
      </c>
      <c r="Y3944">
        <v>0.47136668865231579</v>
      </c>
      <c r="Z3944" t="str">
        <f>HYPERLINK("Melting_Curves/meltCurve_tr_F5H0L8_F5H0L8_HUMAN_.pdf", "Melting_Curves/meltCurve_tr_F5H0L8_F5H0L8_HUMAN_.pdf")</f>
        <v>Melting_Curves/meltCurve_tr_F5H0L8_F5H0L8_HUMAN_.pdf</v>
      </c>
      <c r="AA3944" t="s">
        <v>16762</v>
      </c>
      <c r="AB3944" t="s">
        <v>21014</v>
      </c>
    </row>
    <row r="3945" spans="1:28" x14ac:dyDescent="0.25">
      <c r="A3945" t="s">
        <v>3949</v>
      </c>
      <c r="B3945">
        <v>0.99876560204751996</v>
      </c>
      <c r="C3945">
        <v>1.06937539485307</v>
      </c>
      <c r="D3945">
        <v>0.90960720441597398</v>
      </c>
      <c r="E3945">
        <v>0.63453583586692397</v>
      </c>
      <c r="F3945">
        <v>0.44733484117532402</v>
      </c>
      <c r="G3945">
        <v>0.23070705064920499</v>
      </c>
      <c r="H3945">
        <v>0.186210019913222</v>
      </c>
      <c r="I3945">
        <v>0.15570222244520601</v>
      </c>
      <c r="J3945">
        <v>0.137827459556148</v>
      </c>
      <c r="K3945">
        <v>0.15458340729504599</v>
      </c>
      <c r="L3945">
        <v>1026.5251453241999</v>
      </c>
      <c r="M3945">
        <v>20.106730843001198</v>
      </c>
      <c r="N3945">
        <v>51.937138201556998</v>
      </c>
      <c r="O3945">
        <v>50.556848695673303</v>
      </c>
      <c r="P3945">
        <v>-8.5030858411010601E-2</v>
      </c>
      <c r="Q3945">
        <v>0.14481269649439801</v>
      </c>
      <c r="R3945">
        <v>0.99265826008075098</v>
      </c>
      <c r="S3945" t="s">
        <v>8241</v>
      </c>
      <c r="T3945" t="s">
        <v>8590</v>
      </c>
      <c r="U3945" t="s">
        <v>8590</v>
      </c>
      <c r="V3945" t="s">
        <v>8590</v>
      </c>
      <c r="W3945">
        <v>2</v>
      </c>
      <c r="X3945" t="s">
        <v>12535</v>
      </c>
      <c r="Y3945">
        <v>0.47166744705964092</v>
      </c>
      <c r="Z3945" t="str">
        <f>HYPERLINK("Melting_Curves/meltCurve_tr_F5H157_F5H157_HUMAN_.pdf", "Melting_Curves/meltCurve_tr_F5H157_F5H157_HUMAN_.pdf")</f>
        <v>Melting_Curves/meltCurve_tr_F5H157_F5H157_HUMAN_.pdf</v>
      </c>
      <c r="AA3945" t="s">
        <v>16763</v>
      </c>
      <c r="AB3945" t="s">
        <v>21015</v>
      </c>
    </row>
    <row r="3946" spans="1:28" x14ac:dyDescent="0.25">
      <c r="A3946" t="s">
        <v>3950</v>
      </c>
      <c r="B3946">
        <v>0.99876560204751996</v>
      </c>
      <c r="C3946">
        <v>0.99054856790583801</v>
      </c>
      <c r="D3946">
        <v>0.94323215857310505</v>
      </c>
      <c r="E3946">
        <v>1.03193128772858</v>
      </c>
      <c r="F3946">
        <v>1.01979769974754</v>
      </c>
      <c r="G3946">
        <v>0.903787742421021</v>
      </c>
      <c r="H3946">
        <v>0.71633651657737996</v>
      </c>
      <c r="I3946">
        <v>0.56713036361536895</v>
      </c>
      <c r="J3946">
        <v>0.23308522552363001</v>
      </c>
      <c r="K3946">
        <v>8.6052615599270701E-2</v>
      </c>
      <c r="L3946">
        <v>1475.33009221576</v>
      </c>
      <c r="M3946">
        <v>23.065665822012701</v>
      </c>
      <c r="N3946">
        <v>63.962194250506698</v>
      </c>
      <c r="O3946">
        <v>63.487214054398997</v>
      </c>
      <c r="P3946">
        <v>-9.0829673894475896E-2</v>
      </c>
      <c r="Q3946">
        <v>0</v>
      </c>
      <c r="R3946">
        <v>0.98596363301418199</v>
      </c>
      <c r="S3946" t="s">
        <v>8242</v>
      </c>
      <c r="T3946" t="s">
        <v>8590</v>
      </c>
      <c r="U3946" t="s">
        <v>8590</v>
      </c>
      <c r="V3946" t="s">
        <v>8590</v>
      </c>
      <c r="W3946">
        <v>24</v>
      </c>
      <c r="X3946" t="s">
        <v>12536</v>
      </c>
      <c r="Y3946">
        <v>0.79645387457571282</v>
      </c>
      <c r="Z3946" t="str">
        <f>HYPERLINK("Melting_Curves/meltCurve_tr_F5H1L4_F5H1L4_HUMAN_.pdf", "Melting_Curves/meltCurve_tr_F5H1L4_F5H1L4_HUMAN_.pdf")</f>
        <v>Melting_Curves/meltCurve_tr_F5H1L4_F5H1L4_HUMAN_.pdf</v>
      </c>
      <c r="AA3946" t="s">
        <v>16764</v>
      </c>
      <c r="AB3946" t="s">
        <v>21016</v>
      </c>
    </row>
    <row r="3947" spans="1:28" x14ac:dyDescent="0.25">
      <c r="A3947" t="s">
        <v>3951</v>
      </c>
      <c r="B3947">
        <v>0.99876560204751996</v>
      </c>
      <c r="C3947">
        <v>1.07629542720538</v>
      </c>
      <c r="D3947">
        <v>0.93250196681585495</v>
      </c>
      <c r="E3947">
        <v>0.87160944863333201</v>
      </c>
      <c r="F3947">
        <v>0.34781059406348103</v>
      </c>
      <c r="G3947">
        <v>0.15845147905755699</v>
      </c>
      <c r="H3947">
        <v>0.11005935799236501</v>
      </c>
      <c r="I3947">
        <v>8.22230161313207E-2</v>
      </c>
      <c r="J3947">
        <v>8.8627303118481604E-2</v>
      </c>
      <c r="K3947">
        <v>6.7599833710071305E-2</v>
      </c>
      <c r="L3947">
        <v>2286.99080791298</v>
      </c>
      <c r="M3947">
        <v>44.045063136615703</v>
      </c>
      <c r="N3947">
        <v>52.177031688196401</v>
      </c>
      <c r="O3947">
        <v>51.817200205208401</v>
      </c>
      <c r="P3947">
        <v>-0.19205950430591001</v>
      </c>
      <c r="Q3947">
        <v>9.6201102165402994E-2</v>
      </c>
      <c r="R3947">
        <v>0.99217424875842297</v>
      </c>
      <c r="S3947" t="s">
        <v>8243</v>
      </c>
      <c r="T3947" t="s">
        <v>8590</v>
      </c>
      <c r="U3947" t="s">
        <v>8590</v>
      </c>
      <c r="V3947" t="s">
        <v>8590</v>
      </c>
      <c r="W3947">
        <v>45</v>
      </c>
      <c r="X3947" t="s">
        <v>12537</v>
      </c>
      <c r="Y3947">
        <v>0.45809882242387961</v>
      </c>
      <c r="Z3947" t="str">
        <f>HYPERLINK("Melting_Curves/meltCurve_tr_F5H1X8_F5H1X8_HUMAN_.pdf", "Melting_Curves/meltCurve_tr_F5H1X8_F5H1X8_HUMAN_.pdf")</f>
        <v>Melting_Curves/meltCurve_tr_F5H1X8_F5H1X8_HUMAN_.pdf</v>
      </c>
      <c r="AA3947" t="s">
        <v>16765</v>
      </c>
      <c r="AB3947" t="s">
        <v>21017</v>
      </c>
    </row>
    <row r="3948" spans="1:28" x14ac:dyDescent="0.25">
      <c r="A3948" t="s">
        <v>3952</v>
      </c>
      <c r="B3948">
        <v>0.99876560204751996</v>
      </c>
      <c r="C3948">
        <v>0.92376625936191603</v>
      </c>
      <c r="D3948">
        <v>1.0219541966760901</v>
      </c>
      <c r="E3948">
        <v>0.88376251895853997</v>
      </c>
      <c r="F3948">
        <v>0.803450757674948</v>
      </c>
      <c r="G3948">
        <v>0.64069581293662303</v>
      </c>
      <c r="H3948">
        <v>0.40213933287570902</v>
      </c>
      <c r="I3948">
        <v>0.23709281895405801</v>
      </c>
      <c r="J3948">
        <v>9.9705303362340306E-2</v>
      </c>
      <c r="K3948">
        <v>6.0635484570881901E-2</v>
      </c>
      <c r="L3948">
        <v>859.52913174852802</v>
      </c>
      <c r="M3948">
        <v>14.617097798380501</v>
      </c>
      <c r="N3948">
        <v>58.8029954629096</v>
      </c>
      <c r="O3948">
        <v>57.735284552425398</v>
      </c>
      <c r="P3948">
        <v>-6.3300685112541902E-2</v>
      </c>
      <c r="Q3948">
        <v>0</v>
      </c>
      <c r="R3948">
        <v>0.989128415295213</v>
      </c>
      <c r="S3948" t="s">
        <v>8244</v>
      </c>
      <c r="T3948" t="s">
        <v>8590</v>
      </c>
      <c r="U3948" t="s">
        <v>8590</v>
      </c>
      <c r="V3948" t="s">
        <v>8590</v>
      </c>
      <c r="W3948">
        <v>14</v>
      </c>
      <c r="X3948" t="s">
        <v>12538</v>
      </c>
      <c r="Y3948">
        <v>0.63777378979495503</v>
      </c>
      <c r="Z3948" t="str">
        <f>HYPERLINK("Melting_Curves/meltCurve_tr_F5H1Z6_F5H1Z6_HUMAN_.pdf", "Melting_Curves/meltCurve_tr_F5H1Z6_F5H1Z6_HUMAN_.pdf")</f>
        <v>Melting_Curves/meltCurve_tr_F5H1Z6_F5H1Z6_HUMAN_.pdf</v>
      </c>
      <c r="AA3948" t="s">
        <v>16766</v>
      </c>
      <c r="AB3948" t="s">
        <v>21018</v>
      </c>
    </row>
    <row r="3949" spans="1:28" x14ac:dyDescent="0.25">
      <c r="A3949" t="s">
        <v>3953</v>
      </c>
      <c r="B3949">
        <v>0.99876560204751996</v>
      </c>
      <c r="C3949">
        <v>0.96966981750191705</v>
      </c>
      <c r="D3949">
        <v>0.90500054934969398</v>
      </c>
      <c r="E3949">
        <v>0.79680335250558398</v>
      </c>
      <c r="F3949">
        <v>0.64484984488047603</v>
      </c>
      <c r="G3949">
        <v>0.45715563726816499</v>
      </c>
      <c r="H3949">
        <v>0.37419319720048999</v>
      </c>
      <c r="I3949">
        <v>0.34687465260796901</v>
      </c>
      <c r="J3949">
        <v>0.43588097146636601</v>
      </c>
      <c r="K3949">
        <v>0.427633307955609</v>
      </c>
      <c r="L3949">
        <v>971.90498856052</v>
      </c>
      <c r="M3949">
        <v>18.798155968020001</v>
      </c>
      <c r="N3949">
        <v>55.987024662130104</v>
      </c>
      <c r="O3949">
        <v>51.127706237356001</v>
      </c>
      <c r="P3949">
        <v>-5.68644161307474E-2</v>
      </c>
      <c r="Q3949">
        <v>0.38138053644994402</v>
      </c>
      <c r="R3949">
        <v>0.98199691579654402</v>
      </c>
      <c r="S3949" t="s">
        <v>8245</v>
      </c>
      <c r="T3949" t="s">
        <v>8590</v>
      </c>
      <c r="U3949" t="s">
        <v>8590</v>
      </c>
      <c r="V3949" t="s">
        <v>8590</v>
      </c>
      <c r="W3949">
        <v>9</v>
      </c>
      <c r="X3949" t="s">
        <v>12539</v>
      </c>
      <c r="Y3949">
        <v>0.63226456595313096</v>
      </c>
      <c r="Z3949" t="str">
        <f>HYPERLINK("Melting_Curves/meltCurve_tr_F5H2B9_F5H2B9_HUMAN_.pdf", "Melting_Curves/meltCurve_tr_F5H2B9_F5H2B9_HUMAN_.pdf")</f>
        <v>Melting_Curves/meltCurve_tr_F5H2B9_F5H2B9_HUMAN_.pdf</v>
      </c>
      <c r="AA3949" t="s">
        <v>16767</v>
      </c>
      <c r="AB3949" t="s">
        <v>21019</v>
      </c>
    </row>
    <row r="3950" spans="1:28" x14ac:dyDescent="0.25">
      <c r="A3950" t="s">
        <v>3954</v>
      </c>
      <c r="B3950">
        <v>0.99876560204751996</v>
      </c>
      <c r="C3950">
        <v>0.98379923116831502</v>
      </c>
      <c r="D3950">
        <v>1.07057564601362</v>
      </c>
      <c r="E3950">
        <v>0.93377490190643797</v>
      </c>
      <c r="F3950">
        <v>0.79350131643361799</v>
      </c>
      <c r="G3950">
        <v>0.53844980513382201</v>
      </c>
      <c r="H3950">
        <v>0.495492885171889</v>
      </c>
      <c r="I3950">
        <v>0.43933371300528001</v>
      </c>
      <c r="J3950">
        <v>0.58158890292802501</v>
      </c>
      <c r="K3950">
        <v>0.49721276116781898</v>
      </c>
      <c r="L3950">
        <v>1917.3457128477</v>
      </c>
      <c r="M3950">
        <v>35.914153029238598</v>
      </c>
      <c r="O3950">
        <v>53.222202589844102</v>
      </c>
      <c r="P3950">
        <v>-8.4279958997376503E-2</v>
      </c>
      <c r="Q3950">
        <v>0.50041416959818497</v>
      </c>
      <c r="R3950">
        <v>0.969356136361747</v>
      </c>
      <c r="S3950" t="s">
        <v>8246</v>
      </c>
      <c r="T3950" t="s">
        <v>8590</v>
      </c>
      <c r="U3950" t="s">
        <v>8590</v>
      </c>
      <c r="V3950" t="s">
        <v>8590</v>
      </c>
      <c r="W3950">
        <v>4</v>
      </c>
      <c r="X3950" t="s">
        <v>12540</v>
      </c>
      <c r="Y3950">
        <v>0.72562800475870814</v>
      </c>
      <c r="Z3950" t="str">
        <f>HYPERLINK("Melting_Curves/meltCurve_tr_F5H2Q7_F5H2Q7_HUMAN_.pdf", "Melting_Curves/meltCurve_tr_F5H2Q7_F5H2Q7_HUMAN_.pdf")</f>
        <v>Melting_Curves/meltCurve_tr_F5H2Q7_F5H2Q7_HUMAN_.pdf</v>
      </c>
      <c r="AA3950" t="s">
        <v>16768</v>
      </c>
      <c r="AB3950" t="s">
        <v>21020</v>
      </c>
    </row>
    <row r="3951" spans="1:28" x14ac:dyDescent="0.25">
      <c r="A3951" t="s">
        <v>3955</v>
      </c>
      <c r="B3951">
        <v>0.99876560204751996</v>
      </c>
      <c r="C3951">
        <v>0.946068549434255</v>
      </c>
      <c r="D3951">
        <v>1.02005859094799</v>
      </c>
      <c r="E3951">
        <v>0.84510992324172496</v>
      </c>
      <c r="F3951">
        <v>0.86959561687975795</v>
      </c>
      <c r="G3951">
        <v>0.60842555391508002</v>
      </c>
      <c r="H3951">
        <v>0.42215728584280998</v>
      </c>
      <c r="I3951">
        <v>0.39764189490627899</v>
      </c>
      <c r="J3951">
        <v>0.44397682722023502</v>
      </c>
      <c r="K3951">
        <v>0.49232889405368602</v>
      </c>
      <c r="L3951">
        <v>1247.16686844835</v>
      </c>
      <c r="M3951">
        <v>22.746849708509</v>
      </c>
      <c r="N3951">
        <v>59.737933100465</v>
      </c>
      <c r="O3951">
        <v>54.409637225991197</v>
      </c>
      <c r="P3951">
        <v>-6.03173867824814E-2</v>
      </c>
      <c r="Q3951">
        <v>0.42290330732799503</v>
      </c>
      <c r="R3951">
        <v>0.95718815017474101</v>
      </c>
      <c r="S3951" t="s">
        <v>8247</v>
      </c>
      <c r="T3951" t="s">
        <v>8590</v>
      </c>
      <c r="U3951" t="s">
        <v>8590</v>
      </c>
      <c r="V3951" t="s">
        <v>8590</v>
      </c>
      <c r="W3951">
        <v>6</v>
      </c>
      <c r="X3951" t="s">
        <v>12541</v>
      </c>
      <c r="Y3951">
        <v>0.71442865793053989</v>
      </c>
      <c r="Z3951" t="str">
        <f>HYPERLINK("Melting_Curves/meltCurve_tr_F5H2X0_F5H2X0_HUMAN_.pdf", "Melting_Curves/meltCurve_tr_F5H2X0_F5H2X0_HUMAN_.pdf")</f>
        <v>Melting_Curves/meltCurve_tr_F5H2X0_F5H2X0_HUMAN_.pdf</v>
      </c>
      <c r="AA3951" t="s">
        <v>16769</v>
      </c>
      <c r="AB3951" t="s">
        <v>21021</v>
      </c>
    </row>
    <row r="3952" spans="1:28" x14ac:dyDescent="0.25">
      <c r="A3952" t="s">
        <v>3956</v>
      </c>
      <c r="B3952">
        <v>0.99876560204751996</v>
      </c>
      <c r="C3952">
        <v>1.03090432648191</v>
      </c>
      <c r="D3952">
        <v>0.94387772212800403</v>
      </c>
      <c r="E3952">
        <v>0.79136026366725598</v>
      </c>
      <c r="F3952">
        <v>0.68257663288153303</v>
      </c>
      <c r="G3952">
        <v>0.43801944101331303</v>
      </c>
      <c r="H3952">
        <v>0.37713375187111497</v>
      </c>
      <c r="I3952">
        <v>0.37630268655198601</v>
      </c>
      <c r="J3952">
        <v>0.42011640295826802</v>
      </c>
      <c r="K3952">
        <v>0.40501074662472297</v>
      </c>
      <c r="L3952">
        <v>1091.47248453064</v>
      </c>
      <c r="M3952">
        <v>20.949604989507002</v>
      </c>
      <c r="N3952">
        <v>55.929384639859997</v>
      </c>
      <c r="O3952">
        <v>51.632157447696798</v>
      </c>
      <c r="P3952">
        <v>-6.2803990435793794E-2</v>
      </c>
      <c r="Q3952">
        <v>0.38087276678328602</v>
      </c>
      <c r="R3952">
        <v>0.98749543567919496</v>
      </c>
      <c r="S3952" t="s">
        <v>8248</v>
      </c>
      <c r="T3952" t="s">
        <v>8590</v>
      </c>
      <c r="U3952" t="s">
        <v>8590</v>
      </c>
      <c r="V3952" t="s">
        <v>8590</v>
      </c>
      <c r="W3952">
        <v>29</v>
      </c>
      <c r="X3952" t="s">
        <v>12542</v>
      </c>
      <c r="Y3952">
        <v>0.63846323242514003</v>
      </c>
      <c r="Z3952" t="str">
        <f>HYPERLINK("Melting_Curves/meltCurve_tr_F5H335_F5H335_HUMAN_.pdf", "Melting_Curves/meltCurve_tr_F5H335_F5H335_HUMAN_.pdf")</f>
        <v>Melting_Curves/meltCurve_tr_F5H335_F5H335_HUMAN_.pdf</v>
      </c>
      <c r="AA3952" t="s">
        <v>16770</v>
      </c>
      <c r="AB3952" t="s">
        <v>21022</v>
      </c>
    </row>
    <row r="3953" spans="1:28" x14ac:dyDescent="0.25">
      <c r="A3953" t="s">
        <v>3957</v>
      </c>
      <c r="B3953">
        <v>0.99876560204751996</v>
      </c>
      <c r="C3953">
        <v>1.08292388093845</v>
      </c>
      <c r="D3953">
        <v>0.986166923182618</v>
      </c>
      <c r="E3953">
        <v>0.82381378496656099</v>
      </c>
      <c r="F3953">
        <v>0.243116466944204</v>
      </c>
      <c r="G3953">
        <v>0.11216955748539199</v>
      </c>
      <c r="H3953">
        <v>6.9006828160624895E-2</v>
      </c>
      <c r="I3953">
        <v>4.74020350122221E-2</v>
      </c>
      <c r="J3953">
        <v>4.6629418830944902E-2</v>
      </c>
      <c r="K3953">
        <v>3.93059218707607E-2</v>
      </c>
      <c r="L3953">
        <v>2495.8815381268801</v>
      </c>
      <c r="M3953">
        <v>48.474891679684497</v>
      </c>
      <c r="N3953">
        <v>51.624812396519602</v>
      </c>
      <c r="O3953">
        <v>51.400733919087301</v>
      </c>
      <c r="P3953">
        <v>-0.22157075381508001</v>
      </c>
      <c r="Q3953">
        <v>6.0223752476298402E-2</v>
      </c>
      <c r="R3953">
        <v>0.99491277355408503</v>
      </c>
      <c r="S3953" t="s">
        <v>8249</v>
      </c>
      <c r="T3953" t="s">
        <v>8590</v>
      </c>
      <c r="U3953" t="s">
        <v>8590</v>
      </c>
      <c r="V3953" t="s">
        <v>8590</v>
      </c>
      <c r="W3953">
        <v>24</v>
      </c>
      <c r="X3953" t="s">
        <v>12543</v>
      </c>
      <c r="Y3953">
        <v>0.4223709469392784</v>
      </c>
      <c r="Z3953" t="str">
        <f>HYPERLINK("Melting_Curves/meltCurve_tr_F5H365_F5H365_HUMAN_.pdf", "Melting_Curves/meltCurve_tr_F5H365_F5H365_HUMAN_.pdf")</f>
        <v>Melting_Curves/meltCurve_tr_F5H365_F5H365_HUMAN_.pdf</v>
      </c>
      <c r="AA3953" t="s">
        <v>16771</v>
      </c>
      <c r="AB3953" t="s">
        <v>21023</v>
      </c>
    </row>
    <row r="3954" spans="1:28" x14ac:dyDescent="0.25">
      <c r="A3954" t="s">
        <v>3958</v>
      </c>
      <c r="B3954">
        <v>0.99876560204751996</v>
      </c>
      <c r="C3954">
        <v>1.0278317271730999</v>
      </c>
      <c r="D3954">
        <v>0.85581372290817503</v>
      </c>
      <c r="E3954">
        <v>0.85973317539140004</v>
      </c>
      <c r="F3954">
        <v>0.56347059173787695</v>
      </c>
      <c r="G3954">
        <v>0.24586859016511101</v>
      </c>
      <c r="H3954">
        <v>0.131107583056884</v>
      </c>
      <c r="I3954">
        <v>0.127115853498415</v>
      </c>
      <c r="J3954">
        <v>0.147839604046755</v>
      </c>
      <c r="K3954">
        <v>0.12542232922263</v>
      </c>
      <c r="L3954">
        <v>1278.8532276093899</v>
      </c>
      <c r="M3954">
        <v>24.1217337045723</v>
      </c>
      <c r="N3954">
        <v>53.611720415161003</v>
      </c>
      <c r="O3954">
        <v>52.656296790451698</v>
      </c>
      <c r="P3954">
        <v>-0.101075228924703</v>
      </c>
      <c r="Q3954">
        <v>0.11744907155954901</v>
      </c>
      <c r="R3954">
        <v>0.98711725726493704</v>
      </c>
      <c r="S3954" t="s">
        <v>8250</v>
      </c>
      <c r="T3954" t="s">
        <v>8590</v>
      </c>
      <c r="U3954" t="s">
        <v>8590</v>
      </c>
      <c r="V3954" t="s">
        <v>8590</v>
      </c>
      <c r="W3954">
        <v>3</v>
      </c>
      <c r="X3954" t="s">
        <v>12544</v>
      </c>
      <c r="Y3954">
        <v>0.50906477618280821</v>
      </c>
      <c r="Z3954" t="str">
        <f>HYPERLINK("Melting_Curves/meltCurve_tr_F5H442_F5H442_HUMAN_.pdf", "Melting_Curves/meltCurve_tr_F5H442_F5H442_HUMAN_.pdf")</f>
        <v>Melting_Curves/meltCurve_tr_F5H442_F5H442_HUMAN_.pdf</v>
      </c>
      <c r="AA3954" t="s">
        <v>16772</v>
      </c>
      <c r="AB3954" t="s">
        <v>21024</v>
      </c>
    </row>
    <row r="3955" spans="1:28" x14ac:dyDescent="0.25">
      <c r="A3955" t="s">
        <v>3959</v>
      </c>
      <c r="B3955">
        <v>0.99876560204751996</v>
      </c>
      <c r="C3955">
        <v>1.03820563927399</v>
      </c>
      <c r="D3955">
        <v>1.03940266832047</v>
      </c>
      <c r="E3955">
        <v>0.86931233427272903</v>
      </c>
      <c r="F3955">
        <v>0.75146759190597201</v>
      </c>
      <c r="G3955">
        <v>0.53690334437723797</v>
      </c>
      <c r="H3955">
        <v>0.28993059349614397</v>
      </c>
      <c r="I3955">
        <v>0.26428888949909601</v>
      </c>
      <c r="J3955">
        <v>0.220952113824117</v>
      </c>
      <c r="K3955">
        <v>0.19840092327973399</v>
      </c>
      <c r="L3955">
        <v>974.74750589486803</v>
      </c>
      <c r="M3955">
        <v>17.501693647213202</v>
      </c>
      <c r="N3955">
        <v>57.110081563258902</v>
      </c>
      <c r="O3955">
        <v>54.982614190120003</v>
      </c>
      <c r="P3955">
        <v>-6.5577137141509895E-2</v>
      </c>
      <c r="Q3955">
        <v>0.175987485984613</v>
      </c>
      <c r="R3955">
        <v>0.99249786524604799</v>
      </c>
      <c r="S3955" t="s">
        <v>8251</v>
      </c>
      <c r="T3955" t="s">
        <v>8590</v>
      </c>
      <c r="U3955" t="s">
        <v>8590</v>
      </c>
      <c r="V3955" t="s">
        <v>8590</v>
      </c>
      <c r="W3955">
        <v>1</v>
      </c>
      <c r="X3955" t="s">
        <v>12545</v>
      </c>
      <c r="Y3955">
        <v>0.61984320571880613</v>
      </c>
      <c r="Z3955" t="str">
        <f>HYPERLINK("Melting_Curves/meltCurve_tr_F5H4F1_F5H4F1_HUMAN_.pdf", "Melting_Curves/meltCurve_tr_F5H4F1_F5H4F1_HUMAN_.pdf")</f>
        <v>Melting_Curves/meltCurve_tr_F5H4F1_F5H4F1_HUMAN_.pdf</v>
      </c>
      <c r="AA3955" t="s">
        <v>16773</v>
      </c>
      <c r="AB3955" t="s">
        <v>21025</v>
      </c>
    </row>
    <row r="3956" spans="1:28" x14ac:dyDescent="0.25">
      <c r="A3956" t="s">
        <v>3960</v>
      </c>
      <c r="B3956">
        <v>0.99876560204751996</v>
      </c>
      <c r="C3956">
        <v>0.96181737426810998</v>
      </c>
      <c r="D3956">
        <v>0.61000309375483197</v>
      </c>
      <c r="E3956">
        <v>0.57762588530694303</v>
      </c>
      <c r="F3956">
        <v>0.239042999162729</v>
      </c>
      <c r="G3956">
        <v>0.142204484779445</v>
      </c>
      <c r="H3956">
        <v>8.8253452439480504E-2</v>
      </c>
      <c r="I3956">
        <v>8.1179628960680095E-2</v>
      </c>
      <c r="J3956">
        <v>8.9077808927726598E-2</v>
      </c>
      <c r="K3956">
        <v>7.7472505745675005E-2</v>
      </c>
      <c r="L3956">
        <v>714.24206778661403</v>
      </c>
      <c r="M3956">
        <v>14.576009563580399</v>
      </c>
      <c r="N3956">
        <v>49.381012801070099</v>
      </c>
      <c r="O3956">
        <v>48.106578767131502</v>
      </c>
      <c r="P3956">
        <v>-7.1739923413398202E-2</v>
      </c>
      <c r="Q3956">
        <v>5.3026506332075903E-2</v>
      </c>
      <c r="R3956">
        <v>0.96813622667696497</v>
      </c>
      <c r="S3956" t="s">
        <v>8252</v>
      </c>
      <c r="T3956" t="s">
        <v>8590</v>
      </c>
      <c r="U3956" t="s">
        <v>8590</v>
      </c>
      <c r="V3956" t="s">
        <v>8590</v>
      </c>
      <c r="W3956">
        <v>10</v>
      </c>
      <c r="X3956" t="s">
        <v>12546</v>
      </c>
      <c r="Y3956">
        <v>0.36181432758595189</v>
      </c>
      <c r="Z3956" t="str">
        <f>HYPERLINK("Melting_Curves/meltCurve_tr_F5H4G7_F5H4G7_HUMAN_.pdf", "Melting_Curves/meltCurve_tr_F5H4G7_F5H4G7_HUMAN_.pdf")</f>
        <v>Melting_Curves/meltCurve_tr_F5H4G7_F5H4G7_HUMAN_.pdf</v>
      </c>
      <c r="AA3956" t="s">
        <v>16774</v>
      </c>
      <c r="AB3956" t="s">
        <v>21026</v>
      </c>
    </row>
    <row r="3957" spans="1:28" x14ac:dyDescent="0.25">
      <c r="A3957" t="s">
        <v>3961</v>
      </c>
      <c r="B3957">
        <v>0.99876560204751996</v>
      </c>
      <c r="C3957">
        <v>0.84248235421236795</v>
      </c>
      <c r="D3957">
        <v>1.03442068395484</v>
      </c>
      <c r="E3957">
        <v>0.91125771641987496</v>
      </c>
      <c r="F3957">
        <v>1.0072311149344999</v>
      </c>
      <c r="G3957">
        <v>0.82093955453659095</v>
      </c>
      <c r="H3957">
        <v>0.77045683282889099</v>
      </c>
      <c r="I3957">
        <v>0.73632655927925394</v>
      </c>
      <c r="J3957">
        <v>1.03309836585243</v>
      </c>
      <c r="K3957">
        <v>1.0078382629540199</v>
      </c>
      <c r="L3957">
        <v>438.97703172947598</v>
      </c>
      <c r="M3957">
        <v>9.8192818865791498</v>
      </c>
      <c r="O3957">
        <v>42.969783205235402</v>
      </c>
      <c r="P3957">
        <v>-6.3507751345109201E-3</v>
      </c>
      <c r="Q3957">
        <v>0.88889240483350296</v>
      </c>
      <c r="R3957">
        <v>5.2082342839981803E-2</v>
      </c>
      <c r="S3957" t="s">
        <v>8253</v>
      </c>
      <c r="T3957" t="s">
        <v>8590</v>
      </c>
      <c r="U3957" t="s">
        <v>8590</v>
      </c>
      <c r="V3957" t="s">
        <v>8590</v>
      </c>
      <c r="W3957">
        <v>2</v>
      </c>
      <c r="X3957" t="s">
        <v>12547</v>
      </c>
      <c r="Y3957">
        <v>0.9143879112690968</v>
      </c>
      <c r="Z3957" t="str">
        <f>HYPERLINK("Melting_Curves/meltCurve_tr_F5H4J2_F5H4J2_HUMAN_.pdf", "Melting_Curves/meltCurve_tr_F5H4J2_F5H4J2_HUMAN_.pdf")</f>
        <v>Melting_Curves/meltCurve_tr_F5H4J2_F5H4J2_HUMAN_.pdf</v>
      </c>
      <c r="AA3957" t="s">
        <v>16775</v>
      </c>
      <c r="AB3957" t="s">
        <v>21027</v>
      </c>
    </row>
    <row r="3958" spans="1:28" x14ac:dyDescent="0.25">
      <c r="A3958" t="s">
        <v>3962</v>
      </c>
      <c r="B3958">
        <v>0.99876560204751996</v>
      </c>
      <c r="C3958">
        <v>1.0254907687708199</v>
      </c>
      <c r="D3958">
        <v>0.895068540130324</v>
      </c>
      <c r="E3958">
        <v>0.79857568557122105</v>
      </c>
      <c r="F3958">
        <v>0.74478133682602998</v>
      </c>
      <c r="G3958">
        <v>0.59277303240997103</v>
      </c>
      <c r="H3958">
        <v>0.52764191152056406</v>
      </c>
      <c r="I3958">
        <v>0.54068028842045401</v>
      </c>
      <c r="J3958">
        <v>0.60260770332598601</v>
      </c>
      <c r="K3958">
        <v>0.52952350660594505</v>
      </c>
      <c r="L3958">
        <v>812.25727393108002</v>
      </c>
      <c r="M3958">
        <v>15.883754001985</v>
      </c>
      <c r="O3958">
        <v>50.3476442586784</v>
      </c>
      <c r="P3958">
        <v>-3.6720322115115799E-2</v>
      </c>
      <c r="Q3958">
        <v>0.534459564562762</v>
      </c>
      <c r="R3958">
        <v>0.96838895461702501</v>
      </c>
      <c r="S3958" t="s">
        <v>8254</v>
      </c>
      <c r="T3958" t="s">
        <v>8590</v>
      </c>
      <c r="U3958" t="s">
        <v>8590</v>
      </c>
      <c r="V3958" t="s">
        <v>8590</v>
      </c>
      <c r="W3958">
        <v>7</v>
      </c>
      <c r="X3958" t="s">
        <v>12548</v>
      </c>
      <c r="Y3958">
        <v>0.71703003762910245</v>
      </c>
      <c r="Z3958" t="str">
        <f>HYPERLINK("Melting_Curves/meltCurve_tr_F5H4S0_F5H4S0_HUMAN_.pdf", "Melting_Curves/meltCurve_tr_F5H4S0_F5H4S0_HUMAN_.pdf")</f>
        <v>Melting_Curves/meltCurve_tr_F5H4S0_F5H4S0_HUMAN_.pdf</v>
      </c>
      <c r="AA3958" t="s">
        <v>16776</v>
      </c>
      <c r="AB3958" t="s">
        <v>21028</v>
      </c>
    </row>
    <row r="3959" spans="1:28" x14ac:dyDescent="0.25">
      <c r="A3959" t="s">
        <v>3963</v>
      </c>
      <c r="B3959">
        <v>0.99876560204751996</v>
      </c>
      <c r="C3959">
        <v>1.20123993891382</v>
      </c>
      <c r="D3959">
        <v>0.96206095690729998</v>
      </c>
      <c r="E3959">
        <v>0.65527417320076098</v>
      </c>
      <c r="F3959">
        <v>0.29683823044390101</v>
      </c>
      <c r="G3959">
        <v>0.15750755774022199</v>
      </c>
      <c r="H3959">
        <v>7.8104800107595004E-2</v>
      </c>
      <c r="I3959">
        <v>8.0313425647986394E-2</v>
      </c>
      <c r="J3959">
        <v>9.1945403411448398E-2</v>
      </c>
      <c r="K3959">
        <v>4.64254223637088E-2</v>
      </c>
      <c r="L3959">
        <v>1497.55606185795</v>
      </c>
      <c r="M3959">
        <v>29.407018861834601</v>
      </c>
      <c r="N3959">
        <v>51.228130923949202</v>
      </c>
      <c r="O3959">
        <v>50.691371632458797</v>
      </c>
      <c r="P3959">
        <v>-0.133453687543865</v>
      </c>
      <c r="Q3959">
        <v>7.9824786059736197E-2</v>
      </c>
      <c r="R3959">
        <v>0.97561859787736005</v>
      </c>
      <c r="S3959" t="s">
        <v>8255</v>
      </c>
      <c r="T3959" t="s">
        <v>8590</v>
      </c>
      <c r="U3959" t="s">
        <v>8590</v>
      </c>
      <c r="V3959" t="s">
        <v>8590</v>
      </c>
      <c r="W3959">
        <v>4</v>
      </c>
      <c r="X3959" t="s">
        <v>12549</v>
      </c>
      <c r="Y3959">
        <v>0.42093993626266551</v>
      </c>
      <c r="Z3959" t="str">
        <f>HYPERLINK("Melting_Curves/meltCurve_tr_F5H5C2_F5H5C2_HUMAN_.pdf", "Melting_Curves/meltCurve_tr_F5H5C2_F5H5C2_HUMAN_.pdf")</f>
        <v>Melting_Curves/meltCurve_tr_F5H5C2_F5H5C2_HUMAN_.pdf</v>
      </c>
      <c r="AA3959" t="s">
        <v>16777</v>
      </c>
      <c r="AB3959" t="s">
        <v>21029</v>
      </c>
    </row>
    <row r="3960" spans="1:28" x14ac:dyDescent="0.25">
      <c r="A3960" t="s">
        <v>3964</v>
      </c>
      <c r="B3960">
        <v>0.99876560204751996</v>
      </c>
      <c r="C3960">
        <v>1.0080244969943699</v>
      </c>
      <c r="D3960">
        <v>1.02352370319908</v>
      </c>
      <c r="E3960">
        <v>0.92437517158401605</v>
      </c>
      <c r="F3960">
        <v>0.69271651930691103</v>
      </c>
      <c r="G3960">
        <v>0.28937948865799601</v>
      </c>
      <c r="H3960">
        <v>0.184029542856572</v>
      </c>
      <c r="I3960">
        <v>0.182420390586017</v>
      </c>
      <c r="J3960">
        <v>0.18943793777932999</v>
      </c>
      <c r="K3960">
        <v>0.19419945745773101</v>
      </c>
      <c r="L3960">
        <v>1784.89725307346</v>
      </c>
      <c r="M3960">
        <v>33.197067001527699</v>
      </c>
      <c r="N3960">
        <v>54.5116512090108</v>
      </c>
      <c r="O3960">
        <v>53.572737245656498</v>
      </c>
      <c r="P3960">
        <v>-0.12666747164022599</v>
      </c>
      <c r="Q3960">
        <v>0.182350249715104</v>
      </c>
      <c r="R3960">
        <v>0.99901554869756004</v>
      </c>
      <c r="S3960" t="s">
        <v>8256</v>
      </c>
      <c r="T3960" t="s">
        <v>8590</v>
      </c>
      <c r="U3960" t="s">
        <v>8590</v>
      </c>
      <c r="V3960" t="s">
        <v>8590</v>
      </c>
      <c r="W3960">
        <v>10</v>
      </c>
      <c r="X3960" t="s">
        <v>12550</v>
      </c>
      <c r="Y3960">
        <v>0.56195635147100753</v>
      </c>
      <c r="Z3960" t="str">
        <f>HYPERLINK("Melting_Curves/meltCurve_tr_F5H604_F5H604_HUMAN_.pdf", "Melting_Curves/meltCurve_tr_F5H604_F5H604_HUMAN_.pdf")</f>
        <v>Melting_Curves/meltCurve_tr_F5H604_F5H604_HUMAN_.pdf</v>
      </c>
      <c r="AA3960" t="s">
        <v>16778</v>
      </c>
      <c r="AB3960" t="s">
        <v>21030</v>
      </c>
    </row>
    <row r="3961" spans="1:28" x14ac:dyDescent="0.25">
      <c r="A3961" t="s">
        <v>3965</v>
      </c>
      <c r="B3961">
        <v>0.99876560204751996</v>
      </c>
      <c r="C3961">
        <v>0.89805544660722902</v>
      </c>
      <c r="D3961">
        <v>0.47373525229515601</v>
      </c>
      <c r="E3961">
        <v>0.25103614567767002</v>
      </c>
      <c r="F3961">
        <v>0.121583691001142</v>
      </c>
      <c r="G3961">
        <v>7.88787699499785E-2</v>
      </c>
      <c r="H3961">
        <v>5.1402120403375502E-2</v>
      </c>
      <c r="I3961">
        <v>4.8035520801996301E-2</v>
      </c>
      <c r="J3961">
        <v>5.6727841706227397E-2</v>
      </c>
      <c r="K3961">
        <v>4.7742270531253302E-2</v>
      </c>
      <c r="L3961">
        <v>1036.95551839922</v>
      </c>
      <c r="M3961">
        <v>22.525728688225101</v>
      </c>
      <c r="N3961">
        <v>46.300980253805101</v>
      </c>
      <c r="O3961">
        <v>45.676066150104504</v>
      </c>
      <c r="P3961">
        <v>-0.115791677334461</v>
      </c>
      <c r="Q3961">
        <v>6.0842558311871499E-2</v>
      </c>
      <c r="R3961">
        <v>0.99095172127406195</v>
      </c>
      <c r="S3961" t="s">
        <v>8257</v>
      </c>
      <c r="T3961" t="s">
        <v>8590</v>
      </c>
      <c r="U3961" t="s">
        <v>8590</v>
      </c>
      <c r="V3961" t="s">
        <v>8590</v>
      </c>
      <c r="W3961">
        <v>9</v>
      </c>
      <c r="X3961" t="s">
        <v>12551</v>
      </c>
      <c r="Y3961">
        <v>0.26076274330210741</v>
      </c>
      <c r="Z3961" t="str">
        <f>HYPERLINK("Melting_Curves/meltCurve_tr_F5H698_F5H698_HUMAN_.pdf", "Melting_Curves/meltCurve_tr_F5H698_F5H698_HUMAN_.pdf")</f>
        <v>Melting_Curves/meltCurve_tr_F5H698_F5H698_HUMAN_.pdf</v>
      </c>
      <c r="AA3961" t="s">
        <v>16779</v>
      </c>
      <c r="AB3961" t="s">
        <v>21031</v>
      </c>
    </row>
    <row r="3962" spans="1:28" x14ac:dyDescent="0.25">
      <c r="A3962" t="s">
        <v>3966</v>
      </c>
      <c r="B3962">
        <v>0.99876560204751996</v>
      </c>
      <c r="C3962">
        <v>0.95700160062911699</v>
      </c>
      <c r="D3962">
        <v>1.01124004702675</v>
      </c>
      <c r="E3962">
        <v>0.92634394513677298</v>
      </c>
      <c r="F3962">
        <v>0.93238160471939202</v>
      </c>
      <c r="G3962">
        <v>0.72072833621587096</v>
      </c>
      <c r="H3962">
        <v>0.65023303508946295</v>
      </c>
      <c r="I3962">
        <v>0.62899841748579499</v>
      </c>
      <c r="J3962">
        <v>0.73724822921782296</v>
      </c>
      <c r="K3962">
        <v>0.69481202765018102</v>
      </c>
      <c r="L3962">
        <v>2111.1985352808201</v>
      </c>
      <c r="M3962">
        <v>38.770872095686201</v>
      </c>
      <c r="O3962">
        <v>54.308955428203099</v>
      </c>
      <c r="P3962">
        <v>-5.7814807994655402E-2</v>
      </c>
      <c r="Q3962">
        <v>0.67606050499773196</v>
      </c>
      <c r="R3962">
        <v>0.93468589226951704</v>
      </c>
      <c r="S3962" t="s">
        <v>8258</v>
      </c>
      <c r="T3962" t="s">
        <v>8590</v>
      </c>
      <c r="U3962" t="s">
        <v>8590</v>
      </c>
      <c r="V3962" t="s">
        <v>8590</v>
      </c>
      <c r="W3962">
        <v>13</v>
      </c>
      <c r="X3962" t="s">
        <v>12552</v>
      </c>
      <c r="Y3962">
        <v>0.83342010625183138</v>
      </c>
      <c r="Z3962" t="str">
        <f>HYPERLINK("Melting_Curves/meltCurve_tr_F5H721_F5H721_HUMAN_.pdf", "Melting_Curves/meltCurve_tr_F5H721_F5H721_HUMAN_.pdf")</f>
        <v>Melting_Curves/meltCurve_tr_F5H721_F5H721_HUMAN_.pdf</v>
      </c>
      <c r="AA3962" t="s">
        <v>16780</v>
      </c>
      <c r="AB3962" t="s">
        <v>21032</v>
      </c>
    </row>
    <row r="3963" spans="1:28" x14ac:dyDescent="0.25">
      <c r="A3963" t="s">
        <v>3967</v>
      </c>
      <c r="B3963">
        <v>0.99876560204751996</v>
      </c>
      <c r="C3963">
        <v>1.23026662999314</v>
      </c>
      <c r="D3963">
        <v>0.65550130692531705</v>
      </c>
      <c r="E3963">
        <v>0.54441618681596804</v>
      </c>
      <c r="F3963">
        <v>0.27748417785318902</v>
      </c>
      <c r="G3963">
        <v>0.14326427841543701</v>
      </c>
      <c r="H3963">
        <v>9.1633312163713995E-2</v>
      </c>
      <c r="I3963">
        <v>7.7454687525546004E-2</v>
      </c>
      <c r="J3963">
        <v>5.1880474325640399E-2</v>
      </c>
      <c r="K3963">
        <v>6.0684046721951199E-2</v>
      </c>
      <c r="L3963">
        <v>925.57121903620805</v>
      </c>
      <c r="M3963">
        <v>18.654190164368401</v>
      </c>
      <c r="N3963">
        <v>49.960755378890298</v>
      </c>
      <c r="O3963">
        <v>49.057678226202803</v>
      </c>
      <c r="P3963">
        <v>-8.9346249427956201E-2</v>
      </c>
      <c r="Q3963">
        <v>6.0172183648757399E-2</v>
      </c>
      <c r="R3963">
        <v>0.93418745127907998</v>
      </c>
      <c r="S3963" t="s">
        <v>8259</v>
      </c>
      <c r="T3963" t="s">
        <v>8590</v>
      </c>
      <c r="U3963" t="s">
        <v>8590</v>
      </c>
      <c r="V3963" t="s">
        <v>8590</v>
      </c>
      <c r="W3963">
        <v>3</v>
      </c>
      <c r="X3963" t="s">
        <v>12553</v>
      </c>
      <c r="Y3963">
        <v>0.37649227915477462</v>
      </c>
      <c r="Z3963" t="str">
        <f>HYPERLINK("Melting_Curves/meltCurve_tr_F5H7F6_F5H7F6_HUMAN_.pdf", "Melting_Curves/meltCurve_tr_F5H7F6_F5H7F6_HUMAN_.pdf")</f>
        <v>Melting_Curves/meltCurve_tr_F5H7F6_F5H7F6_HUMAN_.pdf</v>
      </c>
      <c r="AA3963" t="s">
        <v>16781</v>
      </c>
      <c r="AB3963" t="s">
        <v>21033</v>
      </c>
    </row>
    <row r="3964" spans="1:28" x14ac:dyDescent="0.25">
      <c r="A3964" t="s">
        <v>3968</v>
      </c>
      <c r="B3964">
        <v>0.99876560204751996</v>
      </c>
      <c r="C3964">
        <v>1.3864121012969099</v>
      </c>
      <c r="D3964">
        <v>1.1137298164355101</v>
      </c>
      <c r="E3964">
        <v>0.81242444349816401</v>
      </c>
      <c r="F3964">
        <v>0.41720974114669002</v>
      </c>
      <c r="G3964">
        <v>0.28890126206469002</v>
      </c>
      <c r="H3964">
        <v>0.16668766162946899</v>
      </c>
      <c r="I3964">
        <v>3.22825570210288E-2</v>
      </c>
      <c r="J3964">
        <v>0</v>
      </c>
      <c r="K3964">
        <v>2.95588089797699E-2</v>
      </c>
      <c r="L3964">
        <v>1273.5336856388601</v>
      </c>
      <c r="M3964">
        <v>24.139502603318199</v>
      </c>
      <c r="N3964">
        <v>53.0119139113214</v>
      </c>
      <c r="O3964">
        <v>52.399204059670701</v>
      </c>
      <c r="P3964">
        <v>-0.108867374463356</v>
      </c>
      <c r="Q3964">
        <v>5.4748725259333997E-2</v>
      </c>
      <c r="R3964">
        <v>0.91484650825467795</v>
      </c>
      <c r="S3964" t="s">
        <v>8260</v>
      </c>
      <c r="T3964" t="s">
        <v>8590</v>
      </c>
      <c r="U3964" t="s">
        <v>8590</v>
      </c>
      <c r="V3964" t="s">
        <v>8590</v>
      </c>
      <c r="W3964">
        <v>2</v>
      </c>
      <c r="X3964" t="s">
        <v>12554</v>
      </c>
      <c r="Y3964">
        <v>0.46598740993062199</v>
      </c>
      <c r="Z3964" t="str">
        <f>HYPERLINK("Melting_Curves/meltCurve_tr_F5H7J5_F5H7J5_HUMAN_.pdf", "Melting_Curves/meltCurve_tr_F5H7J5_F5H7J5_HUMAN_.pdf")</f>
        <v>Melting_Curves/meltCurve_tr_F5H7J5_F5H7J5_HUMAN_.pdf</v>
      </c>
      <c r="AA3964" t="s">
        <v>16782</v>
      </c>
      <c r="AB3964" t="s">
        <v>21034</v>
      </c>
    </row>
    <row r="3965" spans="1:28" x14ac:dyDescent="0.25">
      <c r="A3965" t="s">
        <v>3969</v>
      </c>
      <c r="B3965">
        <v>0.99876560204751996</v>
      </c>
      <c r="C3965">
        <v>1.0037043629784099</v>
      </c>
      <c r="D3965">
        <v>0.65306762513206995</v>
      </c>
      <c r="E3965">
        <v>0.37350310338106302</v>
      </c>
      <c r="F3965">
        <v>0.19870634090800501</v>
      </c>
      <c r="G3965">
        <v>0.116633265426938</v>
      </c>
      <c r="H3965">
        <v>7.8916312257919799E-2</v>
      </c>
      <c r="I3965">
        <v>7.0367976551055103E-2</v>
      </c>
      <c r="J3965">
        <v>6.5125149691527606E-2</v>
      </c>
      <c r="K3965">
        <v>5.2415345772579697E-2</v>
      </c>
      <c r="L3965">
        <v>945.91735402569702</v>
      </c>
      <c r="M3965">
        <v>19.733354867977301</v>
      </c>
      <c r="N3965">
        <v>48.282101919148602</v>
      </c>
      <c r="O3965">
        <v>47.450824438309098</v>
      </c>
      <c r="P3965">
        <v>-9.7094268228730102E-2</v>
      </c>
      <c r="Q3965">
        <v>6.6140559293028603E-2</v>
      </c>
      <c r="R3965">
        <v>0.99035517974551801</v>
      </c>
      <c r="S3965" t="s">
        <v>8261</v>
      </c>
      <c r="T3965" t="s">
        <v>8590</v>
      </c>
      <c r="U3965" t="s">
        <v>8590</v>
      </c>
      <c r="V3965" t="s">
        <v>8590</v>
      </c>
      <c r="W3965">
        <v>16</v>
      </c>
      <c r="X3965" t="s">
        <v>12555</v>
      </c>
      <c r="Y3965">
        <v>0.32681898381422381</v>
      </c>
      <c r="Z3965" t="str">
        <f>HYPERLINK("Melting_Curves/meltCurve_tr_F5H801_F5H801_HUMAN_.pdf", "Melting_Curves/meltCurve_tr_F5H801_F5H801_HUMAN_.pdf")</f>
        <v>Melting_Curves/meltCurve_tr_F5H801_F5H801_HUMAN_.pdf</v>
      </c>
      <c r="AA3965" t="s">
        <v>16783</v>
      </c>
      <c r="AB3965" t="s">
        <v>21035</v>
      </c>
    </row>
    <row r="3966" spans="1:28" x14ac:dyDescent="0.25">
      <c r="A3966" t="s">
        <v>3970</v>
      </c>
      <c r="B3966">
        <v>0.99876560204751996</v>
      </c>
      <c r="C3966">
        <v>1.0176141779241801</v>
      </c>
      <c r="D3966">
        <v>1.02896320760356</v>
      </c>
      <c r="E3966">
        <v>0.95595558346634202</v>
      </c>
      <c r="F3966">
        <v>0.67521638937539097</v>
      </c>
      <c r="G3966">
        <v>0.15994819958801201</v>
      </c>
      <c r="H3966">
        <v>6.8781701352902694E-2</v>
      </c>
      <c r="I3966">
        <v>5.2417904660041599E-2</v>
      </c>
      <c r="J3966">
        <v>4.9681464065950802E-2</v>
      </c>
      <c r="K3966">
        <v>3.8415720099241699E-2</v>
      </c>
      <c r="L3966">
        <v>2027.7964963531399</v>
      </c>
      <c r="M3966">
        <v>37.596419727926502</v>
      </c>
      <c r="N3966">
        <v>54.082379282326599</v>
      </c>
      <c r="O3966">
        <v>53.783979739808501</v>
      </c>
      <c r="P3966">
        <v>-0.16629709328400899</v>
      </c>
      <c r="Q3966">
        <v>4.84098709332757E-2</v>
      </c>
      <c r="R3966">
        <v>0.99927102646059995</v>
      </c>
      <c r="S3966" t="s">
        <v>8262</v>
      </c>
      <c r="T3966" t="s">
        <v>8590</v>
      </c>
      <c r="U3966" t="s">
        <v>8590</v>
      </c>
      <c r="V3966" t="s">
        <v>8590</v>
      </c>
      <c r="W3966">
        <v>42</v>
      </c>
      <c r="X3966" t="s">
        <v>12556</v>
      </c>
      <c r="Y3966">
        <v>0.49445883503085297</v>
      </c>
      <c r="Z3966" t="str">
        <f>HYPERLINK("Melting_Curves/meltCurve_tr_F5H897_F5H897_HUMAN_.pdf", "Melting_Curves/meltCurve_tr_F5H897_F5H897_HUMAN_.pdf")</f>
        <v>Melting_Curves/meltCurve_tr_F5H897_F5H897_HUMAN_.pdf</v>
      </c>
      <c r="AA3966" t="s">
        <v>16784</v>
      </c>
      <c r="AB3966" t="s">
        <v>21036</v>
      </c>
    </row>
    <row r="3967" spans="1:28" x14ac:dyDescent="0.25">
      <c r="A3967" t="s">
        <v>3971</v>
      </c>
      <c r="B3967">
        <v>0.99876560204751996</v>
      </c>
      <c r="C3967">
        <v>0.87790416039446995</v>
      </c>
      <c r="D3967">
        <v>0.96720249906254196</v>
      </c>
      <c r="E3967">
        <v>0.82463071908059704</v>
      </c>
      <c r="F3967">
        <v>0.662565876720696</v>
      </c>
      <c r="G3967">
        <v>0.36656375881538</v>
      </c>
      <c r="H3967">
        <v>0.23053460552066199</v>
      </c>
      <c r="I3967">
        <v>0.20208153412678001</v>
      </c>
      <c r="J3967">
        <v>0.28436591027061597</v>
      </c>
      <c r="K3967">
        <v>0.24305288138908901</v>
      </c>
      <c r="L3967">
        <v>1142.9717585994199</v>
      </c>
      <c r="M3967">
        <v>21.460954279139902</v>
      </c>
      <c r="N3967">
        <v>54.7464611755492</v>
      </c>
      <c r="O3967">
        <v>52.802247066770597</v>
      </c>
      <c r="P3967">
        <v>-7.9155831514699501E-2</v>
      </c>
      <c r="Q3967">
        <v>0.221003391308633</v>
      </c>
      <c r="R3967">
        <v>0.97809954411697497</v>
      </c>
      <c r="S3967" t="s">
        <v>8263</v>
      </c>
      <c r="T3967" t="s">
        <v>8590</v>
      </c>
      <c r="U3967" t="s">
        <v>8590</v>
      </c>
      <c r="V3967" t="s">
        <v>8590</v>
      </c>
      <c r="W3967">
        <v>8</v>
      </c>
      <c r="X3967" t="s">
        <v>12557</v>
      </c>
      <c r="Y3967">
        <v>0.57474322870742189</v>
      </c>
      <c r="Z3967" t="str">
        <f>HYPERLINK("Melting_Curves/meltCurve_tr_F5H8D7_F5H8D7_HUMAN_.pdf", "Melting_Curves/meltCurve_tr_F5H8D7_F5H8D7_HUMAN_.pdf")</f>
        <v>Melting_Curves/meltCurve_tr_F5H8D7_F5H8D7_HUMAN_.pdf</v>
      </c>
      <c r="AA3967" t="s">
        <v>16785</v>
      </c>
      <c r="AB3967" t="s">
        <v>21037</v>
      </c>
    </row>
    <row r="3968" spans="1:28" x14ac:dyDescent="0.25">
      <c r="A3968" t="s">
        <v>3972</v>
      </c>
      <c r="B3968">
        <v>0.99876560204751996</v>
      </c>
      <c r="C3968">
        <v>1.00276370343321</v>
      </c>
      <c r="D3968">
        <v>0.97296921029640304</v>
      </c>
      <c r="E3968">
        <v>0.67970364568916397</v>
      </c>
      <c r="F3968">
        <v>0.48065365877292598</v>
      </c>
      <c r="G3968">
        <v>0.284566943275602</v>
      </c>
      <c r="H3968">
        <v>0.20346648899827599</v>
      </c>
      <c r="I3968">
        <v>0.20103262678909201</v>
      </c>
      <c r="J3968">
        <v>0.254706373811936</v>
      </c>
      <c r="K3968">
        <v>0.25375480855783999</v>
      </c>
      <c r="L3968">
        <v>1210.40552190893</v>
      </c>
      <c r="M3968">
        <v>23.705938666153401</v>
      </c>
      <c r="N3968">
        <v>52.375230574822702</v>
      </c>
      <c r="O3968">
        <v>50.699970125329301</v>
      </c>
      <c r="P3968">
        <v>-9.0663455752200403E-2</v>
      </c>
      <c r="Q3968">
        <v>0.22440358447650599</v>
      </c>
      <c r="R3968">
        <v>0.99440113348356796</v>
      </c>
      <c r="S3968" t="s">
        <v>8264</v>
      </c>
      <c r="T3968" t="s">
        <v>8590</v>
      </c>
      <c r="U3968" t="s">
        <v>8590</v>
      </c>
      <c r="V3968" t="s">
        <v>8590</v>
      </c>
      <c r="W3968">
        <v>6</v>
      </c>
      <c r="X3968" t="s">
        <v>12558</v>
      </c>
      <c r="Y3968">
        <v>0.5180982417523573</v>
      </c>
      <c r="Z3968" t="str">
        <f>HYPERLINK("Melting_Curves/meltCurve_tr_F5H8F7_F5H8F7_HUMAN_.pdf", "Melting_Curves/meltCurve_tr_F5H8F7_F5H8F7_HUMAN_.pdf")</f>
        <v>Melting_Curves/meltCurve_tr_F5H8F7_F5H8F7_HUMAN_.pdf</v>
      </c>
      <c r="AA3968" t="s">
        <v>16786</v>
      </c>
      <c r="AB3968" t="s">
        <v>21038</v>
      </c>
    </row>
    <row r="3969" spans="1:28" x14ac:dyDescent="0.25">
      <c r="A3969" t="s">
        <v>3973</v>
      </c>
      <c r="B3969">
        <v>0.99876560204751996</v>
      </c>
      <c r="C3969">
        <v>1.006762135562</v>
      </c>
      <c r="D3969">
        <v>0.95758893442500503</v>
      </c>
      <c r="E3969">
        <v>0.866249722355247</v>
      </c>
      <c r="F3969">
        <v>0.58702935173928805</v>
      </c>
      <c r="G3969">
        <v>0.18321985366895899</v>
      </c>
      <c r="H3969">
        <v>6.0985374048358E-2</v>
      </c>
      <c r="I3969">
        <v>3.7545385272708003E-2</v>
      </c>
      <c r="J3969">
        <v>2.8761165815872201E-2</v>
      </c>
      <c r="K3969">
        <v>2.5847923414651301E-2</v>
      </c>
      <c r="L3969">
        <v>1397.0948532044099</v>
      </c>
      <c r="M3969">
        <v>26.077254470499501</v>
      </c>
      <c r="N3969">
        <v>53.668518202978603</v>
      </c>
      <c r="O3969">
        <v>53.263140538952598</v>
      </c>
      <c r="P3969">
        <v>-0.119687395926614</v>
      </c>
      <c r="Q3969">
        <v>2.21586137826396E-2</v>
      </c>
      <c r="R3969">
        <v>0.99941758648312196</v>
      </c>
      <c r="S3969" t="s">
        <v>8265</v>
      </c>
      <c r="T3969" t="s">
        <v>8590</v>
      </c>
      <c r="U3969" t="s">
        <v>8590</v>
      </c>
      <c r="V3969" t="s">
        <v>8590</v>
      </c>
      <c r="W3969">
        <v>11</v>
      </c>
      <c r="X3969" t="s">
        <v>12559</v>
      </c>
      <c r="Y3969">
        <v>0.47299148786700201</v>
      </c>
      <c r="Z3969" t="str">
        <f>HYPERLINK("Melting_Curves/meltCurve_tr_F5H8H2_F5H8H2_HUMAN_.pdf", "Melting_Curves/meltCurve_tr_F5H8H2_F5H8H2_HUMAN_.pdf")</f>
        <v>Melting_Curves/meltCurve_tr_F5H8H2_F5H8H2_HUMAN_.pdf</v>
      </c>
      <c r="AA3969" t="s">
        <v>16787</v>
      </c>
      <c r="AB3969" t="s">
        <v>21039</v>
      </c>
    </row>
    <row r="3970" spans="1:28" x14ac:dyDescent="0.25">
      <c r="A3970" t="s">
        <v>3974</v>
      </c>
      <c r="B3970">
        <v>0.99876560204751996</v>
      </c>
      <c r="C3970">
        <v>0.98506178991680005</v>
      </c>
      <c r="D3970">
        <v>0.90028938605210496</v>
      </c>
      <c r="E3970">
        <v>0.80527168379411695</v>
      </c>
      <c r="F3970">
        <v>0.60196194766104305</v>
      </c>
      <c r="G3970">
        <v>0.23080730240149</v>
      </c>
      <c r="H3970">
        <v>8.8920797867248505E-2</v>
      </c>
      <c r="I3970">
        <v>6.1473752118965497E-2</v>
      </c>
      <c r="J3970">
        <v>4.2820611444831798E-2</v>
      </c>
      <c r="K3970">
        <v>3.2289050775868501E-2</v>
      </c>
      <c r="L3970">
        <v>1035.5481372220399</v>
      </c>
      <c r="M3970">
        <v>19.288136520652301</v>
      </c>
      <c r="N3970">
        <v>53.767131627314598</v>
      </c>
      <c r="O3970">
        <v>53.121244381094002</v>
      </c>
      <c r="P3970">
        <v>-8.9512676284988102E-2</v>
      </c>
      <c r="Q3970">
        <v>1.39336820250778E-2</v>
      </c>
      <c r="R3970">
        <v>0.99624121903575302</v>
      </c>
      <c r="S3970" t="s">
        <v>8266</v>
      </c>
      <c r="T3970" t="s">
        <v>8590</v>
      </c>
      <c r="U3970" t="s">
        <v>8590</v>
      </c>
      <c r="V3970" t="s">
        <v>8590</v>
      </c>
      <c r="W3970">
        <v>3</v>
      </c>
      <c r="X3970" t="s">
        <v>12560</v>
      </c>
      <c r="Y3970">
        <v>0.47813169205709938</v>
      </c>
      <c r="Z3970" t="str">
        <f>HYPERLINK("Melting_Curves/meltCurve_tr_F5H8H4_F5H8H4_HUMAN_.pdf", "Melting_Curves/meltCurve_tr_F5H8H4_F5H8H4_HUMAN_.pdf")</f>
        <v>Melting_Curves/meltCurve_tr_F5H8H4_F5H8H4_HUMAN_.pdf</v>
      </c>
      <c r="AA3970" t="s">
        <v>16788</v>
      </c>
      <c r="AB3970" t="s">
        <v>21040</v>
      </c>
    </row>
    <row r="3971" spans="1:28" x14ac:dyDescent="0.25">
      <c r="A3971" t="s">
        <v>3975</v>
      </c>
      <c r="B3971">
        <v>0.99876560204751996</v>
      </c>
      <c r="C3971">
        <v>1.0466828300790101</v>
      </c>
      <c r="D3971">
        <v>0.96760537499152199</v>
      </c>
      <c r="E3971">
        <v>1.0036909550283699</v>
      </c>
      <c r="F3971">
        <v>0.93083243799772197</v>
      </c>
      <c r="G3971">
        <v>0.55332984855956102</v>
      </c>
      <c r="H3971">
        <v>0.41299501311533998</v>
      </c>
      <c r="I3971">
        <v>0.40856158224315098</v>
      </c>
      <c r="J3971">
        <v>0.45422437130201598</v>
      </c>
      <c r="K3971">
        <v>0.423845349156798</v>
      </c>
      <c r="L3971">
        <v>2511.1836608612998</v>
      </c>
      <c r="M3971">
        <v>45.324365394037699</v>
      </c>
      <c r="N3971">
        <v>57.789937457648399</v>
      </c>
      <c r="O3971">
        <v>55.297186074058203</v>
      </c>
      <c r="P3971">
        <v>-0.118236094627305</v>
      </c>
      <c r="Q3971">
        <v>0.42299335005334499</v>
      </c>
      <c r="R3971">
        <v>0.99347087575614801</v>
      </c>
      <c r="S3971" t="s">
        <v>8267</v>
      </c>
      <c r="T3971" t="s">
        <v>8590</v>
      </c>
      <c r="U3971" t="s">
        <v>8590</v>
      </c>
      <c r="V3971" t="s">
        <v>8590</v>
      </c>
      <c r="W3971">
        <v>4</v>
      </c>
      <c r="X3971" t="s">
        <v>12561</v>
      </c>
      <c r="Y3971">
        <v>0.72099591656137441</v>
      </c>
      <c r="Z3971" t="str">
        <f>HYPERLINK("Melting_Curves/meltCurve_tr_F5H8L0_F5H8L0_HUMAN_.pdf", "Melting_Curves/meltCurve_tr_F5H8L0_F5H8L0_HUMAN_.pdf")</f>
        <v>Melting_Curves/meltCurve_tr_F5H8L0_F5H8L0_HUMAN_.pdf</v>
      </c>
      <c r="AA3971" t="s">
        <v>16789</v>
      </c>
      <c r="AB3971" t="s">
        <v>21041</v>
      </c>
    </row>
    <row r="3972" spans="1:28" x14ac:dyDescent="0.25">
      <c r="A3972" t="s">
        <v>3976</v>
      </c>
      <c r="B3972">
        <v>0.99876560204751996</v>
      </c>
      <c r="C3972">
        <v>1.25960890011078</v>
      </c>
      <c r="D3972">
        <v>1.3034210760616001</v>
      </c>
      <c r="E3972">
        <v>1.09727213176537</v>
      </c>
      <c r="F3972">
        <v>1.4098086119839399</v>
      </c>
      <c r="G3972">
        <v>0.93642283616137101</v>
      </c>
      <c r="H3972">
        <v>0.83266301439682</v>
      </c>
      <c r="I3972">
        <v>1.2592950025090399</v>
      </c>
      <c r="J3972">
        <v>1.3252757693761099</v>
      </c>
      <c r="K3972">
        <v>1.5209746315504999</v>
      </c>
      <c r="L3972">
        <v>123.53260647085099</v>
      </c>
      <c r="M3972">
        <v>1.82946033392359</v>
      </c>
      <c r="Q3972">
        <v>1.5</v>
      </c>
      <c r="R3972">
        <v>5.5182938718468202E-2</v>
      </c>
      <c r="S3972" t="s">
        <v>8268</v>
      </c>
      <c r="T3972" t="s">
        <v>8590</v>
      </c>
      <c r="U3972" t="s">
        <v>8590</v>
      </c>
      <c r="V3972" t="s">
        <v>8590</v>
      </c>
      <c r="W3972">
        <v>1</v>
      </c>
      <c r="X3972" t="s">
        <v>12562</v>
      </c>
      <c r="Y3972">
        <v>1.1937403659892041</v>
      </c>
      <c r="Z3972" t="str">
        <f>HYPERLINK("Melting_Curves/meltCurve_tr_F6PQP6_F6PQP6_HUMAN_.pdf", "Melting_Curves/meltCurve_tr_F6PQP6_F6PQP6_HUMAN_.pdf")</f>
        <v>Melting_Curves/meltCurve_tr_F6PQP6_F6PQP6_HUMAN_.pdf</v>
      </c>
      <c r="AA3972" t="s">
        <v>16790</v>
      </c>
      <c r="AB3972" t="s">
        <v>21042</v>
      </c>
    </row>
    <row r="3973" spans="1:28" x14ac:dyDescent="0.25">
      <c r="A3973" t="s">
        <v>3977</v>
      </c>
      <c r="B3973">
        <v>0.99876560204751996</v>
      </c>
      <c r="C3973">
        <v>1.10841414338713</v>
      </c>
      <c r="D3973">
        <v>1.0668293586989599</v>
      </c>
      <c r="E3973">
        <v>1.1079805962768301</v>
      </c>
      <c r="F3973">
        <v>0.87911714065747604</v>
      </c>
      <c r="G3973">
        <v>0.45524583173314498</v>
      </c>
      <c r="H3973">
        <v>0.33289704965247002</v>
      </c>
      <c r="I3973">
        <v>0.32346738841494399</v>
      </c>
      <c r="J3973">
        <v>0.34712531836141902</v>
      </c>
      <c r="K3973">
        <v>0.34468892808186302</v>
      </c>
      <c r="L3973">
        <v>2509.8440319301899</v>
      </c>
      <c r="M3973">
        <v>45.657277870144497</v>
      </c>
      <c r="N3973">
        <v>56.351396468557901</v>
      </c>
      <c r="O3973">
        <v>54.866245341247598</v>
      </c>
      <c r="P3973">
        <v>-0.138023197276294</v>
      </c>
      <c r="Q3973">
        <v>0.336552190366048</v>
      </c>
      <c r="R3973">
        <v>0.97417886496876704</v>
      </c>
      <c r="S3973" t="s">
        <v>8269</v>
      </c>
      <c r="T3973" t="s">
        <v>8590</v>
      </c>
      <c r="U3973" t="s">
        <v>8590</v>
      </c>
      <c r="V3973" t="s">
        <v>8590</v>
      </c>
      <c r="W3973">
        <v>1</v>
      </c>
      <c r="X3973" t="s">
        <v>12563</v>
      </c>
      <c r="Y3973">
        <v>0.66957235164242845</v>
      </c>
      <c r="Z3973" t="str">
        <f>HYPERLINK("Melting_Curves/meltCurve_tr_F6RY50_F6RY50_HUMAN_.pdf", "Melting_Curves/meltCurve_tr_F6RY50_F6RY50_HUMAN_.pdf")</f>
        <v>Melting_Curves/meltCurve_tr_F6RY50_F6RY50_HUMAN_.pdf</v>
      </c>
      <c r="AA3973" t="s">
        <v>16791</v>
      </c>
      <c r="AB3973" t="s">
        <v>21043</v>
      </c>
    </row>
    <row r="3974" spans="1:28" x14ac:dyDescent="0.25">
      <c r="A3974" t="s">
        <v>3978</v>
      </c>
      <c r="B3974">
        <v>0.99876560204751996</v>
      </c>
      <c r="C3974">
        <v>0.89303376470042095</v>
      </c>
      <c r="D3974">
        <v>0.81392914909006098</v>
      </c>
      <c r="E3974">
        <v>0.70380772476305997</v>
      </c>
      <c r="F3974">
        <v>0.25903174660159001</v>
      </c>
      <c r="G3974">
        <v>0.16070452714792699</v>
      </c>
      <c r="H3974">
        <v>0.10157688884624901</v>
      </c>
      <c r="I3974">
        <v>8.5683716026276793E-2</v>
      </c>
      <c r="J3974">
        <v>7.1558360635697996E-2</v>
      </c>
      <c r="K3974">
        <v>5.8488795406805197E-2</v>
      </c>
      <c r="L3974">
        <v>929.69121229721895</v>
      </c>
      <c r="M3974">
        <v>18.331501057762601</v>
      </c>
      <c r="N3974">
        <v>51.028928592249898</v>
      </c>
      <c r="O3974">
        <v>50.123530342328898</v>
      </c>
      <c r="P3974">
        <v>-8.6567409267374704E-2</v>
      </c>
      <c r="Q3974">
        <v>5.32439360085422E-2</v>
      </c>
      <c r="R3974">
        <v>0.97715052817616099</v>
      </c>
      <c r="S3974" t="s">
        <v>8270</v>
      </c>
      <c r="T3974" t="s">
        <v>8590</v>
      </c>
      <c r="U3974" t="s">
        <v>8590</v>
      </c>
      <c r="V3974" t="s">
        <v>8590</v>
      </c>
      <c r="W3974">
        <v>13</v>
      </c>
      <c r="X3974" t="s">
        <v>12564</v>
      </c>
      <c r="Y3974">
        <v>0.40688692290064138</v>
      </c>
      <c r="Z3974" t="str">
        <f>HYPERLINK("Melting_Curves/meltCurve_tr_F6T1Q0_F6T1Q0_HUMAN_.pdf", "Melting_Curves/meltCurve_tr_F6T1Q0_F6T1Q0_HUMAN_.pdf")</f>
        <v>Melting_Curves/meltCurve_tr_F6T1Q0_F6T1Q0_HUMAN_.pdf</v>
      </c>
      <c r="AA3974" t="s">
        <v>16792</v>
      </c>
      <c r="AB3974" t="s">
        <v>21044</v>
      </c>
    </row>
    <row r="3975" spans="1:28" x14ac:dyDescent="0.25">
      <c r="A3975" t="s">
        <v>3979</v>
      </c>
      <c r="B3975">
        <v>0.99876560204751996</v>
      </c>
      <c r="C3975">
        <v>1.0099996091540899</v>
      </c>
      <c r="D3975">
        <v>0.886478533273515</v>
      </c>
      <c r="E3975">
        <v>0.68808098169604603</v>
      </c>
      <c r="F3975">
        <v>0.40576412250357302</v>
      </c>
      <c r="G3975">
        <v>0.13459187176281701</v>
      </c>
      <c r="H3975">
        <v>9.9232186083551693E-2</v>
      </c>
      <c r="I3975">
        <v>0.11173334438165</v>
      </c>
      <c r="J3975">
        <v>0.16579781814150199</v>
      </c>
      <c r="K3975">
        <v>9.2644503624698601E-2</v>
      </c>
      <c r="L3975">
        <v>1183.5997922106701</v>
      </c>
      <c r="M3975">
        <v>23.1009431820172</v>
      </c>
      <c r="N3975">
        <v>51.744144024108898</v>
      </c>
      <c r="O3975">
        <v>50.856663943364701</v>
      </c>
      <c r="P3975">
        <v>-0.102036448700115</v>
      </c>
      <c r="Q3975">
        <v>0.101484302382382</v>
      </c>
      <c r="R3975">
        <v>0.99273808295203103</v>
      </c>
      <c r="S3975" t="s">
        <v>8271</v>
      </c>
      <c r="T3975" t="s">
        <v>8590</v>
      </c>
      <c r="U3975" t="s">
        <v>8590</v>
      </c>
      <c r="V3975" t="s">
        <v>8590</v>
      </c>
      <c r="W3975">
        <v>4</v>
      </c>
      <c r="X3975" t="s">
        <v>12565</v>
      </c>
      <c r="Y3975">
        <v>0.4474967585144049</v>
      </c>
      <c r="Z3975" t="str">
        <f>HYPERLINK("Melting_Curves/meltCurve_tr_F6TQG2_F6TQG2_HUMAN_.pdf", "Melting_Curves/meltCurve_tr_F6TQG2_F6TQG2_HUMAN_.pdf")</f>
        <v>Melting_Curves/meltCurve_tr_F6TQG2_F6TQG2_HUMAN_.pdf</v>
      </c>
      <c r="AA3975" t="s">
        <v>16793</v>
      </c>
      <c r="AB3975" t="s">
        <v>21045</v>
      </c>
    </row>
    <row r="3976" spans="1:28" x14ac:dyDescent="0.25">
      <c r="A3976" t="s">
        <v>3980</v>
      </c>
      <c r="B3976">
        <v>0.99876560204751996</v>
      </c>
      <c r="C3976">
        <v>1.1247928198682999</v>
      </c>
      <c r="D3976">
        <v>1.0888496755285</v>
      </c>
      <c r="E3976">
        <v>0.79603880893426504</v>
      </c>
      <c r="F3976">
        <v>0.86948052159780898</v>
      </c>
      <c r="G3976">
        <v>0.598883664074634</v>
      </c>
      <c r="H3976">
        <v>0.53311062496736505</v>
      </c>
      <c r="I3976">
        <v>0.44397221322642699</v>
      </c>
      <c r="J3976">
        <v>0.43619730295181203</v>
      </c>
      <c r="K3976">
        <v>0.43357248582878599</v>
      </c>
      <c r="L3976">
        <v>958.46704569232304</v>
      </c>
      <c r="M3976">
        <v>17.391997380622801</v>
      </c>
      <c r="N3976">
        <v>61.318837028110501</v>
      </c>
      <c r="O3976">
        <v>54.396566337498903</v>
      </c>
      <c r="P3976">
        <v>-4.6836591752643E-2</v>
      </c>
      <c r="Q3976">
        <v>0.41407410736272698</v>
      </c>
      <c r="R3976">
        <v>0.93032443537208898</v>
      </c>
      <c r="S3976" t="s">
        <v>8272</v>
      </c>
      <c r="T3976" t="s">
        <v>8590</v>
      </c>
      <c r="U3976" t="s">
        <v>8590</v>
      </c>
      <c r="V3976" t="s">
        <v>8590</v>
      </c>
      <c r="W3976">
        <v>1</v>
      </c>
      <c r="X3976" t="s">
        <v>12566</v>
      </c>
      <c r="Y3976">
        <v>0.71861647738734979</v>
      </c>
      <c r="Z3976" t="str">
        <f>HYPERLINK("Melting_Curves/meltCurve_tr_F6U1T9_F6U1T9_HUMAN_.pdf", "Melting_Curves/meltCurve_tr_F6U1T9_F6U1T9_HUMAN_.pdf")</f>
        <v>Melting_Curves/meltCurve_tr_F6U1T9_F6U1T9_HUMAN_.pdf</v>
      </c>
      <c r="AA3976" t="s">
        <v>16794</v>
      </c>
      <c r="AB3976" t="s">
        <v>21046</v>
      </c>
    </row>
    <row r="3977" spans="1:28" x14ac:dyDescent="0.25">
      <c r="A3977" t="s">
        <v>3981</v>
      </c>
      <c r="B3977">
        <v>0.99876560204751996</v>
      </c>
      <c r="C3977">
        <v>1.1985615256734701</v>
      </c>
      <c r="D3977">
        <v>0.95813427444730204</v>
      </c>
      <c r="E3977">
        <v>1.2428662002813</v>
      </c>
      <c r="F3977">
        <v>1.0157439161764501</v>
      </c>
      <c r="G3977">
        <v>0.77890170962185601</v>
      </c>
      <c r="H3977">
        <v>0.56631534625874203</v>
      </c>
      <c r="I3977">
        <v>0.39797915882256601</v>
      </c>
      <c r="J3977">
        <v>0.17840832691546299</v>
      </c>
      <c r="K3977">
        <v>0.16987165201465301</v>
      </c>
      <c r="L3977">
        <v>1304.7439526912401</v>
      </c>
      <c r="M3977">
        <v>21.332907551693399</v>
      </c>
      <c r="N3977">
        <v>61.815744437352201</v>
      </c>
      <c r="O3977">
        <v>60.631279705708501</v>
      </c>
      <c r="P3977">
        <v>-7.9069976296163594E-2</v>
      </c>
      <c r="Q3977">
        <v>0.101108559514331</v>
      </c>
      <c r="R3977">
        <v>0.92054685061626296</v>
      </c>
      <c r="S3977" t="s">
        <v>8273</v>
      </c>
      <c r="T3977" t="s">
        <v>8590</v>
      </c>
      <c r="U3977" t="s">
        <v>8590</v>
      </c>
      <c r="V3977" t="s">
        <v>8590</v>
      </c>
      <c r="W3977">
        <v>6</v>
      </c>
      <c r="X3977" t="s">
        <v>12567</v>
      </c>
      <c r="Y3977">
        <v>0.74050457694668548</v>
      </c>
      <c r="Z3977" t="str">
        <f>HYPERLINK("Melting_Curves/meltCurve_tr_F6XY72_F6XY72_HUMAN_.pdf", "Melting_Curves/meltCurve_tr_F6XY72_F6XY72_HUMAN_.pdf")</f>
        <v>Melting_Curves/meltCurve_tr_F6XY72_F6XY72_HUMAN_.pdf</v>
      </c>
      <c r="AA3977" t="s">
        <v>13704</v>
      </c>
      <c r="AB3977" t="s">
        <v>20862</v>
      </c>
    </row>
    <row r="3978" spans="1:28" x14ac:dyDescent="0.25">
      <c r="A3978" t="s">
        <v>3982</v>
      </c>
      <c r="B3978">
        <v>0.99876560204751996</v>
      </c>
      <c r="C3978">
        <v>1.0604610831482999</v>
      </c>
      <c r="D3978">
        <v>1.16130310247226</v>
      </c>
      <c r="E3978">
        <v>1.0565053252073899</v>
      </c>
      <c r="F3978">
        <v>0.97817312856016003</v>
      </c>
      <c r="G3978">
        <v>0.75164658931554895</v>
      </c>
      <c r="H3978">
        <v>0.73375951437470299</v>
      </c>
      <c r="I3978">
        <v>0.73434608610951502</v>
      </c>
      <c r="J3978">
        <v>0.97036252212338003</v>
      </c>
      <c r="K3978">
        <v>0.88076502009760105</v>
      </c>
      <c r="L3978">
        <v>13356.885308458601</v>
      </c>
      <c r="M3978">
        <v>250</v>
      </c>
      <c r="O3978">
        <v>53.4241224166527</v>
      </c>
      <c r="P3978">
        <v>-0.21739249982544501</v>
      </c>
      <c r="Q3978">
        <v>0.81417594451221997</v>
      </c>
      <c r="R3978">
        <v>0.61948742052265704</v>
      </c>
      <c r="S3978" t="s">
        <v>8274</v>
      </c>
      <c r="T3978" t="s">
        <v>8590</v>
      </c>
      <c r="U3978" t="s">
        <v>8590</v>
      </c>
      <c r="V3978" t="s">
        <v>8590</v>
      </c>
      <c r="W3978">
        <v>4</v>
      </c>
      <c r="X3978" t="s">
        <v>12568</v>
      </c>
      <c r="Y3978">
        <v>0.89736537378917736</v>
      </c>
      <c r="Z3978" t="str">
        <f>HYPERLINK("Melting_Curves/meltCurve_tr_F8VQR7_F8VQR7_HUMAN_.pdf", "Melting_Curves/meltCurve_tr_F8VQR7_F8VQR7_HUMAN_.pdf")</f>
        <v>Melting_Curves/meltCurve_tr_F8VQR7_F8VQR7_HUMAN_.pdf</v>
      </c>
      <c r="AA3978" t="s">
        <v>16795</v>
      </c>
      <c r="AB3978" t="s">
        <v>21047</v>
      </c>
    </row>
    <row r="3979" spans="1:28" x14ac:dyDescent="0.25">
      <c r="A3979" t="s">
        <v>3983</v>
      </c>
      <c r="B3979">
        <v>0.99876560204751996</v>
      </c>
      <c r="C3979">
        <v>1.0209885251945201</v>
      </c>
      <c r="D3979">
        <v>0.61335601928017602</v>
      </c>
      <c r="E3979">
        <v>0.35650763806001501</v>
      </c>
      <c r="F3979">
        <v>0.13599050436301699</v>
      </c>
      <c r="G3979">
        <v>5.6569408428978202E-2</v>
      </c>
      <c r="H3979">
        <v>3.5464654946188098E-2</v>
      </c>
      <c r="I3979">
        <v>2.7050187864429299E-2</v>
      </c>
      <c r="J3979">
        <v>2.1146283495535999E-2</v>
      </c>
      <c r="K3979">
        <v>2.0196149446595799E-2</v>
      </c>
      <c r="L3979">
        <v>968.88529809659894</v>
      </c>
      <c r="M3979">
        <v>20.2573866668662</v>
      </c>
      <c r="N3979">
        <v>47.939080315084503</v>
      </c>
      <c r="O3979">
        <v>47.369965358833298</v>
      </c>
      <c r="P3979">
        <v>-0.10447846437378</v>
      </c>
      <c r="Q3979">
        <v>2.2778571556009399E-2</v>
      </c>
      <c r="R3979">
        <v>0.98560970402658199</v>
      </c>
      <c r="S3979" t="s">
        <v>8275</v>
      </c>
      <c r="T3979" t="s">
        <v>8590</v>
      </c>
      <c r="U3979" t="s">
        <v>8590</v>
      </c>
      <c r="V3979" t="s">
        <v>8590</v>
      </c>
      <c r="W3979">
        <v>5</v>
      </c>
      <c r="X3979" t="s">
        <v>12569</v>
      </c>
      <c r="Y3979">
        <v>0.29135664864100902</v>
      </c>
      <c r="Z3979" t="str">
        <f>HYPERLINK("Melting_Curves/meltCurve_tr_F8VQX6_F8VQX6_HUMAN_.pdf", "Melting_Curves/meltCurve_tr_F8VQX6_F8VQX6_HUMAN_.pdf")</f>
        <v>Melting_Curves/meltCurve_tr_F8VQX6_F8VQX6_HUMAN_.pdf</v>
      </c>
      <c r="AA3979" t="s">
        <v>16796</v>
      </c>
      <c r="AB3979" t="s">
        <v>21048</v>
      </c>
    </row>
    <row r="3980" spans="1:28" x14ac:dyDescent="0.25">
      <c r="A3980" t="s">
        <v>3984</v>
      </c>
      <c r="B3980">
        <v>0.99876560204751996</v>
      </c>
      <c r="C3980">
        <v>0.87902416418677798</v>
      </c>
      <c r="D3980">
        <v>0.98941263396098</v>
      </c>
      <c r="E3980">
        <v>0.96040659806140305</v>
      </c>
      <c r="F3980">
        <v>1.1437682785621099</v>
      </c>
      <c r="G3980">
        <v>0.75073085472262702</v>
      </c>
      <c r="H3980">
        <v>0.83017025282168799</v>
      </c>
      <c r="I3980">
        <v>0.73998455028941501</v>
      </c>
      <c r="J3980">
        <v>0.99980107056535195</v>
      </c>
      <c r="K3980">
        <v>1.2677131651415201</v>
      </c>
      <c r="L3980">
        <v>15000</v>
      </c>
      <c r="M3980">
        <v>214.42765682601299</v>
      </c>
      <c r="O3980">
        <v>69.947576511643902</v>
      </c>
      <c r="P3980">
        <v>0.38319349913059603</v>
      </c>
      <c r="Q3980">
        <v>1.5</v>
      </c>
      <c r="R3980">
        <v>0.21096721191910101</v>
      </c>
      <c r="S3980" t="s">
        <v>8276</v>
      </c>
      <c r="T3980" t="s">
        <v>8590</v>
      </c>
      <c r="U3980" t="s">
        <v>8590</v>
      </c>
      <c r="V3980" t="s">
        <v>8590</v>
      </c>
      <c r="W3980">
        <v>1</v>
      </c>
      <c r="X3980" t="s">
        <v>12570</v>
      </c>
      <c r="Y3980">
        <v>1.004127561046595</v>
      </c>
      <c r="Z3980" t="str">
        <f>HYPERLINK("Melting_Curves/meltCurve_tr_F8VRD9_F8VRD9_HUMAN_.pdf", "Melting_Curves/meltCurve_tr_F8VRD9_F8VRD9_HUMAN_.pdf")</f>
        <v>Melting_Curves/meltCurve_tr_F8VRD9_F8VRD9_HUMAN_.pdf</v>
      </c>
      <c r="AA3980" t="s">
        <v>16797</v>
      </c>
      <c r="AB3980" t="s">
        <v>21049</v>
      </c>
    </row>
    <row r="3981" spans="1:28" x14ac:dyDescent="0.25">
      <c r="A3981" t="s">
        <v>3985</v>
      </c>
      <c r="B3981">
        <v>0.99876560204751996</v>
      </c>
      <c r="C3981">
        <v>1.04095732721707</v>
      </c>
      <c r="D3981">
        <v>0.78125809253012002</v>
      </c>
      <c r="E3981">
        <v>0.94276439140724599</v>
      </c>
      <c r="F3981">
        <v>0.72040336854645104</v>
      </c>
      <c r="G3981">
        <v>0.45161941457320098</v>
      </c>
      <c r="H3981">
        <v>0.43582091493631803</v>
      </c>
      <c r="I3981">
        <v>0.34982178099157801</v>
      </c>
      <c r="J3981">
        <v>0.30954481814335599</v>
      </c>
      <c r="K3981">
        <v>0.33649833816539898</v>
      </c>
      <c r="L3981">
        <v>908.75035543170497</v>
      </c>
      <c r="M3981">
        <v>16.8151299907972</v>
      </c>
      <c r="N3981">
        <v>57.2585849500854</v>
      </c>
      <c r="O3981">
        <v>53.296614021457103</v>
      </c>
      <c r="P3981">
        <v>-5.4782909854022302E-2</v>
      </c>
      <c r="Q3981">
        <v>0.30549324422489899</v>
      </c>
      <c r="R3981">
        <v>0.935792644932536</v>
      </c>
      <c r="S3981" t="s">
        <v>8277</v>
      </c>
      <c r="T3981" t="s">
        <v>8590</v>
      </c>
      <c r="U3981" t="s">
        <v>8590</v>
      </c>
      <c r="V3981" t="s">
        <v>8590</v>
      </c>
      <c r="W3981">
        <v>1</v>
      </c>
      <c r="X3981" t="s">
        <v>12571</v>
      </c>
      <c r="Y3981">
        <v>0.64284351883425406</v>
      </c>
      <c r="Z3981" t="str">
        <f>HYPERLINK("Melting_Curves/meltCurve_tr_F8VSL3_F8VSL3_HUMAN_.pdf", "Melting_Curves/meltCurve_tr_F8VSL3_F8VSL3_HUMAN_.pdf")</f>
        <v>Melting_Curves/meltCurve_tr_F8VSL3_F8VSL3_HUMAN_.pdf</v>
      </c>
      <c r="AA3981" t="s">
        <v>16798</v>
      </c>
      <c r="AB3981" t="s">
        <v>21050</v>
      </c>
    </row>
    <row r="3982" spans="1:28" x14ac:dyDescent="0.25">
      <c r="A3982" t="s">
        <v>3986</v>
      </c>
      <c r="B3982">
        <v>0.99876560204751996</v>
      </c>
      <c r="C3982">
        <v>1.0881579003180999</v>
      </c>
      <c r="D3982">
        <v>0.956223108652554</v>
      </c>
      <c r="E3982">
        <v>0.72956623295915901</v>
      </c>
      <c r="F3982">
        <v>0.473959152866052</v>
      </c>
      <c r="G3982">
        <v>0.232161870689433</v>
      </c>
      <c r="H3982">
        <v>0.110403193625237</v>
      </c>
      <c r="I3982">
        <v>7.2459417487754196E-2</v>
      </c>
      <c r="J3982">
        <v>7.6454364572569405E-2</v>
      </c>
      <c r="K3982">
        <v>5.9818032808939499E-2</v>
      </c>
      <c r="L3982">
        <v>1066.6933727394601</v>
      </c>
      <c r="M3982">
        <v>20.350054875137399</v>
      </c>
      <c r="N3982">
        <v>52.748837160716697</v>
      </c>
      <c r="O3982">
        <v>51.918931605065403</v>
      </c>
      <c r="P3982">
        <v>-9.2108666948653203E-2</v>
      </c>
      <c r="Q3982">
        <v>6.0044159084023503E-2</v>
      </c>
      <c r="R3982">
        <v>0.99356528879977801</v>
      </c>
      <c r="S3982" t="s">
        <v>8278</v>
      </c>
      <c r="T3982" t="s">
        <v>8590</v>
      </c>
      <c r="U3982" t="s">
        <v>8590</v>
      </c>
      <c r="V3982" t="s">
        <v>8590</v>
      </c>
      <c r="W3982">
        <v>5</v>
      </c>
      <c r="X3982" t="s">
        <v>12572</v>
      </c>
      <c r="Y3982">
        <v>0.46168871042410248</v>
      </c>
      <c r="Z3982" t="str">
        <f>HYPERLINK("Melting_Curves/meltCurve_tr_F8VU65_F8VU65_HUMAN_.pdf", "Melting_Curves/meltCurve_tr_F8VU65_F8VU65_HUMAN_.pdf")</f>
        <v>Melting_Curves/meltCurve_tr_F8VU65_F8VU65_HUMAN_.pdf</v>
      </c>
      <c r="AA3982" t="s">
        <v>16799</v>
      </c>
      <c r="AB3982" t="s">
        <v>21051</v>
      </c>
    </row>
    <row r="3983" spans="1:28" x14ac:dyDescent="0.25">
      <c r="A3983" t="s">
        <v>3987</v>
      </c>
      <c r="B3983">
        <v>0.99876560204751996</v>
      </c>
      <c r="C3983">
        <v>1.1496810095363199</v>
      </c>
      <c r="D3983">
        <v>0.98968657775051105</v>
      </c>
      <c r="E3983">
        <v>0.77249276586743798</v>
      </c>
      <c r="F3983">
        <v>0.60087327191701601</v>
      </c>
      <c r="G3983">
        <v>0.32150173796421999</v>
      </c>
      <c r="H3983">
        <v>0.247854769185511</v>
      </c>
      <c r="I3983">
        <v>0.17027291828284399</v>
      </c>
      <c r="J3983">
        <v>0.126765124451821</v>
      </c>
      <c r="K3983">
        <v>0.151961564691517</v>
      </c>
      <c r="L3983">
        <v>1028.4137823712499</v>
      </c>
      <c r="M3983">
        <v>19.313639886255999</v>
      </c>
      <c r="N3983">
        <v>54.1769095099244</v>
      </c>
      <c r="O3983">
        <v>52.6870568806318</v>
      </c>
      <c r="P3983">
        <v>-7.8729667091465005E-2</v>
      </c>
      <c r="Q3983">
        <v>0.14094299188156201</v>
      </c>
      <c r="R3983">
        <v>0.97925720320361498</v>
      </c>
      <c r="S3983" t="s">
        <v>8279</v>
      </c>
      <c r="T3983" t="s">
        <v>8590</v>
      </c>
      <c r="U3983" t="s">
        <v>8590</v>
      </c>
      <c r="V3983" t="s">
        <v>8590</v>
      </c>
      <c r="W3983">
        <v>2</v>
      </c>
      <c r="X3983" t="s">
        <v>12573</v>
      </c>
      <c r="Y3983">
        <v>0.53279868044168976</v>
      </c>
      <c r="Z3983" t="str">
        <f>HYPERLINK("Melting_Curves/meltCurve_tr_F8VUA6_F8VUA6_HUMAN_.pdf", "Melting_Curves/meltCurve_tr_F8VUA6_F8VUA6_HUMAN_.pdf")</f>
        <v>Melting_Curves/meltCurve_tr_F8VUA6_F8VUA6_HUMAN_.pdf</v>
      </c>
      <c r="AA3983" t="s">
        <v>16800</v>
      </c>
      <c r="AB3983" t="s">
        <v>21052</v>
      </c>
    </row>
    <row r="3984" spans="1:28" x14ac:dyDescent="0.25">
      <c r="A3984" t="s">
        <v>3988</v>
      </c>
      <c r="B3984">
        <v>0.99876560204751996</v>
      </c>
      <c r="C3984">
        <v>1.1634734030734699</v>
      </c>
      <c r="D3984">
        <v>0.54717653458896198</v>
      </c>
      <c r="E3984">
        <v>0.399128224125953</v>
      </c>
      <c r="F3984">
        <v>0.14508639236909601</v>
      </c>
      <c r="G3984">
        <v>8.3417603232542006E-2</v>
      </c>
      <c r="H3984">
        <v>5.9295630862902203E-2</v>
      </c>
      <c r="I3984">
        <v>9.6476956225224397E-2</v>
      </c>
      <c r="J3984">
        <v>0</v>
      </c>
      <c r="K3984">
        <v>0</v>
      </c>
      <c r="L3984">
        <v>1006.41747296065</v>
      </c>
      <c r="M3984">
        <v>21.034277459285601</v>
      </c>
      <c r="N3984">
        <v>48.047767980877097</v>
      </c>
      <c r="O3984">
        <v>47.4203816009043</v>
      </c>
      <c r="P3984">
        <v>-0.10621994355249</v>
      </c>
      <c r="Q3984">
        <v>4.2162310990182299E-2</v>
      </c>
      <c r="R3984">
        <v>0.93945988729584196</v>
      </c>
      <c r="S3984" t="s">
        <v>8280</v>
      </c>
      <c r="T3984" t="s">
        <v>8590</v>
      </c>
      <c r="U3984" t="s">
        <v>8590</v>
      </c>
      <c r="V3984" t="s">
        <v>8590</v>
      </c>
      <c r="W3984">
        <v>3</v>
      </c>
      <c r="X3984" t="s">
        <v>12574</v>
      </c>
      <c r="Y3984">
        <v>0.30494811340766431</v>
      </c>
      <c r="Z3984" t="str">
        <f>HYPERLINK("Melting_Curves/meltCurve_tr_F8VVM2_F8VVM2_HUMAN_.pdf", "Melting_Curves/meltCurve_tr_F8VVM2_F8VVM2_HUMAN_.pdf")</f>
        <v>Melting_Curves/meltCurve_tr_F8VVM2_F8VVM2_HUMAN_.pdf</v>
      </c>
      <c r="AA3984" t="s">
        <v>16801</v>
      </c>
      <c r="AB3984" t="s">
        <v>21053</v>
      </c>
    </row>
    <row r="3985" spans="1:28" x14ac:dyDescent="0.25">
      <c r="A3985" t="s">
        <v>3989</v>
      </c>
      <c r="B3985">
        <v>0.99876560204751996</v>
      </c>
      <c r="C3985">
        <v>0.93233370090025103</v>
      </c>
      <c r="D3985">
        <v>0.577656981767523</v>
      </c>
      <c r="E3985">
        <v>0.55125750793678796</v>
      </c>
      <c r="F3985">
        <v>0.70162817702543601</v>
      </c>
      <c r="G3985">
        <v>0.19197197629049401</v>
      </c>
      <c r="H3985">
        <v>0</v>
      </c>
      <c r="I3985">
        <v>0</v>
      </c>
      <c r="J3985">
        <v>0</v>
      </c>
      <c r="K3985">
        <v>0</v>
      </c>
      <c r="L3985">
        <v>601.94198405048303</v>
      </c>
      <c r="M3985">
        <v>11.748252484573699</v>
      </c>
      <c r="N3985">
        <v>51.236725222671097</v>
      </c>
      <c r="O3985">
        <v>49.819790302337097</v>
      </c>
      <c r="P3985">
        <v>-5.8969172575257502E-2</v>
      </c>
      <c r="Q3985">
        <v>0</v>
      </c>
      <c r="R3985">
        <v>0.88491498987905104</v>
      </c>
      <c r="S3985" t="s">
        <v>8281</v>
      </c>
      <c r="T3985" t="s">
        <v>8590</v>
      </c>
      <c r="U3985" t="s">
        <v>8590</v>
      </c>
      <c r="V3985" t="s">
        <v>8590</v>
      </c>
      <c r="W3985">
        <v>2</v>
      </c>
      <c r="X3985" t="s">
        <v>12575</v>
      </c>
      <c r="Y3985">
        <v>0.40766004780746867</v>
      </c>
      <c r="Z3985" t="str">
        <f>HYPERLINK("Melting_Curves/meltCurve_tr_F8VVX6_F8VVX6_HUMAN_.pdf", "Melting_Curves/meltCurve_tr_F8VVX6_F8VVX6_HUMAN_.pdf")</f>
        <v>Melting_Curves/meltCurve_tr_F8VVX6_F8VVX6_HUMAN_.pdf</v>
      </c>
      <c r="AA3985" t="s">
        <v>16802</v>
      </c>
      <c r="AB3985" t="s">
        <v>21054</v>
      </c>
    </row>
    <row r="3986" spans="1:28" x14ac:dyDescent="0.25">
      <c r="A3986" t="s">
        <v>3990</v>
      </c>
      <c r="B3986">
        <v>0.99876560204751996</v>
      </c>
      <c r="C3986">
        <v>0.88004579672372696</v>
      </c>
      <c r="D3986">
        <v>0.82957762534397705</v>
      </c>
      <c r="E3986">
        <v>0.64420824510244001</v>
      </c>
      <c r="F3986">
        <v>0.40333211370722</v>
      </c>
      <c r="G3986">
        <v>0.23869577573700199</v>
      </c>
      <c r="H3986">
        <v>7.6318257900483397E-2</v>
      </c>
      <c r="I3986">
        <v>8.5112370393137807E-2</v>
      </c>
      <c r="J3986">
        <v>0.13499537417368801</v>
      </c>
      <c r="K3986">
        <v>5.5989827584020602E-2</v>
      </c>
      <c r="L3986">
        <v>707.28386161341598</v>
      </c>
      <c r="M3986">
        <v>13.785893886743199</v>
      </c>
      <c r="N3986">
        <v>51.599866990282401</v>
      </c>
      <c r="O3986">
        <v>50.261471091262798</v>
      </c>
      <c r="P3986">
        <v>-6.5981919260023794E-2</v>
      </c>
      <c r="Q3986">
        <v>3.7890813394254402E-2</v>
      </c>
      <c r="R3986">
        <v>0.98961466417796695</v>
      </c>
      <c r="S3986" t="s">
        <v>8282</v>
      </c>
      <c r="T3986" t="s">
        <v>8590</v>
      </c>
      <c r="U3986" t="s">
        <v>8590</v>
      </c>
      <c r="V3986" t="s">
        <v>8590</v>
      </c>
      <c r="W3986">
        <v>1</v>
      </c>
      <c r="X3986" t="s">
        <v>12576</v>
      </c>
      <c r="Y3986">
        <v>0.42558694810268671</v>
      </c>
      <c r="Z3986" t="str">
        <f>HYPERLINK("Melting_Curves/meltCurve_tr_F8VWA5_F8VWA5_HUMAN_.pdf", "Melting_Curves/meltCurve_tr_F8VWA5_F8VWA5_HUMAN_.pdf")</f>
        <v>Melting_Curves/meltCurve_tr_F8VWA5_F8VWA5_HUMAN_.pdf</v>
      </c>
      <c r="AA3986" t="s">
        <v>16803</v>
      </c>
      <c r="AB3986" t="s">
        <v>21055</v>
      </c>
    </row>
    <row r="3987" spans="1:28" x14ac:dyDescent="0.25">
      <c r="A3987" t="s">
        <v>3991</v>
      </c>
      <c r="B3987">
        <v>0.99876560204751996</v>
      </c>
      <c r="C3987">
        <v>0.98674405248220298</v>
      </c>
      <c r="D3987">
        <v>0.88409958044977399</v>
      </c>
      <c r="E3987">
        <v>0.63248693577833803</v>
      </c>
      <c r="F3987">
        <v>0.21671009603966501</v>
      </c>
      <c r="G3987">
        <v>0.121742164594893</v>
      </c>
      <c r="H3987">
        <v>8.2438062835580098E-2</v>
      </c>
      <c r="I3987">
        <v>6.9176029813901196E-2</v>
      </c>
      <c r="J3987">
        <v>5.33747252948805E-2</v>
      </c>
      <c r="K3987">
        <v>3.99532912510406E-2</v>
      </c>
      <c r="L3987">
        <v>1369.5096821137599</v>
      </c>
      <c r="M3987">
        <v>27.1223374332478</v>
      </c>
      <c r="N3987">
        <v>50.724019455937402</v>
      </c>
      <c r="O3987">
        <v>50.221691480283603</v>
      </c>
      <c r="P3987">
        <v>-0.12719520751885</v>
      </c>
      <c r="Q3987">
        <v>5.7913604507562597E-2</v>
      </c>
      <c r="R3987">
        <v>0.99494323619168401</v>
      </c>
      <c r="S3987" t="s">
        <v>8283</v>
      </c>
      <c r="T3987" t="s">
        <v>8590</v>
      </c>
      <c r="U3987" t="s">
        <v>8590</v>
      </c>
      <c r="V3987" t="s">
        <v>8590</v>
      </c>
      <c r="W3987">
        <v>17</v>
      </c>
      <c r="X3987" t="s">
        <v>12577</v>
      </c>
      <c r="Y3987">
        <v>0.39464205243348932</v>
      </c>
      <c r="Z3987" t="str">
        <f>HYPERLINK("Melting_Curves/meltCurve_tr_F8VWA6_F8VWA6_HUMAN_.pdf", "Melting_Curves/meltCurve_tr_F8VWA6_F8VWA6_HUMAN_.pdf")</f>
        <v>Melting_Curves/meltCurve_tr_F8VWA6_F8VWA6_HUMAN_.pdf</v>
      </c>
      <c r="AA3987" t="s">
        <v>16804</v>
      </c>
      <c r="AB3987" t="s">
        <v>21056</v>
      </c>
    </row>
    <row r="3988" spans="1:28" x14ac:dyDescent="0.25">
      <c r="A3988" t="s">
        <v>3992</v>
      </c>
      <c r="B3988">
        <v>0.99876560204751996</v>
      </c>
      <c r="C3988">
        <v>0.95094793179656301</v>
      </c>
      <c r="D3988">
        <v>0.96095193710422799</v>
      </c>
      <c r="E3988">
        <v>0.76340343711210801</v>
      </c>
      <c r="F3988">
        <v>0.47886474692597403</v>
      </c>
      <c r="G3988">
        <v>0.32526786129726998</v>
      </c>
      <c r="H3988">
        <v>0.26004202945050298</v>
      </c>
      <c r="I3988">
        <v>0.25572548672634599</v>
      </c>
      <c r="J3988">
        <v>0.29777192013126702</v>
      </c>
      <c r="K3988">
        <v>0.28154557187791401</v>
      </c>
      <c r="L3988">
        <v>1385.7937525024099</v>
      </c>
      <c r="M3988">
        <v>27.028754584712399</v>
      </c>
      <c r="N3988">
        <v>52.801318635833702</v>
      </c>
      <c r="O3988">
        <v>50.992902445591703</v>
      </c>
      <c r="P3988">
        <v>-9.65288180313226E-2</v>
      </c>
      <c r="Q3988">
        <v>0.27155563081427198</v>
      </c>
      <c r="R3988">
        <v>0.99594662477054696</v>
      </c>
      <c r="S3988" t="s">
        <v>8284</v>
      </c>
      <c r="T3988" t="s">
        <v>8590</v>
      </c>
      <c r="U3988" t="s">
        <v>8590</v>
      </c>
      <c r="V3988" t="s">
        <v>8590</v>
      </c>
      <c r="W3988">
        <v>18</v>
      </c>
      <c r="X3988" t="s">
        <v>12578</v>
      </c>
      <c r="Y3988">
        <v>0.55089515171564285</v>
      </c>
      <c r="Z3988" t="str">
        <f>HYPERLINK("Melting_Curves/meltCurve_tr_F8VWL3_F8VWL3_HUMAN_.pdf", "Melting_Curves/meltCurve_tr_F8VWL3_F8VWL3_HUMAN_.pdf")</f>
        <v>Melting_Curves/meltCurve_tr_F8VWL3_F8VWL3_HUMAN_.pdf</v>
      </c>
      <c r="AA3988" t="s">
        <v>16805</v>
      </c>
      <c r="AB3988" t="s">
        <v>21057</v>
      </c>
    </row>
    <row r="3989" spans="1:28" x14ac:dyDescent="0.25">
      <c r="A3989" t="s">
        <v>3993</v>
      </c>
      <c r="B3989">
        <v>0.99876560204751996</v>
      </c>
      <c r="C3989">
        <v>0.91380977499953497</v>
      </c>
      <c r="D3989">
        <v>0.82066361437493995</v>
      </c>
      <c r="E3989">
        <v>0.64349950940058898</v>
      </c>
      <c r="F3989">
        <v>0.33066394474363803</v>
      </c>
      <c r="G3989">
        <v>0.15683670495302701</v>
      </c>
      <c r="H3989">
        <v>9.3668453436521304E-2</v>
      </c>
      <c r="I3989">
        <v>7.0102998930843499E-2</v>
      </c>
      <c r="J3989">
        <v>4.7871156457293902E-2</v>
      </c>
      <c r="K3989">
        <v>4.4594782724522698E-2</v>
      </c>
      <c r="L3989">
        <v>814.15436402197895</v>
      </c>
      <c r="M3989">
        <v>15.9949779479544</v>
      </c>
      <c r="N3989">
        <v>51.073621951914298</v>
      </c>
      <c r="O3989">
        <v>50.124937031996403</v>
      </c>
      <c r="P3989">
        <v>-7.7678337378917495E-2</v>
      </c>
      <c r="Q3989">
        <v>2.6365391360582201E-2</v>
      </c>
      <c r="R3989">
        <v>0.99434413619100803</v>
      </c>
      <c r="S3989" t="s">
        <v>8285</v>
      </c>
      <c r="T3989" t="s">
        <v>8590</v>
      </c>
      <c r="U3989" t="s">
        <v>8590</v>
      </c>
      <c r="V3989" t="s">
        <v>8590</v>
      </c>
      <c r="W3989">
        <v>8</v>
      </c>
      <c r="X3989" t="s">
        <v>12579</v>
      </c>
      <c r="Y3989">
        <v>0.40037938930919381</v>
      </c>
      <c r="Z3989" t="str">
        <f>HYPERLINK("Melting_Curves/meltCurve_tr_F8VXY3_F8VXY3_HUMAN_.pdf", "Melting_Curves/meltCurve_tr_F8VXY3_F8VXY3_HUMAN_.pdf")</f>
        <v>Melting_Curves/meltCurve_tr_F8VXY3_F8VXY3_HUMAN_.pdf</v>
      </c>
      <c r="AA3989" t="s">
        <v>16806</v>
      </c>
      <c r="AB3989" t="s">
        <v>21058</v>
      </c>
    </row>
    <row r="3990" spans="1:28" x14ac:dyDescent="0.25">
      <c r="A3990" t="s">
        <v>3994</v>
      </c>
      <c r="B3990">
        <v>0.99876560204751996</v>
      </c>
      <c r="C3990">
        <v>0.94410231136017397</v>
      </c>
      <c r="D3990">
        <v>0.94321500801981895</v>
      </c>
      <c r="E3990">
        <v>0.85386169451390603</v>
      </c>
      <c r="F3990">
        <v>0.85737979735775205</v>
      </c>
      <c r="G3990">
        <v>0.68671076692359501</v>
      </c>
      <c r="H3990">
        <v>0.59423156065039995</v>
      </c>
      <c r="I3990">
        <v>0.51724126786470104</v>
      </c>
      <c r="J3990">
        <v>0.59624721935474601</v>
      </c>
      <c r="K3990">
        <v>0.53405167447782398</v>
      </c>
      <c r="L3990">
        <v>650.77448077202405</v>
      </c>
      <c r="M3990">
        <v>11.8450192711878</v>
      </c>
      <c r="O3990">
        <v>53.445016509289502</v>
      </c>
      <c r="P3990">
        <v>-2.8138980795984401E-2</v>
      </c>
      <c r="Q3990">
        <v>0.49227363922277301</v>
      </c>
      <c r="R3990">
        <v>0.96332359048491201</v>
      </c>
      <c r="S3990" t="s">
        <v>8286</v>
      </c>
      <c r="T3990" t="s">
        <v>8590</v>
      </c>
      <c r="U3990" t="s">
        <v>8590</v>
      </c>
      <c r="V3990" t="s">
        <v>8590</v>
      </c>
      <c r="W3990">
        <v>3</v>
      </c>
      <c r="X3990" t="s">
        <v>12580</v>
      </c>
      <c r="Y3990">
        <v>0.75723540453913651</v>
      </c>
      <c r="Z3990" t="str">
        <f>HYPERLINK("Melting_Curves/meltCurve_tr_F8VZJ2_F8VZJ2_HUMAN_.pdf", "Melting_Curves/meltCurve_tr_F8VZJ2_F8VZJ2_HUMAN_.pdf")</f>
        <v>Melting_Curves/meltCurve_tr_F8VZJ2_F8VZJ2_HUMAN_.pdf</v>
      </c>
      <c r="AA3990" t="s">
        <v>16807</v>
      </c>
      <c r="AB3990" t="s">
        <v>21059</v>
      </c>
    </row>
    <row r="3991" spans="1:28" x14ac:dyDescent="0.25">
      <c r="A3991" t="s">
        <v>3995</v>
      </c>
      <c r="B3991">
        <v>0.99876560204751996</v>
      </c>
      <c r="C3991">
        <v>0.97511451346160105</v>
      </c>
      <c r="D3991">
        <v>0.97041255233136703</v>
      </c>
      <c r="E3991">
        <v>0.84718893544941398</v>
      </c>
      <c r="F3991">
        <v>0.72486325155614995</v>
      </c>
      <c r="G3991">
        <v>0.47592211406246698</v>
      </c>
      <c r="H3991">
        <v>0.37365718716832103</v>
      </c>
      <c r="I3991">
        <v>0.30414985306969999</v>
      </c>
      <c r="J3991">
        <v>0.351500886946503</v>
      </c>
      <c r="K3991">
        <v>0.34953551072101202</v>
      </c>
      <c r="L3991">
        <v>1054.3313743152901</v>
      </c>
      <c r="M3991">
        <v>19.6535178766547</v>
      </c>
      <c r="N3991">
        <v>56.572500969845102</v>
      </c>
      <c r="O3991">
        <v>53.099808119360198</v>
      </c>
      <c r="P3991">
        <v>-6.3005978916585006E-2</v>
      </c>
      <c r="Q3991">
        <v>0.31910652642654402</v>
      </c>
      <c r="R3991">
        <v>0.99453993440982202</v>
      </c>
      <c r="S3991" t="s">
        <v>8287</v>
      </c>
      <c r="T3991" t="s">
        <v>8590</v>
      </c>
      <c r="U3991" t="s">
        <v>8590</v>
      </c>
      <c r="V3991" t="s">
        <v>8590</v>
      </c>
      <c r="W3991">
        <v>5</v>
      </c>
      <c r="X3991" t="s">
        <v>12581</v>
      </c>
      <c r="Y3991">
        <v>0.63839171204282852</v>
      </c>
      <c r="Z3991" t="str">
        <f>HYPERLINK("Melting_Curves/meltCurve_tr_F8W038_F8W038_HUMAN_.pdf", "Melting_Curves/meltCurve_tr_F8W038_F8W038_HUMAN_.pdf")</f>
        <v>Melting_Curves/meltCurve_tr_F8W038_F8W038_HUMAN_.pdf</v>
      </c>
      <c r="AA3991" t="s">
        <v>16808</v>
      </c>
      <c r="AB3991" t="s">
        <v>21060</v>
      </c>
    </row>
    <row r="3992" spans="1:28" x14ac:dyDescent="0.25">
      <c r="A3992" t="s">
        <v>3996</v>
      </c>
      <c r="B3992">
        <v>0.99876560204751996</v>
      </c>
      <c r="C3992">
        <v>0.96539413187692802</v>
      </c>
      <c r="D3992">
        <v>0.88528734904126105</v>
      </c>
      <c r="E3992">
        <v>0.72958659650308999</v>
      </c>
      <c r="F3992">
        <v>0.47658813237647402</v>
      </c>
      <c r="G3992">
        <v>0.26559996575686301</v>
      </c>
      <c r="H3992">
        <v>0.16207968744487</v>
      </c>
      <c r="I3992">
        <v>0.127841268850061</v>
      </c>
      <c r="J3992">
        <v>0.13376703952648999</v>
      </c>
      <c r="K3992">
        <v>0.101447698574536</v>
      </c>
      <c r="L3992">
        <v>871.93016831401997</v>
      </c>
      <c r="M3992">
        <v>16.720974171162901</v>
      </c>
      <c r="N3992">
        <v>52.802676871324302</v>
      </c>
      <c r="O3992">
        <v>51.4171781795851</v>
      </c>
      <c r="P3992">
        <v>-7.3672157061455995E-2</v>
      </c>
      <c r="Q3992">
        <v>9.3889016670516801E-2</v>
      </c>
      <c r="R3992">
        <v>0.99834146183999395</v>
      </c>
      <c r="S3992" t="s">
        <v>8288</v>
      </c>
      <c r="T3992" t="s">
        <v>8590</v>
      </c>
      <c r="U3992" t="s">
        <v>8590</v>
      </c>
      <c r="V3992" t="s">
        <v>8590</v>
      </c>
      <c r="W3992">
        <v>4</v>
      </c>
      <c r="X3992" t="s">
        <v>12582</v>
      </c>
      <c r="Y3992">
        <v>0.47774167741374052</v>
      </c>
      <c r="Z3992" t="str">
        <f>HYPERLINK("Melting_Curves/meltCurve_tr_F8W118_F8W118_HUMAN_.pdf", "Melting_Curves/meltCurve_tr_F8W118_F8W118_HUMAN_.pdf")</f>
        <v>Melting_Curves/meltCurve_tr_F8W118_F8W118_HUMAN_.pdf</v>
      </c>
      <c r="AA3992" t="s">
        <v>16809</v>
      </c>
      <c r="AB3992" t="s">
        <v>21061</v>
      </c>
    </row>
    <row r="3993" spans="1:28" x14ac:dyDescent="0.25">
      <c r="A3993" t="s">
        <v>3997</v>
      </c>
      <c r="B3993">
        <v>0.99876560204751996</v>
      </c>
      <c r="C3993">
        <v>0.94451277504556697</v>
      </c>
      <c r="D3993">
        <v>1.05636530434645</v>
      </c>
      <c r="E3993">
        <v>0.94068893407737997</v>
      </c>
      <c r="F3993">
        <v>0.98019532337080995</v>
      </c>
      <c r="G3993">
        <v>0.75416102650697103</v>
      </c>
      <c r="H3993">
        <v>0.39148351621569</v>
      </c>
      <c r="I3993">
        <v>0.15121199570390201</v>
      </c>
      <c r="J3993">
        <v>0.114137565354946</v>
      </c>
      <c r="K3993">
        <v>9.9222434591782496E-2</v>
      </c>
      <c r="L3993">
        <v>1598.0141953044899</v>
      </c>
      <c r="M3993">
        <v>26.950242171142399</v>
      </c>
      <c r="N3993">
        <v>59.635266150670901</v>
      </c>
      <c r="O3993">
        <v>58.971404320024398</v>
      </c>
      <c r="P3993">
        <v>-0.10610976745680401</v>
      </c>
      <c r="Q3993">
        <v>7.1269356469224901E-2</v>
      </c>
      <c r="R3993">
        <v>0.99238789484859702</v>
      </c>
      <c r="S3993" t="s">
        <v>8289</v>
      </c>
      <c r="T3993" t="s">
        <v>8590</v>
      </c>
      <c r="U3993" t="s">
        <v>8590</v>
      </c>
      <c r="V3993" t="s">
        <v>8590</v>
      </c>
      <c r="W3993">
        <v>25</v>
      </c>
      <c r="X3993" t="s">
        <v>12583</v>
      </c>
      <c r="Y3993">
        <v>0.67539419355807773</v>
      </c>
      <c r="Z3993" t="str">
        <f>HYPERLINK("Melting_Curves/meltCurve_tr_F8W1A4_F8W1A4_HUMAN_.pdf", "Melting_Curves/meltCurve_tr_F8W1A4_F8W1A4_HUMAN_.pdf")</f>
        <v>Melting_Curves/meltCurve_tr_F8W1A4_F8W1A4_HUMAN_.pdf</v>
      </c>
      <c r="AA3993" t="s">
        <v>16810</v>
      </c>
      <c r="AB3993" t="s">
        <v>21062</v>
      </c>
    </row>
    <row r="3994" spans="1:28" x14ac:dyDescent="0.25">
      <c r="A3994" t="s">
        <v>3998</v>
      </c>
      <c r="B3994">
        <v>0.99876560204751996</v>
      </c>
      <c r="C3994">
        <v>0.948220086048705</v>
      </c>
      <c r="D3994">
        <v>0.91035541130117503</v>
      </c>
      <c r="E3994">
        <v>0.84151955198270201</v>
      </c>
      <c r="F3994">
        <v>0.67684814586409803</v>
      </c>
      <c r="G3994">
        <v>0.41180684583741101</v>
      </c>
      <c r="H3994">
        <v>0.23299971284672899</v>
      </c>
      <c r="I3994">
        <v>0.13084123864687899</v>
      </c>
      <c r="J3994">
        <v>7.1678586240794401E-2</v>
      </c>
      <c r="K3994">
        <v>4.2334606753114998E-2</v>
      </c>
      <c r="L3994">
        <v>782.17122453659101</v>
      </c>
      <c r="M3994">
        <v>14.063620522934199</v>
      </c>
      <c r="N3994">
        <v>55.6166331713018</v>
      </c>
      <c r="O3994">
        <v>54.528345031317897</v>
      </c>
      <c r="P3994">
        <v>-6.4486868651274801E-2</v>
      </c>
      <c r="Q3994">
        <v>0</v>
      </c>
      <c r="R3994">
        <v>0.99741534866904402</v>
      </c>
      <c r="S3994" t="s">
        <v>8290</v>
      </c>
      <c r="T3994" t="s">
        <v>8590</v>
      </c>
      <c r="U3994" t="s">
        <v>8590</v>
      </c>
      <c r="V3994" t="s">
        <v>8590</v>
      </c>
      <c r="W3994">
        <v>3</v>
      </c>
      <c r="X3994" t="s">
        <v>12584</v>
      </c>
      <c r="Y3994">
        <v>0.53999657470021245</v>
      </c>
      <c r="Z3994" t="str">
        <f>HYPERLINK("Melting_Curves/meltCurve_tr_F8W1Q3_F8W1Q3_HUMAN_.pdf", "Melting_Curves/meltCurve_tr_F8W1Q3_F8W1Q3_HUMAN_.pdf")</f>
        <v>Melting_Curves/meltCurve_tr_F8W1Q3_F8W1Q3_HUMAN_.pdf</v>
      </c>
      <c r="AA3994" t="s">
        <v>16811</v>
      </c>
      <c r="AB3994" t="s">
        <v>21063</v>
      </c>
    </row>
    <row r="3995" spans="1:28" x14ac:dyDescent="0.25">
      <c r="A3995" t="s">
        <v>3999</v>
      </c>
      <c r="B3995">
        <v>0.99876560204751996</v>
      </c>
      <c r="C3995">
        <v>1.00818553702263</v>
      </c>
      <c r="D3995">
        <v>1.0012186041864599</v>
      </c>
      <c r="E3995">
        <v>0.95470690360690502</v>
      </c>
      <c r="F3995">
        <v>0.926707987904547</v>
      </c>
      <c r="G3995">
        <v>0.67104681102812003</v>
      </c>
      <c r="H3995">
        <v>0.57487650832761095</v>
      </c>
      <c r="I3995">
        <v>0.57650257221558698</v>
      </c>
      <c r="J3995">
        <v>0.68695721850315605</v>
      </c>
      <c r="K3995">
        <v>0.65921545839541096</v>
      </c>
      <c r="L3995">
        <v>2544.65863868423</v>
      </c>
      <c r="M3995">
        <v>46.6647568726749</v>
      </c>
      <c r="O3995">
        <v>54.4307795847078</v>
      </c>
      <c r="P3995">
        <v>-8.05049987712909E-2</v>
      </c>
      <c r="Q3995">
        <v>0.62438941359931999</v>
      </c>
      <c r="R3995">
        <v>0.96210499831224405</v>
      </c>
      <c r="S3995" t="s">
        <v>8291</v>
      </c>
      <c r="T3995" t="s">
        <v>8590</v>
      </c>
      <c r="U3995" t="s">
        <v>8590</v>
      </c>
      <c r="V3995" t="s">
        <v>8590</v>
      </c>
      <c r="W3995">
        <v>9</v>
      </c>
      <c r="X3995" t="s">
        <v>12585</v>
      </c>
      <c r="Y3995">
        <v>0.80735530657246135</v>
      </c>
      <c r="Z3995" t="str">
        <f>HYPERLINK("Melting_Curves/meltCurve_tr_F8W1R7_F8W1R7_HUMAN_.pdf", "Melting_Curves/meltCurve_tr_F8W1R7_F8W1R7_HUMAN_.pdf")</f>
        <v>Melting_Curves/meltCurve_tr_F8W1R7_F8W1R7_HUMAN_.pdf</v>
      </c>
      <c r="AA3995" t="s">
        <v>16812</v>
      </c>
      <c r="AB3995" t="s">
        <v>21064</v>
      </c>
    </row>
    <row r="3996" spans="1:28" x14ac:dyDescent="0.25">
      <c r="A3996" t="s">
        <v>4000</v>
      </c>
      <c r="B3996">
        <v>0.99876560204751996</v>
      </c>
      <c r="C3996">
        <v>0.97598901798998905</v>
      </c>
      <c r="D3996">
        <v>0.93144383386818497</v>
      </c>
      <c r="E3996">
        <v>0.69926606543137304</v>
      </c>
      <c r="F3996">
        <v>0.234486581613053</v>
      </c>
      <c r="G3996">
        <v>0.14246630608889299</v>
      </c>
      <c r="H3996">
        <v>9.3758844681386205E-2</v>
      </c>
      <c r="I3996">
        <v>6.9681410974909999E-2</v>
      </c>
      <c r="J3996">
        <v>7.0434049853436598E-2</v>
      </c>
      <c r="K3996">
        <v>6.49806913851535E-2</v>
      </c>
      <c r="L3996">
        <v>1835.3756793229099</v>
      </c>
      <c r="M3996">
        <v>36.066986202272197</v>
      </c>
      <c r="N3996">
        <v>51.138313295853202</v>
      </c>
      <c r="O3996">
        <v>50.732296318377202</v>
      </c>
      <c r="P3996">
        <v>-0.16334898594789901</v>
      </c>
      <c r="Q3996">
        <v>8.0927720862993893E-2</v>
      </c>
      <c r="R3996">
        <v>0.99607329801939903</v>
      </c>
      <c r="S3996" t="s">
        <v>8292</v>
      </c>
      <c r="T3996" t="s">
        <v>8590</v>
      </c>
      <c r="U3996" t="s">
        <v>8590</v>
      </c>
      <c r="V3996" t="s">
        <v>8590</v>
      </c>
      <c r="W3996">
        <v>13</v>
      </c>
      <c r="X3996" t="s">
        <v>12586</v>
      </c>
      <c r="Y3996">
        <v>0.41847114576935079</v>
      </c>
      <c r="Z3996" t="str">
        <f>HYPERLINK("Melting_Curves/meltCurve_tr_F8W720_F8W720_HUMAN_.pdf", "Melting_Curves/meltCurve_tr_F8W720_F8W720_HUMAN_.pdf")</f>
        <v>Melting_Curves/meltCurve_tr_F8W720_F8W720_HUMAN_.pdf</v>
      </c>
      <c r="AA3996" t="s">
        <v>16813</v>
      </c>
      <c r="AB3996" t="s">
        <v>21065</v>
      </c>
    </row>
    <row r="3997" spans="1:28" x14ac:dyDescent="0.25">
      <c r="A3997" t="s">
        <v>4001</v>
      </c>
      <c r="B3997">
        <v>0.99876560204751996</v>
      </c>
      <c r="C3997">
        <v>0.92662335791012296</v>
      </c>
      <c r="D3997">
        <v>0.87720734615859397</v>
      </c>
      <c r="E3997">
        <v>0.78467941239016903</v>
      </c>
      <c r="F3997">
        <v>0.66793384363132702</v>
      </c>
      <c r="G3997">
        <v>0.50104568008269301</v>
      </c>
      <c r="H3997">
        <v>0.422273693517074</v>
      </c>
      <c r="I3997">
        <v>0.46687062256930301</v>
      </c>
      <c r="J3997">
        <v>0.45024519302645899</v>
      </c>
      <c r="K3997">
        <v>0.39023206797403798</v>
      </c>
      <c r="L3997">
        <v>654.78104371708105</v>
      </c>
      <c r="M3997">
        <v>12.6526313638385</v>
      </c>
      <c r="N3997">
        <v>58.5691731251733</v>
      </c>
      <c r="O3997">
        <v>50.508927323425802</v>
      </c>
      <c r="P3997">
        <v>-3.8498384659622402E-2</v>
      </c>
      <c r="Q3997">
        <v>0.38538302618685499</v>
      </c>
      <c r="R3997">
        <v>0.98443571725930401</v>
      </c>
      <c r="S3997" t="s">
        <v>8293</v>
      </c>
      <c r="T3997" t="s">
        <v>8590</v>
      </c>
      <c r="U3997" t="s">
        <v>8590</v>
      </c>
      <c r="V3997" t="s">
        <v>8590</v>
      </c>
      <c r="W3997">
        <v>3</v>
      </c>
      <c r="X3997" t="s">
        <v>12587</v>
      </c>
      <c r="Y3997">
        <v>0.64392170131494286</v>
      </c>
      <c r="Z3997" t="str">
        <f>HYPERLINK("Melting_Curves/meltCurve_tr_F8W785_F8W785_HUMAN_.pdf", "Melting_Curves/meltCurve_tr_F8W785_F8W785_HUMAN_.pdf")</f>
        <v>Melting_Curves/meltCurve_tr_F8W785_F8W785_HUMAN_.pdf</v>
      </c>
      <c r="AA3997" t="s">
        <v>16814</v>
      </c>
      <c r="AB3997" t="s">
        <v>21066</v>
      </c>
    </row>
    <row r="3998" spans="1:28" x14ac:dyDescent="0.25">
      <c r="A3998" t="s">
        <v>4002</v>
      </c>
      <c r="B3998">
        <v>0.99876560204751996</v>
      </c>
      <c r="C3998">
        <v>1.0869020583848601</v>
      </c>
      <c r="D3998">
        <v>0.94350710771579505</v>
      </c>
      <c r="E3998">
        <v>0.74095255088477197</v>
      </c>
      <c r="F3998">
        <v>0.61017999084894303</v>
      </c>
      <c r="G3998">
        <v>0.31330779937822101</v>
      </c>
      <c r="H3998">
        <v>0.26192947788765603</v>
      </c>
      <c r="I3998">
        <v>0.17559367854294899</v>
      </c>
      <c r="J3998">
        <v>0.275893453547088</v>
      </c>
      <c r="K3998">
        <v>0.23514756949052801</v>
      </c>
      <c r="L3998">
        <v>1066.0718086514401</v>
      </c>
      <c r="M3998">
        <v>20.3649908932675</v>
      </c>
      <c r="N3998">
        <v>53.854686154635999</v>
      </c>
      <c r="O3998">
        <v>51.851340474391897</v>
      </c>
      <c r="P3998">
        <v>-7.6870868705718298E-2</v>
      </c>
      <c r="Q3998">
        <v>0.217139487795212</v>
      </c>
      <c r="R3998">
        <v>0.98178247208994696</v>
      </c>
      <c r="S3998" t="s">
        <v>8294</v>
      </c>
      <c r="T3998" t="s">
        <v>8590</v>
      </c>
      <c r="U3998" t="s">
        <v>8590</v>
      </c>
      <c r="V3998" t="s">
        <v>8590</v>
      </c>
      <c r="W3998">
        <v>1</v>
      </c>
      <c r="X3998" t="s">
        <v>12588</v>
      </c>
      <c r="Y3998">
        <v>0.54984661298106208</v>
      </c>
      <c r="Z3998" t="str">
        <f>HYPERLINK("Melting_Curves/meltCurve_tr_F8W7C6_F8W7C6_HUMAN_.pdf", "Melting_Curves/meltCurve_tr_F8W7C6_F8W7C6_HUMAN_.pdf")</f>
        <v>Melting_Curves/meltCurve_tr_F8W7C6_F8W7C6_HUMAN_.pdf</v>
      </c>
      <c r="AA3998" t="s">
        <v>16815</v>
      </c>
      <c r="AB3998" t="s">
        <v>21067</v>
      </c>
    </row>
    <row r="3999" spans="1:28" x14ac:dyDescent="0.25">
      <c r="A3999" t="s">
        <v>4003</v>
      </c>
      <c r="B3999">
        <v>0.99876560204751996</v>
      </c>
      <c r="C3999">
        <v>1.0618594668100001</v>
      </c>
      <c r="D3999">
        <v>0.97530664288507596</v>
      </c>
      <c r="E3999">
        <v>0.91976244219974002</v>
      </c>
      <c r="F3999">
        <v>0.75173280625035699</v>
      </c>
      <c r="G3999">
        <v>0.54798178745557402</v>
      </c>
      <c r="H3999">
        <v>0.44542758408252903</v>
      </c>
      <c r="I3999">
        <v>0.42535643938330397</v>
      </c>
      <c r="J3999">
        <v>0.47095769652431602</v>
      </c>
      <c r="K3999">
        <v>0.41956488414117199</v>
      </c>
      <c r="L3999">
        <v>1313.0183134224801</v>
      </c>
      <c r="M3999">
        <v>24.490051195914699</v>
      </c>
      <c r="N3999">
        <v>58.3290831729988</v>
      </c>
      <c r="O3999">
        <v>53.260715694188001</v>
      </c>
      <c r="P3999">
        <v>-6.5417264188489699E-2</v>
      </c>
      <c r="Q3999">
        <v>0.43093315230219598</v>
      </c>
      <c r="R3999">
        <v>0.99031694226700295</v>
      </c>
      <c r="S3999" t="s">
        <v>8295</v>
      </c>
      <c r="T3999" t="s">
        <v>8590</v>
      </c>
      <c r="U3999" t="s">
        <v>8590</v>
      </c>
      <c r="V3999" t="s">
        <v>8590</v>
      </c>
      <c r="W3999">
        <v>12</v>
      </c>
      <c r="X3999" t="s">
        <v>12589</v>
      </c>
      <c r="Y3999">
        <v>0.69464380705800144</v>
      </c>
      <c r="Z3999" t="str">
        <f>HYPERLINK("Melting_Curves/meltCurve_tr_F8W7U3_F8W7U3_HUMAN_.pdf", "Melting_Curves/meltCurve_tr_F8W7U3_F8W7U3_HUMAN_.pdf")</f>
        <v>Melting_Curves/meltCurve_tr_F8W7U3_F8W7U3_HUMAN_.pdf</v>
      </c>
      <c r="AA3999" t="s">
        <v>16816</v>
      </c>
      <c r="AB3999" t="s">
        <v>21068</v>
      </c>
    </row>
    <row r="4000" spans="1:28" x14ac:dyDescent="0.25">
      <c r="A4000" t="s">
        <v>4004</v>
      </c>
      <c r="B4000">
        <v>0.99876560204751996</v>
      </c>
      <c r="C4000">
        <v>1.01249274015407</v>
      </c>
      <c r="D4000">
        <v>0.92145294482822604</v>
      </c>
      <c r="E4000">
        <v>1.0106241180338</v>
      </c>
      <c r="F4000">
        <v>0.92998522382970705</v>
      </c>
      <c r="G4000">
        <v>0.88473108169118297</v>
      </c>
      <c r="H4000">
        <v>0.33224094595596498</v>
      </c>
      <c r="I4000">
        <v>0.29532016534584798</v>
      </c>
      <c r="J4000">
        <v>0.26213318442001199</v>
      </c>
      <c r="K4000">
        <v>0.13116200311861401</v>
      </c>
      <c r="L4000">
        <v>2775.5062345572201</v>
      </c>
      <c r="M4000">
        <v>47.059516166540298</v>
      </c>
      <c r="N4000">
        <v>59.698627236385498</v>
      </c>
      <c r="O4000">
        <v>58.872431960551999</v>
      </c>
      <c r="P4000">
        <v>-0.15656328220763799</v>
      </c>
      <c r="Q4000">
        <v>0.21654517955640501</v>
      </c>
      <c r="R4000">
        <v>0.98033273691323797</v>
      </c>
      <c r="S4000" t="s">
        <v>8296</v>
      </c>
      <c r="T4000" t="s">
        <v>8590</v>
      </c>
      <c r="U4000" t="s">
        <v>8590</v>
      </c>
      <c r="V4000" t="s">
        <v>8590</v>
      </c>
      <c r="W4000">
        <v>7</v>
      </c>
      <c r="X4000" t="s">
        <v>12590</v>
      </c>
      <c r="Y4000">
        <v>0.71444852302706574</v>
      </c>
      <c r="Z4000" t="str">
        <f>HYPERLINK("Melting_Curves/meltCurve_tr_F8W8I6_F8W8I6_HUMAN_.pdf", "Melting_Curves/meltCurve_tr_F8W8I6_F8W8I6_HUMAN_.pdf")</f>
        <v>Melting_Curves/meltCurve_tr_F8W8I6_F8W8I6_HUMAN_.pdf</v>
      </c>
      <c r="AA4000" t="s">
        <v>16817</v>
      </c>
      <c r="AB4000" t="s">
        <v>21069</v>
      </c>
    </row>
    <row r="4001" spans="1:28" x14ac:dyDescent="0.25">
      <c r="A4001" t="s">
        <v>4005</v>
      </c>
      <c r="B4001">
        <v>0.99876560204751996</v>
      </c>
      <c r="C4001">
        <v>0.996846975962148</v>
      </c>
      <c r="D4001">
        <v>1.0282170821460199</v>
      </c>
      <c r="E4001">
        <v>0.96089516033840205</v>
      </c>
      <c r="F4001">
        <v>0.91473955787525696</v>
      </c>
      <c r="G4001">
        <v>0.71050840883647803</v>
      </c>
      <c r="H4001">
        <v>0.62457471632058104</v>
      </c>
      <c r="I4001">
        <v>0.61868041197907397</v>
      </c>
      <c r="J4001">
        <v>0.70034966733055104</v>
      </c>
      <c r="K4001">
        <v>0.65263288123710295</v>
      </c>
      <c r="L4001">
        <v>2015.6587019122301</v>
      </c>
      <c r="M4001">
        <v>36.968820859842999</v>
      </c>
      <c r="O4001">
        <v>54.3644057214198</v>
      </c>
      <c r="P4001">
        <v>-5.9854163660825799E-2</v>
      </c>
      <c r="Q4001">
        <v>0.64792744952892001</v>
      </c>
      <c r="R4001">
        <v>0.97694310880852497</v>
      </c>
      <c r="S4001" t="s">
        <v>8297</v>
      </c>
      <c r="T4001" t="s">
        <v>8590</v>
      </c>
      <c r="U4001" t="s">
        <v>8590</v>
      </c>
      <c r="V4001" t="s">
        <v>8590</v>
      </c>
      <c r="W4001">
        <v>11</v>
      </c>
      <c r="X4001" t="s">
        <v>12591</v>
      </c>
      <c r="Y4001">
        <v>0.8199157767573273</v>
      </c>
      <c r="Z4001" t="str">
        <f>HYPERLINK("Melting_Curves/meltCurve_tr_F8W8M4_F8W8M4_HUMAN_.pdf", "Melting_Curves/meltCurve_tr_F8W8M4_F8W8M4_HUMAN_.pdf")</f>
        <v>Melting_Curves/meltCurve_tr_F8W8M4_F8W8M4_HUMAN_.pdf</v>
      </c>
      <c r="AA4001" t="s">
        <v>16818</v>
      </c>
      <c r="AB4001" t="s">
        <v>21070</v>
      </c>
    </row>
    <row r="4002" spans="1:28" x14ac:dyDescent="0.25">
      <c r="A4002" t="s">
        <v>4006</v>
      </c>
      <c r="B4002">
        <v>0.99876560204751996</v>
      </c>
      <c r="C4002">
        <v>0.88091215683026602</v>
      </c>
      <c r="D4002">
        <v>0.93264078768630598</v>
      </c>
      <c r="E4002">
        <v>0.86056261920367805</v>
      </c>
      <c r="F4002">
        <v>0.68926264488636402</v>
      </c>
      <c r="G4002">
        <v>0.50883555636946498</v>
      </c>
      <c r="H4002">
        <v>0.34575009973439302</v>
      </c>
      <c r="I4002">
        <v>0.27802008641685999</v>
      </c>
      <c r="J4002">
        <v>0.22238894227119799</v>
      </c>
      <c r="K4002">
        <v>0.215954783249558</v>
      </c>
      <c r="L4002">
        <v>665.90811943463905</v>
      </c>
      <c r="M4002">
        <v>11.9461848890884</v>
      </c>
      <c r="N4002">
        <v>57.1594971389774</v>
      </c>
      <c r="O4002">
        <v>54.249207776506601</v>
      </c>
      <c r="P4002">
        <v>-4.8007767040029202E-2</v>
      </c>
      <c r="Q4002">
        <v>0.12817521145733399</v>
      </c>
      <c r="R4002">
        <v>0.98755559996426501</v>
      </c>
      <c r="S4002" t="s">
        <v>8298</v>
      </c>
      <c r="T4002" t="s">
        <v>8590</v>
      </c>
      <c r="U4002" t="s">
        <v>8590</v>
      </c>
      <c r="V4002" t="s">
        <v>8590</v>
      </c>
      <c r="W4002">
        <v>8</v>
      </c>
      <c r="X4002" t="s">
        <v>12592</v>
      </c>
      <c r="Y4002">
        <v>0.60419762597294502</v>
      </c>
      <c r="Z4002" t="str">
        <f>HYPERLINK("Melting_Curves/meltCurve_tr_F8W9I4_F8W9I4_HUMAN_.pdf", "Melting_Curves/meltCurve_tr_F8W9I4_F8W9I4_HUMAN_.pdf")</f>
        <v>Melting_Curves/meltCurve_tr_F8W9I4_F8W9I4_HUMAN_.pdf</v>
      </c>
      <c r="AA4002" t="s">
        <v>14188</v>
      </c>
      <c r="AB4002" t="s">
        <v>21071</v>
      </c>
    </row>
    <row r="4003" spans="1:28" x14ac:dyDescent="0.25">
      <c r="A4003" t="s">
        <v>4007</v>
      </c>
      <c r="B4003">
        <v>0.99876560204751996</v>
      </c>
      <c r="C4003">
        <v>1.0719212634612501</v>
      </c>
      <c r="D4003">
        <v>0.97981938649565403</v>
      </c>
      <c r="E4003">
        <v>0.76011513923445295</v>
      </c>
      <c r="F4003">
        <v>0.212166614489192</v>
      </c>
      <c r="G4003">
        <v>0.11887068023013</v>
      </c>
      <c r="H4003">
        <v>7.9707530413209798E-2</v>
      </c>
      <c r="I4003">
        <v>6.2431142352055699E-2</v>
      </c>
      <c r="J4003">
        <v>6.4578543988764697E-2</v>
      </c>
      <c r="K4003">
        <v>5.3961283383891903E-2</v>
      </c>
      <c r="L4003">
        <v>2410.0114657392901</v>
      </c>
      <c r="M4003">
        <v>47.163429345579203</v>
      </c>
      <c r="N4003">
        <v>51.272135345615801</v>
      </c>
      <c r="O4003">
        <v>51.007536091731502</v>
      </c>
      <c r="P4003">
        <v>-0.214158565621304</v>
      </c>
      <c r="Q4003">
        <v>7.3545710181649404E-2</v>
      </c>
      <c r="R4003">
        <v>0.99585616743127903</v>
      </c>
      <c r="S4003" t="s">
        <v>8299</v>
      </c>
      <c r="T4003" t="s">
        <v>8590</v>
      </c>
      <c r="U4003" t="s">
        <v>8590</v>
      </c>
      <c r="V4003" t="s">
        <v>8590</v>
      </c>
      <c r="W4003">
        <v>15</v>
      </c>
      <c r="X4003" t="s">
        <v>12593</v>
      </c>
      <c r="Y4003">
        <v>0.4186562157193458</v>
      </c>
      <c r="Z4003" t="str">
        <f>HYPERLINK("Melting_Curves/meltCurve_tr_F8W9X7_F8W9X7_HUMAN_.pdf", "Melting_Curves/meltCurve_tr_F8W9X7_F8W9X7_HUMAN_.pdf")</f>
        <v>Melting_Curves/meltCurve_tr_F8W9X7_F8W9X7_HUMAN_.pdf</v>
      </c>
      <c r="AA4003" t="s">
        <v>16819</v>
      </c>
      <c r="AB4003" t="s">
        <v>21072</v>
      </c>
    </row>
    <row r="4004" spans="1:28" x14ac:dyDescent="0.25">
      <c r="A4004" t="s">
        <v>4008</v>
      </c>
      <c r="B4004">
        <v>0.99876560204751996</v>
      </c>
      <c r="C4004">
        <v>1.0902101189978299</v>
      </c>
      <c r="D4004">
        <v>0.89840499570028398</v>
      </c>
      <c r="E4004">
        <v>0.77934909419607201</v>
      </c>
      <c r="F4004">
        <v>0.59520782129816396</v>
      </c>
      <c r="G4004">
        <v>0.30847592384808098</v>
      </c>
      <c r="H4004">
        <v>0.20825415154250199</v>
      </c>
      <c r="I4004">
        <v>0.15968160319317101</v>
      </c>
      <c r="J4004">
        <v>0.11019195456245701</v>
      </c>
      <c r="K4004">
        <v>0.112739869379409</v>
      </c>
      <c r="L4004">
        <v>903.89470850497196</v>
      </c>
      <c r="M4004">
        <v>16.920368186543602</v>
      </c>
      <c r="N4004">
        <v>54.104378595377902</v>
      </c>
      <c r="O4004">
        <v>52.691075639513201</v>
      </c>
      <c r="P4004">
        <v>-7.2556647220421003E-2</v>
      </c>
      <c r="Q4004">
        <v>9.6273278423611094E-2</v>
      </c>
      <c r="R4004">
        <v>0.98965480864914201</v>
      </c>
      <c r="S4004" t="s">
        <v>8300</v>
      </c>
      <c r="T4004" t="s">
        <v>8590</v>
      </c>
      <c r="U4004" t="s">
        <v>8590</v>
      </c>
      <c r="V4004" t="s">
        <v>8590</v>
      </c>
      <c r="W4004">
        <v>4</v>
      </c>
      <c r="X4004" t="s">
        <v>12594</v>
      </c>
      <c r="Y4004">
        <v>0.51666921302921243</v>
      </c>
      <c r="Z4004" t="str">
        <f>HYPERLINK("Melting_Curves/meltCurve_tr_F8WAK8_F8WAK8_HUMAN_.pdf", "Melting_Curves/meltCurve_tr_F8WAK8_F8WAK8_HUMAN_.pdf")</f>
        <v>Melting_Curves/meltCurve_tr_F8WAK8_F8WAK8_HUMAN_.pdf</v>
      </c>
      <c r="AA4004" t="s">
        <v>16820</v>
      </c>
      <c r="AB4004" t="s">
        <v>21073</v>
      </c>
    </row>
    <row r="4005" spans="1:28" x14ac:dyDescent="0.25">
      <c r="A4005" t="s">
        <v>4009</v>
      </c>
      <c r="B4005">
        <v>0.99876560204751996</v>
      </c>
      <c r="C4005">
        <v>0.92907755655310997</v>
      </c>
      <c r="D4005">
        <v>1.16765703505767</v>
      </c>
      <c r="E4005">
        <v>1.02511652465975</v>
      </c>
      <c r="F4005">
        <v>1.34217907178608</v>
      </c>
      <c r="G4005">
        <v>1.2309168890691</v>
      </c>
      <c r="H4005">
        <v>1.2554018928697399</v>
      </c>
      <c r="I4005">
        <v>1.2507667049848601</v>
      </c>
      <c r="J4005">
        <v>1.34617122564285</v>
      </c>
      <c r="K4005">
        <v>1.4315270519171099</v>
      </c>
      <c r="L4005">
        <v>499.70557846128997</v>
      </c>
      <c r="M4005">
        <v>9.3501768794440796</v>
      </c>
      <c r="O4005">
        <v>51.169722433323699</v>
      </c>
      <c r="P4005">
        <v>1.80827892103874E-2</v>
      </c>
      <c r="Q4005">
        <v>1.39559043586974</v>
      </c>
      <c r="R4005">
        <v>0.71527835814298901</v>
      </c>
      <c r="S4005" t="s">
        <v>8301</v>
      </c>
      <c r="T4005" t="s">
        <v>8590</v>
      </c>
      <c r="U4005" t="s">
        <v>8590</v>
      </c>
      <c r="V4005" t="s">
        <v>8590</v>
      </c>
      <c r="W4005">
        <v>1</v>
      </c>
      <c r="X4005" t="s">
        <v>12595</v>
      </c>
      <c r="Y4005">
        <v>1.2047942128325859</v>
      </c>
      <c r="Z4005" t="str">
        <f>HYPERLINK("Melting_Curves/meltCurve_tr_F8WEE4_F8WEE4_HUMAN_.pdf", "Melting_Curves/meltCurve_tr_F8WEE4_F8WEE4_HUMAN_.pdf")</f>
        <v>Melting_Curves/meltCurve_tr_F8WEE4_F8WEE4_HUMAN_.pdf</v>
      </c>
      <c r="AA4005" t="s">
        <v>16821</v>
      </c>
      <c r="AB4005" t="s">
        <v>21074</v>
      </c>
    </row>
    <row r="4006" spans="1:28" x14ac:dyDescent="0.25">
      <c r="A4006" t="s">
        <v>4010</v>
      </c>
      <c r="B4006">
        <v>0.99876560204751996</v>
      </c>
      <c r="C4006">
        <v>0.99607600722933498</v>
      </c>
      <c r="D4006">
        <v>1.04325265999285</v>
      </c>
      <c r="E4006">
        <v>0.93176521590323402</v>
      </c>
      <c r="F4006">
        <v>0.83434530588635403</v>
      </c>
      <c r="G4006">
        <v>0.59305694668292896</v>
      </c>
      <c r="H4006">
        <v>0.44097541830074999</v>
      </c>
      <c r="I4006">
        <v>0.38697247228455101</v>
      </c>
      <c r="J4006">
        <v>0.35758842946254998</v>
      </c>
      <c r="K4006">
        <v>0.40610448574210301</v>
      </c>
      <c r="L4006">
        <v>1256.65205535511</v>
      </c>
      <c r="M4006">
        <v>22.685414236894999</v>
      </c>
      <c r="N4006">
        <v>58.887495727377498</v>
      </c>
      <c r="O4006">
        <v>54.969646254649099</v>
      </c>
      <c r="P4006">
        <v>-6.5020585229534106E-2</v>
      </c>
      <c r="Q4006">
        <v>0.36979980430860099</v>
      </c>
      <c r="R4006">
        <v>0.99400837763472105</v>
      </c>
      <c r="S4006" t="s">
        <v>8302</v>
      </c>
      <c r="T4006" t="s">
        <v>8590</v>
      </c>
      <c r="U4006" t="s">
        <v>8590</v>
      </c>
      <c r="V4006" t="s">
        <v>8590</v>
      </c>
      <c r="W4006">
        <v>3</v>
      </c>
      <c r="X4006" t="s">
        <v>12596</v>
      </c>
      <c r="Y4006">
        <v>0.70003275188814551</v>
      </c>
      <c r="Z4006" t="str">
        <f>HYPERLINK("Melting_Curves/meltCurve_tr_F8WF49_F8WF49_HUMAN_.pdf", "Melting_Curves/meltCurve_tr_F8WF49_F8WF49_HUMAN_.pdf")</f>
        <v>Melting_Curves/meltCurve_tr_F8WF49_F8WF49_HUMAN_.pdf</v>
      </c>
      <c r="AA4006" t="s">
        <v>16822</v>
      </c>
      <c r="AB4006" t="s">
        <v>21075</v>
      </c>
    </row>
    <row r="4007" spans="1:28" x14ac:dyDescent="0.25">
      <c r="A4007" t="s">
        <v>4011</v>
      </c>
      <c r="B4007">
        <v>0.99876560204751996</v>
      </c>
      <c r="C4007">
        <v>0.97785052995157995</v>
      </c>
      <c r="D4007">
        <v>0.90030994211263504</v>
      </c>
      <c r="E4007">
        <v>0.88484567343750697</v>
      </c>
      <c r="F4007">
        <v>0.72557618063581497</v>
      </c>
      <c r="G4007">
        <v>0.53752557931088496</v>
      </c>
      <c r="H4007">
        <v>0.41763372184051301</v>
      </c>
      <c r="I4007">
        <v>0.32704342271942799</v>
      </c>
      <c r="J4007">
        <v>0.41466243767745298</v>
      </c>
      <c r="K4007">
        <v>0.388023733040682</v>
      </c>
      <c r="L4007">
        <v>931.14417318282995</v>
      </c>
      <c r="M4007">
        <v>17.305046051032299</v>
      </c>
      <c r="N4007">
        <v>57.9142192470594</v>
      </c>
      <c r="O4007">
        <v>53.104546334952197</v>
      </c>
      <c r="P4007">
        <v>-5.2677651766344299E-2</v>
      </c>
      <c r="Q4007">
        <v>0.35342285017786801</v>
      </c>
      <c r="R4007">
        <v>0.981839327511979</v>
      </c>
      <c r="S4007" t="s">
        <v>8303</v>
      </c>
      <c r="T4007" t="s">
        <v>8590</v>
      </c>
      <c r="U4007" t="s">
        <v>8590</v>
      </c>
      <c r="V4007" t="s">
        <v>8590</v>
      </c>
      <c r="W4007">
        <v>9</v>
      </c>
      <c r="X4007" t="s">
        <v>12597</v>
      </c>
      <c r="Y4007">
        <v>0.66203763229433144</v>
      </c>
      <c r="Z4007" t="str">
        <f>HYPERLINK("Melting_Curves/meltCurve_tr_F8WJN3_F8WJN3_HUMAN_.pdf", "Melting_Curves/meltCurve_tr_F8WJN3_F8WJN3_HUMAN_.pdf")</f>
        <v>Melting_Curves/meltCurve_tr_F8WJN3_F8WJN3_HUMAN_.pdf</v>
      </c>
      <c r="AA4007" t="s">
        <v>16823</v>
      </c>
      <c r="AB4007" t="s">
        <v>21076</v>
      </c>
    </row>
    <row r="4008" spans="1:28" x14ac:dyDescent="0.25">
      <c r="A4008" t="s">
        <v>4012</v>
      </c>
      <c r="B4008">
        <v>0.99876560204751996</v>
      </c>
      <c r="C4008">
        <v>0.99778829161526394</v>
      </c>
      <c r="D4008">
        <v>1.0096023768636699</v>
      </c>
      <c r="E4008">
        <v>0.85283294756541295</v>
      </c>
      <c r="F4008">
        <v>0.677688087131461</v>
      </c>
      <c r="G4008">
        <v>0.40277240938715497</v>
      </c>
      <c r="H4008">
        <v>0.21375391428500601</v>
      </c>
      <c r="I4008">
        <v>0.15352661974778001</v>
      </c>
      <c r="J4008">
        <v>0.12562399250140299</v>
      </c>
      <c r="K4008">
        <v>0.119412073728559</v>
      </c>
      <c r="L4008">
        <v>1005.20805888264</v>
      </c>
      <c r="M4008">
        <v>18.3587337121958</v>
      </c>
      <c r="N4008">
        <v>55.4122891783136</v>
      </c>
      <c r="O4008">
        <v>54.116425977389603</v>
      </c>
      <c r="P4008">
        <v>-7.6501629709011795E-2</v>
      </c>
      <c r="Q4008">
        <v>9.8019315513989694E-2</v>
      </c>
      <c r="R4008">
        <v>0.99878235333823795</v>
      </c>
      <c r="S4008" t="s">
        <v>8304</v>
      </c>
      <c r="T4008" t="s">
        <v>8590</v>
      </c>
      <c r="U4008" t="s">
        <v>8590</v>
      </c>
      <c r="V4008" t="s">
        <v>8590</v>
      </c>
      <c r="W4008">
        <v>10</v>
      </c>
      <c r="X4008" t="s">
        <v>12598</v>
      </c>
      <c r="Y4008">
        <v>0.55530711497429741</v>
      </c>
      <c r="Z4008" t="str">
        <f>HYPERLINK("Melting_Curves/meltCurve_tr_G3V0E8_G3V0E8_HUMAN_.pdf", "Melting_Curves/meltCurve_tr_G3V0E8_G3V0E8_HUMAN_.pdf")</f>
        <v>Melting_Curves/meltCurve_tr_G3V0E8_G3V0E8_HUMAN_.pdf</v>
      </c>
      <c r="AA4008" t="s">
        <v>16824</v>
      </c>
      <c r="AB4008" t="s">
        <v>21077</v>
      </c>
    </row>
    <row r="4009" spans="1:28" x14ac:dyDescent="0.25">
      <c r="A4009" t="s">
        <v>4013</v>
      </c>
      <c r="B4009">
        <v>0.99876560204751996</v>
      </c>
      <c r="C4009">
        <v>0.71180672509267096</v>
      </c>
      <c r="D4009">
        <v>0.67123458404000402</v>
      </c>
      <c r="E4009">
        <v>0.62556488950596001</v>
      </c>
      <c r="F4009">
        <v>0.38357952508945198</v>
      </c>
      <c r="G4009">
        <v>0.126191194008556</v>
      </c>
      <c r="H4009">
        <v>9.9300844914966394E-2</v>
      </c>
      <c r="I4009">
        <v>0.16089149578117201</v>
      </c>
      <c r="J4009">
        <v>3.9673308539211798E-2</v>
      </c>
      <c r="K4009">
        <v>0.50301181982617404</v>
      </c>
      <c r="L4009">
        <v>593.63497648220198</v>
      </c>
      <c r="M4009">
        <v>12.3890227886577</v>
      </c>
      <c r="N4009">
        <v>49.477229895217398</v>
      </c>
      <c r="O4009">
        <v>46.719138984119397</v>
      </c>
      <c r="P4009">
        <v>-5.5582599417209298E-2</v>
      </c>
      <c r="Q4009">
        <v>0.16176822244708999</v>
      </c>
      <c r="R4009">
        <v>0.78002302460815698</v>
      </c>
      <c r="S4009" t="s">
        <v>8305</v>
      </c>
      <c r="T4009" t="s">
        <v>8590</v>
      </c>
      <c r="U4009" t="s">
        <v>8590</v>
      </c>
      <c r="V4009" t="s">
        <v>8590</v>
      </c>
      <c r="W4009">
        <v>2</v>
      </c>
      <c r="X4009" t="s">
        <v>12599</v>
      </c>
      <c r="Y4009">
        <v>0.41410999928686199</v>
      </c>
      <c r="Z4009" t="str">
        <f>HYPERLINK("Melting_Curves/meltCurve_tr_G3V169_G3V169_HUMAN_.pdf", "Melting_Curves/meltCurve_tr_G3V169_G3V169_HUMAN_.pdf")</f>
        <v>Melting_Curves/meltCurve_tr_G3V169_G3V169_HUMAN_.pdf</v>
      </c>
      <c r="AA4009" t="s">
        <v>16825</v>
      </c>
      <c r="AB4009" t="s">
        <v>21078</v>
      </c>
    </row>
    <row r="4010" spans="1:28" x14ac:dyDescent="0.25">
      <c r="A4010" t="s">
        <v>4014</v>
      </c>
      <c r="B4010">
        <v>0.99876560204751996</v>
      </c>
      <c r="C4010">
        <v>0.98240372115337005</v>
      </c>
      <c r="D4010">
        <v>0.92402082263735297</v>
      </c>
      <c r="E4010">
        <v>0.80579199719349204</v>
      </c>
      <c r="F4010">
        <v>0.66235223442606095</v>
      </c>
      <c r="G4010">
        <v>0.41872862532229099</v>
      </c>
      <c r="H4010">
        <v>0.26728105925408302</v>
      </c>
      <c r="I4010">
        <v>0.21800542302709</v>
      </c>
      <c r="J4010">
        <v>0.20110036790074601</v>
      </c>
      <c r="K4010">
        <v>0.131711999962103</v>
      </c>
      <c r="L4010">
        <v>760.65127873718302</v>
      </c>
      <c r="M4010">
        <v>13.9338812251005</v>
      </c>
      <c r="N4010">
        <v>55.5988096794893</v>
      </c>
      <c r="O4010">
        <v>53.502543539076903</v>
      </c>
      <c r="P4010">
        <v>-5.7844298286166801E-2</v>
      </c>
      <c r="Q4010">
        <v>0.111690797331473</v>
      </c>
      <c r="R4010">
        <v>0.99836369719731499</v>
      </c>
      <c r="S4010" t="s">
        <v>8306</v>
      </c>
      <c r="T4010" t="s">
        <v>8590</v>
      </c>
      <c r="U4010" t="s">
        <v>8590</v>
      </c>
      <c r="V4010" t="s">
        <v>8590</v>
      </c>
      <c r="W4010">
        <v>8</v>
      </c>
      <c r="X4010" t="s">
        <v>12600</v>
      </c>
      <c r="Y4010">
        <v>0.56277672513520605</v>
      </c>
      <c r="Z4010" t="str">
        <f>HYPERLINK("Melting_Curves/meltCurve_tr_G3V1P3_G3V1P3_HUMAN_.pdf", "Melting_Curves/meltCurve_tr_G3V1P3_G3V1P3_HUMAN_.pdf")</f>
        <v>Melting_Curves/meltCurve_tr_G3V1P3_G3V1P3_HUMAN_.pdf</v>
      </c>
      <c r="AA4010" t="s">
        <v>16826</v>
      </c>
      <c r="AB4010" t="s">
        <v>21079</v>
      </c>
    </row>
    <row r="4011" spans="1:28" x14ac:dyDescent="0.25">
      <c r="A4011" t="s">
        <v>4015</v>
      </c>
      <c r="B4011">
        <v>0.99876560204751996</v>
      </c>
      <c r="C4011">
        <v>1.03123901552694</v>
      </c>
      <c r="D4011">
        <v>0.90324224968455702</v>
      </c>
      <c r="E4011">
        <v>0.79315760734358098</v>
      </c>
      <c r="F4011">
        <v>0.757793266674336</v>
      </c>
      <c r="G4011">
        <v>0.55579706405906104</v>
      </c>
      <c r="H4011">
        <v>0.33712226992859801</v>
      </c>
      <c r="I4011">
        <v>0.50509051853397302</v>
      </c>
      <c r="J4011">
        <v>0.28972707128947101</v>
      </c>
      <c r="K4011">
        <v>0.328241742295039</v>
      </c>
      <c r="L4011">
        <v>676.53095662053704</v>
      </c>
      <c r="M4011">
        <v>12.3671852824501</v>
      </c>
      <c r="N4011">
        <v>58.526054408302898</v>
      </c>
      <c r="O4011">
        <v>53.3324567099896</v>
      </c>
      <c r="P4011">
        <v>-4.1919418749088E-2</v>
      </c>
      <c r="Q4011">
        <v>0.27705920256785999</v>
      </c>
      <c r="R4011">
        <v>0.95035871804320204</v>
      </c>
      <c r="S4011" t="s">
        <v>8307</v>
      </c>
      <c r="T4011" t="s">
        <v>8590</v>
      </c>
      <c r="U4011" t="s">
        <v>8590</v>
      </c>
      <c r="V4011" t="s">
        <v>8590</v>
      </c>
      <c r="W4011">
        <v>2</v>
      </c>
      <c r="X4011" t="s">
        <v>12601</v>
      </c>
      <c r="Y4011">
        <v>0.64852990284023637</v>
      </c>
      <c r="Z4011" t="str">
        <f>HYPERLINK("Melting_Curves/meltCurve_tr_G3V1R9_G3V1R9_HUMAN_.pdf", "Melting_Curves/meltCurve_tr_G3V1R9_G3V1R9_HUMAN_.pdf")</f>
        <v>Melting_Curves/meltCurve_tr_G3V1R9_G3V1R9_HUMAN_.pdf</v>
      </c>
      <c r="AA4011" t="s">
        <v>16827</v>
      </c>
      <c r="AB4011" t="s">
        <v>21080</v>
      </c>
    </row>
    <row r="4012" spans="1:28" x14ac:dyDescent="0.25">
      <c r="A4012" t="s">
        <v>4016</v>
      </c>
      <c r="B4012">
        <v>0.99876560204751996</v>
      </c>
      <c r="C4012">
        <v>0.92101122387340895</v>
      </c>
      <c r="D4012">
        <v>0.63324815464559803</v>
      </c>
      <c r="E4012">
        <v>0.36019931316260301</v>
      </c>
      <c r="F4012">
        <v>0.189189942721219</v>
      </c>
      <c r="G4012">
        <v>9.7203621155843897E-2</v>
      </c>
      <c r="H4012">
        <v>5.4233204381700803E-2</v>
      </c>
      <c r="I4012">
        <v>4.8802585138142701E-2</v>
      </c>
      <c r="J4012">
        <v>4.2862479712466303E-2</v>
      </c>
      <c r="K4012">
        <v>3.7019108660999903E-2</v>
      </c>
      <c r="L4012">
        <v>835.66504506464901</v>
      </c>
      <c r="M4012">
        <v>17.488746407127302</v>
      </c>
      <c r="N4012">
        <v>48.001860793218398</v>
      </c>
      <c r="O4012">
        <v>47.171417492759701</v>
      </c>
      <c r="P4012">
        <v>-8.9140481561844606E-2</v>
      </c>
      <c r="Q4012">
        <v>3.8319064336619899E-2</v>
      </c>
      <c r="R4012">
        <v>0.99648274083225397</v>
      </c>
      <c r="S4012" t="s">
        <v>8308</v>
      </c>
      <c r="T4012" t="s">
        <v>8590</v>
      </c>
      <c r="U4012" t="s">
        <v>8590</v>
      </c>
      <c r="V4012" t="s">
        <v>8590</v>
      </c>
      <c r="W4012">
        <v>11</v>
      </c>
      <c r="X4012" t="s">
        <v>12602</v>
      </c>
      <c r="Y4012">
        <v>0.30606617181962797</v>
      </c>
      <c r="Z4012" t="str">
        <f>HYPERLINK("Melting_Curves/meltCurve_tr_G3V1Y8_G3V1Y8_HUMAN_.pdf", "Melting_Curves/meltCurve_tr_G3V1Y8_G3V1Y8_HUMAN_.pdf")</f>
        <v>Melting_Curves/meltCurve_tr_G3V1Y8_G3V1Y8_HUMAN_.pdf</v>
      </c>
      <c r="AA4012" t="s">
        <v>16828</v>
      </c>
      <c r="AB4012" t="s">
        <v>21081</v>
      </c>
    </row>
    <row r="4013" spans="1:28" x14ac:dyDescent="0.25">
      <c r="A4013" t="s">
        <v>4017</v>
      </c>
      <c r="B4013">
        <v>0.99876560204751996</v>
      </c>
      <c r="C4013">
        <v>1.00092223303235</v>
      </c>
      <c r="D4013">
        <v>0.93985968946763399</v>
      </c>
      <c r="E4013">
        <v>0.76603914360661296</v>
      </c>
      <c r="F4013">
        <v>0.57765509496078604</v>
      </c>
      <c r="G4013">
        <v>0.35795500169527</v>
      </c>
      <c r="H4013">
        <v>0.22355343412238701</v>
      </c>
      <c r="I4013">
        <v>0.23354966525589099</v>
      </c>
      <c r="J4013">
        <v>0.20152519372514399</v>
      </c>
      <c r="K4013">
        <v>0.19489816943555199</v>
      </c>
      <c r="L4013">
        <v>939.71017517456096</v>
      </c>
      <c r="M4013">
        <v>17.835086360735399</v>
      </c>
      <c r="N4013">
        <v>54.076388155900297</v>
      </c>
      <c r="O4013">
        <v>52.039845799089399</v>
      </c>
      <c r="P4013">
        <v>-6.9951955819541098E-2</v>
      </c>
      <c r="Q4013">
        <v>0.18360863511722</v>
      </c>
      <c r="R4013">
        <v>0.99878288067131105</v>
      </c>
      <c r="S4013" t="s">
        <v>8309</v>
      </c>
      <c r="T4013" t="s">
        <v>8590</v>
      </c>
      <c r="U4013" t="s">
        <v>8590</v>
      </c>
      <c r="V4013" t="s">
        <v>8590</v>
      </c>
      <c r="W4013">
        <v>1</v>
      </c>
      <c r="X4013" t="s">
        <v>12603</v>
      </c>
      <c r="Y4013">
        <v>0.54255694964900802</v>
      </c>
      <c r="Z4013" t="str">
        <f>HYPERLINK("Melting_Curves/meltCurve_tr_G3V238_G3V238_HUMAN_.pdf", "Melting_Curves/meltCurve_tr_G3V238_G3V238_HUMAN_.pdf")</f>
        <v>Melting_Curves/meltCurve_tr_G3V238_G3V238_HUMAN_.pdf</v>
      </c>
      <c r="AA4013" t="s">
        <v>16829</v>
      </c>
      <c r="AB4013" t="s">
        <v>21082</v>
      </c>
    </row>
    <row r="4014" spans="1:28" x14ac:dyDescent="0.25">
      <c r="A4014" t="s">
        <v>4018</v>
      </c>
      <c r="B4014">
        <v>0.99876560204751996</v>
      </c>
      <c r="C4014">
        <v>1.16525245388169</v>
      </c>
      <c r="D4014">
        <v>1.5433623310548801</v>
      </c>
      <c r="E4014">
        <v>1.1972914395183101</v>
      </c>
      <c r="F4014">
        <v>1.42097797358297</v>
      </c>
      <c r="G4014">
        <v>0.95232638106743694</v>
      </c>
      <c r="H4014">
        <v>0.92573893243889305</v>
      </c>
      <c r="I4014">
        <v>0.94958522610379203</v>
      </c>
      <c r="J4014">
        <v>1.3185312883440901</v>
      </c>
      <c r="K4014">
        <v>1.12691551039876</v>
      </c>
      <c r="L4014">
        <v>1.0000000000000001E-5</v>
      </c>
      <c r="M4014">
        <v>1.0000000000000001E-5</v>
      </c>
      <c r="Q4014">
        <v>1.3197478553189399</v>
      </c>
      <c r="R4014">
        <v>-4.8274524377944797E-9</v>
      </c>
      <c r="S4014" t="s">
        <v>8310</v>
      </c>
      <c r="T4014" t="s">
        <v>8590</v>
      </c>
      <c r="U4014" t="s">
        <v>8590</v>
      </c>
      <c r="V4014" t="s">
        <v>8590</v>
      </c>
      <c r="W4014">
        <v>1</v>
      </c>
      <c r="X4014" t="s">
        <v>12604</v>
      </c>
      <c r="Y4014">
        <v>1.159874712117779</v>
      </c>
      <c r="Z4014" t="str">
        <f>HYPERLINK("Melting_Curves/meltCurve_tr_G3V2T6_G3V2T6_HUMAN_.pdf", "Melting_Curves/meltCurve_tr_G3V2T6_G3V2T6_HUMAN_.pdf")</f>
        <v>Melting_Curves/meltCurve_tr_G3V2T6_G3V2T6_HUMAN_.pdf</v>
      </c>
      <c r="AB4014" t="s">
        <v>21005</v>
      </c>
    </row>
    <row r="4015" spans="1:28" x14ac:dyDescent="0.25">
      <c r="A4015" t="s">
        <v>4019</v>
      </c>
      <c r="B4015">
        <v>0.99876560204751996</v>
      </c>
      <c r="C4015">
        <v>0.80111995856640295</v>
      </c>
      <c r="D4015">
        <v>0.86025060843852696</v>
      </c>
      <c r="E4015">
        <v>0.65068874473799199</v>
      </c>
      <c r="F4015">
        <v>0.85952065444270598</v>
      </c>
      <c r="G4015">
        <v>0.59818337611226502</v>
      </c>
      <c r="H4015">
        <v>0.47610970420093102</v>
      </c>
      <c r="I4015">
        <v>0.41298042609902302</v>
      </c>
      <c r="J4015">
        <v>0.47878995923705198</v>
      </c>
      <c r="K4015">
        <v>0.375006876577479</v>
      </c>
      <c r="L4015">
        <v>288.10082597380102</v>
      </c>
      <c r="M4015">
        <v>4.6212343439962504</v>
      </c>
      <c r="N4015">
        <v>62.342832248765802</v>
      </c>
      <c r="O4015">
        <v>53.361058088929099</v>
      </c>
      <c r="P4015">
        <v>-2.1824055221787899E-2</v>
      </c>
      <c r="Q4015">
        <v>0</v>
      </c>
      <c r="R4015">
        <v>0.85560025232922199</v>
      </c>
      <c r="S4015" t="s">
        <v>8311</v>
      </c>
      <c r="T4015" t="s">
        <v>8590</v>
      </c>
      <c r="U4015" t="s">
        <v>8590</v>
      </c>
      <c r="V4015" t="s">
        <v>8590</v>
      </c>
      <c r="W4015">
        <v>2</v>
      </c>
      <c r="X4015" t="s">
        <v>12605</v>
      </c>
      <c r="Y4015">
        <v>0.6524767298269053</v>
      </c>
      <c r="Z4015" t="str">
        <f>HYPERLINK("Melting_Curves/meltCurve_tr_G3V2U7_G3V2U7_HUMAN_.pdf", "Melting_Curves/meltCurve_tr_G3V2U7_G3V2U7_HUMAN_.pdf")</f>
        <v>Melting_Curves/meltCurve_tr_G3V2U7_G3V2U7_HUMAN_.pdf</v>
      </c>
      <c r="AA4015" t="s">
        <v>16830</v>
      </c>
      <c r="AB4015" t="s">
        <v>21083</v>
      </c>
    </row>
    <row r="4016" spans="1:28" x14ac:dyDescent="0.25">
      <c r="A4016" t="s">
        <v>4020</v>
      </c>
      <c r="B4016">
        <v>0.99876560204751996</v>
      </c>
      <c r="C4016">
        <v>1.2038205404806399</v>
      </c>
      <c r="D4016">
        <v>1.0491873355532599</v>
      </c>
      <c r="E4016">
        <v>1.20167025455607</v>
      </c>
      <c r="F4016">
        <v>0.88747452635221302</v>
      </c>
      <c r="G4016">
        <v>0.83523915843946595</v>
      </c>
      <c r="H4016">
        <v>0.68495152574323903</v>
      </c>
      <c r="I4016">
        <v>0.62930383599380202</v>
      </c>
      <c r="J4016">
        <v>0.64764364250633899</v>
      </c>
      <c r="K4016">
        <v>0.53082995933341204</v>
      </c>
      <c r="L4016">
        <v>1346.9421633964801</v>
      </c>
      <c r="M4016">
        <v>23.1585456545067</v>
      </c>
      <c r="O4016">
        <v>57.733308052904299</v>
      </c>
      <c r="P4016">
        <v>-4.2438332677626298E-2</v>
      </c>
      <c r="Q4016">
        <v>0.57681959643223002</v>
      </c>
      <c r="R4016">
        <v>0.81146864031261801</v>
      </c>
      <c r="S4016" t="s">
        <v>8312</v>
      </c>
      <c r="T4016" t="s">
        <v>8590</v>
      </c>
      <c r="U4016" t="s">
        <v>8590</v>
      </c>
      <c r="V4016" t="s">
        <v>8590</v>
      </c>
      <c r="W4016">
        <v>1</v>
      </c>
      <c r="X4016" t="s">
        <v>12606</v>
      </c>
      <c r="Y4016">
        <v>0.83704248107462553</v>
      </c>
      <c r="Z4016" t="str">
        <f>HYPERLINK("Melting_Curves/meltCurve_tr_G3V357_G3V357_HUMAN_.pdf", "Melting_Curves/meltCurve_tr_G3V357_G3V357_HUMAN_.pdf")</f>
        <v>Melting_Curves/meltCurve_tr_G3V357_G3V357_HUMAN_.pdf</v>
      </c>
      <c r="AA4016" t="s">
        <v>16831</v>
      </c>
      <c r="AB4016" t="s">
        <v>21084</v>
      </c>
    </row>
    <row r="4017" spans="1:28" x14ac:dyDescent="0.25">
      <c r="A4017" t="s">
        <v>4021</v>
      </c>
      <c r="B4017">
        <v>0.99876560204751996</v>
      </c>
      <c r="C4017">
        <v>1.07986238680295</v>
      </c>
      <c r="D4017">
        <v>0.85878899952445598</v>
      </c>
      <c r="E4017">
        <v>0.95386033986368002</v>
      </c>
      <c r="F4017">
        <v>0.83486157124221205</v>
      </c>
      <c r="G4017">
        <v>0.51084354695911305</v>
      </c>
      <c r="H4017">
        <v>0.47352312478367697</v>
      </c>
      <c r="I4017">
        <v>0.35391641069240998</v>
      </c>
      <c r="J4017">
        <v>0.35018957694886199</v>
      </c>
      <c r="K4017">
        <v>9.7607933378931103E-2</v>
      </c>
      <c r="L4017">
        <v>615.70367768069104</v>
      </c>
      <c r="M4017">
        <v>10.2883371776721</v>
      </c>
      <c r="N4017">
        <v>59.844843960185102</v>
      </c>
      <c r="O4017">
        <v>57.716163514291303</v>
      </c>
      <c r="P4017">
        <v>-4.45838081290683E-2</v>
      </c>
      <c r="Q4017">
        <v>0</v>
      </c>
      <c r="R4017">
        <v>0.94334575760096695</v>
      </c>
      <c r="S4017" t="s">
        <v>8313</v>
      </c>
      <c r="T4017" t="s">
        <v>8590</v>
      </c>
      <c r="U4017" t="s">
        <v>8590</v>
      </c>
      <c r="V4017" t="s">
        <v>8590</v>
      </c>
      <c r="W4017">
        <v>2</v>
      </c>
      <c r="X4017" t="s">
        <v>12607</v>
      </c>
      <c r="Y4017">
        <v>0.65980517420080198</v>
      </c>
      <c r="Z4017" t="str">
        <f>HYPERLINK("Melting_Curves/meltCurve_tr_G3V3D2_G3V3D2_HUMAN_.pdf", "Melting_Curves/meltCurve_tr_G3V3D2_G3V3D2_HUMAN_.pdf")</f>
        <v>Melting_Curves/meltCurve_tr_G3V3D2_G3V3D2_HUMAN_.pdf</v>
      </c>
      <c r="AA4017" t="s">
        <v>16832</v>
      </c>
      <c r="AB4017" t="s">
        <v>21085</v>
      </c>
    </row>
    <row r="4018" spans="1:28" x14ac:dyDescent="0.25">
      <c r="A4018" t="s">
        <v>4022</v>
      </c>
      <c r="B4018">
        <v>0.99876560204751996</v>
      </c>
      <c r="C4018">
        <v>1.09253264570575</v>
      </c>
      <c r="D4018">
        <v>0.89813445306790296</v>
      </c>
      <c r="E4018">
        <v>0.96385322324804201</v>
      </c>
      <c r="F4018">
        <v>0.68960562366866696</v>
      </c>
      <c r="G4018">
        <v>0.20803127476163899</v>
      </c>
      <c r="H4018">
        <v>9.7541097557503897E-2</v>
      </c>
      <c r="I4018">
        <v>6.1590400529197398E-2</v>
      </c>
      <c r="J4018">
        <v>5.5875216235493803E-2</v>
      </c>
      <c r="K4018">
        <v>3.8770652852832099E-2</v>
      </c>
      <c r="L4018">
        <v>1777.6758948436</v>
      </c>
      <c r="M4018">
        <v>32.804425930479098</v>
      </c>
      <c r="N4018">
        <v>54.381573836207401</v>
      </c>
      <c r="O4018">
        <v>53.989939492261001</v>
      </c>
      <c r="P4018">
        <v>-0.14361746632996</v>
      </c>
      <c r="Q4018">
        <v>5.4534587593805799E-2</v>
      </c>
      <c r="R4018">
        <v>0.98949308631148003</v>
      </c>
      <c r="S4018" t="s">
        <v>8314</v>
      </c>
      <c r="T4018" t="s">
        <v>8590</v>
      </c>
      <c r="U4018" t="s">
        <v>8590</v>
      </c>
      <c r="V4018" t="s">
        <v>8590</v>
      </c>
      <c r="W4018">
        <v>16</v>
      </c>
      <c r="X4018" t="s">
        <v>12608</v>
      </c>
      <c r="Y4018">
        <v>0.50697667539393776</v>
      </c>
      <c r="Z4018" t="str">
        <f>HYPERLINK("Melting_Curves/meltCurve_tr_G3V3G9_G3V3G9_HUMAN_.pdf", "Melting_Curves/meltCurve_tr_G3V3G9_G3V3G9_HUMAN_.pdf")</f>
        <v>Melting_Curves/meltCurve_tr_G3V3G9_G3V3G9_HUMAN_.pdf</v>
      </c>
      <c r="AA4018" t="s">
        <v>16833</v>
      </c>
      <c r="AB4018" t="s">
        <v>21086</v>
      </c>
    </row>
    <row r="4019" spans="1:28" x14ac:dyDescent="0.25">
      <c r="A4019" t="s">
        <v>4023</v>
      </c>
      <c r="B4019">
        <v>0.99876560204751996</v>
      </c>
      <c r="C4019">
        <v>1.17311507927167</v>
      </c>
      <c r="D4019">
        <v>1.01610027866134</v>
      </c>
      <c r="E4019">
        <v>1.00500704180402</v>
      </c>
      <c r="F4019">
        <v>0.69039733104327405</v>
      </c>
      <c r="G4019">
        <v>0.34691065109824198</v>
      </c>
      <c r="H4019">
        <v>0.18876722838027599</v>
      </c>
      <c r="I4019">
        <v>0.15359663963312201</v>
      </c>
      <c r="J4019">
        <v>0.13468310287263399</v>
      </c>
      <c r="K4019">
        <v>0.16798841242748699</v>
      </c>
      <c r="L4019">
        <v>1623.1740404397499</v>
      </c>
      <c r="M4019">
        <v>29.873308559790701</v>
      </c>
      <c r="N4019">
        <v>55.009834017759097</v>
      </c>
      <c r="O4019">
        <v>54.093531009993399</v>
      </c>
      <c r="P4019">
        <v>-0.116890262574475</v>
      </c>
      <c r="Q4019">
        <v>0.15336271619348699</v>
      </c>
      <c r="R4019">
        <v>0.97752675323527505</v>
      </c>
      <c r="S4019" t="s">
        <v>8315</v>
      </c>
      <c r="T4019" t="s">
        <v>8590</v>
      </c>
      <c r="U4019" t="s">
        <v>8590</v>
      </c>
      <c r="V4019" t="s">
        <v>8590</v>
      </c>
      <c r="W4019">
        <v>3</v>
      </c>
      <c r="X4019" t="s">
        <v>12609</v>
      </c>
      <c r="Y4019">
        <v>0.56354889383298734</v>
      </c>
      <c r="Z4019" t="str">
        <f>HYPERLINK("Melting_Curves/meltCurve_tr_G3V3R7_G3V3R7_HUMAN_.pdf", "Melting_Curves/meltCurve_tr_G3V3R7_G3V3R7_HUMAN_.pdf")</f>
        <v>Melting_Curves/meltCurve_tr_G3V3R7_G3V3R7_HUMAN_.pdf</v>
      </c>
      <c r="AA4019" t="s">
        <v>16834</v>
      </c>
      <c r="AB4019" t="s">
        <v>21087</v>
      </c>
    </row>
    <row r="4020" spans="1:28" x14ac:dyDescent="0.25">
      <c r="A4020" t="s">
        <v>4024</v>
      </c>
      <c r="B4020">
        <v>0.99876560204751996</v>
      </c>
      <c r="C4020">
        <v>0.95375132343810298</v>
      </c>
      <c r="D4020">
        <v>0.90972639571913805</v>
      </c>
      <c r="E4020">
        <v>0.76998492568198995</v>
      </c>
      <c r="F4020">
        <v>0.58607779144276195</v>
      </c>
      <c r="G4020">
        <v>0.41401941618666099</v>
      </c>
      <c r="H4020">
        <v>0.44157054257743</v>
      </c>
      <c r="I4020">
        <v>0.28244159241059003</v>
      </c>
      <c r="J4020">
        <v>0.17199051560304399</v>
      </c>
      <c r="K4020">
        <v>8.5809414475157705E-2</v>
      </c>
      <c r="L4020">
        <v>510.26870553880599</v>
      </c>
      <c r="M4020">
        <v>9.0654528898778892</v>
      </c>
      <c r="N4020">
        <v>56.287171940986099</v>
      </c>
      <c r="O4020">
        <v>53.750911054978801</v>
      </c>
      <c r="P4020">
        <v>-4.2193981407839802E-2</v>
      </c>
      <c r="Q4020">
        <v>0</v>
      </c>
      <c r="R4020">
        <v>0.97583147127908898</v>
      </c>
      <c r="S4020" t="s">
        <v>8316</v>
      </c>
      <c r="T4020" t="s">
        <v>8590</v>
      </c>
      <c r="U4020" t="s">
        <v>8590</v>
      </c>
      <c r="V4020" t="s">
        <v>8590</v>
      </c>
      <c r="W4020">
        <v>2</v>
      </c>
      <c r="X4020" t="s">
        <v>12610</v>
      </c>
      <c r="Y4020">
        <v>0.56196675936354057</v>
      </c>
      <c r="Z4020" t="str">
        <f>HYPERLINK("Melting_Curves/meltCurve_tr_G3V4P7_G3V4P7_HUMAN_.pdf", "Melting_Curves/meltCurve_tr_G3V4P7_G3V4P7_HUMAN_.pdf")</f>
        <v>Melting_Curves/meltCurve_tr_G3V4P7_G3V4P7_HUMAN_.pdf</v>
      </c>
      <c r="AA4020" t="s">
        <v>16835</v>
      </c>
      <c r="AB4020" t="s">
        <v>21088</v>
      </c>
    </row>
    <row r="4021" spans="1:28" x14ac:dyDescent="0.25">
      <c r="A4021" t="s">
        <v>4025</v>
      </c>
      <c r="B4021">
        <v>0.99876560204751996</v>
      </c>
      <c r="C4021">
        <v>0.87061793758232098</v>
      </c>
      <c r="D4021">
        <v>0.92423419331996004</v>
      </c>
      <c r="E4021">
        <v>0.92767385098277999</v>
      </c>
      <c r="F4021">
        <v>0.88727251547945196</v>
      </c>
      <c r="G4021">
        <v>0.77169697583313601</v>
      </c>
      <c r="H4021">
        <v>0.76305027375092405</v>
      </c>
      <c r="I4021">
        <v>0.69977512305789502</v>
      </c>
      <c r="J4021">
        <v>1.01225141256524</v>
      </c>
      <c r="K4021">
        <v>0.97378834825551297</v>
      </c>
      <c r="L4021">
        <v>625.60713290805199</v>
      </c>
      <c r="M4021">
        <v>14.5225807374604</v>
      </c>
      <c r="O4021">
        <v>42.286138334135103</v>
      </c>
      <c r="P4021">
        <v>-1.23176500628996E-2</v>
      </c>
      <c r="Q4021">
        <v>0.85655272903296098</v>
      </c>
      <c r="R4021">
        <v>0.13739002081510199</v>
      </c>
      <c r="S4021" t="s">
        <v>8317</v>
      </c>
      <c r="T4021" t="s">
        <v>8590</v>
      </c>
      <c r="U4021" t="s">
        <v>8590</v>
      </c>
      <c r="V4021" t="s">
        <v>8590</v>
      </c>
      <c r="W4021">
        <v>1</v>
      </c>
      <c r="X4021" t="s">
        <v>12611</v>
      </c>
      <c r="Y4021">
        <v>0.87760885025344704</v>
      </c>
      <c r="Z4021" t="str">
        <f>HYPERLINK("Melting_Curves/meltCurve_tr_G3V4S8_G3V4S8_HUMAN_.pdf", "Melting_Curves/meltCurve_tr_G3V4S8_G3V4S8_HUMAN_.pdf")</f>
        <v>Melting_Curves/meltCurve_tr_G3V4S8_G3V4S8_HUMAN_.pdf</v>
      </c>
      <c r="AA4021" t="s">
        <v>16836</v>
      </c>
      <c r="AB4021" t="s">
        <v>21089</v>
      </c>
    </row>
    <row r="4022" spans="1:28" x14ac:dyDescent="0.25">
      <c r="A4022" t="s">
        <v>4026</v>
      </c>
      <c r="B4022">
        <v>0.99876560204751996</v>
      </c>
      <c r="C4022">
        <v>0.94070425255425805</v>
      </c>
      <c r="D4022">
        <v>1.0950387083240101</v>
      </c>
      <c r="E4022">
        <v>0.865934444012882</v>
      </c>
      <c r="F4022">
        <v>0.659510834124027</v>
      </c>
      <c r="G4022">
        <v>0.32623954053811799</v>
      </c>
      <c r="H4022">
        <v>0.210422431478203</v>
      </c>
      <c r="I4022">
        <v>0.186000271889767</v>
      </c>
      <c r="J4022">
        <v>0.20170135963763</v>
      </c>
      <c r="K4022">
        <v>0.18959344349162299</v>
      </c>
      <c r="L4022">
        <v>1423.39270217891</v>
      </c>
      <c r="M4022">
        <v>26.566096704596301</v>
      </c>
      <c r="N4022">
        <v>54.534569883267103</v>
      </c>
      <c r="O4022">
        <v>53.278476580177497</v>
      </c>
      <c r="P4022">
        <v>-0.101466241522862</v>
      </c>
      <c r="Q4022">
        <v>0.186044043074061</v>
      </c>
      <c r="R4022">
        <v>0.988073803681498</v>
      </c>
      <c r="S4022" t="s">
        <v>8318</v>
      </c>
      <c r="T4022" t="s">
        <v>8590</v>
      </c>
      <c r="U4022" t="s">
        <v>8590</v>
      </c>
      <c r="V4022" t="s">
        <v>8590</v>
      </c>
      <c r="W4022">
        <v>15</v>
      </c>
      <c r="X4022" t="s">
        <v>12612</v>
      </c>
      <c r="Y4022">
        <v>0.56118976773323959</v>
      </c>
      <c r="Z4022" t="str">
        <f>HYPERLINK("Melting_Curves/meltCurve_tr_G3V4W0_G3V4W0_HUMAN_.pdf", "Melting_Curves/meltCurve_tr_G3V4W0_G3V4W0_HUMAN_.pdf")</f>
        <v>Melting_Curves/meltCurve_tr_G3V4W0_G3V4W0_HUMAN_.pdf</v>
      </c>
      <c r="AA4022" t="s">
        <v>16837</v>
      </c>
      <c r="AB4022" t="s">
        <v>21090</v>
      </c>
    </row>
    <row r="4023" spans="1:28" x14ac:dyDescent="0.25">
      <c r="A4023" t="s">
        <v>4027</v>
      </c>
      <c r="B4023">
        <v>0.99876560204751996</v>
      </c>
      <c r="C4023">
        <v>0.97767336990787201</v>
      </c>
      <c r="D4023">
        <v>0.88593605407128995</v>
      </c>
      <c r="E4023">
        <v>0.85038546972196505</v>
      </c>
      <c r="F4023">
        <v>0.74745392515173104</v>
      </c>
      <c r="G4023">
        <v>0.420130270820396</v>
      </c>
      <c r="H4023">
        <v>0.30805883535538098</v>
      </c>
      <c r="I4023">
        <v>0.284554945768</v>
      </c>
      <c r="J4023">
        <v>0.34187117116751697</v>
      </c>
      <c r="K4023">
        <v>0.30351647772812401</v>
      </c>
      <c r="L4023">
        <v>1113.26661337818</v>
      </c>
      <c r="M4023">
        <v>20.728248403999601</v>
      </c>
      <c r="N4023">
        <v>55.978172448520297</v>
      </c>
      <c r="O4023">
        <v>53.215306958186297</v>
      </c>
      <c r="P4023">
        <v>-6.9695879189110299E-2</v>
      </c>
      <c r="Q4023">
        <v>0.284303450134752</v>
      </c>
      <c r="R4023">
        <v>0.97925111216823402</v>
      </c>
      <c r="S4023" t="s">
        <v>8319</v>
      </c>
      <c r="T4023" t="s">
        <v>8590</v>
      </c>
      <c r="U4023" t="s">
        <v>8590</v>
      </c>
      <c r="V4023" t="s">
        <v>8590</v>
      </c>
      <c r="W4023">
        <v>7</v>
      </c>
      <c r="X4023" t="s">
        <v>12613</v>
      </c>
      <c r="Y4023">
        <v>0.62052785189905435</v>
      </c>
      <c r="Z4023" t="str">
        <f>HYPERLINK("Melting_Curves/meltCurve_tr_G3V599_G3V599_HUMAN_.pdf", "Melting_Curves/meltCurve_tr_G3V599_G3V599_HUMAN_.pdf")</f>
        <v>Melting_Curves/meltCurve_tr_G3V599_G3V599_HUMAN_.pdf</v>
      </c>
      <c r="AA4023" t="s">
        <v>16838</v>
      </c>
      <c r="AB4023" t="s">
        <v>21091</v>
      </c>
    </row>
    <row r="4024" spans="1:28" x14ac:dyDescent="0.25">
      <c r="A4024" t="s">
        <v>4028</v>
      </c>
      <c r="B4024">
        <v>0.99876560204751996</v>
      </c>
      <c r="C4024">
        <v>0.89825001690141504</v>
      </c>
      <c r="D4024">
        <v>0.87226211518644403</v>
      </c>
      <c r="E4024">
        <v>0.95778938307628703</v>
      </c>
      <c r="F4024">
        <v>0.79068727843283404</v>
      </c>
      <c r="G4024">
        <v>0.21465790287808101</v>
      </c>
      <c r="H4024">
        <v>6.3876103390951094E-2</v>
      </c>
      <c r="I4024">
        <v>3.23572701061152E-2</v>
      </c>
      <c r="J4024">
        <v>2.8803991306338799E-2</v>
      </c>
      <c r="K4024">
        <v>2.4435920246114299E-2</v>
      </c>
      <c r="L4024">
        <v>1994.3360624258801</v>
      </c>
      <c r="M4024">
        <v>36.383273481038103</v>
      </c>
      <c r="N4024">
        <v>54.903474944589703</v>
      </c>
      <c r="O4024">
        <v>54.649836151887001</v>
      </c>
      <c r="P4024">
        <v>-0.16168113719518901</v>
      </c>
      <c r="Q4024">
        <v>2.8584305216509301E-2</v>
      </c>
      <c r="R4024">
        <v>0.98486962539911704</v>
      </c>
      <c r="S4024" t="s">
        <v>8320</v>
      </c>
      <c r="T4024" t="s">
        <v>8590</v>
      </c>
      <c r="U4024" t="s">
        <v>8590</v>
      </c>
      <c r="V4024" t="s">
        <v>8590</v>
      </c>
      <c r="W4024">
        <v>2</v>
      </c>
      <c r="X4024" t="s">
        <v>12614</v>
      </c>
      <c r="Y4024">
        <v>0.5127164754774185</v>
      </c>
      <c r="Z4024" t="str">
        <f>HYPERLINK("Melting_Curves/meltCurve_tr_G3V5E1_G3V5E1_HUMAN_.pdf", "Melting_Curves/meltCurve_tr_G3V5E1_G3V5E1_HUMAN_.pdf")</f>
        <v>Melting_Curves/meltCurve_tr_G3V5E1_G3V5E1_HUMAN_.pdf</v>
      </c>
      <c r="AA4024" t="s">
        <v>16839</v>
      </c>
      <c r="AB4024" t="s">
        <v>21092</v>
      </c>
    </row>
    <row r="4025" spans="1:28" x14ac:dyDescent="0.25">
      <c r="A4025" t="s">
        <v>4029</v>
      </c>
      <c r="B4025">
        <v>0.99876560204751996</v>
      </c>
      <c r="C4025">
        <v>0.91981538015136599</v>
      </c>
      <c r="D4025">
        <v>0.98735874614868102</v>
      </c>
      <c r="E4025">
        <v>0.79833472996175103</v>
      </c>
      <c r="F4025">
        <v>0.42079313166877302</v>
      </c>
      <c r="G4025">
        <v>0.129899454833098</v>
      </c>
      <c r="H4025">
        <v>6.9821530393723505E-2</v>
      </c>
      <c r="I4025">
        <v>4.4274775720900203E-2</v>
      </c>
      <c r="J4025">
        <v>3.4137195386182297E-2</v>
      </c>
      <c r="K4025">
        <v>2.4961410514806302E-2</v>
      </c>
      <c r="L4025">
        <v>1461.7158580646601</v>
      </c>
      <c r="M4025">
        <v>27.9546604613959</v>
      </c>
      <c r="N4025">
        <v>52.433788375557299</v>
      </c>
      <c r="O4025">
        <v>52.023421964926797</v>
      </c>
      <c r="P4025">
        <v>-0.12934177700070901</v>
      </c>
      <c r="Q4025">
        <v>3.7191825500137402E-2</v>
      </c>
      <c r="R4025">
        <v>0.99601963861637699</v>
      </c>
      <c r="S4025" t="s">
        <v>8321</v>
      </c>
      <c r="T4025" t="s">
        <v>8590</v>
      </c>
      <c r="U4025" t="s">
        <v>8590</v>
      </c>
      <c r="V4025" t="s">
        <v>8590</v>
      </c>
      <c r="W4025">
        <v>11</v>
      </c>
      <c r="X4025" t="s">
        <v>12615</v>
      </c>
      <c r="Y4025">
        <v>0.43868378569258298</v>
      </c>
      <c r="Z4025" t="str">
        <f>HYPERLINK("Melting_Curves/meltCurve_tr_G3V5T0_G3V5T0_HUMAN_.pdf", "Melting_Curves/meltCurve_tr_G3V5T0_G3V5T0_HUMAN_.pdf")</f>
        <v>Melting_Curves/meltCurve_tr_G3V5T0_G3V5T0_HUMAN_.pdf</v>
      </c>
      <c r="AA4025" t="s">
        <v>16840</v>
      </c>
      <c r="AB4025" t="s">
        <v>21093</v>
      </c>
    </row>
    <row r="4026" spans="1:28" x14ac:dyDescent="0.25">
      <c r="A4026" t="s">
        <v>4030</v>
      </c>
      <c r="B4026">
        <v>0.99876560204751996</v>
      </c>
      <c r="C4026">
        <v>0.91082294276712605</v>
      </c>
      <c r="D4026">
        <v>0.81628053827084301</v>
      </c>
      <c r="E4026">
        <v>0.73276273601001096</v>
      </c>
      <c r="F4026">
        <v>0.451866686189907</v>
      </c>
      <c r="G4026">
        <v>0.26195661806304399</v>
      </c>
      <c r="H4026">
        <v>0.15278732591605901</v>
      </c>
      <c r="I4026">
        <v>0.17577399807697</v>
      </c>
      <c r="J4026">
        <v>0.163438774078764</v>
      </c>
      <c r="K4026">
        <v>0.10781461456569599</v>
      </c>
      <c r="L4026">
        <v>734.175073528751</v>
      </c>
      <c r="M4026">
        <v>14.1984535755371</v>
      </c>
      <c r="N4026">
        <v>52.500330361875797</v>
      </c>
      <c r="O4026">
        <v>50.714811190751398</v>
      </c>
      <c r="P4026">
        <v>-6.3250397849944295E-2</v>
      </c>
      <c r="Q4026">
        <v>9.6428248038179704E-2</v>
      </c>
      <c r="R4026">
        <v>0.98687955716263698</v>
      </c>
      <c r="S4026" t="s">
        <v>8322</v>
      </c>
      <c r="T4026" t="s">
        <v>8590</v>
      </c>
      <c r="U4026" t="s">
        <v>8590</v>
      </c>
      <c r="V4026" t="s">
        <v>8590</v>
      </c>
      <c r="W4026">
        <v>2</v>
      </c>
      <c r="X4026" t="s">
        <v>12616</v>
      </c>
      <c r="Y4026">
        <v>0.47126640609048759</v>
      </c>
      <c r="Z4026" t="str">
        <f>HYPERLINK("Melting_Curves/meltCurve_tr_G3V5V3_G3V5V3_HUMAN_.pdf", "Melting_Curves/meltCurve_tr_G3V5V3_G3V5V3_HUMAN_.pdf")</f>
        <v>Melting_Curves/meltCurve_tr_G3V5V3_G3V5V3_HUMAN_.pdf</v>
      </c>
      <c r="AA4026" t="s">
        <v>16841</v>
      </c>
      <c r="AB4026" t="s">
        <v>21094</v>
      </c>
    </row>
    <row r="4027" spans="1:28" x14ac:dyDescent="0.25">
      <c r="A4027" t="s">
        <v>4031</v>
      </c>
      <c r="B4027">
        <v>0.99876560204751996</v>
      </c>
      <c r="C4027">
        <v>0.95342688362730299</v>
      </c>
      <c r="D4027">
        <v>0.966275824314487</v>
      </c>
      <c r="E4027">
        <v>0.83639420762438799</v>
      </c>
      <c r="F4027">
        <v>0.710553164307128</v>
      </c>
      <c r="G4027">
        <v>0.50123167157394599</v>
      </c>
      <c r="H4027">
        <v>0.37451362088753998</v>
      </c>
      <c r="I4027">
        <v>0.305052237234749</v>
      </c>
      <c r="J4027">
        <v>0.30690321834450501</v>
      </c>
      <c r="K4027">
        <v>0.31334679258062598</v>
      </c>
      <c r="L4027">
        <v>865.91334489922303</v>
      </c>
      <c r="M4027">
        <v>15.9952598892179</v>
      </c>
      <c r="N4027">
        <v>56.960211961190403</v>
      </c>
      <c r="O4027">
        <v>53.310663162845202</v>
      </c>
      <c r="P4027">
        <v>-5.4476336259020999E-2</v>
      </c>
      <c r="Q4027">
        <v>0.27379944919297799</v>
      </c>
      <c r="R4027">
        <v>0.99661930702094603</v>
      </c>
      <c r="S4027" t="s">
        <v>8323</v>
      </c>
      <c r="T4027" t="s">
        <v>8590</v>
      </c>
      <c r="U4027" t="s">
        <v>8590</v>
      </c>
      <c r="V4027" t="s">
        <v>8590</v>
      </c>
      <c r="W4027">
        <v>4</v>
      </c>
      <c r="X4027" t="s">
        <v>12617</v>
      </c>
      <c r="Y4027">
        <v>0.62961279998324582</v>
      </c>
      <c r="Z4027" t="str">
        <f>HYPERLINK("Melting_Curves/meltCurve_tr_G3XAA0_G3XAA0_HUMAN_.pdf", "Melting_Curves/meltCurve_tr_G3XAA0_G3XAA0_HUMAN_.pdf")</f>
        <v>Melting_Curves/meltCurve_tr_G3XAA0_G3XAA0_HUMAN_.pdf</v>
      </c>
      <c r="AA4027" t="s">
        <v>16842</v>
      </c>
      <c r="AB4027" t="s">
        <v>21095</v>
      </c>
    </row>
    <row r="4028" spans="1:28" x14ac:dyDescent="0.25">
      <c r="A4028" t="s">
        <v>4032</v>
      </c>
      <c r="B4028">
        <v>0.99876560204751996</v>
      </c>
      <c r="C4028">
        <v>0.92427221452843</v>
      </c>
      <c r="D4028">
        <v>0.87337096116646495</v>
      </c>
      <c r="E4028">
        <v>0.82386011876764997</v>
      </c>
      <c r="F4028">
        <v>0.73336742340527294</v>
      </c>
      <c r="G4028">
        <v>0.60624476670850802</v>
      </c>
      <c r="H4028">
        <v>0.49540755803509501</v>
      </c>
      <c r="I4028">
        <v>0.48228714176033999</v>
      </c>
      <c r="J4028">
        <v>0.54766664854003699</v>
      </c>
      <c r="K4028">
        <v>0.53005517098882005</v>
      </c>
      <c r="L4028">
        <v>611.81590569382502</v>
      </c>
      <c r="M4028">
        <v>11.7917487086135</v>
      </c>
      <c r="N4028">
        <v>69.161254804986598</v>
      </c>
      <c r="O4028">
        <v>50.460309420656898</v>
      </c>
      <c r="P4028">
        <v>-3.07541097653635E-2</v>
      </c>
      <c r="Q4028">
        <v>0.47371278231491198</v>
      </c>
      <c r="R4028">
        <v>0.96550565485529405</v>
      </c>
      <c r="S4028" t="s">
        <v>8324</v>
      </c>
      <c r="T4028" t="s">
        <v>8590</v>
      </c>
      <c r="U4028" t="s">
        <v>8590</v>
      </c>
      <c r="V4028" t="s">
        <v>8590</v>
      </c>
      <c r="W4028">
        <v>9</v>
      </c>
      <c r="X4028" t="s">
        <v>12618</v>
      </c>
      <c r="Y4028">
        <v>0.69881298716734419</v>
      </c>
      <c r="Z4028" t="str">
        <f>HYPERLINK("Melting_Curves/meltCurve_tr_G3XAM2_G3XAM2_HUMAN_.pdf", "Melting_Curves/meltCurve_tr_G3XAM2_G3XAM2_HUMAN_.pdf")</f>
        <v>Melting_Curves/meltCurve_tr_G3XAM2_G3XAM2_HUMAN_.pdf</v>
      </c>
      <c r="AA4028" t="s">
        <v>16843</v>
      </c>
      <c r="AB4028" t="s">
        <v>21096</v>
      </c>
    </row>
    <row r="4029" spans="1:28" x14ac:dyDescent="0.25">
      <c r="A4029" t="s">
        <v>4033</v>
      </c>
      <c r="B4029">
        <v>0.99876560204751996</v>
      </c>
      <c r="C4029">
        <v>1.0297255190922701</v>
      </c>
      <c r="D4029">
        <v>1.0316874764283499</v>
      </c>
      <c r="E4029">
        <v>0.94838630830496895</v>
      </c>
      <c r="F4029">
        <v>0.87370669500095199</v>
      </c>
      <c r="G4029">
        <v>0.58863711695319698</v>
      </c>
      <c r="H4029">
        <v>0.48111222595934899</v>
      </c>
      <c r="I4029">
        <v>0.45912100145412599</v>
      </c>
      <c r="J4029">
        <v>0.62413208644479001</v>
      </c>
      <c r="K4029">
        <v>0.56954184607506098</v>
      </c>
      <c r="L4029">
        <v>2252.7657860285999</v>
      </c>
      <c r="M4029">
        <v>41.5865703129599</v>
      </c>
      <c r="O4029">
        <v>54.045700790775399</v>
      </c>
      <c r="P4029">
        <v>-8.9807457418001294E-2</v>
      </c>
      <c r="Q4029">
        <v>0.53314750787562004</v>
      </c>
      <c r="R4029">
        <v>0.95693387041433697</v>
      </c>
      <c r="S4029" t="s">
        <v>8325</v>
      </c>
      <c r="T4029" t="s">
        <v>8590</v>
      </c>
      <c r="U4029" t="s">
        <v>8590</v>
      </c>
      <c r="V4029" t="s">
        <v>8590</v>
      </c>
      <c r="W4029">
        <v>4</v>
      </c>
      <c r="X4029" t="s">
        <v>12619</v>
      </c>
      <c r="Y4029">
        <v>0.75527912830480259</v>
      </c>
      <c r="Z4029" t="str">
        <f>HYPERLINK("Melting_Curves/meltCurve_tr_G3XAN8_G3XAN8_HUMAN_.pdf", "Melting_Curves/meltCurve_tr_G3XAN8_G3XAN8_HUMAN_.pdf")</f>
        <v>Melting_Curves/meltCurve_tr_G3XAN8_G3XAN8_HUMAN_.pdf</v>
      </c>
      <c r="AA4029" t="s">
        <v>16844</v>
      </c>
      <c r="AB4029" t="s">
        <v>21097</v>
      </c>
    </row>
    <row r="4030" spans="1:28" x14ac:dyDescent="0.25">
      <c r="A4030" t="s">
        <v>4034</v>
      </c>
      <c r="B4030">
        <v>0.99876560204751996</v>
      </c>
      <c r="C4030">
        <v>0.99132252401527599</v>
      </c>
      <c r="D4030">
        <v>0.75226274693428896</v>
      </c>
      <c r="E4030">
        <v>0.44069462581819602</v>
      </c>
      <c r="F4030">
        <v>0.26034373879711098</v>
      </c>
      <c r="G4030">
        <v>0.14152822931288001</v>
      </c>
      <c r="H4030">
        <v>9.4665044711477603E-2</v>
      </c>
      <c r="I4030">
        <v>6.2163738630226298E-2</v>
      </c>
      <c r="J4030">
        <v>4.4139226481112299E-2</v>
      </c>
      <c r="K4030">
        <v>7.3215792142827904E-2</v>
      </c>
      <c r="L4030">
        <v>896.65718926534305</v>
      </c>
      <c r="M4030">
        <v>18.297189976929499</v>
      </c>
      <c r="N4030">
        <v>49.352745476978001</v>
      </c>
      <c r="O4030">
        <v>48.4310821872375</v>
      </c>
      <c r="P4030">
        <v>-8.8744312685728299E-2</v>
      </c>
      <c r="Q4030">
        <v>6.0449458480475102E-2</v>
      </c>
      <c r="R4030">
        <v>0.996054184843157</v>
      </c>
      <c r="S4030" t="s">
        <v>8326</v>
      </c>
      <c r="T4030" t="s">
        <v>8590</v>
      </c>
      <c r="U4030" t="s">
        <v>8590</v>
      </c>
      <c r="V4030" t="s">
        <v>8590</v>
      </c>
      <c r="W4030">
        <v>2</v>
      </c>
      <c r="X4030" t="s">
        <v>12620</v>
      </c>
      <c r="Y4030">
        <v>0.3582256356654912</v>
      </c>
      <c r="Z4030" t="str">
        <f>HYPERLINK("Melting_Curves/meltCurve_tr_G5E9C8_G5E9C8_HUMAN_.pdf", "Melting_Curves/meltCurve_tr_G5E9C8_G5E9C8_HUMAN_.pdf")</f>
        <v>Melting_Curves/meltCurve_tr_G5E9C8_G5E9C8_HUMAN_.pdf</v>
      </c>
      <c r="AA4030" t="s">
        <v>16845</v>
      </c>
      <c r="AB4030" t="s">
        <v>21098</v>
      </c>
    </row>
    <row r="4031" spans="1:28" x14ac:dyDescent="0.25">
      <c r="A4031" t="s">
        <v>4035</v>
      </c>
      <c r="B4031">
        <v>0.99876560204751996</v>
      </c>
      <c r="C4031">
        <v>1.0787190596870899</v>
      </c>
      <c r="D4031">
        <v>0.91695675288109502</v>
      </c>
      <c r="E4031">
        <v>0.53274632623020501</v>
      </c>
      <c r="F4031">
        <v>0.35646027138251701</v>
      </c>
      <c r="G4031">
        <v>0.21272548798934901</v>
      </c>
      <c r="H4031">
        <v>0.13148298420016999</v>
      </c>
      <c r="I4031">
        <v>0.10277845555955201</v>
      </c>
      <c r="J4031">
        <v>8.0950409761736994E-2</v>
      </c>
      <c r="K4031">
        <v>8.4326645826671098E-2</v>
      </c>
      <c r="L4031">
        <v>1066.3769060398599</v>
      </c>
      <c r="M4031">
        <v>21.1779395922239</v>
      </c>
      <c r="N4031">
        <v>50.889596646544803</v>
      </c>
      <c r="O4031">
        <v>49.910681173737501</v>
      </c>
      <c r="P4031">
        <v>-9.5470300485695006E-2</v>
      </c>
      <c r="Q4031">
        <v>0.10003255082767</v>
      </c>
      <c r="R4031">
        <v>0.98865522004598405</v>
      </c>
      <c r="S4031" t="s">
        <v>8327</v>
      </c>
      <c r="T4031" t="s">
        <v>8590</v>
      </c>
      <c r="U4031" t="s">
        <v>8590</v>
      </c>
      <c r="V4031" t="s">
        <v>8590</v>
      </c>
      <c r="W4031">
        <v>5</v>
      </c>
      <c r="X4031" t="s">
        <v>12621</v>
      </c>
      <c r="Y4031">
        <v>0.42181904050035929</v>
      </c>
      <c r="Z4031" t="str">
        <f>HYPERLINK("Melting_Curves/meltCurve_tr_G5E9W7_G5E9W7_HUMAN_.pdf", "Melting_Curves/meltCurve_tr_G5E9W7_G5E9W7_HUMAN_.pdf")</f>
        <v>Melting_Curves/meltCurve_tr_G5E9W7_G5E9W7_HUMAN_.pdf</v>
      </c>
      <c r="AA4031" t="s">
        <v>16846</v>
      </c>
      <c r="AB4031" t="s">
        <v>21099</v>
      </c>
    </row>
    <row r="4032" spans="1:28" x14ac:dyDescent="0.25">
      <c r="A4032" t="s">
        <v>4036</v>
      </c>
      <c r="B4032">
        <v>0.99876560204751996</v>
      </c>
      <c r="C4032">
        <v>0.80696995294062801</v>
      </c>
      <c r="D4032">
        <v>0.82745654830155602</v>
      </c>
      <c r="E4032">
        <v>0.77780063503653196</v>
      </c>
      <c r="F4032">
        <v>1.1615556292379401</v>
      </c>
      <c r="G4032">
        <v>0.82761981782510596</v>
      </c>
      <c r="H4032">
        <v>0.97044995025645897</v>
      </c>
      <c r="I4032">
        <v>0.87745417281581894</v>
      </c>
      <c r="J4032">
        <v>1.0462954370516</v>
      </c>
      <c r="K4032">
        <v>1.1477849434652401</v>
      </c>
      <c r="L4032">
        <v>15000</v>
      </c>
      <c r="M4032">
        <v>223.09523440519999</v>
      </c>
      <c r="O4032">
        <v>67.230481619303504</v>
      </c>
      <c r="P4032">
        <v>0.12262000665511601</v>
      </c>
      <c r="Q4032">
        <v>1.14780771361335</v>
      </c>
      <c r="R4032">
        <v>-3.9431530317874497E-2</v>
      </c>
      <c r="S4032" t="s">
        <v>8328</v>
      </c>
      <c r="T4032" t="s">
        <v>8590</v>
      </c>
      <c r="U4032" t="s">
        <v>8590</v>
      </c>
      <c r="V4032" t="s">
        <v>8590</v>
      </c>
      <c r="W4032">
        <v>1</v>
      </c>
      <c r="X4032" t="s">
        <v>12622</v>
      </c>
      <c r="Y4032">
        <v>1.0135970459233969</v>
      </c>
      <c r="Z4032" t="str">
        <f>HYPERLINK("Melting_Curves/meltCurve_tr_G5E9X3_G5E9X3_HUMAN_.pdf", "Melting_Curves/meltCurve_tr_G5E9X3_G5E9X3_HUMAN_.pdf")</f>
        <v>Melting_Curves/meltCurve_tr_G5E9X3_G5E9X3_HUMAN_.pdf</v>
      </c>
      <c r="AA4032" t="s">
        <v>16847</v>
      </c>
      <c r="AB4032" t="s">
        <v>21100</v>
      </c>
    </row>
    <row r="4033" spans="1:28" x14ac:dyDescent="0.25">
      <c r="A4033" t="s">
        <v>4037</v>
      </c>
      <c r="B4033">
        <v>0.99876560204751996</v>
      </c>
      <c r="C4033">
        <v>0.95028427674623905</v>
      </c>
      <c r="D4033">
        <v>0.942123941426672</v>
      </c>
      <c r="E4033">
        <v>0.86373405745300602</v>
      </c>
      <c r="F4033">
        <v>0.56830183347753704</v>
      </c>
      <c r="G4033">
        <v>0.220581737200509</v>
      </c>
      <c r="H4033">
        <v>9.2506712985265305E-2</v>
      </c>
      <c r="I4033">
        <v>7.0278632571479302E-2</v>
      </c>
      <c r="J4033">
        <v>6.8868954366585799E-2</v>
      </c>
      <c r="K4033">
        <v>6.6535690404256706E-2</v>
      </c>
      <c r="L4033">
        <v>1319.7783841892201</v>
      </c>
      <c r="M4033">
        <v>24.724967388008899</v>
      </c>
      <c r="N4033">
        <v>53.647899190475599</v>
      </c>
      <c r="O4033">
        <v>53.032840048086904</v>
      </c>
      <c r="P4033">
        <v>-0.10974878844015699</v>
      </c>
      <c r="Q4033">
        <v>5.8407515551378797E-2</v>
      </c>
      <c r="R4033">
        <v>0.99737215400184698</v>
      </c>
      <c r="S4033" t="s">
        <v>8329</v>
      </c>
      <c r="T4033" t="s">
        <v>8590</v>
      </c>
      <c r="U4033" t="s">
        <v>8590</v>
      </c>
      <c r="V4033" t="s">
        <v>8590</v>
      </c>
      <c r="W4033">
        <v>45</v>
      </c>
      <c r="X4033" t="s">
        <v>12623</v>
      </c>
      <c r="Y4033">
        <v>0.48717686372756602</v>
      </c>
      <c r="Z4033" t="str">
        <f>HYPERLINK("Melting_Curves/meltCurve_tr_G5EA52_G5EA52_HUMAN_.pdf", "Melting_Curves/meltCurve_tr_G5EA52_G5EA52_HUMAN_.pdf")</f>
        <v>Melting_Curves/meltCurve_tr_G5EA52_G5EA52_HUMAN_.pdf</v>
      </c>
      <c r="AA4033" t="s">
        <v>16848</v>
      </c>
      <c r="AB4033" t="s">
        <v>21101</v>
      </c>
    </row>
    <row r="4034" spans="1:28" x14ac:dyDescent="0.25">
      <c r="A4034" t="s">
        <v>4038</v>
      </c>
      <c r="B4034">
        <v>0.99876560204751996</v>
      </c>
      <c r="C4034">
        <v>0.97552835046125796</v>
      </c>
      <c r="D4034">
        <v>0.87277939425741402</v>
      </c>
      <c r="E4034">
        <v>0.55846109048236603</v>
      </c>
      <c r="F4034">
        <v>0.22536515798992399</v>
      </c>
      <c r="G4034">
        <v>0.11463427007270301</v>
      </c>
      <c r="H4034">
        <v>0.113784136460092</v>
      </c>
      <c r="I4034">
        <v>8.64333566557908E-2</v>
      </c>
      <c r="J4034">
        <v>7.4457815695717799E-2</v>
      </c>
      <c r="K4034">
        <v>9.3491617220644294E-2</v>
      </c>
      <c r="L4034">
        <v>1244.7831935459001</v>
      </c>
      <c r="M4034">
        <v>24.952981583311502</v>
      </c>
      <c r="N4034">
        <v>50.252060238219798</v>
      </c>
      <c r="O4034">
        <v>49.568069549451202</v>
      </c>
      <c r="P4034">
        <v>-0.115372875565131</v>
      </c>
      <c r="Q4034">
        <v>8.3278583344621196E-2</v>
      </c>
      <c r="R4034">
        <v>0.99766673601030298</v>
      </c>
      <c r="S4034" t="s">
        <v>8330</v>
      </c>
      <c r="T4034" t="s">
        <v>8590</v>
      </c>
      <c r="U4034" t="s">
        <v>8590</v>
      </c>
      <c r="V4034" t="s">
        <v>8590</v>
      </c>
      <c r="W4034">
        <v>7</v>
      </c>
      <c r="X4034" t="s">
        <v>12624</v>
      </c>
      <c r="Y4034">
        <v>0.39355795977408492</v>
      </c>
      <c r="Z4034" t="str">
        <f>HYPERLINK("Melting_Curves/meltCurve_tr_G8JLB3_G8JLB3_HUMAN_.pdf", "Melting_Curves/meltCurve_tr_G8JLB3_G8JLB3_HUMAN_.pdf")</f>
        <v>Melting_Curves/meltCurve_tr_G8JLB3_G8JLB3_HUMAN_.pdf</v>
      </c>
      <c r="AA4034" t="s">
        <v>16849</v>
      </c>
      <c r="AB4034" t="s">
        <v>21102</v>
      </c>
    </row>
    <row r="4035" spans="1:28" x14ac:dyDescent="0.25">
      <c r="A4035" t="s">
        <v>4039</v>
      </c>
      <c r="B4035">
        <v>0.99876560204751996</v>
      </c>
      <c r="C4035">
        <v>0.98394567579500403</v>
      </c>
      <c r="D4035">
        <v>0.88857403925829903</v>
      </c>
      <c r="E4035">
        <v>0.81677675876362299</v>
      </c>
      <c r="F4035">
        <v>0.75465225368180999</v>
      </c>
      <c r="G4035">
        <v>0.51520054275876803</v>
      </c>
      <c r="H4035">
        <v>0.42848745916619602</v>
      </c>
      <c r="I4035">
        <v>0.395162670269605</v>
      </c>
      <c r="J4035">
        <v>0.45434166155540001</v>
      </c>
      <c r="K4035">
        <v>0.39906552327427502</v>
      </c>
      <c r="L4035">
        <v>777.82006600468105</v>
      </c>
      <c r="M4035">
        <v>14.629469707249701</v>
      </c>
      <c r="N4035">
        <v>58.759503240184301</v>
      </c>
      <c r="O4035">
        <v>52.204195350568497</v>
      </c>
      <c r="P4035">
        <v>-4.3740786216211101E-2</v>
      </c>
      <c r="Q4035">
        <v>0.37572608819415099</v>
      </c>
      <c r="R4035">
        <v>0.97927025993786998</v>
      </c>
      <c r="S4035" t="s">
        <v>8331</v>
      </c>
      <c r="T4035" t="s">
        <v>8590</v>
      </c>
      <c r="U4035" t="s">
        <v>8590</v>
      </c>
      <c r="V4035" t="s">
        <v>8590</v>
      </c>
      <c r="W4035">
        <v>18</v>
      </c>
      <c r="X4035" t="s">
        <v>12625</v>
      </c>
      <c r="Y4035">
        <v>0.66353692989278079</v>
      </c>
      <c r="Z4035" t="str">
        <f>HYPERLINK("Melting_Curves/meltCurve_tr_G8JLC6_G8JLC6_HUMAN_.pdf", "Melting_Curves/meltCurve_tr_G8JLC6_G8JLC6_HUMAN_.pdf")</f>
        <v>Melting_Curves/meltCurve_tr_G8JLC6_G8JLC6_HUMAN_.pdf</v>
      </c>
      <c r="AA4035" t="s">
        <v>16850</v>
      </c>
      <c r="AB4035" t="s">
        <v>21103</v>
      </c>
    </row>
    <row r="4036" spans="1:28" x14ac:dyDescent="0.25">
      <c r="A4036" t="s">
        <v>4040</v>
      </c>
      <c r="B4036">
        <v>0.99876560204751996</v>
      </c>
      <c r="C4036">
        <v>0.93333967426251196</v>
      </c>
      <c r="D4036">
        <v>1.14707741639375</v>
      </c>
      <c r="E4036">
        <v>0.92610922173460197</v>
      </c>
      <c r="F4036">
        <v>0.87674734724676495</v>
      </c>
      <c r="G4036">
        <v>0.50590194477124095</v>
      </c>
      <c r="H4036">
        <v>0.45994210283151299</v>
      </c>
      <c r="I4036">
        <v>0.487185610627207</v>
      </c>
      <c r="J4036">
        <v>0.65752106488851703</v>
      </c>
      <c r="K4036">
        <v>0.67168364356518795</v>
      </c>
      <c r="L4036">
        <v>8786.5722832218908</v>
      </c>
      <c r="M4036">
        <v>164.82949765485401</v>
      </c>
      <c r="O4036">
        <v>53.299191759753903</v>
      </c>
      <c r="P4036">
        <v>-0.34292670870352099</v>
      </c>
      <c r="Q4036">
        <v>0.556445503508876</v>
      </c>
      <c r="R4036">
        <v>0.86344015303111499</v>
      </c>
      <c r="S4036" t="s">
        <v>8332</v>
      </c>
      <c r="T4036" t="s">
        <v>8590</v>
      </c>
      <c r="U4036" t="s">
        <v>8590</v>
      </c>
      <c r="V4036" t="s">
        <v>8590</v>
      </c>
      <c r="W4036">
        <v>1</v>
      </c>
      <c r="X4036" t="s">
        <v>12626</v>
      </c>
      <c r="Y4036">
        <v>0.75328753984101382</v>
      </c>
      <c r="Z4036" t="str">
        <f>HYPERLINK("Melting_Curves/meltCurve_tr_G8JLE5_G8JLE5_HUMAN_.pdf", "Melting_Curves/meltCurve_tr_G8JLE5_G8JLE5_HUMAN_.pdf")</f>
        <v>Melting_Curves/meltCurve_tr_G8JLE5_G8JLE5_HUMAN_.pdf</v>
      </c>
      <c r="AA4036" t="s">
        <v>16851</v>
      </c>
      <c r="AB4036" t="s">
        <v>21104</v>
      </c>
    </row>
    <row r="4037" spans="1:28" x14ac:dyDescent="0.25">
      <c r="A4037" t="s">
        <v>4041</v>
      </c>
      <c r="B4037">
        <v>0.99876560204751996</v>
      </c>
      <c r="C4037">
        <v>0.931010504141638</v>
      </c>
      <c r="D4037">
        <v>0.77889326371704204</v>
      </c>
      <c r="E4037">
        <v>0.72150689960538095</v>
      </c>
      <c r="F4037">
        <v>0.61873185476945902</v>
      </c>
      <c r="G4037">
        <v>0.169022313465889</v>
      </c>
      <c r="H4037">
        <v>0.16920343105607799</v>
      </c>
      <c r="I4037">
        <v>0.109552547973568</v>
      </c>
      <c r="J4037">
        <v>6.9220529858156396E-2</v>
      </c>
      <c r="K4037">
        <v>6.3908276455747107E-2</v>
      </c>
      <c r="L4037">
        <v>676.92682952274799</v>
      </c>
      <c r="M4037">
        <v>12.744987820351099</v>
      </c>
      <c r="N4037">
        <v>53.113184913777403</v>
      </c>
      <c r="O4037">
        <v>51.856517042147701</v>
      </c>
      <c r="P4037">
        <v>-6.1455244953075201E-2</v>
      </c>
      <c r="Q4037">
        <v>0</v>
      </c>
      <c r="R4037">
        <v>0.96899253613774405</v>
      </c>
      <c r="S4037" t="s">
        <v>8333</v>
      </c>
      <c r="T4037" t="s">
        <v>8590</v>
      </c>
      <c r="U4037" t="s">
        <v>8590</v>
      </c>
      <c r="V4037" t="s">
        <v>8590</v>
      </c>
      <c r="W4037">
        <v>5</v>
      </c>
      <c r="X4037" t="s">
        <v>12627</v>
      </c>
      <c r="Y4037">
        <v>0.46346046236003852</v>
      </c>
      <c r="Z4037" t="str">
        <f>HYPERLINK("Melting_Curves/meltCurve_tr_G8JLI5_G8JLI5_HUMAN_.pdf", "Melting_Curves/meltCurve_tr_G8JLI5_G8JLI5_HUMAN_.pdf")</f>
        <v>Melting_Curves/meltCurve_tr_G8JLI5_G8JLI5_HUMAN_.pdf</v>
      </c>
      <c r="AA4037" t="s">
        <v>16852</v>
      </c>
      <c r="AB4037" t="s">
        <v>21105</v>
      </c>
    </row>
    <row r="4038" spans="1:28" x14ac:dyDescent="0.25">
      <c r="A4038" t="s">
        <v>4042</v>
      </c>
      <c r="B4038">
        <v>0.99876560204751996</v>
      </c>
      <c r="C4038">
        <v>1.0871195217954499</v>
      </c>
      <c r="D4038">
        <v>1.0808660805249799</v>
      </c>
      <c r="E4038">
        <v>0.887546158384943</v>
      </c>
      <c r="F4038">
        <v>0.64170726724305904</v>
      </c>
      <c r="G4038">
        <v>0.344475734389739</v>
      </c>
      <c r="H4038">
        <v>0.113053202245515</v>
      </c>
      <c r="I4038">
        <v>0</v>
      </c>
      <c r="J4038">
        <v>0.122936940582513</v>
      </c>
      <c r="K4038">
        <v>5.5922822817033903E-2</v>
      </c>
      <c r="L4038">
        <v>1243.7161735934601</v>
      </c>
      <c r="M4038">
        <v>22.820832173573798</v>
      </c>
      <c r="N4038">
        <v>54.7358102444935</v>
      </c>
      <c r="O4038">
        <v>54.085852086098498</v>
      </c>
      <c r="P4038">
        <v>-0.100530872043879</v>
      </c>
      <c r="Q4038">
        <v>4.6977279165549099E-2</v>
      </c>
      <c r="R4038">
        <v>0.98395950481322403</v>
      </c>
      <c r="S4038" t="s">
        <v>8334</v>
      </c>
      <c r="T4038" t="s">
        <v>8590</v>
      </c>
      <c r="U4038" t="s">
        <v>8590</v>
      </c>
      <c r="V4038" t="s">
        <v>8590</v>
      </c>
      <c r="W4038">
        <v>2</v>
      </c>
      <c r="X4038" t="s">
        <v>12628</v>
      </c>
      <c r="Y4038">
        <v>0.51792784726361007</v>
      </c>
      <c r="Z4038" t="str">
        <f>HYPERLINK("Melting_Curves/meltCurve_tr_G8JLK3_G8JLK3_HUMAN_.pdf", "Melting_Curves/meltCurve_tr_G8JLK3_G8JLK3_HUMAN_.pdf")</f>
        <v>Melting_Curves/meltCurve_tr_G8JLK3_G8JLK3_HUMAN_.pdf</v>
      </c>
      <c r="AA4038" t="s">
        <v>16853</v>
      </c>
      <c r="AB4038" t="s">
        <v>21106</v>
      </c>
    </row>
    <row r="4039" spans="1:28" x14ac:dyDescent="0.25">
      <c r="A4039" t="s">
        <v>4043</v>
      </c>
      <c r="B4039">
        <v>0.99876560204751996</v>
      </c>
      <c r="C4039">
        <v>1.0759867237854299</v>
      </c>
      <c r="D4039">
        <v>1.15537466294456</v>
      </c>
      <c r="E4039">
        <v>1.1269199959744101</v>
      </c>
      <c r="F4039">
        <v>0.81682912553571096</v>
      </c>
      <c r="G4039">
        <v>0.53780488998535403</v>
      </c>
      <c r="H4039">
        <v>0.39440281715967301</v>
      </c>
      <c r="I4039">
        <v>0.33613173720170098</v>
      </c>
      <c r="J4039">
        <v>0.42914607452565101</v>
      </c>
      <c r="K4039">
        <v>0.38236695065719101</v>
      </c>
      <c r="L4039">
        <v>1991.93879680946</v>
      </c>
      <c r="M4039">
        <v>36.309992248067402</v>
      </c>
      <c r="N4039">
        <v>57.167170980794197</v>
      </c>
      <c r="O4039">
        <v>54.693643655955803</v>
      </c>
      <c r="P4039">
        <v>-0.102144208443014</v>
      </c>
      <c r="Q4039">
        <v>0.38456369844396798</v>
      </c>
      <c r="R4039">
        <v>0.94425116002512699</v>
      </c>
      <c r="S4039" t="s">
        <v>8335</v>
      </c>
      <c r="T4039" t="s">
        <v>8590</v>
      </c>
      <c r="U4039" t="s">
        <v>8590</v>
      </c>
      <c r="V4039" t="s">
        <v>8590</v>
      </c>
      <c r="W4039">
        <v>11</v>
      </c>
      <c r="X4039" t="s">
        <v>12629</v>
      </c>
      <c r="Y4039">
        <v>0.69221165251578187</v>
      </c>
      <c r="Z4039" t="str">
        <f>HYPERLINK("Melting_Curves/meltCurve_tr_H0Y300_H0Y300_HUMAN_.pdf", "Melting_Curves/meltCurve_tr_H0Y300_H0Y300_HUMAN_.pdf")</f>
        <v>Melting_Curves/meltCurve_tr_H0Y300_H0Y300_HUMAN_.pdf</v>
      </c>
      <c r="AA4039" t="s">
        <v>13310</v>
      </c>
      <c r="AB4039" t="s">
        <v>17516</v>
      </c>
    </row>
    <row r="4040" spans="1:28" x14ac:dyDescent="0.25">
      <c r="A4040" t="s">
        <v>4044</v>
      </c>
      <c r="B4040">
        <v>0.99876560204751996</v>
      </c>
      <c r="C4040">
        <v>1.0401825186369</v>
      </c>
      <c r="D4040">
        <v>1.1799217014144301</v>
      </c>
      <c r="E4040">
        <v>0.91275528168067199</v>
      </c>
      <c r="F4040">
        <v>0.67878872670953205</v>
      </c>
      <c r="G4040">
        <v>0.43725345963713302</v>
      </c>
      <c r="H4040">
        <v>0.250144238447644</v>
      </c>
      <c r="I4040">
        <v>0.236958035003071</v>
      </c>
      <c r="J4040">
        <v>0.329504793513693</v>
      </c>
      <c r="K4040">
        <v>0.278359299317194</v>
      </c>
      <c r="L4040">
        <v>1518.07566956135</v>
      </c>
      <c r="M4040">
        <v>28.2790630156879</v>
      </c>
      <c r="N4040">
        <v>55.225100245695998</v>
      </c>
      <c r="O4040">
        <v>53.415673455702503</v>
      </c>
      <c r="P4040">
        <v>-9.6206032833311805E-2</v>
      </c>
      <c r="Q4040">
        <v>0.27312051662319198</v>
      </c>
      <c r="R4040">
        <v>0.96275733417091403</v>
      </c>
      <c r="S4040" t="s">
        <v>8336</v>
      </c>
      <c r="T4040" t="s">
        <v>8590</v>
      </c>
      <c r="U4040" t="s">
        <v>8590</v>
      </c>
      <c r="V4040" t="s">
        <v>8590</v>
      </c>
      <c r="W4040">
        <v>13</v>
      </c>
      <c r="X4040" t="s">
        <v>12630</v>
      </c>
      <c r="Y4040">
        <v>0.60995511371892774</v>
      </c>
      <c r="Z4040" t="str">
        <f>HYPERLINK("Melting_Curves/meltCurve_tr_H0Y304_H0Y304_HUMAN_.pdf", "Melting_Curves/meltCurve_tr_H0Y304_H0Y304_HUMAN_.pdf")</f>
        <v>Melting_Curves/meltCurve_tr_H0Y304_H0Y304_HUMAN_.pdf</v>
      </c>
      <c r="AA4040" t="s">
        <v>13545</v>
      </c>
      <c r="AB4040" t="s">
        <v>21107</v>
      </c>
    </row>
    <row r="4041" spans="1:28" x14ac:dyDescent="0.25">
      <c r="A4041" t="s">
        <v>4045</v>
      </c>
      <c r="B4041">
        <v>0.99876560204751996</v>
      </c>
      <c r="C4041">
        <v>1.1435773516648999</v>
      </c>
      <c r="D4041">
        <v>0.91618098476764598</v>
      </c>
      <c r="E4041">
        <v>0.88246252730671104</v>
      </c>
      <c r="F4041">
        <v>0.749012899293937</v>
      </c>
      <c r="G4041">
        <v>0.62248278957296699</v>
      </c>
      <c r="H4041">
        <v>0.50541592793551704</v>
      </c>
      <c r="I4041">
        <v>0.40410050623011201</v>
      </c>
      <c r="J4041">
        <v>0.37113142531603699</v>
      </c>
      <c r="K4041">
        <v>0.375857825264515</v>
      </c>
      <c r="L4041">
        <v>755.22000114249204</v>
      </c>
      <c r="M4041">
        <v>13.571983584909599</v>
      </c>
      <c r="N4041">
        <v>60.303586952124398</v>
      </c>
      <c r="O4041">
        <v>54.479122982407603</v>
      </c>
      <c r="P4041">
        <v>-4.2061782050471903E-2</v>
      </c>
      <c r="Q4041">
        <v>0.32474226136469703</v>
      </c>
      <c r="R4041">
        <v>0.96024565271267504</v>
      </c>
      <c r="S4041" t="s">
        <v>8337</v>
      </c>
      <c r="T4041" t="s">
        <v>8590</v>
      </c>
      <c r="U4041" t="s">
        <v>8590</v>
      </c>
      <c r="V4041" t="s">
        <v>8590</v>
      </c>
      <c r="W4041">
        <v>1</v>
      </c>
      <c r="X4041" t="s">
        <v>12631</v>
      </c>
      <c r="Y4041">
        <v>0.69035776585539688</v>
      </c>
      <c r="Z4041" t="str">
        <f>HYPERLINK("Melting_Curves/meltCurve_tr_H0Y3A0_H0Y3A0_HUMAN_.pdf", "Melting_Curves/meltCurve_tr_H0Y3A0_H0Y3A0_HUMAN_.pdf")</f>
        <v>Melting_Curves/meltCurve_tr_H0Y3A0_H0Y3A0_HUMAN_.pdf</v>
      </c>
      <c r="AA4041" t="s">
        <v>16854</v>
      </c>
      <c r="AB4041" t="s">
        <v>21108</v>
      </c>
    </row>
    <row r="4042" spans="1:28" x14ac:dyDescent="0.25">
      <c r="A4042" t="s">
        <v>4046</v>
      </c>
      <c r="B4042">
        <v>0.99876560204751996</v>
      </c>
      <c r="C4042">
        <v>1.0039793681905</v>
      </c>
      <c r="D4042">
        <v>0.99905082361412001</v>
      </c>
      <c r="E4042">
        <v>0.954812687241681</v>
      </c>
      <c r="F4042">
        <v>0.74854098168705197</v>
      </c>
      <c r="G4042">
        <v>0.219411911245842</v>
      </c>
      <c r="H4042">
        <v>0.115361946148067</v>
      </c>
      <c r="I4042">
        <v>7.9557937727453301E-2</v>
      </c>
      <c r="J4042">
        <v>6.2735823365092799E-2</v>
      </c>
      <c r="K4042">
        <v>5.4326966768765902E-2</v>
      </c>
      <c r="L4042">
        <v>1924.68512866737</v>
      </c>
      <c r="M4042">
        <v>35.347884088489998</v>
      </c>
      <c r="N4042">
        <v>54.681604688448701</v>
      </c>
      <c r="O4042">
        <v>54.276398143750498</v>
      </c>
      <c r="P4042">
        <v>-0.15148597762436899</v>
      </c>
      <c r="Q4042">
        <v>6.9580857499953297E-2</v>
      </c>
      <c r="R4042">
        <v>0.99936646259131301</v>
      </c>
      <c r="S4042" t="s">
        <v>8338</v>
      </c>
      <c r="T4042" t="s">
        <v>8590</v>
      </c>
      <c r="U4042" t="s">
        <v>8590</v>
      </c>
      <c r="V4042" t="s">
        <v>8590</v>
      </c>
      <c r="W4042">
        <v>11</v>
      </c>
      <c r="X4042" t="s">
        <v>12632</v>
      </c>
      <c r="Y4042">
        <v>0.52219014423647114</v>
      </c>
      <c r="Z4042" t="str">
        <f>HYPERLINK("Melting_Curves/meltCurve_tr_H0Y3P2_H0Y3P2_HUMAN_.pdf", "Melting_Curves/meltCurve_tr_H0Y3P2_H0Y3P2_HUMAN_.pdf")</f>
        <v>Melting_Curves/meltCurve_tr_H0Y3P2_H0Y3P2_HUMAN_.pdf</v>
      </c>
      <c r="AA4042" t="s">
        <v>16855</v>
      </c>
      <c r="AB4042" t="s">
        <v>21109</v>
      </c>
    </row>
    <row r="4043" spans="1:28" x14ac:dyDescent="0.25">
      <c r="A4043" t="s">
        <v>4047</v>
      </c>
      <c r="B4043">
        <v>0.99876560204751996</v>
      </c>
      <c r="C4043">
        <v>1.04699674305219</v>
      </c>
      <c r="D4043">
        <v>0.99019282931888997</v>
      </c>
      <c r="E4043">
        <v>0.81145003515795</v>
      </c>
      <c r="F4043">
        <v>0.64153621401516703</v>
      </c>
      <c r="G4043">
        <v>0.41520507718269001</v>
      </c>
      <c r="H4043">
        <v>0.276610045479598</v>
      </c>
      <c r="I4043">
        <v>0.22756621387445899</v>
      </c>
      <c r="J4043">
        <v>0.27785904346736401</v>
      </c>
      <c r="K4043">
        <v>0.19864137932267401</v>
      </c>
      <c r="L4043">
        <v>1007.69270469819</v>
      </c>
      <c r="M4043">
        <v>18.846368132901201</v>
      </c>
      <c r="N4043">
        <v>55.113165952205698</v>
      </c>
      <c r="O4043">
        <v>52.877713084615301</v>
      </c>
      <c r="P4043">
        <v>-6.9944486724034596E-2</v>
      </c>
      <c r="Q4043">
        <v>0.21505251795699801</v>
      </c>
      <c r="R4043">
        <v>0.99314868634289899</v>
      </c>
      <c r="S4043" t="s">
        <v>8339</v>
      </c>
      <c r="T4043" t="s">
        <v>8590</v>
      </c>
      <c r="U4043" t="s">
        <v>8590</v>
      </c>
      <c r="V4043" t="s">
        <v>8590</v>
      </c>
      <c r="W4043">
        <v>16</v>
      </c>
      <c r="X4043" t="s">
        <v>12633</v>
      </c>
      <c r="Y4043">
        <v>0.57930217076775947</v>
      </c>
      <c r="Z4043" t="str">
        <f>HYPERLINK("Melting_Curves/meltCurve_tr_H0Y4R1_H0Y4R1_HUMAN_.pdf", "Melting_Curves/meltCurve_tr_H0Y4R1_H0Y4R1_HUMAN_.pdf")</f>
        <v>Melting_Curves/meltCurve_tr_H0Y4R1_H0Y4R1_HUMAN_.pdf</v>
      </c>
      <c r="AA4043" t="s">
        <v>16856</v>
      </c>
      <c r="AB4043" t="s">
        <v>21110</v>
      </c>
    </row>
    <row r="4044" spans="1:28" x14ac:dyDescent="0.25">
      <c r="A4044" t="s">
        <v>4048</v>
      </c>
      <c r="B4044">
        <v>0.99876560204751996</v>
      </c>
      <c r="C4044">
        <v>1.11758504422407</v>
      </c>
      <c r="D4044">
        <v>0.97422558070817999</v>
      </c>
      <c r="E4044">
        <v>1.2671493629600501</v>
      </c>
      <c r="F4044">
        <v>1.04232769282001</v>
      </c>
      <c r="G4044">
        <v>0.86080513623405697</v>
      </c>
      <c r="H4044">
        <v>0.83714153855505302</v>
      </c>
      <c r="I4044">
        <v>0.82376120522042395</v>
      </c>
      <c r="J4044">
        <v>0.79940696295924996</v>
      </c>
      <c r="K4044">
        <v>0.162309550632487</v>
      </c>
      <c r="L4044">
        <v>4233.0261786623596</v>
      </c>
      <c r="M4044">
        <v>61.976847089987501</v>
      </c>
      <c r="N4044">
        <v>68.300143071270796</v>
      </c>
      <c r="O4044">
        <v>68.229119586714006</v>
      </c>
      <c r="P4044">
        <v>-0.22709097618212001</v>
      </c>
      <c r="Q4044">
        <v>0</v>
      </c>
      <c r="R4044">
        <v>0.79466501247057098</v>
      </c>
      <c r="S4044" t="s">
        <v>8340</v>
      </c>
      <c r="T4044" t="s">
        <v>8590</v>
      </c>
      <c r="U4044" t="s">
        <v>8590</v>
      </c>
      <c r="V4044" t="s">
        <v>8590</v>
      </c>
      <c r="W4044">
        <v>1</v>
      </c>
      <c r="X4044" t="s">
        <v>12634</v>
      </c>
      <c r="Y4044">
        <v>0.93727453017264639</v>
      </c>
      <c r="Z4044" t="str">
        <f>HYPERLINK("Melting_Curves/meltCurve_tr_H0Y5G7_H0Y5G7_HUMAN_.pdf", "Melting_Curves/meltCurve_tr_H0Y5G7_H0Y5G7_HUMAN_.pdf")</f>
        <v>Melting_Curves/meltCurve_tr_H0Y5G7_H0Y5G7_HUMAN_.pdf</v>
      </c>
      <c r="AA4044" t="s">
        <v>16857</v>
      </c>
      <c r="AB4044" t="s">
        <v>21111</v>
      </c>
    </row>
    <row r="4045" spans="1:28" x14ac:dyDescent="0.25">
      <c r="A4045" t="s">
        <v>4049</v>
      </c>
      <c r="B4045">
        <v>0.99876560204751996</v>
      </c>
      <c r="C4045">
        <v>0.86770540913593797</v>
      </c>
      <c r="D4045">
        <v>0.93019683274634302</v>
      </c>
      <c r="E4045">
        <v>0.79293641298571405</v>
      </c>
      <c r="F4045">
        <v>0.66250913087830898</v>
      </c>
      <c r="G4045">
        <v>0.46183554483354</v>
      </c>
      <c r="H4045">
        <v>0.29904105934748398</v>
      </c>
      <c r="I4045">
        <v>0.244591630441194</v>
      </c>
      <c r="J4045">
        <v>0.270863535724789</v>
      </c>
      <c r="K4045">
        <v>0.23188574755181501</v>
      </c>
      <c r="L4045">
        <v>683.68523999132003</v>
      </c>
      <c r="M4045">
        <v>12.636735431824</v>
      </c>
      <c r="N4045">
        <v>55.983528482919098</v>
      </c>
      <c r="O4045">
        <v>52.801760859282602</v>
      </c>
      <c r="P4045">
        <v>-4.9493348690082699E-2</v>
      </c>
      <c r="Q4045">
        <v>0.17294444818219901</v>
      </c>
      <c r="R4045">
        <v>0.98288013981858702</v>
      </c>
      <c r="S4045" t="s">
        <v>8341</v>
      </c>
      <c r="T4045" t="s">
        <v>8590</v>
      </c>
      <c r="U4045" t="s">
        <v>8590</v>
      </c>
      <c r="V4045" t="s">
        <v>8590</v>
      </c>
      <c r="W4045">
        <v>4</v>
      </c>
      <c r="X4045" t="s">
        <v>12635</v>
      </c>
      <c r="Y4045">
        <v>0.58211692621957778</v>
      </c>
      <c r="Z4045" t="str">
        <f>HYPERLINK("Melting_Curves/meltCurve_tr_H0Y612_H0Y612_HUMAN_.pdf", "Melting_Curves/meltCurve_tr_H0Y612_H0Y612_HUMAN_.pdf")</f>
        <v>Melting_Curves/meltCurve_tr_H0Y612_H0Y612_HUMAN_.pdf</v>
      </c>
      <c r="AA4045" t="s">
        <v>16858</v>
      </c>
      <c r="AB4045" t="s">
        <v>21112</v>
      </c>
    </row>
    <row r="4046" spans="1:28" x14ac:dyDescent="0.25">
      <c r="A4046" t="s">
        <v>4050</v>
      </c>
      <c r="B4046">
        <v>0.99876560204751996</v>
      </c>
      <c r="C4046">
        <v>0.90329112474381401</v>
      </c>
      <c r="D4046">
        <v>1.0010120314412301</v>
      </c>
      <c r="E4046">
        <v>0.82104828049117795</v>
      </c>
      <c r="F4046">
        <v>0.70105169628202801</v>
      </c>
      <c r="G4046">
        <v>0.66994635768007704</v>
      </c>
      <c r="H4046">
        <v>0.44464120228319498</v>
      </c>
      <c r="I4046">
        <v>0.42180022126936301</v>
      </c>
      <c r="J4046">
        <v>0.38480648487902203</v>
      </c>
      <c r="K4046">
        <v>0.47309849571503398</v>
      </c>
      <c r="L4046">
        <v>703.955280431745</v>
      </c>
      <c r="M4046">
        <v>13.0152919084756</v>
      </c>
      <c r="N4046">
        <v>60.6283350124259</v>
      </c>
      <c r="O4046">
        <v>52.8577095326837</v>
      </c>
      <c r="P4046">
        <v>-3.8343294886651898E-2</v>
      </c>
      <c r="Q4046">
        <v>0.37723018531096802</v>
      </c>
      <c r="R4046">
        <v>0.95056790112437495</v>
      </c>
      <c r="S4046" t="s">
        <v>8342</v>
      </c>
      <c r="T4046" t="s">
        <v>8590</v>
      </c>
      <c r="U4046" t="s">
        <v>8590</v>
      </c>
      <c r="V4046" t="s">
        <v>8590</v>
      </c>
      <c r="W4046">
        <v>4</v>
      </c>
      <c r="X4046" t="s">
        <v>12636</v>
      </c>
      <c r="Y4046">
        <v>0.6845737355148549</v>
      </c>
      <c r="Z4046" t="str">
        <f>HYPERLINK("Melting_Curves/meltCurve_tr_H0Y614_H0Y614_HUMAN_.pdf", "Melting_Curves/meltCurve_tr_H0Y614_H0Y614_HUMAN_.pdf")</f>
        <v>Melting_Curves/meltCurve_tr_H0Y614_H0Y614_HUMAN_.pdf</v>
      </c>
      <c r="AA4046" t="s">
        <v>16859</v>
      </c>
      <c r="AB4046" t="s">
        <v>21113</v>
      </c>
    </row>
    <row r="4047" spans="1:28" x14ac:dyDescent="0.25">
      <c r="A4047" t="s">
        <v>4051</v>
      </c>
      <c r="B4047">
        <v>0.99876560204751996</v>
      </c>
      <c r="C4047">
        <v>1.10649562188415</v>
      </c>
      <c r="D4047">
        <v>1.29706442947161</v>
      </c>
      <c r="E4047">
        <v>0.81536811999332703</v>
      </c>
      <c r="F4047">
        <v>1.0246695483056401</v>
      </c>
      <c r="G4047">
        <v>0.95981968763518399</v>
      </c>
      <c r="H4047">
        <v>0.66435292623418096</v>
      </c>
      <c r="I4047">
        <v>0.59559967743300402</v>
      </c>
      <c r="J4047">
        <v>0.74072829573631505</v>
      </c>
      <c r="K4047">
        <v>0.59665654439708704</v>
      </c>
      <c r="L4047">
        <v>4435.7741120227702</v>
      </c>
      <c r="M4047">
        <v>75.744313117627499</v>
      </c>
      <c r="O4047">
        <v>58.521708151898899</v>
      </c>
      <c r="P4047">
        <v>-0.114851753203514</v>
      </c>
      <c r="Q4047">
        <v>0.64505230262393398</v>
      </c>
      <c r="R4047">
        <v>0.70215371880177102</v>
      </c>
      <c r="S4047" t="s">
        <v>8343</v>
      </c>
      <c r="T4047" t="s">
        <v>8590</v>
      </c>
      <c r="U4047" t="s">
        <v>8590</v>
      </c>
      <c r="V4047" t="s">
        <v>8590</v>
      </c>
      <c r="W4047">
        <v>12</v>
      </c>
      <c r="X4047" t="s">
        <v>12637</v>
      </c>
      <c r="Y4047">
        <v>0.86507406849443114</v>
      </c>
      <c r="Z4047" t="str">
        <f>HYPERLINK("Melting_Curves/meltCurve_tr_H0Y6A0_H0Y6A0_HUMAN_.pdf", "Melting_Curves/meltCurve_tr_H0Y6A0_H0Y6A0_HUMAN_.pdf")</f>
        <v>Melting_Curves/meltCurve_tr_H0Y6A0_H0Y6A0_HUMAN_.pdf</v>
      </c>
      <c r="AA4047" t="s">
        <v>15977</v>
      </c>
      <c r="AB4047" t="s">
        <v>21114</v>
      </c>
    </row>
    <row r="4048" spans="1:28" x14ac:dyDescent="0.25">
      <c r="A4048" t="s">
        <v>4052</v>
      </c>
      <c r="B4048">
        <v>0.99876560204751996</v>
      </c>
      <c r="C4048">
        <v>0.99341508881874496</v>
      </c>
      <c r="D4048">
        <v>0.90238087689009705</v>
      </c>
      <c r="E4048">
        <v>0.75644315203411305</v>
      </c>
      <c r="F4048">
        <v>0.537540279617299</v>
      </c>
      <c r="G4048">
        <v>0.39608083982108699</v>
      </c>
      <c r="H4048">
        <v>0.24493092556305401</v>
      </c>
      <c r="I4048">
        <v>0.22047069388105001</v>
      </c>
      <c r="J4048">
        <v>0.15025787123603199</v>
      </c>
      <c r="K4048">
        <v>9.3913085208315206E-2</v>
      </c>
      <c r="L4048">
        <v>678.375019526953</v>
      </c>
      <c r="M4048">
        <v>12.6278423499861</v>
      </c>
      <c r="N4048">
        <v>54.460233151572702</v>
      </c>
      <c r="O4048">
        <v>52.426794594962502</v>
      </c>
      <c r="P4048">
        <v>-5.5482470008506202E-2</v>
      </c>
      <c r="Q4048">
        <v>7.8799767383370703E-2</v>
      </c>
      <c r="R4048">
        <v>0.99530035046096599</v>
      </c>
      <c r="S4048" t="s">
        <v>8344</v>
      </c>
      <c r="T4048" t="s">
        <v>8590</v>
      </c>
      <c r="U4048" t="s">
        <v>8590</v>
      </c>
      <c r="V4048" t="s">
        <v>8590</v>
      </c>
      <c r="W4048">
        <v>9</v>
      </c>
      <c r="X4048" t="s">
        <v>12638</v>
      </c>
      <c r="Y4048">
        <v>0.52355814687935898</v>
      </c>
      <c r="Z4048" t="str">
        <f>HYPERLINK("Melting_Curves/meltCurve_tr_H0Y6C3_H0Y6C3_HUMAN_.pdf", "Melting_Curves/meltCurve_tr_H0Y6C3_H0Y6C3_HUMAN_.pdf")</f>
        <v>Melting_Curves/meltCurve_tr_H0Y6C3_H0Y6C3_HUMAN_.pdf</v>
      </c>
      <c r="AA4048" t="s">
        <v>16860</v>
      </c>
      <c r="AB4048" t="s">
        <v>21115</v>
      </c>
    </row>
    <row r="4049" spans="1:28" x14ac:dyDescent="0.25">
      <c r="A4049" t="s">
        <v>4053</v>
      </c>
      <c r="B4049">
        <v>0.99876560204751996</v>
      </c>
      <c r="C4049">
        <v>1.03039987823648</v>
      </c>
      <c r="D4049">
        <v>0.95041811204630799</v>
      </c>
      <c r="E4049">
        <v>0.89813723000823598</v>
      </c>
      <c r="F4049">
        <v>0.76624677392571505</v>
      </c>
      <c r="G4049">
        <v>0.52609564427858402</v>
      </c>
      <c r="H4049">
        <v>0.41418759895201501</v>
      </c>
      <c r="I4049">
        <v>0.40342855197737498</v>
      </c>
      <c r="J4049">
        <v>0.52524395035032101</v>
      </c>
      <c r="K4049">
        <v>0.48078449207575102</v>
      </c>
      <c r="L4049">
        <v>1468.3849758996701</v>
      </c>
      <c r="M4049">
        <v>27.569421763918701</v>
      </c>
      <c r="N4049">
        <v>58.178948207800403</v>
      </c>
      <c r="O4049">
        <v>52.983500885088297</v>
      </c>
      <c r="P4049">
        <v>-7.1369536625124796E-2</v>
      </c>
      <c r="Q4049">
        <v>0.45136703189487298</v>
      </c>
      <c r="R4049">
        <v>0.97338778459771103</v>
      </c>
      <c r="S4049" t="s">
        <v>8345</v>
      </c>
      <c r="T4049" t="s">
        <v>8590</v>
      </c>
      <c r="U4049" t="s">
        <v>8590</v>
      </c>
      <c r="V4049" t="s">
        <v>8590</v>
      </c>
      <c r="W4049">
        <v>51</v>
      </c>
      <c r="X4049" t="s">
        <v>12639</v>
      </c>
      <c r="Y4049">
        <v>0.69809278073220293</v>
      </c>
      <c r="Z4049" t="str">
        <f>HYPERLINK("Melting_Curves/meltCurve_tr_H0Y6I0_H0Y6I0_HUMAN_.pdf", "Melting_Curves/meltCurve_tr_H0Y6I0_H0Y6I0_HUMAN_.pdf")</f>
        <v>Melting_Curves/meltCurve_tr_H0Y6I0_H0Y6I0_HUMAN_.pdf</v>
      </c>
      <c r="AA4049" t="s">
        <v>16861</v>
      </c>
      <c r="AB4049" t="s">
        <v>21116</v>
      </c>
    </row>
    <row r="4050" spans="1:28" x14ac:dyDescent="0.25">
      <c r="A4050" t="s">
        <v>4054</v>
      </c>
      <c r="B4050">
        <v>0.99876560204751996</v>
      </c>
      <c r="C4050">
        <v>0.78784151959888005</v>
      </c>
      <c r="D4050">
        <v>0.92660418832519797</v>
      </c>
      <c r="E4050">
        <v>0.77814687859153897</v>
      </c>
      <c r="F4050">
        <v>0.79228224290794402</v>
      </c>
      <c r="G4050">
        <v>0.73057373717599305</v>
      </c>
      <c r="H4050">
        <v>0.61990781952238705</v>
      </c>
      <c r="I4050">
        <v>0.74038010100908402</v>
      </c>
      <c r="J4050">
        <v>1.11535910495283</v>
      </c>
      <c r="K4050">
        <v>1.03112339309319</v>
      </c>
      <c r="L4050">
        <v>10194.507554894901</v>
      </c>
      <c r="M4050">
        <v>250</v>
      </c>
      <c r="O4050">
        <v>40.775421331380798</v>
      </c>
      <c r="P4050">
        <v>-0.25168030400195301</v>
      </c>
      <c r="Q4050">
        <v>0.83580207576614196</v>
      </c>
      <c r="R4050">
        <v>0.107298237702366</v>
      </c>
      <c r="S4050" t="s">
        <v>8346</v>
      </c>
      <c r="T4050" t="s">
        <v>8590</v>
      </c>
      <c r="U4050" t="s">
        <v>8590</v>
      </c>
      <c r="V4050" t="s">
        <v>8590</v>
      </c>
      <c r="W4050">
        <v>1</v>
      </c>
      <c r="X4050" t="s">
        <v>12640</v>
      </c>
      <c r="Y4050">
        <v>0.84007875442276136</v>
      </c>
      <c r="Z4050" t="str">
        <f>HYPERLINK("Melting_Curves/meltCurve_tr_H0Y7P1_H0Y7P1_HUMAN_.pdf", "Melting_Curves/meltCurve_tr_H0Y7P1_H0Y7P1_HUMAN_.pdf")</f>
        <v>Melting_Curves/meltCurve_tr_H0Y7P1_H0Y7P1_HUMAN_.pdf</v>
      </c>
      <c r="AA4050" t="s">
        <v>16862</v>
      </c>
      <c r="AB4050" t="s">
        <v>21117</v>
      </c>
    </row>
    <row r="4051" spans="1:28" x14ac:dyDescent="0.25">
      <c r="A4051" t="s">
        <v>4055</v>
      </c>
      <c r="B4051">
        <v>0.99876560204751996</v>
      </c>
      <c r="C4051">
        <v>0.859790358187698</v>
      </c>
      <c r="D4051">
        <v>1.02261530518916</v>
      </c>
      <c r="E4051">
        <v>0.79110724016032197</v>
      </c>
      <c r="F4051">
        <v>0.85999411343634702</v>
      </c>
      <c r="G4051">
        <v>0.66962268722854601</v>
      </c>
      <c r="H4051">
        <v>0.597186041736125</v>
      </c>
      <c r="I4051">
        <v>0.66583487956551102</v>
      </c>
      <c r="J4051">
        <v>0.82141622207275</v>
      </c>
      <c r="K4051">
        <v>0.72068278295515598</v>
      </c>
      <c r="L4051">
        <v>967.66250419668097</v>
      </c>
      <c r="M4051">
        <v>19.357025707115799</v>
      </c>
      <c r="O4051">
        <v>49.465903920379503</v>
      </c>
      <c r="P4051">
        <v>-2.9686771925394598E-2</v>
      </c>
      <c r="Q4051">
        <v>0.69655913712940398</v>
      </c>
      <c r="R4051">
        <v>0.64495566551975303</v>
      </c>
      <c r="S4051" t="s">
        <v>8347</v>
      </c>
      <c r="T4051" t="s">
        <v>8590</v>
      </c>
      <c r="U4051" t="s">
        <v>8590</v>
      </c>
      <c r="V4051" t="s">
        <v>8590</v>
      </c>
      <c r="W4051">
        <v>1</v>
      </c>
      <c r="X4051" t="s">
        <v>12641</v>
      </c>
      <c r="Y4051">
        <v>0.80210902924652161</v>
      </c>
      <c r="Z4051" t="str">
        <f>HYPERLINK("Melting_Curves/meltCurve_tr_H0Y7U4_H0Y7U4_HUMAN_.pdf", "Melting_Curves/meltCurve_tr_H0Y7U4_H0Y7U4_HUMAN_.pdf")</f>
        <v>Melting_Curves/meltCurve_tr_H0Y7U4_H0Y7U4_HUMAN_.pdf</v>
      </c>
      <c r="AA4051" t="s">
        <v>16863</v>
      </c>
      <c r="AB4051" t="s">
        <v>21118</v>
      </c>
    </row>
    <row r="4052" spans="1:28" x14ac:dyDescent="0.25">
      <c r="A4052" t="s">
        <v>4056</v>
      </c>
      <c r="B4052">
        <v>0.99876560204751996</v>
      </c>
      <c r="C4052">
        <v>1.036211582333</v>
      </c>
      <c r="D4052">
        <v>1.09138116672216</v>
      </c>
      <c r="E4052">
        <v>0.84715639421399003</v>
      </c>
      <c r="F4052">
        <v>0.96533077445596505</v>
      </c>
      <c r="G4052">
        <v>0.62566542173795403</v>
      </c>
      <c r="H4052">
        <v>0.60457459922156698</v>
      </c>
      <c r="I4052">
        <v>0.56016313730854295</v>
      </c>
      <c r="J4052">
        <v>0.73386359491904996</v>
      </c>
      <c r="K4052">
        <v>0.55316945007736595</v>
      </c>
      <c r="L4052">
        <v>3995.0602611173199</v>
      </c>
      <c r="M4052">
        <v>73.169738137354798</v>
      </c>
      <c r="O4052">
        <v>54.559156209902298</v>
      </c>
      <c r="P4052">
        <v>-0.130049752811569</v>
      </c>
      <c r="Q4052">
        <v>0.61211268052821599</v>
      </c>
      <c r="R4052">
        <v>0.86546916059031798</v>
      </c>
      <c r="S4052" t="s">
        <v>8348</v>
      </c>
      <c r="T4052" t="s">
        <v>8590</v>
      </c>
      <c r="U4052" t="s">
        <v>8590</v>
      </c>
      <c r="V4052" t="s">
        <v>8590</v>
      </c>
      <c r="W4052">
        <v>6</v>
      </c>
      <c r="X4052" t="s">
        <v>12642</v>
      </c>
      <c r="Y4052">
        <v>0.80131812103541333</v>
      </c>
      <c r="Z4052" t="str">
        <f>HYPERLINK("Melting_Curves/meltCurve_tr_H0Y8L5_H0Y8L5_HUMAN_.pdf", "Melting_Curves/meltCurve_tr_H0Y8L5_H0Y8L5_HUMAN_.pdf")</f>
        <v>Melting_Curves/meltCurve_tr_H0Y8L5_H0Y8L5_HUMAN_.pdf</v>
      </c>
      <c r="AA4052" t="s">
        <v>14889</v>
      </c>
      <c r="AB4052" t="s">
        <v>21119</v>
      </c>
    </row>
    <row r="4053" spans="1:28" x14ac:dyDescent="0.25">
      <c r="A4053" t="s">
        <v>4057</v>
      </c>
      <c r="B4053">
        <v>0.99876560204751996</v>
      </c>
      <c r="C4053">
        <v>1.13407874558766</v>
      </c>
      <c r="D4053">
        <v>0.82377034619321199</v>
      </c>
      <c r="E4053">
        <v>0.68173656745838296</v>
      </c>
      <c r="F4053">
        <v>0.43231806384648103</v>
      </c>
      <c r="G4053">
        <v>0.155734425535453</v>
      </c>
      <c r="H4053">
        <v>0.113001058330482</v>
      </c>
      <c r="I4053">
        <v>3.5009746388080298E-2</v>
      </c>
      <c r="J4053">
        <v>2.5865040712826699E-2</v>
      </c>
      <c r="K4053">
        <v>0.104079901001006</v>
      </c>
      <c r="L4053">
        <v>978.24298755351799</v>
      </c>
      <c r="M4053">
        <v>18.9244267862755</v>
      </c>
      <c r="N4053">
        <v>51.938757892288798</v>
      </c>
      <c r="O4053">
        <v>51.125252952263303</v>
      </c>
      <c r="P4053">
        <v>-8.8565829960115403E-2</v>
      </c>
      <c r="Q4053">
        <v>4.29792832206259E-2</v>
      </c>
      <c r="R4053">
        <v>0.97634773516867901</v>
      </c>
      <c r="S4053" t="s">
        <v>8349</v>
      </c>
      <c r="T4053" t="s">
        <v>8590</v>
      </c>
      <c r="U4053" t="s">
        <v>8590</v>
      </c>
      <c r="V4053" t="s">
        <v>8590</v>
      </c>
      <c r="W4053">
        <v>1</v>
      </c>
      <c r="X4053" t="s">
        <v>12643</v>
      </c>
      <c r="Y4053">
        <v>0.43060880112087502</v>
      </c>
      <c r="Z4053" t="str">
        <f>HYPERLINK("Melting_Curves/meltCurve_tr_H0Y9B0_H0Y9B0_HUMAN_.pdf", "Melting_Curves/meltCurve_tr_H0Y9B0_H0Y9B0_HUMAN_.pdf")</f>
        <v>Melting_Curves/meltCurve_tr_H0Y9B0_H0Y9B0_HUMAN_.pdf</v>
      </c>
      <c r="AA4053" t="s">
        <v>16864</v>
      </c>
      <c r="AB4053" t="s">
        <v>21120</v>
      </c>
    </row>
    <row r="4054" spans="1:28" x14ac:dyDescent="0.25">
      <c r="A4054" t="s">
        <v>4058</v>
      </c>
      <c r="B4054">
        <v>0.99876560204751996</v>
      </c>
      <c r="C4054">
        <v>0.88428753341616995</v>
      </c>
      <c r="D4054">
        <v>1.1758695333112901</v>
      </c>
      <c r="E4054">
        <v>0.86700195651991796</v>
      </c>
      <c r="F4054">
        <v>0.86892096162536103</v>
      </c>
      <c r="G4054">
        <v>0.61534065471556199</v>
      </c>
      <c r="H4054">
        <v>0.55212815982074803</v>
      </c>
      <c r="I4054">
        <v>0.54119766396380797</v>
      </c>
      <c r="J4054">
        <v>0.59094268470269196</v>
      </c>
      <c r="K4054">
        <v>0.70670399293877495</v>
      </c>
      <c r="L4054">
        <v>1692.1500359986701</v>
      </c>
      <c r="M4054">
        <v>31.664910987643399</v>
      </c>
      <c r="O4054">
        <v>53.2274982494611</v>
      </c>
      <c r="P4054">
        <v>-6.06218557698259E-2</v>
      </c>
      <c r="Q4054">
        <v>0.59239010764470101</v>
      </c>
      <c r="R4054">
        <v>0.81735249523820896</v>
      </c>
      <c r="S4054" t="s">
        <v>8350</v>
      </c>
      <c r="T4054" t="s">
        <v>8590</v>
      </c>
      <c r="U4054" t="s">
        <v>8590</v>
      </c>
      <c r="V4054" t="s">
        <v>8590</v>
      </c>
      <c r="W4054">
        <v>2</v>
      </c>
      <c r="X4054" t="s">
        <v>12644</v>
      </c>
      <c r="Y4054">
        <v>0.77738208360209982</v>
      </c>
      <c r="Z4054" t="str">
        <f>HYPERLINK("Melting_Curves/meltCurve_tr_H0Y9C8_H0Y9C8_HUMAN_.pdf", "Melting_Curves/meltCurve_tr_H0Y9C8_H0Y9C8_HUMAN_.pdf")</f>
        <v>Melting_Curves/meltCurve_tr_H0Y9C8_H0Y9C8_HUMAN_.pdf</v>
      </c>
      <c r="AA4054" t="s">
        <v>16865</v>
      </c>
      <c r="AB4054" t="s">
        <v>21121</v>
      </c>
    </row>
    <row r="4055" spans="1:28" x14ac:dyDescent="0.25">
      <c r="A4055" t="s">
        <v>4059</v>
      </c>
      <c r="B4055">
        <v>0.99876560204751996</v>
      </c>
      <c r="C4055">
        <v>0.90337075282978596</v>
      </c>
      <c r="D4055">
        <v>0.86304891857117905</v>
      </c>
      <c r="E4055">
        <v>0.87386136155487104</v>
      </c>
      <c r="F4055">
        <v>1.0374990165498701</v>
      </c>
      <c r="G4055">
        <v>0.40454893148912902</v>
      </c>
      <c r="H4055">
        <v>0.25319428952039802</v>
      </c>
      <c r="I4055">
        <v>9.0689240738516794E-2</v>
      </c>
      <c r="J4055">
        <v>0.129140588270202</v>
      </c>
      <c r="K4055">
        <v>0.11235440238205301</v>
      </c>
      <c r="L4055">
        <v>4776.00856258165</v>
      </c>
      <c r="M4055">
        <v>84.613357248986205</v>
      </c>
      <c r="N4055">
        <v>56.675736296441499</v>
      </c>
      <c r="O4055">
        <v>56.413583329797802</v>
      </c>
      <c r="P4055">
        <v>-0.32035247816829898</v>
      </c>
      <c r="Q4055">
        <v>0.14565596336215</v>
      </c>
      <c r="R4055">
        <v>0.95779024944940205</v>
      </c>
      <c r="S4055" t="s">
        <v>8351</v>
      </c>
      <c r="T4055" t="s">
        <v>8590</v>
      </c>
      <c r="U4055" t="s">
        <v>8590</v>
      </c>
      <c r="V4055" t="s">
        <v>8590</v>
      </c>
      <c r="W4055">
        <v>1</v>
      </c>
      <c r="X4055" t="s">
        <v>12645</v>
      </c>
      <c r="Y4055">
        <v>0.61472152720880002</v>
      </c>
      <c r="Z4055" t="str">
        <f>HYPERLINK("Melting_Curves/meltCurve_tr_H0Y9D7_H0Y9D7_HUMAN_.pdf", "Melting_Curves/meltCurve_tr_H0Y9D7_H0Y9D7_HUMAN_.pdf")</f>
        <v>Melting_Curves/meltCurve_tr_H0Y9D7_H0Y9D7_HUMAN_.pdf</v>
      </c>
      <c r="AA4055" t="s">
        <v>16866</v>
      </c>
      <c r="AB4055" t="s">
        <v>21122</v>
      </c>
    </row>
    <row r="4056" spans="1:28" x14ac:dyDescent="0.25">
      <c r="A4056" t="s">
        <v>4060</v>
      </c>
      <c r="B4056">
        <v>0.99876560204751996</v>
      </c>
      <c r="C4056">
        <v>0.98529055845980096</v>
      </c>
      <c r="D4056">
        <v>1.23674698858893</v>
      </c>
      <c r="E4056">
        <v>0.86034818108524203</v>
      </c>
      <c r="F4056">
        <v>0.872128827552754</v>
      </c>
      <c r="G4056">
        <v>0.65250062187913505</v>
      </c>
      <c r="H4056">
        <v>0.45735248233232501</v>
      </c>
      <c r="I4056">
        <v>0.55006949621711898</v>
      </c>
      <c r="J4056">
        <v>0.60724856814177197</v>
      </c>
      <c r="K4056">
        <v>0.62640959293165799</v>
      </c>
      <c r="L4056">
        <v>1608.7829672524499</v>
      </c>
      <c r="M4056">
        <v>29.810216604402999</v>
      </c>
      <c r="O4056">
        <v>53.726370869071502</v>
      </c>
      <c r="P4056">
        <v>-6.0895917651475701E-2</v>
      </c>
      <c r="Q4056">
        <v>0.56099667973351597</v>
      </c>
      <c r="R4056">
        <v>0.83431704926058003</v>
      </c>
      <c r="S4056" t="s">
        <v>8352</v>
      </c>
      <c r="T4056" t="s">
        <v>8590</v>
      </c>
      <c r="U4056" t="s">
        <v>8590</v>
      </c>
      <c r="V4056" t="s">
        <v>8590</v>
      </c>
      <c r="W4056">
        <v>4</v>
      </c>
      <c r="X4056" t="s">
        <v>12646</v>
      </c>
      <c r="Y4056">
        <v>0.76830747247289721</v>
      </c>
      <c r="Z4056" t="str">
        <f>HYPERLINK("Melting_Curves/meltCurve_tr_H0YA52_H0YA52_HUMAN_.pdf", "Melting_Curves/meltCurve_tr_H0YA52_H0YA52_HUMAN_.pdf")</f>
        <v>Melting_Curves/meltCurve_tr_H0YA52_H0YA52_HUMAN_.pdf</v>
      </c>
      <c r="AA4056" t="s">
        <v>16867</v>
      </c>
      <c r="AB4056" t="s">
        <v>21123</v>
      </c>
    </row>
    <row r="4057" spans="1:28" x14ac:dyDescent="0.25">
      <c r="A4057" t="s">
        <v>4061</v>
      </c>
      <c r="B4057">
        <v>0.99876560204751996</v>
      </c>
      <c r="C4057">
        <v>0.80586033045410099</v>
      </c>
      <c r="D4057">
        <v>0.87713391231304405</v>
      </c>
      <c r="E4057">
        <v>0.73761271148479302</v>
      </c>
      <c r="F4057">
        <v>0.63290187776518303</v>
      </c>
      <c r="G4057">
        <v>0.57000534380481305</v>
      </c>
      <c r="H4057">
        <v>0.51317964999987298</v>
      </c>
      <c r="I4057">
        <v>0.47062140676740799</v>
      </c>
      <c r="J4057">
        <v>0.61292330807029205</v>
      </c>
      <c r="K4057">
        <v>0.62843370758223105</v>
      </c>
      <c r="L4057">
        <v>595.62804276677502</v>
      </c>
      <c r="M4057">
        <v>12.5029350089053</v>
      </c>
      <c r="O4057">
        <v>46.469629287858702</v>
      </c>
      <c r="P4057">
        <v>-3.0913479256235901E-2</v>
      </c>
      <c r="Q4057">
        <v>0.54051023739959703</v>
      </c>
      <c r="R4057">
        <v>0.85175427478761501</v>
      </c>
      <c r="S4057" t="s">
        <v>8353</v>
      </c>
      <c r="T4057" t="s">
        <v>8590</v>
      </c>
      <c r="U4057" t="s">
        <v>8590</v>
      </c>
      <c r="V4057" t="s">
        <v>8590</v>
      </c>
      <c r="W4057">
        <v>1</v>
      </c>
      <c r="X4057" t="s">
        <v>12647</v>
      </c>
      <c r="Y4057">
        <v>0.67461386302510673</v>
      </c>
      <c r="Z4057" t="str">
        <f>HYPERLINK("Melting_Curves/meltCurve_tr_H0YA61_H0YA61_HUMAN_.pdf", "Melting_Curves/meltCurve_tr_H0YA61_H0YA61_HUMAN_.pdf")</f>
        <v>Melting_Curves/meltCurve_tr_H0YA61_H0YA61_HUMAN_.pdf</v>
      </c>
      <c r="AA4057" t="s">
        <v>16868</v>
      </c>
      <c r="AB4057" t="s">
        <v>21124</v>
      </c>
    </row>
    <row r="4058" spans="1:28" x14ac:dyDescent="0.25">
      <c r="A4058" t="s">
        <v>4062</v>
      </c>
      <c r="B4058">
        <v>0.99876560204751996</v>
      </c>
      <c r="C4058">
        <v>0.99262420263609197</v>
      </c>
      <c r="D4058">
        <v>0.96004492628081395</v>
      </c>
      <c r="E4058">
        <v>0.87727575273726</v>
      </c>
      <c r="F4058">
        <v>0.61474621452235101</v>
      </c>
      <c r="G4058">
        <v>0.30649070878616202</v>
      </c>
      <c r="H4058">
        <v>0.17254859501167799</v>
      </c>
      <c r="I4058">
        <v>0.152512573022028</v>
      </c>
      <c r="J4058">
        <v>0.150492792367384</v>
      </c>
      <c r="K4058">
        <v>0.14346417263379299</v>
      </c>
      <c r="L4058">
        <v>1287.1478396612399</v>
      </c>
      <c r="M4058">
        <v>24.045605241135998</v>
      </c>
      <c r="N4058">
        <v>54.2608763812135</v>
      </c>
      <c r="O4058">
        <v>53.163332936230702</v>
      </c>
      <c r="P4058">
        <v>-9.7423674462429097E-2</v>
      </c>
      <c r="Q4058">
        <v>0.13842285902695101</v>
      </c>
      <c r="R4058">
        <v>0.99935045746546902</v>
      </c>
      <c r="S4058" t="s">
        <v>8354</v>
      </c>
      <c r="T4058" t="s">
        <v>8590</v>
      </c>
      <c r="U4058" t="s">
        <v>8590</v>
      </c>
      <c r="V4058" t="s">
        <v>8590</v>
      </c>
      <c r="W4058">
        <v>7</v>
      </c>
      <c r="X4058" t="s">
        <v>12648</v>
      </c>
      <c r="Y4058">
        <v>0.53552569336562172</v>
      </c>
      <c r="Z4058" t="str">
        <f>HYPERLINK("Melting_Curves/meltCurve_tr_H0YA68_H0YA68_HUMAN_.pdf", "Melting_Curves/meltCurve_tr_H0YA68_H0YA68_HUMAN_.pdf")</f>
        <v>Melting_Curves/meltCurve_tr_H0YA68_H0YA68_HUMAN_.pdf</v>
      </c>
      <c r="AA4058" t="s">
        <v>16869</v>
      </c>
      <c r="AB4058" t="s">
        <v>21125</v>
      </c>
    </row>
    <row r="4059" spans="1:28" x14ac:dyDescent="0.25">
      <c r="A4059" t="s">
        <v>4063</v>
      </c>
      <c r="B4059">
        <v>0.99876560204751996</v>
      </c>
      <c r="C4059">
        <v>0.80044094040527802</v>
      </c>
      <c r="D4059">
        <v>0.81072572680613197</v>
      </c>
      <c r="E4059">
        <v>0.71655399295097799</v>
      </c>
      <c r="F4059">
        <v>0.52021619221008697</v>
      </c>
      <c r="G4059">
        <v>0.54563557236962401</v>
      </c>
      <c r="H4059">
        <v>0.282561848800018</v>
      </c>
      <c r="I4059">
        <v>0.27009566159818499</v>
      </c>
      <c r="J4059">
        <v>0.33573253544892501</v>
      </c>
      <c r="K4059">
        <v>0.29836298168500502</v>
      </c>
      <c r="L4059">
        <v>442.78347423669999</v>
      </c>
      <c r="M4059">
        <v>8.4876523127768806</v>
      </c>
      <c r="N4059">
        <v>55.1916921051643</v>
      </c>
      <c r="O4059">
        <v>49.5137458565004</v>
      </c>
      <c r="P4059">
        <v>-3.4918433425579799E-2</v>
      </c>
      <c r="Q4059">
        <v>0.185933934415978</v>
      </c>
      <c r="R4059">
        <v>0.93952878514809701</v>
      </c>
      <c r="S4059" t="s">
        <v>8355</v>
      </c>
      <c r="T4059" t="s">
        <v>8590</v>
      </c>
      <c r="U4059" t="s">
        <v>8590</v>
      </c>
      <c r="V4059" t="s">
        <v>8590</v>
      </c>
      <c r="W4059">
        <v>1</v>
      </c>
      <c r="X4059" t="s">
        <v>12649</v>
      </c>
      <c r="Y4059">
        <v>0.55175364145446759</v>
      </c>
      <c r="Z4059" t="str">
        <f>HYPERLINK("Melting_Curves/meltCurve_tr_H0YAJ5_H0YAJ5_HUMAN_.pdf", "Melting_Curves/meltCurve_tr_H0YAJ5_H0YAJ5_HUMAN_.pdf")</f>
        <v>Melting_Curves/meltCurve_tr_H0YAJ5_H0YAJ5_HUMAN_.pdf</v>
      </c>
      <c r="AA4059" t="s">
        <v>16870</v>
      </c>
      <c r="AB4059" t="s">
        <v>21126</v>
      </c>
    </row>
    <row r="4060" spans="1:28" x14ac:dyDescent="0.25">
      <c r="A4060" t="s">
        <v>4064</v>
      </c>
      <c r="B4060">
        <v>0.99876560204751996</v>
      </c>
      <c r="C4060">
        <v>0.89452358274350696</v>
      </c>
      <c r="D4060">
        <v>0.517581093939675</v>
      </c>
      <c r="E4060">
        <v>0.19353739379562701</v>
      </c>
      <c r="F4060">
        <v>9.9489120651275895E-2</v>
      </c>
      <c r="G4060">
        <v>6.4138249962442703E-2</v>
      </c>
      <c r="H4060">
        <v>4.2663838820921902E-2</v>
      </c>
      <c r="I4060">
        <v>2.30586268634526E-2</v>
      </c>
      <c r="J4060">
        <v>2.8111082046889699E-2</v>
      </c>
      <c r="K4060">
        <v>2.6283957841043499E-2</v>
      </c>
      <c r="L4060">
        <v>1099.72620772</v>
      </c>
      <c r="M4060">
        <v>23.798739854479201</v>
      </c>
      <c r="N4060">
        <v>46.365654519679801</v>
      </c>
      <c r="O4060">
        <v>45.886858778775697</v>
      </c>
      <c r="P4060">
        <v>-0.12466640708613699</v>
      </c>
      <c r="Q4060">
        <v>3.85276127268094E-2</v>
      </c>
      <c r="R4060">
        <v>0.99733425958437105</v>
      </c>
      <c r="S4060" t="s">
        <v>8356</v>
      </c>
      <c r="T4060" t="s">
        <v>8590</v>
      </c>
      <c r="U4060" t="s">
        <v>8590</v>
      </c>
      <c r="V4060" t="s">
        <v>8590</v>
      </c>
      <c r="W4060">
        <v>2</v>
      </c>
      <c r="X4060" t="s">
        <v>12650</v>
      </c>
      <c r="Y4060">
        <v>0.24737772256223431</v>
      </c>
      <c r="Z4060" t="str">
        <f>HYPERLINK("Melting_Curves/meltCurve_tr_H0YAL7_H0YAL7_HUMAN_.pdf", "Melting_Curves/meltCurve_tr_H0YAL7_H0YAL7_HUMAN_.pdf")</f>
        <v>Melting_Curves/meltCurve_tr_H0YAL7_H0YAL7_HUMAN_.pdf</v>
      </c>
      <c r="AA4060" t="s">
        <v>16871</v>
      </c>
      <c r="AB4060" t="s">
        <v>21127</v>
      </c>
    </row>
    <row r="4061" spans="1:28" x14ac:dyDescent="0.25">
      <c r="A4061" t="s">
        <v>4065</v>
      </c>
      <c r="B4061">
        <v>0.99876560204751996</v>
      </c>
      <c r="C4061">
        <v>0.98174565043097495</v>
      </c>
      <c r="D4061">
        <v>0.95098996382530698</v>
      </c>
      <c r="E4061">
        <v>0.84496464874041899</v>
      </c>
      <c r="F4061">
        <v>0.82423613485590497</v>
      </c>
      <c r="G4061">
        <v>0.43134201751917201</v>
      </c>
      <c r="H4061">
        <v>0.27205206248792202</v>
      </c>
      <c r="I4061">
        <v>0.14225120829339499</v>
      </c>
      <c r="J4061">
        <v>8.6885047352426595E-2</v>
      </c>
      <c r="K4061">
        <v>7.12850386815225E-2</v>
      </c>
      <c r="L4061">
        <v>927.22213243853002</v>
      </c>
      <c r="M4061">
        <v>16.415526129798899</v>
      </c>
      <c r="N4061">
        <v>56.663016508423297</v>
      </c>
      <c r="O4061">
        <v>55.666191876296999</v>
      </c>
      <c r="P4061">
        <v>-7.1869853991558402E-2</v>
      </c>
      <c r="Q4061">
        <v>2.5206701790044899E-2</v>
      </c>
      <c r="R4061">
        <v>0.99194378512305903</v>
      </c>
      <c r="S4061" t="s">
        <v>8357</v>
      </c>
      <c r="T4061" t="s">
        <v>8590</v>
      </c>
      <c r="U4061" t="s">
        <v>8590</v>
      </c>
      <c r="V4061" t="s">
        <v>8590</v>
      </c>
      <c r="W4061">
        <v>3</v>
      </c>
      <c r="X4061" t="s">
        <v>12651</v>
      </c>
      <c r="Y4061">
        <v>0.57610646856230807</v>
      </c>
      <c r="Z4061" t="str">
        <f>HYPERLINK("Melting_Curves/meltCurve_tr_H0YAT2_H0YAT2_HUMAN_.pdf", "Melting_Curves/meltCurve_tr_H0YAT2_H0YAT2_HUMAN_.pdf")</f>
        <v>Melting_Curves/meltCurve_tr_H0YAT2_H0YAT2_HUMAN_.pdf</v>
      </c>
      <c r="AA4061" t="s">
        <v>16872</v>
      </c>
      <c r="AB4061" t="s">
        <v>21128</v>
      </c>
    </row>
    <row r="4062" spans="1:28" x14ac:dyDescent="0.25">
      <c r="A4062" t="s">
        <v>4066</v>
      </c>
      <c r="B4062">
        <v>0.99876560204751996</v>
      </c>
      <c r="C4062">
        <v>1.08189200378137</v>
      </c>
      <c r="D4062">
        <v>1.0954492217440599</v>
      </c>
      <c r="E4062">
        <v>0.99727866306843904</v>
      </c>
      <c r="F4062">
        <v>0.83006017888605799</v>
      </c>
      <c r="G4062">
        <v>0.55703527232786898</v>
      </c>
      <c r="H4062">
        <v>0.35282001624475101</v>
      </c>
      <c r="I4062">
        <v>0.271544812984506</v>
      </c>
      <c r="J4062">
        <v>0.32092471069913803</v>
      </c>
      <c r="K4062">
        <v>0.26616251206153002</v>
      </c>
      <c r="L4062">
        <v>1451.1684666981701</v>
      </c>
      <c r="M4062">
        <v>25.9830583292737</v>
      </c>
      <c r="N4062">
        <v>57.632083326519897</v>
      </c>
      <c r="O4062">
        <v>55.522887724199798</v>
      </c>
      <c r="P4062">
        <v>-8.4697704518953199E-2</v>
      </c>
      <c r="Q4062">
        <v>0.27605029602360098</v>
      </c>
      <c r="R4062">
        <v>0.98212922701221295</v>
      </c>
      <c r="S4062" t="s">
        <v>8358</v>
      </c>
      <c r="T4062" t="s">
        <v>8590</v>
      </c>
      <c r="U4062" t="s">
        <v>8590</v>
      </c>
      <c r="V4062" t="s">
        <v>8590</v>
      </c>
      <c r="W4062">
        <v>4</v>
      </c>
      <c r="X4062" t="s">
        <v>12652</v>
      </c>
      <c r="Y4062">
        <v>0.66478626092286908</v>
      </c>
      <c r="Z4062" t="str">
        <f>HYPERLINK("Melting_Curves/meltCurve_tr_H0YBZ4_H0YBZ4_HUMAN_.pdf", "Melting_Curves/meltCurve_tr_H0YBZ4_H0YBZ4_HUMAN_.pdf")</f>
        <v>Melting_Curves/meltCurve_tr_H0YBZ4_H0YBZ4_HUMAN_.pdf</v>
      </c>
      <c r="AA4062" t="s">
        <v>16873</v>
      </c>
      <c r="AB4062" t="s">
        <v>21129</v>
      </c>
    </row>
    <row r="4063" spans="1:28" x14ac:dyDescent="0.25">
      <c r="A4063" t="s">
        <v>4067</v>
      </c>
      <c r="B4063">
        <v>0.99876560204751996</v>
      </c>
      <c r="C4063">
        <v>1.09923227247291</v>
      </c>
      <c r="D4063">
        <v>1.0671625942593801</v>
      </c>
      <c r="E4063">
        <v>0.85258395717171898</v>
      </c>
      <c r="F4063">
        <v>0.49800372057324999</v>
      </c>
      <c r="G4063">
        <v>0.36895602100465702</v>
      </c>
      <c r="H4063">
        <v>0.18016025562747201</v>
      </c>
      <c r="I4063">
        <v>0.15914059232529501</v>
      </c>
      <c r="J4063">
        <v>0.156607679193461</v>
      </c>
      <c r="K4063">
        <v>8.9827067017511003E-2</v>
      </c>
      <c r="L4063">
        <v>1194.92298432752</v>
      </c>
      <c r="M4063">
        <v>22.520709917658898</v>
      </c>
      <c r="N4063">
        <v>53.8287053846853</v>
      </c>
      <c r="O4063">
        <v>52.645826046937103</v>
      </c>
      <c r="P4063">
        <v>-9.2222085577482099E-2</v>
      </c>
      <c r="Q4063">
        <v>0.13768125962379299</v>
      </c>
      <c r="R4063">
        <v>0.97726508132788303</v>
      </c>
      <c r="S4063" t="s">
        <v>8359</v>
      </c>
      <c r="T4063" t="s">
        <v>8590</v>
      </c>
      <c r="U4063" t="s">
        <v>8590</v>
      </c>
      <c r="V4063" t="s">
        <v>8590</v>
      </c>
      <c r="W4063">
        <v>1</v>
      </c>
      <c r="X4063" t="s">
        <v>12653</v>
      </c>
      <c r="Y4063">
        <v>0.52267027641950847</v>
      </c>
      <c r="Z4063" t="str">
        <f>HYPERLINK("Melting_Curves/meltCurve_tr_H0YDR8_H0YDR8_HUMAN_.pdf", "Melting_Curves/meltCurve_tr_H0YDR8_H0YDR8_HUMAN_.pdf")</f>
        <v>Melting_Curves/meltCurve_tr_H0YDR8_H0YDR8_HUMAN_.pdf</v>
      </c>
      <c r="AA4063" t="s">
        <v>16874</v>
      </c>
      <c r="AB4063" t="s">
        <v>21130</v>
      </c>
    </row>
    <row r="4064" spans="1:28" x14ac:dyDescent="0.25">
      <c r="A4064" t="s">
        <v>4068</v>
      </c>
      <c r="B4064">
        <v>0.99876560204751996</v>
      </c>
      <c r="C4064">
        <v>0.95083088248604497</v>
      </c>
      <c r="D4064">
        <v>0.937908357975764</v>
      </c>
      <c r="E4064">
        <v>0.91157354078674202</v>
      </c>
      <c r="F4064">
        <v>0.73191068863700304</v>
      </c>
      <c r="G4064">
        <v>0.44825763944991098</v>
      </c>
      <c r="H4064">
        <v>0.247963905590215</v>
      </c>
      <c r="I4064">
        <v>0.205737101689244</v>
      </c>
      <c r="J4064">
        <v>0.18182777577074799</v>
      </c>
      <c r="K4064">
        <v>0.12547366012219699</v>
      </c>
      <c r="L4064">
        <v>1010.36474702945</v>
      </c>
      <c r="M4064">
        <v>18.2519825329396</v>
      </c>
      <c r="N4064">
        <v>56.249653406072298</v>
      </c>
      <c r="O4064">
        <v>54.704781137267297</v>
      </c>
      <c r="P4064">
        <v>-7.2921187858964995E-2</v>
      </c>
      <c r="Q4064">
        <v>0.12580448695364599</v>
      </c>
      <c r="R4064">
        <v>0.99565060324577503</v>
      </c>
      <c r="S4064" t="s">
        <v>8360</v>
      </c>
      <c r="T4064" t="s">
        <v>8590</v>
      </c>
      <c r="U4064" t="s">
        <v>8590</v>
      </c>
      <c r="V4064" t="s">
        <v>8590</v>
      </c>
      <c r="W4064">
        <v>22</v>
      </c>
      <c r="X4064" t="s">
        <v>12654</v>
      </c>
      <c r="Y4064">
        <v>0.58636659222931342</v>
      </c>
      <c r="Z4064" t="str">
        <f>HYPERLINK("Melting_Curves/meltCurve_tr_H0YDU8_H0YDU8_HUMAN_.pdf", "Melting_Curves/meltCurve_tr_H0YDU8_H0YDU8_HUMAN_.pdf")</f>
        <v>Melting_Curves/meltCurve_tr_H0YDU8_H0YDU8_HUMAN_.pdf</v>
      </c>
      <c r="AA4064" t="s">
        <v>16875</v>
      </c>
      <c r="AB4064" t="s">
        <v>21131</v>
      </c>
    </row>
    <row r="4065" spans="1:28" x14ac:dyDescent="0.25">
      <c r="A4065" t="s">
        <v>4069</v>
      </c>
      <c r="B4065">
        <v>0.99876560204751996</v>
      </c>
      <c r="C4065">
        <v>1.05670046160353</v>
      </c>
      <c r="D4065">
        <v>1.06559931418776</v>
      </c>
      <c r="E4065">
        <v>0.86549410412614503</v>
      </c>
      <c r="F4065">
        <v>0.78633984304494497</v>
      </c>
      <c r="G4065">
        <v>0.352817335191002</v>
      </c>
      <c r="H4065">
        <v>0.28050115511546497</v>
      </c>
      <c r="I4065">
        <v>0.23240763487279401</v>
      </c>
      <c r="J4065">
        <v>0.26124279021796099</v>
      </c>
      <c r="K4065">
        <v>0.27995113947489397</v>
      </c>
      <c r="L4065">
        <v>1694.26599258084</v>
      </c>
      <c r="M4065">
        <v>31.300722244346101</v>
      </c>
      <c r="N4065">
        <v>55.371821181191997</v>
      </c>
      <c r="O4065">
        <v>53.909152821211698</v>
      </c>
      <c r="P4065">
        <v>-0.108520398926043</v>
      </c>
      <c r="Q4065">
        <v>0.25238648997991198</v>
      </c>
      <c r="R4065">
        <v>0.98458400031929405</v>
      </c>
      <c r="S4065" t="s">
        <v>8361</v>
      </c>
      <c r="T4065" t="s">
        <v>8590</v>
      </c>
      <c r="U4065" t="s">
        <v>8590</v>
      </c>
      <c r="V4065" t="s">
        <v>8590</v>
      </c>
      <c r="W4065">
        <v>1</v>
      </c>
      <c r="X4065" t="s">
        <v>12655</v>
      </c>
      <c r="Y4065">
        <v>0.60900956809420881</v>
      </c>
      <c r="Z4065" t="str">
        <f>HYPERLINK("Melting_Curves/meltCurve_tr_H0YE28_H0YE28_HUMAN_.pdf", "Melting_Curves/meltCurve_tr_H0YE28_H0YE28_HUMAN_.pdf")</f>
        <v>Melting_Curves/meltCurve_tr_H0YE28_H0YE28_HUMAN_.pdf</v>
      </c>
      <c r="AA4065" t="s">
        <v>16876</v>
      </c>
      <c r="AB4065" t="s">
        <v>21132</v>
      </c>
    </row>
    <row r="4066" spans="1:28" x14ac:dyDescent="0.25">
      <c r="A4066" t="s">
        <v>4070</v>
      </c>
      <c r="B4066">
        <v>0.99876560204751996</v>
      </c>
      <c r="C4066">
        <v>0.97916209404397403</v>
      </c>
      <c r="D4066">
        <v>1.0834950475895799</v>
      </c>
      <c r="E4066">
        <v>0.73984342356418897</v>
      </c>
      <c r="F4066">
        <v>0.94657262593987401</v>
      </c>
      <c r="G4066">
        <v>0.67367003335245301</v>
      </c>
      <c r="H4066">
        <v>0.676613136691812</v>
      </c>
      <c r="I4066">
        <v>0.52558529998019299</v>
      </c>
      <c r="J4066">
        <v>0.75228281104396699</v>
      </c>
      <c r="K4066">
        <v>0.65522617336781896</v>
      </c>
      <c r="L4066">
        <v>908.99999677812798</v>
      </c>
      <c r="M4066">
        <v>17.247421493399301</v>
      </c>
      <c r="O4066">
        <v>52.010307234587501</v>
      </c>
      <c r="P4066">
        <v>-3.0010650347809E-2</v>
      </c>
      <c r="Q4066">
        <v>0.63802757482716999</v>
      </c>
      <c r="R4066">
        <v>0.72087039077010895</v>
      </c>
      <c r="S4066" t="s">
        <v>8362</v>
      </c>
      <c r="T4066" t="s">
        <v>8590</v>
      </c>
      <c r="U4066" t="s">
        <v>8590</v>
      </c>
      <c r="V4066" t="s">
        <v>8590</v>
      </c>
      <c r="W4066">
        <v>3</v>
      </c>
      <c r="X4066" t="s">
        <v>12656</v>
      </c>
      <c r="Y4066">
        <v>0.79768845606805938</v>
      </c>
      <c r="Z4066" t="str">
        <f>HYPERLINK("Melting_Curves/meltCurve_tr_H0YEB6_H0YEB6_HUMAN_.pdf", "Melting_Curves/meltCurve_tr_H0YEB6_H0YEB6_HUMAN_.pdf")</f>
        <v>Melting_Curves/meltCurve_tr_H0YEB6_H0YEB6_HUMAN_.pdf</v>
      </c>
      <c r="AA4066" t="s">
        <v>16877</v>
      </c>
      <c r="AB4066" t="s">
        <v>21133</v>
      </c>
    </row>
    <row r="4067" spans="1:28" x14ac:dyDescent="0.25">
      <c r="A4067" t="s">
        <v>4071</v>
      </c>
      <c r="B4067">
        <v>0.99876560204751996</v>
      </c>
      <c r="C4067">
        <v>0.88496674108206497</v>
      </c>
      <c r="D4067">
        <v>0.87798556644000403</v>
      </c>
      <c r="E4067">
        <v>0.73830438449784397</v>
      </c>
      <c r="F4067">
        <v>0.89305042436316195</v>
      </c>
      <c r="G4067">
        <v>0.65426497767875502</v>
      </c>
      <c r="H4067">
        <v>0.62564769350534799</v>
      </c>
      <c r="I4067">
        <v>0.63113737288734195</v>
      </c>
      <c r="J4067">
        <v>0.697427889300132</v>
      </c>
      <c r="K4067">
        <v>0.68508164981248398</v>
      </c>
      <c r="L4067">
        <v>471.25051150111301</v>
      </c>
      <c r="M4067">
        <v>9.6283076121450399</v>
      </c>
      <c r="O4067">
        <v>46.972753418482398</v>
      </c>
      <c r="P4067">
        <v>-1.8769223337136799E-2</v>
      </c>
      <c r="Q4067">
        <v>0.63393502362055598</v>
      </c>
      <c r="R4067">
        <v>0.77204495827099096</v>
      </c>
      <c r="S4067" t="s">
        <v>8363</v>
      </c>
      <c r="T4067" t="s">
        <v>8590</v>
      </c>
      <c r="U4067" t="s">
        <v>8590</v>
      </c>
      <c r="V4067" t="s">
        <v>8590</v>
      </c>
      <c r="W4067">
        <v>1</v>
      </c>
      <c r="X4067" t="s">
        <v>12657</v>
      </c>
      <c r="Y4067">
        <v>0.76208951734259545</v>
      </c>
      <c r="Z4067" t="str">
        <f>HYPERLINK("Melting_Curves/meltCurve_tr_H0YEG5_H0YEG5_HUMAN_.pdf", "Melting_Curves/meltCurve_tr_H0YEG5_H0YEG5_HUMAN_.pdf")</f>
        <v>Melting_Curves/meltCurve_tr_H0YEG5_H0YEG5_HUMAN_.pdf</v>
      </c>
      <c r="AA4067" t="s">
        <v>16878</v>
      </c>
      <c r="AB4067" t="s">
        <v>21134</v>
      </c>
    </row>
    <row r="4068" spans="1:28" x14ac:dyDescent="0.25">
      <c r="A4068" t="s">
        <v>4072</v>
      </c>
      <c r="B4068">
        <v>0.99876560204751996</v>
      </c>
      <c r="C4068">
        <v>0.94605076095970897</v>
      </c>
      <c r="D4068">
        <v>0.98734048633342597</v>
      </c>
      <c r="E4068">
        <v>0.87418431526650497</v>
      </c>
      <c r="F4068">
        <v>0.798190282110953</v>
      </c>
      <c r="G4068">
        <v>0.55000202309950796</v>
      </c>
      <c r="H4068">
        <v>0.44924755343249101</v>
      </c>
      <c r="I4068">
        <v>0.41704203964465802</v>
      </c>
      <c r="J4068">
        <v>0.48327035050741801</v>
      </c>
      <c r="K4068">
        <v>0.46629841068553601</v>
      </c>
      <c r="L4068">
        <v>1225.08213498948</v>
      </c>
      <c r="M4068">
        <v>22.809232045859599</v>
      </c>
      <c r="N4068">
        <v>59.245696428218302</v>
      </c>
      <c r="O4068">
        <v>53.302193754613697</v>
      </c>
      <c r="P4068">
        <v>-5.98403452277581E-2</v>
      </c>
      <c r="Q4068">
        <v>0.44065456699601602</v>
      </c>
      <c r="R4068">
        <v>0.98236641465848595</v>
      </c>
      <c r="S4068" t="s">
        <v>8364</v>
      </c>
      <c r="T4068" t="s">
        <v>8590</v>
      </c>
      <c r="U4068" t="s">
        <v>8590</v>
      </c>
      <c r="V4068" t="s">
        <v>8590</v>
      </c>
      <c r="W4068">
        <v>3</v>
      </c>
      <c r="X4068" t="s">
        <v>12658</v>
      </c>
      <c r="Y4068">
        <v>0.70237517247668535</v>
      </c>
      <c r="Z4068" t="str">
        <f>HYPERLINK("Melting_Curves/meltCurve_tr_H0YEH2_H0YEH2_HUMAN_.pdf", "Melting_Curves/meltCurve_tr_H0YEH2_H0YEH2_HUMAN_.pdf")</f>
        <v>Melting_Curves/meltCurve_tr_H0YEH2_H0YEH2_HUMAN_.pdf</v>
      </c>
      <c r="AA4068" t="s">
        <v>16879</v>
      </c>
      <c r="AB4068" t="s">
        <v>21135</v>
      </c>
    </row>
    <row r="4069" spans="1:28" x14ac:dyDescent="0.25">
      <c r="A4069" t="s">
        <v>4073</v>
      </c>
      <c r="B4069">
        <v>0.99876560204751996</v>
      </c>
      <c r="C4069">
        <v>0.90598413147684198</v>
      </c>
      <c r="D4069">
        <v>0.771090026653662</v>
      </c>
      <c r="E4069">
        <v>0.51297936001973499</v>
      </c>
      <c r="F4069">
        <v>0.38861148626801001</v>
      </c>
      <c r="G4069">
        <v>0.22195831901847901</v>
      </c>
      <c r="H4069">
        <v>0.16210634447319899</v>
      </c>
      <c r="I4069">
        <v>0.17268089350076901</v>
      </c>
      <c r="J4069">
        <v>0.13273397342128301</v>
      </c>
      <c r="K4069">
        <v>0.15913863244929399</v>
      </c>
      <c r="L4069">
        <v>721.93024507932</v>
      </c>
      <c r="M4069">
        <v>14.6340126312894</v>
      </c>
      <c r="N4069">
        <v>50.366978691564498</v>
      </c>
      <c r="O4069">
        <v>48.438608094657297</v>
      </c>
      <c r="P4069">
        <v>-6.5731128433829195E-2</v>
      </c>
      <c r="Q4069">
        <v>0.12981621262777299</v>
      </c>
      <c r="R4069">
        <v>0.99720679718723904</v>
      </c>
      <c r="S4069" t="s">
        <v>8365</v>
      </c>
      <c r="T4069" t="s">
        <v>8590</v>
      </c>
      <c r="U4069" t="s">
        <v>8590</v>
      </c>
      <c r="V4069" t="s">
        <v>8590</v>
      </c>
      <c r="W4069">
        <v>1</v>
      </c>
      <c r="X4069" t="s">
        <v>12659</v>
      </c>
      <c r="Y4069">
        <v>0.42271606471526829</v>
      </c>
      <c r="Z4069" t="str">
        <f>HYPERLINK("Melting_Curves/meltCurve_tr_H0YEI0_H0YEI0_HUMAN_.pdf", "Melting_Curves/meltCurve_tr_H0YEI0_H0YEI0_HUMAN_.pdf")</f>
        <v>Melting_Curves/meltCurve_tr_H0YEI0_H0YEI0_HUMAN_.pdf</v>
      </c>
      <c r="AA4069" t="s">
        <v>16880</v>
      </c>
      <c r="AB4069" t="s">
        <v>21136</v>
      </c>
    </row>
    <row r="4070" spans="1:28" x14ac:dyDescent="0.25">
      <c r="A4070" t="s">
        <v>4074</v>
      </c>
      <c r="B4070">
        <v>0.99876560204751996</v>
      </c>
      <c r="C4070">
        <v>0.95477460845689699</v>
      </c>
      <c r="D4070">
        <v>0.90547005042810003</v>
      </c>
      <c r="E4070">
        <v>0.72783017667565397</v>
      </c>
      <c r="F4070">
        <v>0.331483713883228</v>
      </c>
      <c r="G4070">
        <v>0.114583214787306</v>
      </c>
      <c r="H4070">
        <v>5.5564497803376502E-2</v>
      </c>
      <c r="I4070">
        <v>3.2713362662175602E-2</v>
      </c>
      <c r="J4070">
        <v>2.4113516333495601E-2</v>
      </c>
      <c r="K4070">
        <v>1.7570110880731099E-2</v>
      </c>
      <c r="L4070">
        <v>1266.6557707500001</v>
      </c>
      <c r="M4070">
        <v>24.553186771354099</v>
      </c>
      <c r="N4070">
        <v>51.686505608325596</v>
      </c>
      <c r="O4070">
        <v>51.249691801852002</v>
      </c>
      <c r="P4070">
        <v>-0.117042898383913</v>
      </c>
      <c r="Q4070">
        <v>2.2802913964068399E-2</v>
      </c>
      <c r="R4070">
        <v>0.99648336641612001</v>
      </c>
      <c r="S4070" t="s">
        <v>8366</v>
      </c>
      <c r="T4070" t="s">
        <v>8590</v>
      </c>
      <c r="U4070" t="s">
        <v>8590</v>
      </c>
      <c r="V4070" t="s">
        <v>8590</v>
      </c>
      <c r="W4070">
        <v>5</v>
      </c>
      <c r="X4070" t="s">
        <v>12660</v>
      </c>
      <c r="Y4070">
        <v>0.40946945289662579</v>
      </c>
      <c r="Z4070" t="str">
        <f>HYPERLINK("Melting_Curves/meltCurve_tr_H0YEN5_H0YEN5_HUMAN_.pdf", "Melting_Curves/meltCurve_tr_H0YEN5_H0YEN5_HUMAN_.pdf")</f>
        <v>Melting_Curves/meltCurve_tr_H0YEN5_H0YEN5_HUMAN_.pdf</v>
      </c>
      <c r="AA4070" t="s">
        <v>16881</v>
      </c>
      <c r="AB4070" t="s">
        <v>21137</v>
      </c>
    </row>
    <row r="4071" spans="1:28" x14ac:dyDescent="0.25">
      <c r="A4071" t="s">
        <v>4075</v>
      </c>
      <c r="B4071">
        <v>0.99876560204751996</v>
      </c>
      <c r="C4071">
        <v>1.0092020912253099</v>
      </c>
      <c r="D4071">
        <v>0.88869476117927604</v>
      </c>
      <c r="E4071">
        <v>0.76732606823193905</v>
      </c>
      <c r="F4071">
        <v>0.55721004416271602</v>
      </c>
      <c r="G4071">
        <v>0.36526418553787898</v>
      </c>
      <c r="H4071">
        <v>8.6838431192809096E-2</v>
      </c>
      <c r="I4071">
        <v>7.9103804026664504E-2</v>
      </c>
      <c r="J4071">
        <v>2.7005582748433999E-2</v>
      </c>
      <c r="K4071">
        <v>4.0230743188479398E-2</v>
      </c>
      <c r="L4071">
        <v>819.92366288716096</v>
      </c>
      <c r="M4071">
        <v>15.2060171428943</v>
      </c>
      <c r="N4071">
        <v>53.921001396440701</v>
      </c>
      <c r="O4071">
        <v>53.014236027227</v>
      </c>
      <c r="P4071">
        <v>-7.1714102460468596E-2</v>
      </c>
      <c r="Q4071">
        <v>0</v>
      </c>
      <c r="R4071">
        <v>0.99313569745026498</v>
      </c>
      <c r="S4071" t="s">
        <v>8367</v>
      </c>
      <c r="T4071" t="s">
        <v>8590</v>
      </c>
      <c r="U4071" t="s">
        <v>8590</v>
      </c>
      <c r="V4071" t="s">
        <v>8590</v>
      </c>
      <c r="W4071">
        <v>1</v>
      </c>
      <c r="X4071" t="s">
        <v>12661</v>
      </c>
      <c r="Y4071">
        <v>0.4842859725040552</v>
      </c>
      <c r="Z4071" t="str">
        <f>HYPERLINK("Melting_Curves/meltCurve_tr_H0YEP5_H0YEP5_HUMAN_.pdf", "Melting_Curves/meltCurve_tr_H0YEP5_H0YEP5_HUMAN_.pdf")</f>
        <v>Melting_Curves/meltCurve_tr_H0YEP5_H0YEP5_HUMAN_.pdf</v>
      </c>
      <c r="AA4071" t="s">
        <v>16882</v>
      </c>
      <c r="AB4071" t="s">
        <v>21138</v>
      </c>
    </row>
    <row r="4072" spans="1:28" x14ac:dyDescent="0.25">
      <c r="A4072" t="s">
        <v>4076</v>
      </c>
      <c r="B4072">
        <v>0.99876560204751996</v>
      </c>
      <c r="C4072">
        <v>0.90826995303332103</v>
      </c>
      <c r="D4072">
        <v>1.044114213274</v>
      </c>
      <c r="E4072">
        <v>1.02494727948067</v>
      </c>
      <c r="F4072">
        <v>0.86019701764860801</v>
      </c>
      <c r="G4072">
        <v>0.76858580298124302</v>
      </c>
      <c r="H4072">
        <v>0.93388445963741595</v>
      </c>
      <c r="I4072">
        <v>0.711057477160286</v>
      </c>
      <c r="J4072">
        <v>0.91546312283990405</v>
      </c>
      <c r="K4072">
        <v>0.99872098131515696</v>
      </c>
      <c r="L4072">
        <v>8904.6780650532291</v>
      </c>
      <c r="M4072">
        <v>172.32059145262201</v>
      </c>
      <c r="O4072">
        <v>51.668116409488</v>
      </c>
      <c r="P4072">
        <v>-0.113079491599074</v>
      </c>
      <c r="Q4072">
        <v>0.86437829090414797</v>
      </c>
      <c r="R4072">
        <v>0.36617845118903802</v>
      </c>
      <c r="S4072" t="s">
        <v>8368</v>
      </c>
      <c r="T4072" t="s">
        <v>8590</v>
      </c>
      <c r="U4072" t="s">
        <v>8590</v>
      </c>
      <c r="V4072" t="s">
        <v>8590</v>
      </c>
      <c r="W4072">
        <v>1</v>
      </c>
      <c r="X4072" t="s">
        <v>12662</v>
      </c>
      <c r="Y4072">
        <v>0.9171839348780596</v>
      </c>
      <c r="Z4072" t="str">
        <f>HYPERLINK("Melting_Curves/meltCurve_tr_H0YER1_H0YER1_HUMAN_.pdf", "Melting_Curves/meltCurve_tr_H0YER1_H0YER1_HUMAN_.pdf")</f>
        <v>Melting_Curves/meltCurve_tr_H0YER1_H0YER1_HUMAN_.pdf</v>
      </c>
      <c r="AA4072" t="s">
        <v>16883</v>
      </c>
      <c r="AB4072" t="s">
        <v>21139</v>
      </c>
    </row>
    <row r="4073" spans="1:28" x14ac:dyDescent="0.25">
      <c r="A4073" t="s">
        <v>4077</v>
      </c>
      <c r="B4073">
        <v>0.99876560204751996</v>
      </c>
      <c r="C4073">
        <v>1.1557430402587701</v>
      </c>
      <c r="D4073">
        <v>1.05337738717653</v>
      </c>
      <c r="E4073">
        <v>0.97471288059918504</v>
      </c>
      <c r="F4073">
        <v>0.98638605717578098</v>
      </c>
      <c r="G4073">
        <v>0.64776747865220796</v>
      </c>
      <c r="H4073">
        <v>0.347655834683186</v>
      </c>
      <c r="I4073">
        <v>0.20623983806264501</v>
      </c>
      <c r="J4073">
        <v>0.21064053624801499</v>
      </c>
      <c r="K4073">
        <v>0.215470795742847</v>
      </c>
      <c r="L4073">
        <v>1837.81596068007</v>
      </c>
      <c r="M4073">
        <v>31.917879695613301</v>
      </c>
      <c r="N4073">
        <v>58.538525822140699</v>
      </c>
      <c r="O4073">
        <v>57.3549033109908</v>
      </c>
      <c r="P4073">
        <v>-0.11079931762605499</v>
      </c>
      <c r="Q4073">
        <v>0.20359976966861601</v>
      </c>
      <c r="R4073">
        <v>0.97832601020570498</v>
      </c>
      <c r="S4073" t="s">
        <v>8369</v>
      </c>
      <c r="T4073" t="s">
        <v>8590</v>
      </c>
      <c r="U4073" t="s">
        <v>8590</v>
      </c>
      <c r="V4073" t="s">
        <v>8590</v>
      </c>
      <c r="W4073">
        <v>1</v>
      </c>
      <c r="X4073" t="s">
        <v>12663</v>
      </c>
      <c r="Y4073">
        <v>0.67501618884959991</v>
      </c>
      <c r="Z4073" t="str">
        <f>HYPERLINK("Melting_Curves/meltCurve_tr_H0YFI1_H0YFI1_HUMAN_.pdf", "Melting_Curves/meltCurve_tr_H0YFI1_H0YFI1_HUMAN_.pdf")</f>
        <v>Melting_Curves/meltCurve_tr_H0YFI1_H0YFI1_HUMAN_.pdf</v>
      </c>
      <c r="AA4073" t="s">
        <v>16884</v>
      </c>
      <c r="AB4073" t="s">
        <v>21140</v>
      </c>
    </row>
    <row r="4074" spans="1:28" x14ac:dyDescent="0.25">
      <c r="A4074" t="s">
        <v>4078</v>
      </c>
      <c r="B4074">
        <v>0.99876560204751996</v>
      </c>
      <c r="C4074">
        <v>0.94967049211995902</v>
      </c>
      <c r="D4074">
        <v>0.96454706130115198</v>
      </c>
      <c r="E4074">
        <v>0.89424802619928501</v>
      </c>
      <c r="F4074">
        <v>0.807610340146804</v>
      </c>
      <c r="G4074">
        <v>0.68308173186460897</v>
      </c>
      <c r="H4074">
        <v>0.70599015133892196</v>
      </c>
      <c r="I4074">
        <v>0.74908955484293704</v>
      </c>
      <c r="J4074">
        <v>0.64886197414854596</v>
      </c>
      <c r="K4074">
        <v>0.60143522843347996</v>
      </c>
      <c r="L4074">
        <v>669.90537202216001</v>
      </c>
      <c r="M4074">
        <v>12.725962263155401</v>
      </c>
      <c r="O4074">
        <v>51.391775033735797</v>
      </c>
      <c r="P4074">
        <v>-2.2609915741837499E-2</v>
      </c>
      <c r="Q4074">
        <v>0.63484389567681099</v>
      </c>
      <c r="R4074">
        <v>0.92843187419092399</v>
      </c>
      <c r="S4074" t="s">
        <v>8370</v>
      </c>
      <c r="T4074" t="s">
        <v>8590</v>
      </c>
      <c r="U4074" t="s">
        <v>8590</v>
      </c>
      <c r="V4074" t="s">
        <v>8590</v>
      </c>
      <c r="W4074">
        <v>2</v>
      </c>
      <c r="X4074" t="s">
        <v>12664</v>
      </c>
      <c r="Y4074">
        <v>0.79865473720937485</v>
      </c>
      <c r="Z4074" t="str">
        <f>HYPERLINK("Melting_Curves/meltCurve_tr_H0YG38_H0YG38_HUMAN_.pdf", "Melting_Curves/meltCurve_tr_H0YG38_H0YG38_HUMAN_.pdf")</f>
        <v>Melting_Curves/meltCurve_tr_H0YG38_H0YG38_HUMAN_.pdf</v>
      </c>
      <c r="AA4074" t="s">
        <v>16885</v>
      </c>
      <c r="AB4074" t="s">
        <v>21141</v>
      </c>
    </row>
    <row r="4075" spans="1:28" x14ac:dyDescent="0.25">
      <c r="A4075" t="s">
        <v>4079</v>
      </c>
      <c r="B4075">
        <v>0.99876560204751996</v>
      </c>
      <c r="C4075">
        <v>0.89779835639877204</v>
      </c>
      <c r="D4075">
        <v>0.91528145664296001</v>
      </c>
      <c r="E4075">
        <v>0.89335980171692397</v>
      </c>
      <c r="F4075">
        <v>0.82352391640781097</v>
      </c>
      <c r="G4075">
        <v>0.77055532608403998</v>
      </c>
      <c r="H4075">
        <v>0.68111541510241502</v>
      </c>
      <c r="I4075">
        <v>0.62630373625118096</v>
      </c>
      <c r="J4075">
        <v>0.67491313051344504</v>
      </c>
      <c r="K4075">
        <v>0.48359978339057003</v>
      </c>
      <c r="L4075">
        <v>306.66536964792601</v>
      </c>
      <c r="M4075">
        <v>4.2084774230524902</v>
      </c>
      <c r="O4075">
        <v>60.762700144722302</v>
      </c>
      <c r="P4075">
        <v>-1.7504050615100099E-2</v>
      </c>
      <c r="Q4075">
        <v>0</v>
      </c>
      <c r="R4075">
        <v>0.93368048235133905</v>
      </c>
      <c r="S4075" t="s">
        <v>8371</v>
      </c>
      <c r="T4075" t="s">
        <v>8590</v>
      </c>
      <c r="U4075" t="s">
        <v>8590</v>
      </c>
      <c r="V4075" t="s">
        <v>8590</v>
      </c>
      <c r="W4075">
        <v>9</v>
      </c>
      <c r="X4075" t="s">
        <v>12665</v>
      </c>
      <c r="Y4075">
        <v>0.78290017938176715</v>
      </c>
      <c r="Z4075" t="str">
        <f>HYPERLINK("Melting_Curves/meltCurve_tr_H0YGR4_H0YGR4_HUMAN_.pdf", "Melting_Curves/meltCurve_tr_H0YGR4_H0YGR4_HUMAN_.pdf")</f>
        <v>Melting_Curves/meltCurve_tr_H0YGR4_H0YGR4_HUMAN_.pdf</v>
      </c>
      <c r="AA4075" t="s">
        <v>16886</v>
      </c>
      <c r="AB4075" t="s">
        <v>21142</v>
      </c>
    </row>
    <row r="4076" spans="1:28" x14ac:dyDescent="0.25">
      <c r="A4076" t="s">
        <v>4080</v>
      </c>
      <c r="B4076">
        <v>0.99876560204751996</v>
      </c>
      <c r="C4076">
        <v>0.87142835975958399</v>
      </c>
      <c r="D4076">
        <v>0.92153570200375001</v>
      </c>
      <c r="E4076">
        <v>0.75654796673659497</v>
      </c>
      <c r="F4076">
        <v>0.60146152856778601</v>
      </c>
      <c r="G4076">
        <v>0.25518009155667498</v>
      </c>
      <c r="H4076">
        <v>0.115134045208812</v>
      </c>
      <c r="I4076">
        <v>8.1356287718798395E-2</v>
      </c>
      <c r="J4076">
        <v>5.9145475201024103E-2</v>
      </c>
      <c r="K4076">
        <v>5.3949733263981101E-2</v>
      </c>
      <c r="L4076">
        <v>851.18576927381696</v>
      </c>
      <c r="M4076">
        <v>15.874720408334801</v>
      </c>
      <c r="N4076">
        <v>53.698379419628502</v>
      </c>
      <c r="O4076">
        <v>52.789723250395099</v>
      </c>
      <c r="P4076">
        <v>-7.4312642323921804E-2</v>
      </c>
      <c r="Q4076">
        <v>1.16042441925138E-2</v>
      </c>
      <c r="R4076">
        <v>0.98800794602331399</v>
      </c>
      <c r="S4076" t="s">
        <v>8372</v>
      </c>
      <c r="T4076" t="s">
        <v>8590</v>
      </c>
      <c r="U4076" t="s">
        <v>8590</v>
      </c>
      <c r="V4076" t="s">
        <v>8590</v>
      </c>
      <c r="W4076">
        <v>4</v>
      </c>
      <c r="X4076" t="s">
        <v>12666</v>
      </c>
      <c r="Y4076">
        <v>0.47947176264663549</v>
      </c>
      <c r="Z4076" t="str">
        <f>HYPERLINK("Melting_Curves/meltCurve_tr_H0YGX7_H0YGX7_HUMAN_.pdf", "Melting_Curves/meltCurve_tr_H0YGX7_H0YGX7_HUMAN_.pdf")</f>
        <v>Melting_Curves/meltCurve_tr_H0YGX7_H0YGX7_HUMAN_.pdf</v>
      </c>
      <c r="AA4076" t="s">
        <v>16887</v>
      </c>
      <c r="AB4076" t="s">
        <v>21143</v>
      </c>
    </row>
    <row r="4077" spans="1:28" x14ac:dyDescent="0.25">
      <c r="A4077" t="s">
        <v>4081</v>
      </c>
      <c r="B4077">
        <v>0.99876560204751996</v>
      </c>
      <c r="C4077">
        <v>0.89414692385690198</v>
      </c>
      <c r="D4077">
        <v>1.00141874292456</v>
      </c>
      <c r="E4077">
        <v>0.93779377229773997</v>
      </c>
      <c r="F4077">
        <v>0.81657527726003898</v>
      </c>
      <c r="G4077">
        <v>0.65735299897067201</v>
      </c>
      <c r="H4077">
        <v>0.70717465667335899</v>
      </c>
      <c r="I4077">
        <v>0.77178078222863999</v>
      </c>
      <c r="J4077">
        <v>0.95760573342045696</v>
      </c>
      <c r="K4077">
        <v>0.96594120119736204</v>
      </c>
      <c r="L4077">
        <v>4245.9519608792898</v>
      </c>
      <c r="M4077">
        <v>84.215333119711005</v>
      </c>
      <c r="O4077">
        <v>50.389400634571501</v>
      </c>
      <c r="P4077">
        <v>-7.8457503938546697E-2</v>
      </c>
      <c r="Q4077">
        <v>0.81222300408376802</v>
      </c>
      <c r="R4077">
        <v>0.33896040037033398</v>
      </c>
      <c r="S4077" t="s">
        <v>8373</v>
      </c>
      <c r="T4077" t="s">
        <v>8590</v>
      </c>
      <c r="U4077" t="s">
        <v>8590</v>
      </c>
      <c r="V4077" t="s">
        <v>8590</v>
      </c>
      <c r="W4077">
        <v>3</v>
      </c>
      <c r="X4077" t="s">
        <v>12667</v>
      </c>
      <c r="Y4077">
        <v>0.87757712701322033</v>
      </c>
      <c r="Z4077" t="str">
        <f>HYPERLINK("Melting_Curves/meltCurve_tr_H0YI02_H0YI02_HUMAN_.pdf", "Melting_Curves/meltCurve_tr_H0YI02_H0YI02_HUMAN_.pdf")</f>
        <v>Melting_Curves/meltCurve_tr_H0YI02_H0YI02_HUMAN_.pdf</v>
      </c>
      <c r="AA4077" t="s">
        <v>16888</v>
      </c>
      <c r="AB4077" t="s">
        <v>21144</v>
      </c>
    </row>
    <row r="4078" spans="1:28" x14ac:dyDescent="0.25">
      <c r="A4078" t="s">
        <v>4082</v>
      </c>
      <c r="B4078">
        <v>0.99876560204751996</v>
      </c>
      <c r="C4078">
        <v>1.04610184987794</v>
      </c>
      <c r="D4078">
        <v>0.81479802133492496</v>
      </c>
      <c r="E4078">
        <v>1.1066881365338199</v>
      </c>
      <c r="F4078">
        <v>0.96486861912268296</v>
      </c>
      <c r="G4078">
        <v>0.5762587394059</v>
      </c>
      <c r="H4078">
        <v>0.26962757676181198</v>
      </c>
      <c r="I4078">
        <v>5.2961017645528297E-2</v>
      </c>
      <c r="J4078">
        <v>3.8863533658531603E-2</v>
      </c>
      <c r="K4078">
        <v>0</v>
      </c>
      <c r="L4078">
        <v>1544.25038309252</v>
      </c>
      <c r="M4078">
        <v>26.593543016723899</v>
      </c>
      <c r="N4078">
        <v>58.073458989078603</v>
      </c>
      <c r="O4078">
        <v>57.743250892111803</v>
      </c>
      <c r="P4078">
        <v>-0.11501141630515301</v>
      </c>
      <c r="Q4078">
        <v>1.10142705096198E-3</v>
      </c>
      <c r="R4078">
        <v>0.96929269207003099</v>
      </c>
      <c r="S4078" t="s">
        <v>8374</v>
      </c>
      <c r="T4078" t="s">
        <v>8590</v>
      </c>
      <c r="U4078" t="s">
        <v>8590</v>
      </c>
      <c r="V4078" t="s">
        <v>8590</v>
      </c>
      <c r="W4078">
        <v>29</v>
      </c>
      <c r="X4078" t="s">
        <v>12668</v>
      </c>
      <c r="Y4078">
        <v>0.61065438980556974</v>
      </c>
      <c r="Z4078" t="str">
        <f>HYPERLINK("Melting_Curves/meltCurve_tr_H0YLA4_H0YLA4_HUMAN_.pdf", "Melting_Curves/meltCurve_tr_H0YLA4_H0YLA4_HUMAN_.pdf")</f>
        <v>Melting_Curves/meltCurve_tr_H0YLA4_H0YLA4_HUMAN_.pdf</v>
      </c>
      <c r="AA4078" t="s">
        <v>14377</v>
      </c>
      <c r="AB4078" t="s">
        <v>18599</v>
      </c>
    </row>
    <row r="4079" spans="1:28" x14ac:dyDescent="0.25">
      <c r="A4079" t="s">
        <v>4083</v>
      </c>
      <c r="B4079">
        <v>0.99876560204751996</v>
      </c>
      <c r="C4079">
        <v>1.1351680490091101</v>
      </c>
      <c r="D4079">
        <v>1.3392889704829301</v>
      </c>
      <c r="E4079">
        <v>1.2193975578178</v>
      </c>
      <c r="F4079">
        <v>1.2894406461866901</v>
      </c>
      <c r="G4079">
        <v>0.87260628261909501</v>
      </c>
      <c r="H4079">
        <v>0.609408414044465</v>
      </c>
      <c r="I4079">
        <v>0.53776875557372605</v>
      </c>
      <c r="J4079">
        <v>0.57156910600864896</v>
      </c>
      <c r="K4079">
        <v>0.71957430316534199</v>
      </c>
      <c r="L4079">
        <v>14291.3233517341</v>
      </c>
      <c r="M4079">
        <v>250</v>
      </c>
      <c r="O4079">
        <v>57.161647049257603</v>
      </c>
      <c r="P4079">
        <v>-0.426881452163341</v>
      </c>
      <c r="Q4079">
        <v>0.60958013067090699</v>
      </c>
      <c r="R4079">
        <v>0.66974901780686402</v>
      </c>
      <c r="S4079" t="s">
        <v>8375</v>
      </c>
      <c r="T4079" t="s">
        <v>8590</v>
      </c>
      <c r="U4079" t="s">
        <v>8590</v>
      </c>
      <c r="V4079" t="s">
        <v>8590</v>
      </c>
      <c r="W4079">
        <v>1</v>
      </c>
      <c r="X4079" t="s">
        <v>12669</v>
      </c>
      <c r="Y4079">
        <v>0.83300835286311081</v>
      </c>
      <c r="Z4079" t="str">
        <f>HYPERLINK("Melting_Curves/meltCurve_tr_H0YLN8_H0YLN8_HUMAN_.pdf", "Melting_Curves/meltCurve_tr_H0YLN8_H0YLN8_HUMAN_.pdf")</f>
        <v>Melting_Curves/meltCurve_tr_H0YLN8_H0YLN8_HUMAN_.pdf</v>
      </c>
      <c r="AA4079" t="s">
        <v>16889</v>
      </c>
      <c r="AB4079" t="s">
        <v>21145</v>
      </c>
    </row>
    <row r="4080" spans="1:28" x14ac:dyDescent="0.25">
      <c r="A4080" t="s">
        <v>4084</v>
      </c>
      <c r="B4080">
        <v>0.99876560204751996</v>
      </c>
      <c r="C4080">
        <v>0.978687552325054</v>
      </c>
      <c r="D4080">
        <v>1.07049350300916</v>
      </c>
      <c r="E4080">
        <v>0.897904761893076</v>
      </c>
      <c r="F4080">
        <v>1.0254984115883601</v>
      </c>
      <c r="G4080">
        <v>0.74839524025363402</v>
      </c>
      <c r="H4080">
        <v>0.50153083756747796</v>
      </c>
      <c r="I4080">
        <v>0.57314018518548904</v>
      </c>
      <c r="J4080">
        <v>0.78071245042797599</v>
      </c>
      <c r="K4080">
        <v>0.68250840527561796</v>
      </c>
      <c r="L4080">
        <v>14204.8364309562</v>
      </c>
      <c r="M4080">
        <v>250</v>
      </c>
      <c r="O4080">
        <v>56.815733590164903</v>
      </c>
      <c r="P4080">
        <v>-0.40209722674898402</v>
      </c>
      <c r="Q4080">
        <v>0.63447297075873099</v>
      </c>
      <c r="R4080">
        <v>0.82678690591166104</v>
      </c>
      <c r="S4080" t="s">
        <v>8376</v>
      </c>
      <c r="T4080" t="s">
        <v>8590</v>
      </c>
      <c r="U4080" t="s">
        <v>8590</v>
      </c>
      <c r="V4080" t="s">
        <v>8590</v>
      </c>
      <c r="W4080">
        <v>2</v>
      </c>
      <c r="X4080" t="s">
        <v>12670</v>
      </c>
      <c r="Y4080">
        <v>0.83944026924920789</v>
      </c>
      <c r="Z4080" t="str">
        <f>HYPERLINK("Melting_Curves/meltCurve_tr_H0YM11_H0YM11_HUMAN_.pdf", "Melting_Curves/meltCurve_tr_H0YM11_H0YM11_HUMAN_.pdf")</f>
        <v>Melting_Curves/meltCurve_tr_H0YM11_H0YM11_HUMAN_.pdf</v>
      </c>
      <c r="AA4080" t="s">
        <v>16890</v>
      </c>
      <c r="AB4080" t="s">
        <v>21146</v>
      </c>
    </row>
    <row r="4081" spans="1:28" x14ac:dyDescent="0.25">
      <c r="A4081" t="s">
        <v>4085</v>
      </c>
      <c r="B4081">
        <v>0.99876560204751996</v>
      </c>
      <c r="C4081">
        <v>0.97933526472289001</v>
      </c>
      <c r="D4081">
        <v>0.88236843244753005</v>
      </c>
      <c r="E4081">
        <v>0.59957928955300299</v>
      </c>
      <c r="F4081">
        <v>0.25610295059434801</v>
      </c>
      <c r="G4081">
        <v>0.12986449208630901</v>
      </c>
      <c r="H4081">
        <v>6.9926755790243406E-2</v>
      </c>
      <c r="I4081">
        <v>6.0221657935292799E-2</v>
      </c>
      <c r="J4081">
        <v>7.8536722763658307E-2</v>
      </c>
      <c r="K4081">
        <v>9.4534218603533296E-2</v>
      </c>
      <c r="L4081">
        <v>1217.0596715937399</v>
      </c>
      <c r="M4081">
        <v>24.184325857705801</v>
      </c>
      <c r="N4081">
        <v>50.639641759944503</v>
      </c>
      <c r="O4081">
        <v>49.984022790912597</v>
      </c>
      <c r="P4081">
        <v>-0.112506806231343</v>
      </c>
      <c r="Q4081">
        <v>6.9900667729965699E-2</v>
      </c>
      <c r="R4081">
        <v>0.997623561923765</v>
      </c>
      <c r="S4081" t="s">
        <v>8377</v>
      </c>
      <c r="T4081" t="s">
        <v>8590</v>
      </c>
      <c r="U4081" t="s">
        <v>8590</v>
      </c>
      <c r="V4081" t="s">
        <v>8590</v>
      </c>
      <c r="W4081">
        <v>2</v>
      </c>
      <c r="X4081" t="s">
        <v>12671</v>
      </c>
      <c r="Y4081">
        <v>0.39889984058726208</v>
      </c>
      <c r="Z4081" t="str">
        <f>HYPERLINK("Melting_Curves/meltCurve_tr_H0YMB0_H0YMB0_HUMAN_.pdf", "Melting_Curves/meltCurve_tr_H0YMB0_H0YMB0_HUMAN_.pdf")</f>
        <v>Melting_Curves/meltCurve_tr_H0YMB0_H0YMB0_HUMAN_.pdf</v>
      </c>
      <c r="AA4081" t="s">
        <v>16891</v>
      </c>
      <c r="AB4081" t="s">
        <v>21147</v>
      </c>
    </row>
    <row r="4082" spans="1:28" x14ac:dyDescent="0.25">
      <c r="A4082" t="s">
        <v>4086</v>
      </c>
      <c r="B4082">
        <v>0.99876560204751996</v>
      </c>
      <c r="C4082">
        <v>0.93210225242510403</v>
      </c>
      <c r="D4082">
        <v>1.0311301883921</v>
      </c>
      <c r="E4082">
        <v>0.92495736481280999</v>
      </c>
      <c r="F4082">
        <v>0.87905800920508004</v>
      </c>
      <c r="G4082">
        <v>0.56390868300894303</v>
      </c>
      <c r="H4082">
        <v>0.16574484013523499</v>
      </c>
      <c r="I4082">
        <v>6.6711265546989598E-2</v>
      </c>
      <c r="J4082">
        <v>5.8217506379534698E-2</v>
      </c>
      <c r="K4082">
        <v>5.2573829556224298E-2</v>
      </c>
      <c r="L4082">
        <v>1498.6960477386599</v>
      </c>
      <c r="M4082">
        <v>26.188806433299298</v>
      </c>
      <c r="N4082">
        <v>57.350360905076798</v>
      </c>
      <c r="O4082">
        <v>56.896028890285997</v>
      </c>
      <c r="P4082">
        <v>-0.111912653793847</v>
      </c>
      <c r="Q4082">
        <v>2.7475199182764101E-2</v>
      </c>
      <c r="R4082">
        <v>0.99378260373197802</v>
      </c>
      <c r="S4082" t="s">
        <v>8378</v>
      </c>
      <c r="T4082" t="s">
        <v>8590</v>
      </c>
      <c r="U4082" t="s">
        <v>8590</v>
      </c>
      <c r="V4082" t="s">
        <v>8590</v>
      </c>
      <c r="W4082">
        <v>5</v>
      </c>
      <c r="X4082" t="s">
        <v>12672</v>
      </c>
      <c r="Y4082">
        <v>0.59402052862807309</v>
      </c>
      <c r="Z4082" t="str">
        <f>HYPERLINK("Melting_Curves/meltCurve_tr_H0YMB1_H0YMB1_HUMAN_.pdf", "Melting_Curves/meltCurve_tr_H0YMB1_H0YMB1_HUMAN_.pdf")</f>
        <v>Melting_Curves/meltCurve_tr_H0YMB1_H0YMB1_HUMAN_.pdf</v>
      </c>
      <c r="AA4082" t="s">
        <v>16892</v>
      </c>
      <c r="AB4082" t="s">
        <v>21148</v>
      </c>
    </row>
    <row r="4083" spans="1:28" x14ac:dyDescent="0.25">
      <c r="A4083" t="s">
        <v>4087</v>
      </c>
      <c r="B4083">
        <v>0.99876560204751996</v>
      </c>
      <c r="C4083">
        <v>1.09945554135664</v>
      </c>
      <c r="D4083">
        <v>0.99561889276762905</v>
      </c>
      <c r="E4083">
        <v>1.08084263133549</v>
      </c>
      <c r="F4083">
        <v>1.0567883575966699</v>
      </c>
      <c r="G4083">
        <v>0.87931950854285501</v>
      </c>
      <c r="H4083">
        <v>0.71259467067316196</v>
      </c>
      <c r="I4083">
        <v>0.72831222277619101</v>
      </c>
      <c r="J4083">
        <v>0.91354697562284004</v>
      </c>
      <c r="K4083">
        <v>0.77135734457854799</v>
      </c>
      <c r="L4083">
        <v>14238.056200180101</v>
      </c>
      <c r="M4083">
        <v>250</v>
      </c>
      <c r="O4083">
        <v>56.9485802639676</v>
      </c>
      <c r="P4083">
        <v>-0.239851454698782</v>
      </c>
      <c r="Q4083">
        <v>0.78145280325366795</v>
      </c>
      <c r="R4083">
        <v>0.76687876653952303</v>
      </c>
      <c r="S4083" t="s">
        <v>8379</v>
      </c>
      <c r="T4083" t="s">
        <v>8590</v>
      </c>
      <c r="U4083" t="s">
        <v>8590</v>
      </c>
      <c r="V4083" t="s">
        <v>8590</v>
      </c>
      <c r="W4083">
        <v>15</v>
      </c>
      <c r="X4083" t="s">
        <v>12673</v>
      </c>
      <c r="Y4083">
        <v>0.90497002073162325</v>
      </c>
      <c r="Z4083" t="str">
        <f>HYPERLINK("Melting_Curves/meltCurve_tr_H0YMB3_H0YMB3_HUMAN_.pdf", "Melting_Curves/meltCurve_tr_H0YMB3_H0YMB3_HUMAN_.pdf")</f>
        <v>Melting_Curves/meltCurve_tr_H0YMB3_H0YMB3_HUMAN_.pdf</v>
      </c>
      <c r="AA4083" t="s">
        <v>16893</v>
      </c>
      <c r="AB4083" t="s">
        <v>21149</v>
      </c>
    </row>
    <row r="4084" spans="1:28" x14ac:dyDescent="0.25">
      <c r="A4084" t="s">
        <v>4088</v>
      </c>
      <c r="B4084">
        <v>0.99876560204751996</v>
      </c>
      <c r="C4084">
        <v>0.98670046053253102</v>
      </c>
      <c r="D4084">
        <v>1.28293667874503</v>
      </c>
      <c r="E4084">
        <v>1.0740201333008099</v>
      </c>
      <c r="F4084">
        <v>1.5094454538741799</v>
      </c>
      <c r="G4084">
        <v>1.0354666361560501</v>
      </c>
      <c r="H4084">
        <v>0.92845285097389296</v>
      </c>
      <c r="I4084">
        <v>0.75009311202372297</v>
      </c>
      <c r="J4084">
        <v>0.75821444985742903</v>
      </c>
      <c r="K4084">
        <v>0.899462872139696</v>
      </c>
      <c r="L4084">
        <v>15000</v>
      </c>
      <c r="M4084">
        <v>245.33688779679301</v>
      </c>
      <c r="O4084">
        <v>61.136355824404902</v>
      </c>
      <c r="P4084">
        <v>-0.198049130299599</v>
      </c>
      <c r="Q4084">
        <v>0.80258978268742298</v>
      </c>
      <c r="R4084">
        <v>0.24502002768843401</v>
      </c>
      <c r="S4084" t="s">
        <v>8380</v>
      </c>
      <c r="T4084" t="s">
        <v>8590</v>
      </c>
      <c r="U4084" t="s">
        <v>8590</v>
      </c>
      <c r="V4084" t="s">
        <v>8590</v>
      </c>
      <c r="W4084">
        <v>1</v>
      </c>
      <c r="X4084" t="s">
        <v>12674</v>
      </c>
      <c r="Y4084">
        <v>0.94172293180737821</v>
      </c>
      <c r="Z4084" t="str">
        <f>HYPERLINK("Melting_Curves/meltCurve_tr_H0YMM7_H0YMM7_HUMAN_.pdf", "Melting_Curves/meltCurve_tr_H0YMM7_H0YMM7_HUMAN_.pdf")</f>
        <v>Melting_Curves/meltCurve_tr_H0YMM7_H0YMM7_HUMAN_.pdf</v>
      </c>
      <c r="AA4084" t="s">
        <v>16894</v>
      </c>
      <c r="AB4084" t="s">
        <v>21150</v>
      </c>
    </row>
    <row r="4085" spans="1:28" x14ac:dyDescent="0.25">
      <c r="A4085" t="s">
        <v>4089</v>
      </c>
      <c r="B4085">
        <v>0.99876560204751996</v>
      </c>
      <c r="C4085">
        <v>0.98087077106212694</v>
      </c>
      <c r="D4085">
        <v>0.79607423747468398</v>
      </c>
      <c r="E4085">
        <v>0.72587098894080404</v>
      </c>
      <c r="F4085">
        <v>0.57279559390868195</v>
      </c>
      <c r="G4085">
        <v>0.24697506755078499</v>
      </c>
      <c r="H4085">
        <v>0.10265230646241701</v>
      </c>
      <c r="I4085">
        <v>7.9734940294859696E-2</v>
      </c>
      <c r="J4085">
        <v>8.7970091535054099E-2</v>
      </c>
      <c r="K4085">
        <v>7.3855330489411702E-2</v>
      </c>
      <c r="L4085">
        <v>737.44935528345195</v>
      </c>
      <c r="M4085">
        <v>13.902045089015299</v>
      </c>
      <c r="N4085">
        <v>53.132173850034498</v>
      </c>
      <c r="O4085">
        <v>51.984650198013398</v>
      </c>
      <c r="P4085">
        <v>-6.6121189830131294E-2</v>
      </c>
      <c r="Q4085">
        <v>1.1132692344624801E-2</v>
      </c>
      <c r="R4085">
        <v>0.98523918426817803</v>
      </c>
      <c r="S4085" t="s">
        <v>8381</v>
      </c>
      <c r="T4085" t="s">
        <v>8590</v>
      </c>
      <c r="U4085" t="s">
        <v>8590</v>
      </c>
      <c r="V4085" t="s">
        <v>8590</v>
      </c>
      <c r="W4085">
        <v>4</v>
      </c>
      <c r="X4085" t="s">
        <v>12675</v>
      </c>
      <c r="Y4085">
        <v>0.46467389136185461</v>
      </c>
      <c r="Z4085" t="str">
        <f>HYPERLINK("Melting_Curves/meltCurve_tr_H0YN81_H0YN81_HUMAN_.pdf", "Melting_Curves/meltCurve_tr_H0YN81_H0YN81_HUMAN_.pdf")</f>
        <v>Melting_Curves/meltCurve_tr_H0YN81_H0YN81_HUMAN_.pdf</v>
      </c>
      <c r="AA4085" t="s">
        <v>16895</v>
      </c>
      <c r="AB4085" t="s">
        <v>21151</v>
      </c>
    </row>
    <row r="4086" spans="1:28" x14ac:dyDescent="0.25">
      <c r="A4086" t="s">
        <v>4090</v>
      </c>
      <c r="B4086">
        <v>0.99876560204751996</v>
      </c>
      <c r="C4086">
        <v>0.89540416875984297</v>
      </c>
      <c r="D4086">
        <v>0.71328654281690496</v>
      </c>
      <c r="E4086">
        <v>0.515639043619329</v>
      </c>
      <c r="F4086">
        <v>0.21605259006857799</v>
      </c>
      <c r="G4086">
        <v>6.5270990805173706E-2</v>
      </c>
      <c r="H4086">
        <v>0</v>
      </c>
      <c r="I4086">
        <v>0</v>
      </c>
      <c r="J4086">
        <v>0</v>
      </c>
      <c r="K4086">
        <v>0</v>
      </c>
      <c r="L4086">
        <v>813.38646800178799</v>
      </c>
      <c r="M4086">
        <v>16.515041114284799</v>
      </c>
      <c r="N4086">
        <v>49.2512505395906</v>
      </c>
      <c r="O4086">
        <v>48.5461299284487</v>
      </c>
      <c r="P4086">
        <v>-8.5054084504876698E-2</v>
      </c>
      <c r="Q4086">
        <v>0</v>
      </c>
      <c r="R4086">
        <v>0.99108697514034705</v>
      </c>
      <c r="S4086" t="s">
        <v>8382</v>
      </c>
      <c r="T4086" t="s">
        <v>8590</v>
      </c>
      <c r="U4086" t="s">
        <v>8590</v>
      </c>
      <c r="V4086" t="s">
        <v>8590</v>
      </c>
      <c r="W4086">
        <v>3</v>
      </c>
      <c r="X4086" t="s">
        <v>12676</v>
      </c>
      <c r="Y4086">
        <v>0.32876555080249031</v>
      </c>
      <c r="Z4086" t="str">
        <f>HYPERLINK("Melting_Curves/meltCurve_tr_H0YNE9_H0YNE9_HUMAN_.pdf", "Melting_Curves/meltCurve_tr_H0YNE9_H0YNE9_HUMAN_.pdf")</f>
        <v>Melting_Curves/meltCurve_tr_H0YNE9_H0YNE9_HUMAN_.pdf</v>
      </c>
      <c r="AA4086" t="s">
        <v>16896</v>
      </c>
      <c r="AB4086" t="s">
        <v>21152</v>
      </c>
    </row>
    <row r="4087" spans="1:28" x14ac:dyDescent="0.25">
      <c r="A4087" t="s">
        <v>4091</v>
      </c>
      <c r="B4087">
        <v>0.99876560204751996</v>
      </c>
      <c r="C4087">
        <v>0.88600615618256995</v>
      </c>
      <c r="D4087">
        <v>0.762407206711473</v>
      </c>
      <c r="E4087">
        <v>0.70734112970843599</v>
      </c>
      <c r="F4087">
        <v>0.33642001337607602</v>
      </c>
      <c r="G4087">
        <v>0.14459101446330599</v>
      </c>
      <c r="H4087">
        <v>8.3720674263654898E-2</v>
      </c>
      <c r="I4087">
        <v>5.2469604297300403E-2</v>
      </c>
      <c r="J4087">
        <v>4.7002869525303102E-2</v>
      </c>
      <c r="K4087">
        <v>2.5927990860951201E-2</v>
      </c>
      <c r="L4087">
        <v>738.66227197780302</v>
      </c>
      <c r="M4087">
        <v>14.4273153014674</v>
      </c>
      <c r="N4087">
        <v>51.198872233306197</v>
      </c>
      <c r="O4087">
        <v>50.245369002680903</v>
      </c>
      <c r="P4087">
        <v>-7.1792748284572702E-2</v>
      </c>
      <c r="Q4087">
        <v>0</v>
      </c>
      <c r="R4087">
        <v>0.97987974726048899</v>
      </c>
      <c r="S4087" t="s">
        <v>8383</v>
      </c>
      <c r="T4087" t="s">
        <v>8590</v>
      </c>
      <c r="U4087" t="s">
        <v>8590</v>
      </c>
      <c r="V4087" t="s">
        <v>8590</v>
      </c>
      <c r="W4087">
        <v>1</v>
      </c>
      <c r="X4087" t="s">
        <v>12677</v>
      </c>
      <c r="Y4087">
        <v>0.39774087645009742</v>
      </c>
      <c r="Z4087" t="str">
        <f>HYPERLINK("Melting_Curves/meltCurve_tr_H0YNU5_H0YNU5_HUMAN_.pdf", "Melting_Curves/meltCurve_tr_H0YNU5_H0YNU5_HUMAN_.pdf")</f>
        <v>Melting_Curves/meltCurve_tr_H0YNU5_H0YNU5_HUMAN_.pdf</v>
      </c>
      <c r="AA4087" t="s">
        <v>16897</v>
      </c>
      <c r="AB4087" t="s">
        <v>21153</v>
      </c>
    </row>
    <row r="4088" spans="1:28" x14ac:dyDescent="0.25">
      <c r="A4088" t="s">
        <v>4092</v>
      </c>
      <c r="B4088">
        <v>0.99876560204751996</v>
      </c>
      <c r="C4088">
        <v>0.93460403187549101</v>
      </c>
      <c r="D4088">
        <v>0.98285891634511802</v>
      </c>
      <c r="E4088">
        <v>0.88287133812476304</v>
      </c>
      <c r="F4088">
        <v>0.21416643664586099</v>
      </c>
      <c r="G4088">
        <v>9.4963494820222802E-2</v>
      </c>
      <c r="H4088">
        <v>5.4306608399511902E-2</v>
      </c>
      <c r="I4088">
        <v>3.9598393563159702E-2</v>
      </c>
      <c r="J4088">
        <v>3.2387980429093903E-2</v>
      </c>
      <c r="K4088">
        <v>2.63310484589502E-2</v>
      </c>
      <c r="L4088">
        <v>3076.63292858554</v>
      </c>
      <c r="M4088">
        <v>59.588004021937401</v>
      </c>
      <c r="N4088">
        <v>51.720140320544999</v>
      </c>
      <c r="O4088">
        <v>51.573697890269599</v>
      </c>
      <c r="P4088">
        <v>-0.274865361743453</v>
      </c>
      <c r="Q4088">
        <v>4.8411410607670902E-2</v>
      </c>
      <c r="R4088">
        <v>0.99609495031077</v>
      </c>
      <c r="S4088" t="s">
        <v>8384</v>
      </c>
      <c r="T4088" t="s">
        <v>8590</v>
      </c>
      <c r="U4088" t="s">
        <v>8590</v>
      </c>
      <c r="V4088" t="s">
        <v>8590</v>
      </c>
      <c r="W4088">
        <v>15</v>
      </c>
      <c r="X4088" t="s">
        <v>12678</v>
      </c>
      <c r="Y4088">
        <v>0.41888946646048031</v>
      </c>
      <c r="Z4088" t="str">
        <f>HYPERLINK("Melting_Curves/meltCurve_tr_H3BLU7_H3BLU7_HUMAN_.pdf", "Melting_Curves/meltCurve_tr_H3BLU7_H3BLU7_HUMAN_.pdf")</f>
        <v>Melting_Curves/meltCurve_tr_H3BLU7_H3BLU7_HUMAN_.pdf</v>
      </c>
      <c r="AA4088" t="s">
        <v>16898</v>
      </c>
      <c r="AB4088" t="s">
        <v>21154</v>
      </c>
    </row>
    <row r="4089" spans="1:28" x14ac:dyDescent="0.25">
      <c r="A4089" t="s">
        <v>4093</v>
      </c>
      <c r="B4089">
        <v>0.99876560204751996</v>
      </c>
      <c r="C4089">
        <v>1.9450166293412201</v>
      </c>
      <c r="D4089">
        <v>2.0221215057720801</v>
      </c>
      <c r="E4089">
        <v>1.08897839136437</v>
      </c>
      <c r="F4089">
        <v>1.4002477423895801</v>
      </c>
      <c r="G4089">
        <v>1.6288138266362</v>
      </c>
      <c r="H4089">
        <v>1.3541153772942001</v>
      </c>
      <c r="I4089">
        <v>1.1977226523958999</v>
      </c>
      <c r="J4089">
        <v>0.65165049359378802</v>
      </c>
      <c r="K4089">
        <v>1.4946450811660601</v>
      </c>
      <c r="L4089">
        <v>10238.798083656</v>
      </c>
      <c r="M4089">
        <v>250</v>
      </c>
      <c r="O4089">
        <v>40.952551746855598</v>
      </c>
      <c r="P4089">
        <v>0.64154575533390701</v>
      </c>
      <c r="Q4089">
        <v>1.42036717541887</v>
      </c>
      <c r="R4089">
        <v>9.9888615717804594E-2</v>
      </c>
      <c r="S4089" t="s">
        <v>8385</v>
      </c>
      <c r="T4089" t="s">
        <v>8590</v>
      </c>
      <c r="U4089" t="s">
        <v>8590</v>
      </c>
      <c r="V4089" t="s">
        <v>8590</v>
      </c>
      <c r="W4089">
        <v>2</v>
      </c>
      <c r="X4089" t="s">
        <v>12679</v>
      </c>
      <c r="Y4089">
        <v>1.406947034856316</v>
      </c>
      <c r="Z4089" t="str">
        <f>HYPERLINK("Melting_Curves/meltCurve_tr_H3BM67_H3BM67_HUMAN_.pdf", "Melting_Curves/meltCurve_tr_H3BM67_H3BM67_HUMAN_.pdf")</f>
        <v>Melting_Curves/meltCurve_tr_H3BM67_H3BM67_HUMAN_.pdf</v>
      </c>
      <c r="AA4089" t="s">
        <v>16899</v>
      </c>
      <c r="AB4089" t="s">
        <v>21155</v>
      </c>
    </row>
    <row r="4090" spans="1:28" x14ac:dyDescent="0.25">
      <c r="A4090" t="s">
        <v>4094</v>
      </c>
      <c r="B4090">
        <v>0.99876560204751996</v>
      </c>
      <c r="C4090">
        <v>0.97150652414657801</v>
      </c>
      <c r="D4090">
        <v>0.970030866237515</v>
      </c>
      <c r="E4090">
        <v>0.71923190261222103</v>
      </c>
      <c r="F4090">
        <v>0.62780068496339303</v>
      </c>
      <c r="G4090">
        <v>0.423832566431324</v>
      </c>
      <c r="H4090">
        <v>0.36726375598743499</v>
      </c>
      <c r="I4090">
        <v>0.36747154373780799</v>
      </c>
      <c r="J4090">
        <v>0.45542822845949998</v>
      </c>
      <c r="K4090">
        <v>0.45763774389987799</v>
      </c>
      <c r="L4090">
        <v>1132.9151527747899</v>
      </c>
      <c r="M4090">
        <v>22.2991560667461</v>
      </c>
      <c r="N4090">
        <v>54.910318481216898</v>
      </c>
      <c r="O4090">
        <v>50.402001602959501</v>
      </c>
      <c r="P4090">
        <v>-6.5745999984231904E-2</v>
      </c>
      <c r="Q4090">
        <v>0.40559906350225899</v>
      </c>
      <c r="R4090">
        <v>0.97499996604120798</v>
      </c>
      <c r="S4090" t="s">
        <v>8386</v>
      </c>
      <c r="T4090" t="s">
        <v>8590</v>
      </c>
      <c r="U4090" t="s">
        <v>8590</v>
      </c>
      <c r="V4090" t="s">
        <v>8590</v>
      </c>
      <c r="W4090">
        <v>2</v>
      </c>
      <c r="X4090" t="s">
        <v>12680</v>
      </c>
      <c r="Y4090">
        <v>0.62639128279882261</v>
      </c>
      <c r="Z4090" t="str">
        <f>HYPERLINK("Melting_Curves/meltCurve_tr_H3BMM5_H3BMM5_HUMAN_.pdf", "Melting_Curves/meltCurve_tr_H3BMM5_H3BMM5_HUMAN_.pdf")</f>
        <v>Melting_Curves/meltCurve_tr_H3BMM5_H3BMM5_HUMAN_.pdf</v>
      </c>
      <c r="AB4090" t="s">
        <v>21005</v>
      </c>
    </row>
    <row r="4091" spans="1:28" x14ac:dyDescent="0.25">
      <c r="A4091" t="s">
        <v>4095</v>
      </c>
      <c r="B4091">
        <v>0.99876560204751996</v>
      </c>
      <c r="C4091">
        <v>1.05679162712018</v>
      </c>
      <c r="D4091">
        <v>0.73741571983334997</v>
      </c>
      <c r="E4091">
        <v>0.68004210210793403</v>
      </c>
      <c r="F4091">
        <v>0.485349525783557</v>
      </c>
      <c r="G4091">
        <v>0.29729925992024497</v>
      </c>
      <c r="H4091">
        <v>0.25613515532574199</v>
      </c>
      <c r="I4091">
        <v>0.18692854461060299</v>
      </c>
      <c r="J4091">
        <v>0.20793077740730101</v>
      </c>
      <c r="K4091">
        <v>0.16076656263147801</v>
      </c>
      <c r="L4091">
        <v>698.08379068790202</v>
      </c>
      <c r="M4091">
        <v>13.650237993892899</v>
      </c>
      <c r="N4091">
        <v>52.549816726571201</v>
      </c>
      <c r="O4091">
        <v>50.080656102415603</v>
      </c>
      <c r="P4091">
        <v>-5.77069679640351E-2</v>
      </c>
      <c r="Q4091">
        <v>0.153251318061109</v>
      </c>
      <c r="R4091">
        <v>0.97217928799273201</v>
      </c>
      <c r="S4091" t="s">
        <v>8387</v>
      </c>
      <c r="T4091" t="s">
        <v>8590</v>
      </c>
      <c r="U4091" t="s">
        <v>8590</v>
      </c>
      <c r="V4091" t="s">
        <v>8590</v>
      </c>
      <c r="W4091">
        <v>1</v>
      </c>
      <c r="X4091" t="s">
        <v>12681</v>
      </c>
      <c r="Y4091">
        <v>0.49032911879115437</v>
      </c>
      <c r="Z4091" t="str">
        <f>HYPERLINK("Melting_Curves/meltCurve_tr_H3BN98_H3BN98_HUMAN_.pdf", "Melting_Curves/meltCurve_tr_H3BN98_H3BN98_HUMAN_.pdf")</f>
        <v>Melting_Curves/meltCurve_tr_H3BN98_H3BN98_HUMAN_.pdf</v>
      </c>
      <c r="AB4091" t="s">
        <v>21156</v>
      </c>
    </row>
    <row r="4092" spans="1:28" x14ac:dyDescent="0.25">
      <c r="A4092" t="s">
        <v>4096</v>
      </c>
      <c r="B4092">
        <v>0.99876560204751996</v>
      </c>
      <c r="C4092">
        <v>1.1590603963617601</v>
      </c>
      <c r="D4092">
        <v>0.74951095251614397</v>
      </c>
      <c r="E4092">
        <v>0.83617839271100503</v>
      </c>
      <c r="F4092">
        <v>0.51702842175154595</v>
      </c>
      <c r="G4092">
        <v>0.134593880063061</v>
      </c>
      <c r="H4092">
        <v>4.6966951796840101E-2</v>
      </c>
      <c r="I4092">
        <v>5.7624468620842299E-2</v>
      </c>
      <c r="J4092">
        <v>1.7581777145335001E-2</v>
      </c>
      <c r="K4092">
        <v>0</v>
      </c>
      <c r="L4092">
        <v>1150.7539262293601</v>
      </c>
      <c r="M4092">
        <v>21.7137291797474</v>
      </c>
      <c r="N4092">
        <v>53.001216765268602</v>
      </c>
      <c r="O4092">
        <v>52.553248447480797</v>
      </c>
      <c r="P4092">
        <v>-0.10319888279011399</v>
      </c>
      <c r="Q4092">
        <v>9.4381153124267899E-4</v>
      </c>
      <c r="R4092">
        <v>0.95706571795115103</v>
      </c>
      <c r="S4092" t="s">
        <v>8388</v>
      </c>
      <c r="T4092" t="s">
        <v>8590</v>
      </c>
      <c r="U4092" t="s">
        <v>8590</v>
      </c>
      <c r="V4092" t="s">
        <v>8590</v>
      </c>
      <c r="W4092">
        <v>8</v>
      </c>
      <c r="X4092" t="s">
        <v>12682</v>
      </c>
      <c r="Y4092">
        <v>0.44566113469764979</v>
      </c>
      <c r="Z4092" t="str">
        <f>HYPERLINK("Melting_Curves/meltCurve_tr_H3BND3_H3BND3_HUMAN_.pdf", "Melting_Curves/meltCurve_tr_H3BND3_H3BND3_HUMAN_.pdf")</f>
        <v>Melting_Curves/meltCurve_tr_H3BND3_H3BND3_HUMAN_.pdf</v>
      </c>
      <c r="AA4092" t="s">
        <v>13077</v>
      </c>
      <c r="AB4092" t="s">
        <v>21157</v>
      </c>
    </row>
    <row r="4093" spans="1:28" x14ac:dyDescent="0.25">
      <c r="A4093" t="s">
        <v>4097</v>
      </c>
      <c r="B4093">
        <v>0.99876560204751996</v>
      </c>
      <c r="C4093">
        <v>0.89850197052607605</v>
      </c>
      <c r="D4093">
        <v>0.81795175414176702</v>
      </c>
      <c r="E4093">
        <v>0.64816612837437304</v>
      </c>
      <c r="F4093">
        <v>0.29752596235789103</v>
      </c>
      <c r="G4093">
        <v>0.13967982586696501</v>
      </c>
      <c r="H4093">
        <v>9.3521502938887599E-2</v>
      </c>
      <c r="I4093">
        <v>7.39965314528193E-2</v>
      </c>
      <c r="J4093">
        <v>6.9498227898395104E-2</v>
      </c>
      <c r="K4093">
        <v>5.8472320736251603E-2</v>
      </c>
      <c r="L4093">
        <v>868.07795272014698</v>
      </c>
      <c r="M4093">
        <v>17.158157617648499</v>
      </c>
      <c r="N4093">
        <v>50.859527394724203</v>
      </c>
      <c r="O4093">
        <v>49.920500468264798</v>
      </c>
      <c r="P4093">
        <v>-8.2234108234505804E-2</v>
      </c>
      <c r="Q4093">
        <v>4.30386940471464E-2</v>
      </c>
      <c r="R4093">
        <v>0.98960455313197704</v>
      </c>
      <c r="S4093" t="s">
        <v>8389</v>
      </c>
      <c r="T4093" t="s">
        <v>8590</v>
      </c>
      <c r="U4093" t="s">
        <v>8590</v>
      </c>
      <c r="V4093" t="s">
        <v>8590</v>
      </c>
      <c r="W4093">
        <v>7</v>
      </c>
      <c r="X4093" t="s">
        <v>12683</v>
      </c>
      <c r="Y4093">
        <v>0.39861506166656591</v>
      </c>
      <c r="Z4093" t="str">
        <f>HYPERLINK("Melting_Curves/meltCurve_tr_H3BPB8_H3BPB8_HUMAN_.pdf", "Melting_Curves/meltCurve_tr_H3BPB8_H3BPB8_HUMAN_.pdf")</f>
        <v>Melting_Curves/meltCurve_tr_H3BPB8_H3BPB8_HUMAN_.pdf</v>
      </c>
      <c r="AA4093" t="s">
        <v>16900</v>
      </c>
      <c r="AB4093" t="s">
        <v>21158</v>
      </c>
    </row>
    <row r="4094" spans="1:28" x14ac:dyDescent="0.25">
      <c r="A4094" t="s">
        <v>4098</v>
      </c>
      <c r="B4094">
        <v>0.99876560204751996</v>
      </c>
      <c r="C4094">
        <v>1.05271273852216</v>
      </c>
      <c r="D4094">
        <v>0.90048507782518405</v>
      </c>
      <c r="E4094">
        <v>0.94984049307926199</v>
      </c>
      <c r="F4094">
        <v>0.51338727264305795</v>
      </c>
      <c r="G4094">
        <v>0.20592628272114299</v>
      </c>
      <c r="H4094">
        <v>0.12823413884915499</v>
      </c>
      <c r="I4094">
        <v>0.10530817930886199</v>
      </c>
      <c r="J4094">
        <v>9.9029471732121302E-2</v>
      </c>
      <c r="K4094">
        <v>0.102427976651408</v>
      </c>
      <c r="L4094">
        <v>2041.6957536147399</v>
      </c>
      <c r="M4094">
        <v>38.626077185900598</v>
      </c>
      <c r="N4094">
        <v>53.217374912313304</v>
      </c>
      <c r="O4094">
        <v>52.716881155051801</v>
      </c>
      <c r="P4094">
        <v>-0.16214829980780199</v>
      </c>
      <c r="Q4094">
        <v>0.114801943364977</v>
      </c>
      <c r="R4094">
        <v>0.98994363227995397</v>
      </c>
      <c r="S4094" t="s">
        <v>8390</v>
      </c>
      <c r="T4094" t="s">
        <v>8590</v>
      </c>
      <c r="U4094" t="s">
        <v>8590</v>
      </c>
      <c r="V4094" t="s">
        <v>8590</v>
      </c>
      <c r="W4094">
        <v>100</v>
      </c>
      <c r="X4094" t="s">
        <v>12684</v>
      </c>
      <c r="Y4094">
        <v>0.4976625389622395</v>
      </c>
      <c r="Z4094" t="str">
        <f>HYPERLINK("Melting_Curves/meltCurve_tr_H3BPE1_H3BPE1_HUMAN_.pdf", "Melting_Curves/meltCurve_tr_H3BPE1_H3BPE1_HUMAN_.pdf")</f>
        <v>Melting_Curves/meltCurve_tr_H3BPE1_H3BPE1_HUMAN_.pdf</v>
      </c>
      <c r="AA4094" t="s">
        <v>16901</v>
      </c>
      <c r="AB4094" t="s">
        <v>21159</v>
      </c>
    </row>
    <row r="4095" spans="1:28" x14ac:dyDescent="0.25">
      <c r="A4095" t="s">
        <v>4099</v>
      </c>
      <c r="B4095">
        <v>0.99876560204751996</v>
      </c>
      <c r="C4095">
        <v>1.54020998904364</v>
      </c>
      <c r="D4095">
        <v>0.99294497652624103</v>
      </c>
      <c r="E4095">
        <v>1.68970360857874</v>
      </c>
      <c r="F4095">
        <v>0.77361776139538496</v>
      </c>
      <c r="G4095">
        <v>0.16160832042634299</v>
      </c>
      <c r="H4095">
        <v>3.0906452046639499E-2</v>
      </c>
      <c r="I4095">
        <v>2.7730594981547702E-2</v>
      </c>
      <c r="J4095">
        <v>3.2911227268602398E-2</v>
      </c>
      <c r="K4095">
        <v>4.3734098006417102E-2</v>
      </c>
      <c r="L4095">
        <v>13310.8967859609</v>
      </c>
      <c r="M4095">
        <v>250</v>
      </c>
      <c r="N4095">
        <v>53.270528058011699</v>
      </c>
      <c r="O4095">
        <v>53.2401799222867</v>
      </c>
      <c r="P4095">
        <v>-1.1042199245313999</v>
      </c>
      <c r="Q4095">
        <v>5.9378122071927303E-2</v>
      </c>
      <c r="R4095">
        <v>0.79882285384088902</v>
      </c>
      <c r="S4095" t="s">
        <v>8391</v>
      </c>
      <c r="T4095" t="s">
        <v>8590</v>
      </c>
      <c r="U4095" t="s">
        <v>8590</v>
      </c>
      <c r="V4095" t="s">
        <v>8590</v>
      </c>
      <c r="W4095">
        <v>1</v>
      </c>
      <c r="X4095" t="s">
        <v>12685</v>
      </c>
      <c r="Y4095">
        <v>0.47470627567288959</v>
      </c>
      <c r="Z4095" t="str">
        <f>HYPERLINK("Melting_Curves/meltCurve_tr_H3BPZ6_H3BPZ6_HUMAN_.pdf", "Melting_Curves/meltCurve_tr_H3BPZ6_H3BPZ6_HUMAN_.pdf")</f>
        <v>Melting_Curves/meltCurve_tr_H3BPZ6_H3BPZ6_HUMAN_.pdf</v>
      </c>
      <c r="AA4095" t="s">
        <v>16902</v>
      </c>
      <c r="AB4095" t="s">
        <v>21160</v>
      </c>
    </row>
    <row r="4096" spans="1:28" x14ac:dyDescent="0.25">
      <c r="A4096" t="s">
        <v>4100</v>
      </c>
      <c r="B4096">
        <v>0.99876560204751996</v>
      </c>
      <c r="C4096">
        <v>0.91309601089292702</v>
      </c>
      <c r="D4096">
        <v>0.80993203678216297</v>
      </c>
      <c r="E4096">
        <v>0.65925210262104705</v>
      </c>
      <c r="F4096">
        <v>0.61142686869275698</v>
      </c>
      <c r="G4096">
        <v>0.55938173275119396</v>
      </c>
      <c r="H4096">
        <v>0.39633695890005299</v>
      </c>
      <c r="I4096">
        <v>0.30115074362718403</v>
      </c>
      <c r="J4096">
        <v>0.46239562444305798</v>
      </c>
      <c r="K4096">
        <v>0.330600500939496</v>
      </c>
      <c r="L4096">
        <v>497.69177157614098</v>
      </c>
      <c r="M4096">
        <v>9.7161224756487208</v>
      </c>
      <c r="N4096">
        <v>56.720395249226797</v>
      </c>
      <c r="O4096">
        <v>49.194685704735299</v>
      </c>
      <c r="P4096">
        <v>-3.4334505724703403E-2</v>
      </c>
      <c r="Q4096">
        <v>0.30500731240971601</v>
      </c>
      <c r="R4096">
        <v>0.95059741295145594</v>
      </c>
      <c r="S4096" t="s">
        <v>8392</v>
      </c>
      <c r="T4096" t="s">
        <v>8590</v>
      </c>
      <c r="U4096" t="s">
        <v>8590</v>
      </c>
      <c r="V4096" t="s">
        <v>8590</v>
      </c>
      <c r="W4096">
        <v>2</v>
      </c>
      <c r="X4096" t="s">
        <v>12686</v>
      </c>
      <c r="Y4096">
        <v>0.59434482233954655</v>
      </c>
      <c r="Z4096" t="str">
        <f>HYPERLINK("Melting_Curves/meltCurve_tr_H3BQ52_H3BQ52_HUMAN_.pdf", "Melting_Curves/meltCurve_tr_H3BQ52_H3BQ52_HUMAN_.pdf")</f>
        <v>Melting_Curves/meltCurve_tr_H3BQ52_H3BQ52_HUMAN_.pdf</v>
      </c>
      <c r="AA4096" t="s">
        <v>16903</v>
      </c>
      <c r="AB4096" t="s">
        <v>21161</v>
      </c>
    </row>
    <row r="4097" spans="1:28" x14ac:dyDescent="0.25">
      <c r="A4097" t="s">
        <v>4101</v>
      </c>
      <c r="B4097">
        <v>0.99876560204751996</v>
      </c>
      <c r="C4097">
        <v>1.0755193444586599</v>
      </c>
      <c r="D4097">
        <v>1.05748079099847</v>
      </c>
      <c r="E4097">
        <v>0.88183514499754401</v>
      </c>
      <c r="F4097">
        <v>0.78682627415345896</v>
      </c>
      <c r="G4097">
        <v>0.56107581654462702</v>
      </c>
      <c r="H4097">
        <v>0.35363400045461701</v>
      </c>
      <c r="I4097">
        <v>0.34078217272279399</v>
      </c>
      <c r="J4097">
        <v>0.24619244482596001</v>
      </c>
      <c r="K4097">
        <v>0.28628211206049597</v>
      </c>
      <c r="L4097">
        <v>1035.64588756953</v>
      </c>
      <c r="M4097">
        <v>18.608906692702</v>
      </c>
      <c r="N4097">
        <v>57.826040939559803</v>
      </c>
      <c r="O4097">
        <v>55.022495904631</v>
      </c>
      <c r="P4097">
        <v>-6.3288258402730793E-2</v>
      </c>
      <c r="Q4097">
        <v>0.25151384656479397</v>
      </c>
      <c r="R4097">
        <v>0.98454322021453</v>
      </c>
      <c r="S4097" t="s">
        <v>8393</v>
      </c>
      <c r="T4097" t="s">
        <v>8590</v>
      </c>
      <c r="U4097" t="s">
        <v>8590</v>
      </c>
      <c r="V4097" t="s">
        <v>8590</v>
      </c>
      <c r="W4097">
        <v>1</v>
      </c>
      <c r="X4097" t="s">
        <v>12687</v>
      </c>
      <c r="Y4097">
        <v>0.65282727657866413</v>
      </c>
      <c r="Z4097" t="str">
        <f>HYPERLINK("Melting_Curves/meltCurve_tr_H3BQH3_H3BQH3_HUMAN_.pdf", "Melting_Curves/meltCurve_tr_H3BQH3_H3BQH3_HUMAN_.pdf")</f>
        <v>Melting_Curves/meltCurve_tr_H3BQH3_H3BQH3_HUMAN_.pdf</v>
      </c>
      <c r="AA4097" t="s">
        <v>16904</v>
      </c>
      <c r="AB4097" t="s">
        <v>21162</v>
      </c>
    </row>
    <row r="4098" spans="1:28" x14ac:dyDescent="0.25">
      <c r="A4098" t="s">
        <v>4102</v>
      </c>
      <c r="B4098">
        <v>0.99876560204751996</v>
      </c>
      <c r="C4098">
        <v>1.07942540339545</v>
      </c>
      <c r="D4098">
        <v>1.0096978986506</v>
      </c>
      <c r="E4098">
        <v>0.91968724264067703</v>
      </c>
      <c r="F4098">
        <v>0.75099648159700005</v>
      </c>
      <c r="G4098">
        <v>0.48925725796106601</v>
      </c>
      <c r="H4098">
        <v>0.37159620618933198</v>
      </c>
      <c r="I4098">
        <v>0.32468904078403499</v>
      </c>
      <c r="J4098">
        <v>0.371628797375049</v>
      </c>
      <c r="K4098">
        <v>0.389117518502203</v>
      </c>
      <c r="L4098">
        <v>1445.4576015125799</v>
      </c>
      <c r="M4098">
        <v>26.811084798998898</v>
      </c>
      <c r="N4098">
        <v>56.5400172509597</v>
      </c>
      <c r="O4098">
        <v>53.615438529019599</v>
      </c>
      <c r="P4098">
        <v>-8.0491569331086296E-2</v>
      </c>
      <c r="Q4098">
        <v>0.35615483541217602</v>
      </c>
      <c r="R4098">
        <v>0.988677353940974</v>
      </c>
      <c r="S4098" t="s">
        <v>8394</v>
      </c>
      <c r="T4098" t="s">
        <v>8590</v>
      </c>
      <c r="U4098" t="s">
        <v>8590</v>
      </c>
      <c r="V4098" t="s">
        <v>8590</v>
      </c>
      <c r="W4098">
        <v>2</v>
      </c>
      <c r="X4098" t="s">
        <v>12688</v>
      </c>
      <c r="Y4098">
        <v>0.65997524693831311</v>
      </c>
      <c r="Z4098" t="str">
        <f>HYPERLINK("Melting_Curves/meltCurve_tr_H3BQP5_H3BQP5_HUMAN_.pdf", "Melting_Curves/meltCurve_tr_H3BQP5_H3BQP5_HUMAN_.pdf")</f>
        <v>Melting_Curves/meltCurve_tr_H3BQP5_H3BQP5_HUMAN_.pdf</v>
      </c>
      <c r="AA4098" t="s">
        <v>16905</v>
      </c>
      <c r="AB4098" t="s">
        <v>21163</v>
      </c>
    </row>
    <row r="4099" spans="1:28" x14ac:dyDescent="0.25">
      <c r="A4099" t="s">
        <v>4103</v>
      </c>
      <c r="B4099">
        <v>0.99876560204751996</v>
      </c>
      <c r="C4099">
        <v>1.0229438084073701</v>
      </c>
      <c r="D4099">
        <v>0.74555157250767701</v>
      </c>
      <c r="E4099">
        <v>0.37687914135457501</v>
      </c>
      <c r="F4099">
        <v>0.21439173060425101</v>
      </c>
      <c r="G4099">
        <v>0.13788904813981401</v>
      </c>
      <c r="H4099">
        <v>7.7077200460841794E-2</v>
      </c>
      <c r="I4099">
        <v>5.9244983026997301E-2</v>
      </c>
      <c r="J4099">
        <v>7.1278854124823696E-2</v>
      </c>
      <c r="K4099">
        <v>6.5907469774296595E-2</v>
      </c>
      <c r="L4099">
        <v>1052.55334218148</v>
      </c>
      <c r="M4099">
        <v>21.736238927066299</v>
      </c>
      <c r="N4099">
        <v>48.779399093252003</v>
      </c>
      <c r="O4099">
        <v>48.019617030012199</v>
      </c>
      <c r="P4099">
        <v>-0.104876373064406</v>
      </c>
      <c r="Q4099">
        <v>7.3251729820535197E-2</v>
      </c>
      <c r="R4099">
        <v>0.99386910420961805</v>
      </c>
      <c r="S4099" t="s">
        <v>8395</v>
      </c>
      <c r="T4099" t="s">
        <v>8590</v>
      </c>
      <c r="U4099" t="s">
        <v>8590</v>
      </c>
      <c r="V4099" t="s">
        <v>8590</v>
      </c>
      <c r="W4099">
        <v>6</v>
      </c>
      <c r="X4099" t="s">
        <v>12689</v>
      </c>
      <c r="Y4099">
        <v>0.34446354302954157</v>
      </c>
      <c r="Z4099" t="str">
        <f>HYPERLINK("Melting_Curves/meltCurve_tr_H3BQV3_H3BQV3_HUMAN_.pdf", "Melting_Curves/meltCurve_tr_H3BQV3_H3BQV3_HUMAN_.pdf")</f>
        <v>Melting_Curves/meltCurve_tr_H3BQV3_H3BQV3_HUMAN_.pdf</v>
      </c>
      <c r="AA4099" t="s">
        <v>16906</v>
      </c>
      <c r="AB4099" t="s">
        <v>21164</v>
      </c>
    </row>
    <row r="4100" spans="1:28" x14ac:dyDescent="0.25">
      <c r="A4100" t="s">
        <v>4104</v>
      </c>
      <c r="B4100">
        <v>0.99876560204751996</v>
      </c>
      <c r="C4100">
        <v>0.99522717339252798</v>
      </c>
      <c r="D4100">
        <v>1.0112423499630301</v>
      </c>
      <c r="E4100">
        <v>0.83894031633270005</v>
      </c>
      <c r="F4100">
        <v>0.51378168745354902</v>
      </c>
      <c r="G4100">
        <v>0.26054553399400798</v>
      </c>
      <c r="H4100">
        <v>0.173463119862801</v>
      </c>
      <c r="I4100">
        <v>0.14996759413892499</v>
      </c>
      <c r="J4100">
        <v>0.15345560796070601</v>
      </c>
      <c r="K4100">
        <v>0.174176796774698</v>
      </c>
      <c r="L4100">
        <v>1489.06825241869</v>
      </c>
      <c r="M4100">
        <v>28.365224551092201</v>
      </c>
      <c r="N4100">
        <v>53.221075383311998</v>
      </c>
      <c r="O4100">
        <v>52.237418959437001</v>
      </c>
      <c r="P4100">
        <v>-0.114002553267137</v>
      </c>
      <c r="Q4100">
        <v>0.16021809046442601</v>
      </c>
      <c r="R4100">
        <v>0.99877336390174398</v>
      </c>
      <c r="S4100" t="s">
        <v>8396</v>
      </c>
      <c r="T4100" t="s">
        <v>8590</v>
      </c>
      <c r="U4100" t="s">
        <v>8590</v>
      </c>
      <c r="V4100" t="s">
        <v>8590</v>
      </c>
      <c r="W4100">
        <v>15</v>
      </c>
      <c r="X4100" t="s">
        <v>12690</v>
      </c>
      <c r="Y4100">
        <v>0.51605784232661922</v>
      </c>
      <c r="Z4100" t="str">
        <f>HYPERLINK("Melting_Curves/meltCurve_tr_H3BQZ7_H3BQZ7_HUMAN_.pdf", "Melting_Curves/meltCurve_tr_H3BQZ7_H3BQZ7_HUMAN_.pdf")</f>
        <v>Melting_Curves/meltCurve_tr_H3BQZ7_H3BQZ7_HUMAN_.pdf</v>
      </c>
      <c r="AA4100" t="s">
        <v>16907</v>
      </c>
      <c r="AB4100" t="s">
        <v>21165</v>
      </c>
    </row>
    <row r="4101" spans="1:28" x14ac:dyDescent="0.25">
      <c r="A4101" t="s">
        <v>4105</v>
      </c>
      <c r="B4101">
        <v>0.99876560204751996</v>
      </c>
      <c r="C4101">
        <v>1.0172491496004099</v>
      </c>
      <c r="D4101">
        <v>0.90980770135354105</v>
      </c>
      <c r="E4101">
        <v>0.99326061794892795</v>
      </c>
      <c r="F4101">
        <v>1.00979695238817</v>
      </c>
      <c r="G4101">
        <v>0.78877902080330797</v>
      </c>
      <c r="H4101">
        <v>0.673916229181729</v>
      </c>
      <c r="I4101">
        <v>0.68679758937265301</v>
      </c>
      <c r="J4101">
        <v>0.78096318130676101</v>
      </c>
      <c r="K4101">
        <v>0.78560972664870898</v>
      </c>
      <c r="L4101">
        <v>14175.295660313001</v>
      </c>
      <c r="M4101">
        <v>250</v>
      </c>
      <c r="O4101">
        <v>56.697576852847597</v>
      </c>
      <c r="P4101">
        <v>-0.29562377307843102</v>
      </c>
      <c r="Q4101">
        <v>0.73182168156776595</v>
      </c>
      <c r="R4101">
        <v>0.88529543513507403</v>
      </c>
      <c r="S4101" t="s">
        <v>8397</v>
      </c>
      <c r="T4101" t="s">
        <v>8590</v>
      </c>
      <c r="U4101" t="s">
        <v>8590</v>
      </c>
      <c r="V4101" t="s">
        <v>8590</v>
      </c>
      <c r="W4101">
        <v>12</v>
      </c>
      <c r="X4101" t="s">
        <v>12691</v>
      </c>
      <c r="Y4101">
        <v>0.88114487046194057</v>
      </c>
      <c r="Z4101" t="str">
        <f>HYPERLINK("Melting_Curves/meltCurve_tr_H3BRF9_H3BRF9_HUMAN_.pdf", "Melting_Curves/meltCurve_tr_H3BRF9_H3BRF9_HUMAN_.pdf")</f>
        <v>Melting_Curves/meltCurve_tr_H3BRF9_H3BRF9_HUMAN_.pdf</v>
      </c>
      <c r="AA4101" t="s">
        <v>16908</v>
      </c>
      <c r="AB4101" t="s">
        <v>21166</v>
      </c>
    </row>
    <row r="4102" spans="1:28" x14ac:dyDescent="0.25">
      <c r="A4102" t="s">
        <v>4106</v>
      </c>
      <c r="B4102">
        <v>0.99876560204751996</v>
      </c>
      <c r="C4102">
        <v>0.81868916982986095</v>
      </c>
      <c r="D4102">
        <v>0.55770054442666195</v>
      </c>
      <c r="E4102">
        <v>0.38200223854222398</v>
      </c>
      <c r="F4102">
        <v>0.214096794137492</v>
      </c>
      <c r="G4102">
        <v>0.105645003068744</v>
      </c>
      <c r="H4102">
        <v>6.6762605842405495E-2</v>
      </c>
      <c r="I4102">
        <v>7.4159487123757806E-2</v>
      </c>
      <c r="J4102">
        <v>8.1716309966765904E-2</v>
      </c>
      <c r="K4102">
        <v>7.6261382233414804E-2</v>
      </c>
      <c r="L4102">
        <v>703.95513929532399</v>
      </c>
      <c r="M4102">
        <v>14.9630306118726</v>
      </c>
      <c r="N4102">
        <v>47.4498909321632</v>
      </c>
      <c r="O4102">
        <v>46.2299803693314</v>
      </c>
      <c r="P4102">
        <v>-7.6089064271785606E-2</v>
      </c>
      <c r="Q4102">
        <v>5.9752807110658002E-2</v>
      </c>
      <c r="R4102">
        <v>0.99078242425052099</v>
      </c>
      <c r="S4102" t="s">
        <v>8398</v>
      </c>
      <c r="T4102" t="s">
        <v>8590</v>
      </c>
      <c r="U4102" t="s">
        <v>8590</v>
      </c>
      <c r="V4102" t="s">
        <v>8590</v>
      </c>
      <c r="W4102">
        <v>5</v>
      </c>
      <c r="X4102" t="s">
        <v>12692</v>
      </c>
      <c r="Y4102">
        <v>0.30619708017193947</v>
      </c>
      <c r="Z4102" t="str">
        <f>HYPERLINK("Melting_Curves/meltCurve_tr_H3BRG4_H3BRG4_HUMAN_.pdf", "Melting_Curves/meltCurve_tr_H3BRG4_H3BRG4_HUMAN_.pdf")</f>
        <v>Melting_Curves/meltCurve_tr_H3BRG4_H3BRG4_HUMAN_.pdf</v>
      </c>
      <c r="AA4102" t="s">
        <v>16909</v>
      </c>
      <c r="AB4102" t="s">
        <v>21167</v>
      </c>
    </row>
    <row r="4103" spans="1:28" x14ac:dyDescent="0.25">
      <c r="A4103" t="s">
        <v>4107</v>
      </c>
      <c r="B4103">
        <v>0.99876560204751996</v>
      </c>
      <c r="C4103">
        <v>0.93642732417243202</v>
      </c>
      <c r="D4103">
        <v>1.0256106984055899</v>
      </c>
      <c r="E4103">
        <v>0.85741414036129004</v>
      </c>
      <c r="F4103">
        <v>0.85033679405857798</v>
      </c>
      <c r="G4103">
        <v>0.61736443729677504</v>
      </c>
      <c r="H4103">
        <v>0.37760549759664203</v>
      </c>
      <c r="I4103">
        <v>0.26813701026744002</v>
      </c>
      <c r="J4103">
        <v>0.25387581854471097</v>
      </c>
      <c r="K4103">
        <v>0.218579005704263</v>
      </c>
      <c r="L4103">
        <v>923.16071188006094</v>
      </c>
      <c r="M4103">
        <v>16.1229356282048</v>
      </c>
      <c r="N4103">
        <v>58.728419987737198</v>
      </c>
      <c r="O4103">
        <v>56.398496780464299</v>
      </c>
      <c r="P4103">
        <v>-5.9601870799202997E-2</v>
      </c>
      <c r="Q4103">
        <v>0.166107173900051</v>
      </c>
      <c r="R4103">
        <v>0.987279537823749</v>
      </c>
      <c r="S4103" t="s">
        <v>8399</v>
      </c>
      <c r="T4103" t="s">
        <v>8590</v>
      </c>
      <c r="U4103" t="s">
        <v>8590</v>
      </c>
      <c r="V4103" t="s">
        <v>8590</v>
      </c>
      <c r="W4103">
        <v>9</v>
      </c>
      <c r="X4103" t="s">
        <v>12693</v>
      </c>
      <c r="Y4103">
        <v>0.6580092587571883</v>
      </c>
      <c r="Z4103" t="str">
        <f>HYPERLINK("Melting_Curves/meltCurve_tr_H3BRL3_H3BRL3_HUMAN_.pdf", "Melting_Curves/meltCurve_tr_H3BRL3_H3BRL3_HUMAN_.pdf")</f>
        <v>Melting_Curves/meltCurve_tr_H3BRL3_H3BRL3_HUMAN_.pdf</v>
      </c>
      <c r="AA4103" t="s">
        <v>16910</v>
      </c>
      <c r="AB4103" t="s">
        <v>21168</v>
      </c>
    </row>
    <row r="4104" spans="1:28" x14ac:dyDescent="0.25">
      <c r="A4104" t="s">
        <v>4108</v>
      </c>
      <c r="B4104">
        <v>0.99876560204751996</v>
      </c>
      <c r="C4104">
        <v>1.02389822160204</v>
      </c>
      <c r="D4104">
        <v>0.90500317362474603</v>
      </c>
      <c r="E4104">
        <v>1.03311965801321</v>
      </c>
      <c r="F4104">
        <v>0.77091941106201001</v>
      </c>
      <c r="G4104">
        <v>0.69904157451807902</v>
      </c>
      <c r="H4104">
        <v>0.62343790739028404</v>
      </c>
      <c r="I4104">
        <v>0.63083460800396096</v>
      </c>
      <c r="J4104">
        <v>0.62152784813348705</v>
      </c>
      <c r="K4104">
        <v>0.45448493029036902</v>
      </c>
      <c r="L4104">
        <v>766.56975955372604</v>
      </c>
      <c r="M4104">
        <v>13.760510598059399</v>
      </c>
      <c r="O4104">
        <v>54.570952754532698</v>
      </c>
      <c r="P4104">
        <v>-3.0710967371502199E-2</v>
      </c>
      <c r="Q4104">
        <v>0.51289902470251902</v>
      </c>
      <c r="R4104">
        <v>0.89643766955952198</v>
      </c>
      <c r="S4104" t="s">
        <v>8400</v>
      </c>
      <c r="T4104" t="s">
        <v>8590</v>
      </c>
      <c r="U4104" t="s">
        <v>8590</v>
      </c>
      <c r="V4104" t="s">
        <v>8590</v>
      </c>
      <c r="W4104">
        <v>3</v>
      </c>
      <c r="X4104" t="s">
        <v>12694</v>
      </c>
      <c r="Y4104">
        <v>0.77748620362257648</v>
      </c>
      <c r="Z4104" t="str">
        <f>HYPERLINK("Melting_Curves/meltCurve_tr_H3BRQ0_H3BRQ0_HUMAN_.pdf", "Melting_Curves/meltCurve_tr_H3BRQ0_H3BRQ0_HUMAN_.pdf")</f>
        <v>Melting_Curves/meltCurve_tr_H3BRQ0_H3BRQ0_HUMAN_.pdf</v>
      </c>
      <c r="AA4104" t="s">
        <v>16911</v>
      </c>
      <c r="AB4104" t="s">
        <v>21169</v>
      </c>
    </row>
    <row r="4105" spans="1:28" x14ac:dyDescent="0.25">
      <c r="A4105" t="s">
        <v>4109</v>
      </c>
      <c r="B4105">
        <v>0.99876560204751996</v>
      </c>
      <c r="C4105">
        <v>1.0048328338676999</v>
      </c>
      <c r="D4105">
        <v>1.1340218179663299</v>
      </c>
      <c r="E4105">
        <v>0.95841971047639496</v>
      </c>
      <c r="F4105">
        <v>0.99223819469814101</v>
      </c>
      <c r="G4105">
        <v>0.79748563260385097</v>
      </c>
      <c r="H4105">
        <v>0.52183089785650705</v>
      </c>
      <c r="I4105">
        <v>0.29864098394584199</v>
      </c>
      <c r="J4105">
        <v>0.19618194170860001</v>
      </c>
      <c r="K4105">
        <v>0.12604382561003399</v>
      </c>
      <c r="L4105">
        <v>1304.3843484443701</v>
      </c>
      <c r="M4105">
        <v>21.509772069877702</v>
      </c>
      <c r="N4105">
        <v>61.151022602016099</v>
      </c>
      <c r="O4105">
        <v>60.124637755984502</v>
      </c>
      <c r="P4105">
        <v>-8.2102527605878994E-2</v>
      </c>
      <c r="Q4105">
        <v>8.2042533778529506E-2</v>
      </c>
      <c r="R4105">
        <v>0.98406478505621697</v>
      </c>
      <c r="S4105" t="s">
        <v>8401</v>
      </c>
      <c r="T4105" t="s">
        <v>8590</v>
      </c>
      <c r="U4105" t="s">
        <v>8590</v>
      </c>
      <c r="V4105" t="s">
        <v>8590</v>
      </c>
      <c r="W4105">
        <v>8</v>
      </c>
      <c r="X4105" t="s">
        <v>12695</v>
      </c>
      <c r="Y4105">
        <v>0.72012663775676999</v>
      </c>
      <c r="Z4105" t="str">
        <f>HYPERLINK("Melting_Curves/meltCurve_tr_H3BRQ8_H3BRQ8_HUMAN_.pdf", "Melting_Curves/meltCurve_tr_H3BRQ8_H3BRQ8_HUMAN_.pdf")</f>
        <v>Melting_Curves/meltCurve_tr_H3BRQ8_H3BRQ8_HUMAN_.pdf</v>
      </c>
      <c r="AA4105" t="s">
        <v>16912</v>
      </c>
      <c r="AB4105" t="s">
        <v>21170</v>
      </c>
    </row>
    <row r="4106" spans="1:28" x14ac:dyDescent="0.25">
      <c r="A4106" t="s">
        <v>4110</v>
      </c>
      <c r="B4106">
        <v>0.99876560204751996</v>
      </c>
      <c r="C4106">
        <v>1.42748304116096</v>
      </c>
      <c r="D4106">
        <v>1.40162097730149</v>
      </c>
      <c r="E4106">
        <v>1.2029608705089001</v>
      </c>
      <c r="F4106">
        <v>1.2591227115336601</v>
      </c>
      <c r="G4106">
        <v>0.75370375930836797</v>
      </c>
      <c r="H4106">
        <v>0.42214705299655902</v>
      </c>
      <c r="I4106">
        <v>0.111663491208116</v>
      </c>
      <c r="J4106">
        <v>5.9971680229659298E-2</v>
      </c>
      <c r="K4106">
        <v>9.0679873173784106E-2</v>
      </c>
      <c r="L4106">
        <v>1976.0939609608899</v>
      </c>
      <c r="M4106">
        <v>33.080976361415701</v>
      </c>
      <c r="N4106">
        <v>59.9438725941421</v>
      </c>
      <c r="O4106">
        <v>59.5180447840021</v>
      </c>
      <c r="P4106">
        <v>-0.13139189626832501</v>
      </c>
      <c r="Q4106">
        <v>5.4422928609624499E-2</v>
      </c>
      <c r="R4106">
        <v>0.83289615667976602</v>
      </c>
      <c r="S4106" t="s">
        <v>8402</v>
      </c>
      <c r="T4106" t="s">
        <v>8590</v>
      </c>
      <c r="U4106" t="s">
        <v>8590</v>
      </c>
      <c r="V4106" t="s">
        <v>8590</v>
      </c>
      <c r="W4106">
        <v>3</v>
      </c>
      <c r="X4106" t="s">
        <v>12696</v>
      </c>
      <c r="Y4106">
        <v>0.68153312992161863</v>
      </c>
      <c r="Z4106" t="str">
        <f>HYPERLINK("Melting_Curves/meltCurve_tr_H3BRT1_H3BRT1_HUMAN_.pdf", "Melting_Curves/meltCurve_tr_H3BRT1_H3BRT1_HUMAN_.pdf")</f>
        <v>Melting_Curves/meltCurve_tr_H3BRT1_H3BRT1_HUMAN_.pdf</v>
      </c>
      <c r="AA4106" t="s">
        <v>14340</v>
      </c>
      <c r="AB4106" t="s">
        <v>21171</v>
      </c>
    </row>
    <row r="4107" spans="1:28" x14ac:dyDescent="0.25">
      <c r="A4107" t="s">
        <v>4111</v>
      </c>
      <c r="B4107">
        <v>0.99876560204751996</v>
      </c>
      <c r="C4107">
        <v>1.0113983689353401</v>
      </c>
      <c r="D4107">
        <v>1.0465468180306099</v>
      </c>
      <c r="E4107">
        <v>0.78685236376865497</v>
      </c>
      <c r="F4107">
        <v>0.70905700541514405</v>
      </c>
      <c r="G4107">
        <v>0.51093948802746103</v>
      </c>
      <c r="H4107">
        <v>0.418849250571177</v>
      </c>
      <c r="I4107">
        <v>0.399914513417993</v>
      </c>
      <c r="J4107">
        <v>0.48355848038253701</v>
      </c>
      <c r="K4107">
        <v>0.46832403288103602</v>
      </c>
      <c r="L4107">
        <v>1185.0669065260499</v>
      </c>
      <c r="M4107">
        <v>22.7268405155857</v>
      </c>
      <c r="N4107">
        <v>57.418881434580697</v>
      </c>
      <c r="O4107">
        <v>51.7452369233187</v>
      </c>
      <c r="P4107">
        <v>-6.1707008464038302E-2</v>
      </c>
      <c r="Q4107">
        <v>0.43802445917757199</v>
      </c>
      <c r="R4107">
        <v>0.97255984276262697</v>
      </c>
      <c r="S4107" t="s">
        <v>8403</v>
      </c>
      <c r="T4107" t="s">
        <v>8590</v>
      </c>
      <c r="U4107" t="s">
        <v>8590</v>
      </c>
      <c r="V4107" t="s">
        <v>8590</v>
      </c>
      <c r="W4107">
        <v>15</v>
      </c>
      <c r="X4107" t="s">
        <v>12697</v>
      </c>
      <c r="Y4107">
        <v>0.67166512612088214</v>
      </c>
      <c r="Z4107" t="str">
        <f>HYPERLINK("Melting_Curves/meltCurve_tr_H3BRV0_H3BRV0_HUMAN_.pdf", "Melting_Curves/meltCurve_tr_H3BRV0_H3BRV0_HUMAN_.pdf")</f>
        <v>Melting_Curves/meltCurve_tr_H3BRV0_H3BRV0_HUMAN_.pdf</v>
      </c>
      <c r="AA4107" t="s">
        <v>16913</v>
      </c>
      <c r="AB4107" t="s">
        <v>21172</v>
      </c>
    </row>
    <row r="4108" spans="1:28" x14ac:dyDescent="0.25">
      <c r="A4108" t="s">
        <v>4112</v>
      </c>
      <c r="B4108">
        <v>0.99876560204751996</v>
      </c>
      <c r="C4108">
        <v>1.0151697107926401</v>
      </c>
      <c r="D4108">
        <v>0.99119047418183104</v>
      </c>
      <c r="E4108">
        <v>0.987648618289656</v>
      </c>
      <c r="F4108">
        <v>0.88803894624837698</v>
      </c>
      <c r="G4108">
        <v>0.62346680465771198</v>
      </c>
      <c r="H4108">
        <v>0.411755162044531</v>
      </c>
      <c r="I4108">
        <v>0.30393752581782602</v>
      </c>
      <c r="J4108">
        <v>0.29797261931424501</v>
      </c>
      <c r="K4108">
        <v>0.18511858609741699</v>
      </c>
      <c r="L4108">
        <v>1137.14377042809</v>
      </c>
      <c r="M4108">
        <v>19.7408813549789</v>
      </c>
      <c r="N4108">
        <v>59.193138118096797</v>
      </c>
      <c r="O4108">
        <v>57.022159878427601</v>
      </c>
      <c r="P4108">
        <v>-6.8744828898628693E-2</v>
      </c>
      <c r="Q4108">
        <v>0.205740791830579</v>
      </c>
      <c r="R4108">
        <v>0.99481295526521596</v>
      </c>
      <c r="S4108" t="s">
        <v>8404</v>
      </c>
      <c r="T4108" t="s">
        <v>8590</v>
      </c>
      <c r="U4108" t="s">
        <v>8590</v>
      </c>
      <c r="V4108" t="s">
        <v>8590</v>
      </c>
      <c r="W4108">
        <v>8</v>
      </c>
      <c r="X4108" t="s">
        <v>12698</v>
      </c>
      <c r="Y4108">
        <v>0.68124148504863979</v>
      </c>
      <c r="Z4108" t="str">
        <f>HYPERLINK("Melting_Curves/meltCurve_tr_H3BTA2_H3BTA2_HUMAN_.pdf", "Melting_Curves/meltCurve_tr_H3BTA2_H3BTA2_HUMAN_.pdf")</f>
        <v>Melting_Curves/meltCurve_tr_H3BTA2_H3BTA2_HUMAN_.pdf</v>
      </c>
      <c r="AA4108" t="s">
        <v>16914</v>
      </c>
      <c r="AB4108" t="s">
        <v>21131</v>
      </c>
    </row>
    <row r="4109" spans="1:28" x14ac:dyDescent="0.25">
      <c r="A4109" t="s">
        <v>4113</v>
      </c>
      <c r="B4109">
        <v>0.99876560204751996</v>
      </c>
      <c r="C4109">
        <v>0.86246419045485201</v>
      </c>
      <c r="D4109">
        <v>0.67630227381526498</v>
      </c>
      <c r="E4109">
        <v>0.30899068655283501</v>
      </c>
      <c r="F4109">
        <v>0.156807214185643</v>
      </c>
      <c r="G4109">
        <v>0.100993286142956</v>
      </c>
      <c r="H4109">
        <v>5.8596893554702899E-2</v>
      </c>
      <c r="I4109">
        <v>5.6754215132035699E-2</v>
      </c>
      <c r="J4109">
        <v>4.9407623462208297E-2</v>
      </c>
      <c r="K4109">
        <v>4.9238875671015502E-2</v>
      </c>
      <c r="L4109">
        <v>895.85419737068003</v>
      </c>
      <c r="M4109">
        <v>18.872503671650701</v>
      </c>
      <c r="N4109">
        <v>47.724980097217703</v>
      </c>
      <c r="O4109">
        <v>46.945402334540603</v>
      </c>
      <c r="P4109">
        <v>-9.5663839104343298E-2</v>
      </c>
      <c r="Q4109">
        <v>4.8182404808284701E-2</v>
      </c>
      <c r="R4109">
        <v>0.99857302213753196</v>
      </c>
      <c r="S4109" t="s">
        <v>8405</v>
      </c>
      <c r="T4109" t="s">
        <v>8590</v>
      </c>
      <c r="U4109" t="s">
        <v>8590</v>
      </c>
      <c r="V4109" t="s">
        <v>8590</v>
      </c>
      <c r="W4109">
        <v>11</v>
      </c>
      <c r="X4109" t="s">
        <v>12699</v>
      </c>
      <c r="Y4109">
        <v>0.30068552048924307</v>
      </c>
      <c r="Z4109" t="str">
        <f>HYPERLINK("Melting_Curves/meltCurve_tr_H3BTB7_H3BTB7_HUMAN_.pdf", "Melting_Curves/meltCurve_tr_H3BTB7_H3BTB7_HUMAN_.pdf")</f>
        <v>Melting_Curves/meltCurve_tr_H3BTB7_H3BTB7_HUMAN_.pdf</v>
      </c>
      <c r="AA4109" t="s">
        <v>16915</v>
      </c>
      <c r="AB4109" t="s">
        <v>21173</v>
      </c>
    </row>
    <row r="4110" spans="1:28" x14ac:dyDescent="0.25">
      <c r="A4110" t="s">
        <v>4114</v>
      </c>
      <c r="B4110">
        <v>0.99876560204751996</v>
      </c>
      <c r="C4110">
        <v>0.97465494985885903</v>
      </c>
      <c r="D4110">
        <v>0.91769215390388104</v>
      </c>
      <c r="E4110">
        <v>0.79834579137600103</v>
      </c>
      <c r="F4110">
        <v>0.45135705242480501</v>
      </c>
      <c r="G4110">
        <v>0.210164788240152</v>
      </c>
      <c r="H4110">
        <v>0.101836387354067</v>
      </c>
      <c r="I4110">
        <v>4.5905028730855502E-2</v>
      </c>
      <c r="J4110">
        <v>2.6740077480167899E-2</v>
      </c>
      <c r="K4110">
        <v>2.84484420867431E-2</v>
      </c>
      <c r="L4110">
        <v>1065.80977097608</v>
      </c>
      <c r="M4110">
        <v>20.217574446636299</v>
      </c>
      <c r="N4110">
        <v>52.845969516699903</v>
      </c>
      <c r="O4110">
        <v>52.209371284229803</v>
      </c>
      <c r="P4110">
        <v>-9.4482242287788704E-2</v>
      </c>
      <c r="Q4110">
        <v>2.4075916249820799E-2</v>
      </c>
      <c r="R4110">
        <v>0.99691598433989803</v>
      </c>
      <c r="S4110" t="s">
        <v>8406</v>
      </c>
      <c r="T4110" t="s">
        <v>8590</v>
      </c>
      <c r="U4110" t="s">
        <v>8590</v>
      </c>
      <c r="V4110" t="s">
        <v>8590</v>
      </c>
      <c r="W4110">
        <v>1</v>
      </c>
      <c r="X4110" t="s">
        <v>12700</v>
      </c>
      <c r="Y4110">
        <v>0.45097192141964337</v>
      </c>
      <c r="Z4110" t="str">
        <f>HYPERLINK("Melting_Curves/meltCurve_tr_H3BTL2_H3BTL2_HUMAN_.pdf", "Melting_Curves/meltCurve_tr_H3BTL2_H3BTL2_HUMAN_.pdf")</f>
        <v>Melting_Curves/meltCurve_tr_H3BTL2_H3BTL2_HUMAN_.pdf</v>
      </c>
      <c r="AA4110" t="s">
        <v>16916</v>
      </c>
      <c r="AB4110" t="s">
        <v>21174</v>
      </c>
    </row>
    <row r="4111" spans="1:28" x14ac:dyDescent="0.25">
      <c r="A4111" t="s">
        <v>4115</v>
      </c>
      <c r="B4111">
        <v>0.99876560204751996</v>
      </c>
      <c r="C4111">
        <v>0.94112276087054203</v>
      </c>
      <c r="D4111">
        <v>0.92289072323244403</v>
      </c>
      <c r="E4111">
        <v>0.88123195004534605</v>
      </c>
      <c r="F4111">
        <v>0.78502664455684701</v>
      </c>
      <c r="G4111">
        <v>0.53895653740364602</v>
      </c>
      <c r="H4111">
        <v>0.20030681845189899</v>
      </c>
      <c r="I4111">
        <v>0.11944154578761999</v>
      </c>
      <c r="J4111">
        <v>0.103157661535526</v>
      </c>
      <c r="K4111">
        <v>3.7972838903722501E-2</v>
      </c>
      <c r="L4111">
        <v>950.864264348407</v>
      </c>
      <c r="M4111">
        <v>16.701539746789798</v>
      </c>
      <c r="N4111">
        <v>56.932730806209101</v>
      </c>
      <c r="O4111">
        <v>56.135330505194702</v>
      </c>
      <c r="P4111">
        <v>-7.4385651738749795E-2</v>
      </c>
      <c r="Q4111">
        <v>0</v>
      </c>
      <c r="R4111">
        <v>0.99119932521644205</v>
      </c>
      <c r="S4111" t="s">
        <v>8407</v>
      </c>
      <c r="T4111" t="s">
        <v>8590</v>
      </c>
      <c r="U4111" t="s">
        <v>8590</v>
      </c>
      <c r="V4111" t="s">
        <v>8590</v>
      </c>
      <c r="W4111">
        <v>1</v>
      </c>
      <c r="X4111" t="s">
        <v>12701</v>
      </c>
      <c r="Y4111">
        <v>0.57920474764087115</v>
      </c>
      <c r="Z4111" t="str">
        <f>HYPERLINK("Melting_Curves/meltCurve_tr_H3BU49_H3BU49_HUMAN_.pdf", "Melting_Curves/meltCurve_tr_H3BU49_H3BU49_HUMAN_.pdf")</f>
        <v>Melting_Curves/meltCurve_tr_H3BU49_H3BU49_HUMAN_.pdf</v>
      </c>
      <c r="AA4111" t="s">
        <v>16917</v>
      </c>
      <c r="AB4111" t="s">
        <v>21175</v>
      </c>
    </row>
    <row r="4112" spans="1:28" x14ac:dyDescent="0.25">
      <c r="A4112" t="s">
        <v>4116</v>
      </c>
      <c r="B4112">
        <v>0.99876560204751996</v>
      </c>
      <c r="C4112">
        <v>0.87676978190538502</v>
      </c>
      <c r="D4112">
        <v>0.85449364080212697</v>
      </c>
      <c r="E4112">
        <v>0.64765915449169797</v>
      </c>
      <c r="F4112">
        <v>0.37485627804092903</v>
      </c>
      <c r="G4112">
        <v>0.129558441106362</v>
      </c>
      <c r="H4112">
        <v>7.8300231131085696E-2</v>
      </c>
      <c r="I4112">
        <v>5.0843702613483102E-2</v>
      </c>
      <c r="J4112">
        <v>2.25470333153267E-2</v>
      </c>
      <c r="K4112">
        <v>1.9381141316349298E-2</v>
      </c>
      <c r="L4112">
        <v>817.42453768980897</v>
      </c>
      <c r="M4112">
        <v>15.9212263398069</v>
      </c>
      <c r="N4112">
        <v>51.341807537334397</v>
      </c>
      <c r="O4112">
        <v>50.5523162057981</v>
      </c>
      <c r="P4112">
        <v>-7.8742680661522596E-2</v>
      </c>
      <c r="Q4112">
        <v>0</v>
      </c>
      <c r="R4112">
        <v>0.99273410613866997</v>
      </c>
      <c r="S4112" t="s">
        <v>8408</v>
      </c>
      <c r="T4112" t="s">
        <v>8590</v>
      </c>
      <c r="U4112" t="s">
        <v>8590</v>
      </c>
      <c r="V4112" t="s">
        <v>8590</v>
      </c>
      <c r="W4112">
        <v>2</v>
      </c>
      <c r="X4112" t="s">
        <v>12702</v>
      </c>
      <c r="Y4112">
        <v>0.39878649319298509</v>
      </c>
      <c r="Z4112" t="str">
        <f>HYPERLINK("Melting_Curves/meltCurve_tr_H3BV05_H3BV05_HUMAN_.pdf", "Melting_Curves/meltCurve_tr_H3BV05_H3BV05_HUMAN_.pdf")</f>
        <v>Melting_Curves/meltCurve_tr_H3BV05_H3BV05_HUMAN_.pdf</v>
      </c>
      <c r="AA4112" t="s">
        <v>16918</v>
      </c>
      <c r="AB4112" t="s">
        <v>21176</v>
      </c>
    </row>
    <row r="4113" spans="1:28" x14ac:dyDescent="0.25">
      <c r="A4113" t="s">
        <v>4117</v>
      </c>
      <c r="B4113">
        <v>0.99876560204751996</v>
      </c>
      <c r="C4113">
        <v>1.16455555191719</v>
      </c>
      <c r="D4113">
        <v>0.616809667973508</v>
      </c>
      <c r="E4113">
        <v>0.81434035228486601</v>
      </c>
      <c r="F4113">
        <v>0.61662006415217496</v>
      </c>
      <c r="G4113">
        <v>0.19990857356615699</v>
      </c>
      <c r="H4113">
        <v>0.12902517859340501</v>
      </c>
      <c r="I4113">
        <v>7.49127511671141E-2</v>
      </c>
      <c r="J4113">
        <v>0</v>
      </c>
      <c r="K4113">
        <v>0</v>
      </c>
      <c r="L4113">
        <v>826.50471233177996</v>
      </c>
      <c r="M4113">
        <v>15.466650481840199</v>
      </c>
      <c r="N4113">
        <v>53.437863024865699</v>
      </c>
      <c r="O4113">
        <v>52.568462555011997</v>
      </c>
      <c r="P4113">
        <v>-7.3561413187159197E-2</v>
      </c>
      <c r="Q4113">
        <v>0</v>
      </c>
      <c r="R4113">
        <v>0.91251271802131495</v>
      </c>
      <c r="S4113" t="s">
        <v>8409</v>
      </c>
      <c r="T4113" t="s">
        <v>8590</v>
      </c>
      <c r="U4113" t="s">
        <v>8590</v>
      </c>
      <c r="V4113" t="s">
        <v>8590</v>
      </c>
      <c r="W4113">
        <v>2</v>
      </c>
      <c r="X4113" t="s">
        <v>12703</v>
      </c>
      <c r="Y4113">
        <v>0.468179971506131</v>
      </c>
      <c r="Z4113" t="str">
        <f>HYPERLINK("Melting_Curves/meltCurve_tr_H3BV16_H3BV16_HUMAN_.pdf", "Melting_Curves/meltCurve_tr_H3BV16_H3BV16_HUMAN_.pdf")</f>
        <v>Melting_Curves/meltCurve_tr_H3BV16_H3BV16_HUMAN_.pdf</v>
      </c>
      <c r="AA4113" t="s">
        <v>16919</v>
      </c>
      <c r="AB4113" t="s">
        <v>21177</v>
      </c>
    </row>
    <row r="4114" spans="1:28" x14ac:dyDescent="0.25">
      <c r="A4114" t="s">
        <v>4118</v>
      </c>
      <c r="B4114">
        <v>0.99876560204751996</v>
      </c>
      <c r="C4114">
        <v>0.98606067005021503</v>
      </c>
      <c r="D4114">
        <v>1.0117173911119199</v>
      </c>
      <c r="E4114">
        <v>1.05951912524731</v>
      </c>
      <c r="F4114">
        <v>1.00302945126111</v>
      </c>
      <c r="G4114">
        <v>0.63508336462027903</v>
      </c>
      <c r="H4114">
        <v>0.40506671447338999</v>
      </c>
      <c r="I4114">
        <v>0.42913697647690702</v>
      </c>
      <c r="J4114">
        <v>0.49927902541284103</v>
      </c>
      <c r="K4114">
        <v>0.47301897474338001</v>
      </c>
      <c r="L4114">
        <v>14210.8020387915</v>
      </c>
      <c r="M4114">
        <v>250</v>
      </c>
      <c r="N4114">
        <v>57.379292092900201</v>
      </c>
      <c r="O4114">
        <v>56.839591783571599</v>
      </c>
      <c r="P4114">
        <v>-0.60298504993342195</v>
      </c>
      <c r="Q4114">
        <v>0.451625418706599</v>
      </c>
      <c r="R4114">
        <v>0.98711323471088697</v>
      </c>
      <c r="S4114" t="s">
        <v>8410</v>
      </c>
      <c r="T4114" t="s">
        <v>8590</v>
      </c>
      <c r="U4114" t="s">
        <v>8590</v>
      </c>
      <c r="V4114" t="s">
        <v>8590</v>
      </c>
      <c r="W4114">
        <v>7</v>
      </c>
      <c r="X4114" t="s">
        <v>12704</v>
      </c>
      <c r="Y4114">
        <v>0.75955969796753442</v>
      </c>
      <c r="Z4114" t="str">
        <f>HYPERLINK("Melting_Curves/meltCurve_tr_H7BXH2_H7BXH2_HUMAN_.pdf", "Melting_Curves/meltCurve_tr_H7BXH2_H7BXH2_HUMAN_.pdf")</f>
        <v>Melting_Curves/meltCurve_tr_H7BXH2_H7BXH2_HUMAN_.pdf</v>
      </c>
      <c r="AA4114" t="s">
        <v>16920</v>
      </c>
      <c r="AB4114" t="s">
        <v>21178</v>
      </c>
    </row>
    <row r="4115" spans="1:28" x14ac:dyDescent="0.25">
      <c r="A4115" t="s">
        <v>4119</v>
      </c>
      <c r="B4115">
        <v>0.99876560204751996</v>
      </c>
      <c r="C4115">
        <v>0.93743486429783995</v>
      </c>
      <c r="D4115">
        <v>1.0599846626635701</v>
      </c>
      <c r="E4115">
        <v>0.88542074759884504</v>
      </c>
      <c r="F4115">
        <v>0.86308606470879001</v>
      </c>
      <c r="G4115">
        <v>0.48072901907892102</v>
      </c>
      <c r="H4115">
        <v>0.147813156904677</v>
      </c>
      <c r="I4115">
        <v>0.162639377482069</v>
      </c>
      <c r="J4115">
        <v>0.16199188885569599</v>
      </c>
      <c r="K4115">
        <v>7.0091990563380599E-2</v>
      </c>
      <c r="L4115">
        <v>1473.5630361778899</v>
      </c>
      <c r="M4115">
        <v>26.239002547879402</v>
      </c>
      <c r="N4115">
        <v>56.647448778835702</v>
      </c>
      <c r="O4115">
        <v>55.836109597164103</v>
      </c>
      <c r="P4115">
        <v>-0.10559515466918</v>
      </c>
      <c r="Q4115">
        <v>0.101191863477266</v>
      </c>
      <c r="R4115">
        <v>0.985432627737865</v>
      </c>
      <c r="S4115" t="s">
        <v>8411</v>
      </c>
      <c r="T4115" t="s">
        <v>8590</v>
      </c>
      <c r="U4115" t="s">
        <v>8590</v>
      </c>
      <c r="V4115" t="s">
        <v>8590</v>
      </c>
      <c r="W4115">
        <v>2</v>
      </c>
      <c r="X4115" t="s">
        <v>12705</v>
      </c>
      <c r="Y4115">
        <v>0.5929209661700775</v>
      </c>
      <c r="Z4115" t="str">
        <f>HYPERLINK("Melting_Curves/meltCurve_tr_H7BXV2_H7BXV2_HUMAN_.pdf", "Melting_Curves/meltCurve_tr_H7BXV2_H7BXV2_HUMAN_.pdf")</f>
        <v>Melting_Curves/meltCurve_tr_H7BXV2_H7BXV2_HUMAN_.pdf</v>
      </c>
      <c r="AA4115" t="s">
        <v>16921</v>
      </c>
      <c r="AB4115" t="s">
        <v>21179</v>
      </c>
    </row>
    <row r="4116" spans="1:28" x14ac:dyDescent="0.25">
      <c r="A4116" t="s">
        <v>4120</v>
      </c>
      <c r="B4116">
        <v>0.99876560204751996</v>
      </c>
      <c r="C4116">
        <v>0.85967209952441603</v>
      </c>
      <c r="D4116">
        <v>1.0013841612094301</v>
      </c>
      <c r="E4116">
        <v>0.58769188227387603</v>
      </c>
      <c r="F4116">
        <v>0.48087785982872699</v>
      </c>
      <c r="G4116">
        <v>9.6975736322629097E-2</v>
      </c>
      <c r="H4116">
        <v>3.7538651757301401E-2</v>
      </c>
      <c r="I4116">
        <v>3.9717525738015597E-2</v>
      </c>
      <c r="J4116">
        <v>3.4995021097111098E-2</v>
      </c>
      <c r="K4116">
        <v>3.5729538457013203E-2</v>
      </c>
      <c r="L4116">
        <v>989.03068959446102</v>
      </c>
      <c r="M4116">
        <v>19.114304208316899</v>
      </c>
      <c r="N4116">
        <v>51.7924580360623</v>
      </c>
      <c r="O4116">
        <v>51.186592149390698</v>
      </c>
      <c r="P4116">
        <v>-9.2514624571070694E-2</v>
      </c>
      <c r="Q4116">
        <v>9.05123902473399E-3</v>
      </c>
      <c r="R4116">
        <v>0.97503217921846896</v>
      </c>
      <c r="S4116" t="s">
        <v>8412</v>
      </c>
      <c r="T4116" t="s">
        <v>8590</v>
      </c>
      <c r="U4116" t="s">
        <v>8590</v>
      </c>
      <c r="V4116" t="s">
        <v>8590</v>
      </c>
      <c r="W4116">
        <v>1</v>
      </c>
      <c r="X4116" t="s">
        <v>12706</v>
      </c>
      <c r="Y4116">
        <v>0.41183095186450008</v>
      </c>
      <c r="Z4116" t="str">
        <f>HYPERLINK("Melting_Curves/meltCurve_tr_H7BXV5_H7BXV5_HUMAN_.pdf", "Melting_Curves/meltCurve_tr_H7BXV5_H7BXV5_HUMAN_.pdf")</f>
        <v>Melting_Curves/meltCurve_tr_H7BXV5_H7BXV5_HUMAN_.pdf</v>
      </c>
      <c r="AA4116" t="s">
        <v>16922</v>
      </c>
      <c r="AB4116" t="s">
        <v>21180</v>
      </c>
    </row>
    <row r="4117" spans="1:28" x14ac:dyDescent="0.25">
      <c r="A4117" t="s">
        <v>4121</v>
      </c>
      <c r="B4117">
        <v>0.99876560204751996</v>
      </c>
      <c r="C4117">
        <v>1.8559967405539399</v>
      </c>
      <c r="D4117">
        <v>1.8926806874706701</v>
      </c>
      <c r="E4117">
        <v>1.70859143295563</v>
      </c>
      <c r="F4117">
        <v>1.4652721031081399</v>
      </c>
      <c r="G4117">
        <v>1.15338257629095</v>
      </c>
      <c r="H4117">
        <v>1.2265538582498201</v>
      </c>
      <c r="I4117">
        <v>1.23789461273068</v>
      </c>
      <c r="J4117">
        <v>1.49019752652034</v>
      </c>
      <c r="K4117">
        <v>0.19586350089466101</v>
      </c>
      <c r="L4117">
        <v>15000</v>
      </c>
      <c r="M4117">
        <v>215.69259954523599</v>
      </c>
      <c r="N4117">
        <v>69.543415330743201</v>
      </c>
      <c r="O4117">
        <v>69.537437071757694</v>
      </c>
      <c r="P4117">
        <v>-0.77545495639911399</v>
      </c>
      <c r="Q4117">
        <v>0</v>
      </c>
      <c r="R4117">
        <v>-0.17689213451779401</v>
      </c>
      <c r="S4117" t="s">
        <v>8413</v>
      </c>
      <c r="T4117" t="s">
        <v>8590</v>
      </c>
      <c r="U4117" t="s">
        <v>8590</v>
      </c>
      <c r="V4117" t="s">
        <v>8590</v>
      </c>
      <c r="W4117">
        <v>1</v>
      </c>
      <c r="X4117" t="s">
        <v>12707</v>
      </c>
      <c r="Y4117">
        <v>0.98253531098739821</v>
      </c>
      <c r="Z4117" t="str">
        <f>HYPERLINK("Melting_Curves/meltCurve_tr_H7BXZ5_H7BXZ5_HUMAN_.pdf", "Melting_Curves/meltCurve_tr_H7BXZ5_H7BXZ5_HUMAN_.pdf")</f>
        <v>Melting_Curves/meltCurve_tr_H7BXZ5_H7BXZ5_HUMAN_.pdf</v>
      </c>
      <c r="AA4117" t="s">
        <v>16923</v>
      </c>
      <c r="AB4117" t="s">
        <v>21181</v>
      </c>
    </row>
    <row r="4118" spans="1:28" x14ac:dyDescent="0.25">
      <c r="A4118" t="s">
        <v>4122</v>
      </c>
      <c r="B4118">
        <v>0.99876560204751996</v>
      </c>
      <c r="C4118">
        <v>1.0584596281793199</v>
      </c>
      <c r="D4118">
        <v>1.0281541052656</v>
      </c>
      <c r="E4118">
        <v>0.93627547088111696</v>
      </c>
      <c r="F4118">
        <v>0.844552187470761</v>
      </c>
      <c r="G4118">
        <v>0.58726828105520501</v>
      </c>
      <c r="H4118">
        <v>0.45757442798954401</v>
      </c>
      <c r="I4118">
        <v>0.34054379783396199</v>
      </c>
      <c r="J4118">
        <v>0.40039008828172901</v>
      </c>
      <c r="K4118">
        <v>0.40874029080304197</v>
      </c>
      <c r="L4118">
        <v>1335.99467650314</v>
      </c>
      <c r="M4118">
        <v>24.135021976044801</v>
      </c>
      <c r="N4118">
        <v>58.791767055071098</v>
      </c>
      <c r="O4118">
        <v>54.979195326446401</v>
      </c>
      <c r="P4118">
        <v>-6.8259748750626306E-2</v>
      </c>
      <c r="Q4118">
        <v>0.37803114017099898</v>
      </c>
      <c r="R4118">
        <v>0.98726691427064805</v>
      </c>
      <c r="S4118" t="s">
        <v>8414</v>
      </c>
      <c r="T4118" t="s">
        <v>8590</v>
      </c>
      <c r="U4118" t="s">
        <v>8590</v>
      </c>
      <c r="V4118" t="s">
        <v>8590</v>
      </c>
      <c r="W4118">
        <v>2</v>
      </c>
      <c r="X4118" t="s">
        <v>12708</v>
      </c>
      <c r="Y4118">
        <v>0.70247534531746036</v>
      </c>
      <c r="Z4118" t="str">
        <f>HYPERLINK("Melting_Curves/meltCurve_tr_H7BYD0_H7BYD0_HUMAN_.pdf", "Melting_Curves/meltCurve_tr_H7BYD0_H7BYD0_HUMAN_.pdf")</f>
        <v>Melting_Curves/meltCurve_tr_H7BYD0_H7BYD0_HUMAN_.pdf</v>
      </c>
      <c r="AA4118" t="s">
        <v>16924</v>
      </c>
      <c r="AB4118" t="s">
        <v>21182</v>
      </c>
    </row>
    <row r="4119" spans="1:28" x14ac:dyDescent="0.25">
      <c r="A4119" t="s">
        <v>4123</v>
      </c>
      <c r="B4119">
        <v>0.99876560204751996</v>
      </c>
      <c r="C4119">
        <v>0.93014702142001704</v>
      </c>
      <c r="D4119">
        <v>1.0206190779684901</v>
      </c>
      <c r="E4119">
        <v>0.94269088817397495</v>
      </c>
      <c r="F4119">
        <v>0.98965097093318</v>
      </c>
      <c r="G4119">
        <v>0.81555418966525695</v>
      </c>
      <c r="H4119">
        <v>0.72356849714400095</v>
      </c>
      <c r="I4119">
        <v>0.74179314795392903</v>
      </c>
      <c r="J4119">
        <v>0.93428192626240003</v>
      </c>
      <c r="K4119">
        <v>0.88653496517058505</v>
      </c>
      <c r="L4119">
        <v>13398.124466634201</v>
      </c>
      <c r="M4119">
        <v>250</v>
      </c>
      <c r="O4119">
        <v>53.58908887007</v>
      </c>
      <c r="P4119">
        <v>-0.209526717797755</v>
      </c>
      <c r="Q4119">
        <v>0.82034653433842397</v>
      </c>
      <c r="R4119">
        <v>0.58358913561430603</v>
      </c>
      <c r="S4119" t="s">
        <v>8415</v>
      </c>
      <c r="T4119" t="s">
        <v>8590</v>
      </c>
      <c r="U4119" t="s">
        <v>8590</v>
      </c>
      <c r="V4119" t="s">
        <v>8590</v>
      </c>
      <c r="W4119">
        <v>29</v>
      </c>
      <c r="X4119" t="s">
        <v>12709</v>
      </c>
      <c r="Y4119">
        <v>0.90176140975612151</v>
      </c>
      <c r="Z4119" t="str">
        <f>HYPERLINK("Melting_Curves/meltCurve_tr_H7BYY1_H7BYY1_HUMAN_.pdf", "Melting_Curves/meltCurve_tr_H7BYY1_H7BYY1_HUMAN_.pdf")</f>
        <v>Melting_Curves/meltCurve_tr_H7BYY1_H7BYY1_HUMAN_.pdf</v>
      </c>
      <c r="AA4119" t="s">
        <v>13486</v>
      </c>
      <c r="AB4119" t="s">
        <v>21183</v>
      </c>
    </row>
    <row r="4120" spans="1:28" x14ac:dyDescent="0.25">
      <c r="A4120" t="s">
        <v>4124</v>
      </c>
      <c r="B4120">
        <v>0.99876560204751996</v>
      </c>
      <c r="C4120">
        <v>1.0684954008310901</v>
      </c>
      <c r="D4120">
        <v>0.803223441332091</v>
      </c>
      <c r="E4120">
        <v>0.90002215306054201</v>
      </c>
      <c r="F4120">
        <v>0.62358034622349701</v>
      </c>
      <c r="G4120">
        <v>0.33002139820427201</v>
      </c>
      <c r="H4120">
        <v>5.4752660852748998E-2</v>
      </c>
      <c r="I4120">
        <v>4.8325111395197497E-2</v>
      </c>
      <c r="J4120">
        <v>1.6143004125724E-2</v>
      </c>
      <c r="K4120">
        <v>1.9556627883571001E-2</v>
      </c>
      <c r="L4120">
        <v>1077.47814354362</v>
      </c>
      <c r="M4120">
        <v>19.767305402760499</v>
      </c>
      <c r="N4120">
        <v>54.508094143376603</v>
      </c>
      <c r="O4120">
        <v>53.959441556297797</v>
      </c>
      <c r="P4120">
        <v>-9.1587212530114107E-2</v>
      </c>
      <c r="Q4120">
        <v>0</v>
      </c>
      <c r="R4120">
        <v>0.97629322489396297</v>
      </c>
      <c r="S4120" t="s">
        <v>8416</v>
      </c>
      <c r="T4120" t="s">
        <v>8590</v>
      </c>
      <c r="U4120" t="s">
        <v>8590</v>
      </c>
      <c r="V4120" t="s">
        <v>8590</v>
      </c>
      <c r="W4120">
        <v>1</v>
      </c>
      <c r="X4120" t="s">
        <v>12710</v>
      </c>
      <c r="Y4120">
        <v>0.49731686755855481</v>
      </c>
      <c r="Z4120" t="str">
        <f>HYPERLINK("Melting_Curves/meltCurve_tr_H7BZ00_H7BZ00_HUMAN_.pdf", "Melting_Curves/meltCurve_tr_H7BZ00_H7BZ00_HUMAN_.pdf")</f>
        <v>Melting_Curves/meltCurve_tr_H7BZ00_H7BZ00_HUMAN_.pdf</v>
      </c>
      <c r="AA4120" t="s">
        <v>16925</v>
      </c>
      <c r="AB4120" t="s">
        <v>21184</v>
      </c>
    </row>
    <row r="4121" spans="1:28" x14ac:dyDescent="0.25">
      <c r="A4121" t="s">
        <v>4125</v>
      </c>
      <c r="B4121">
        <v>0.99876560204751996</v>
      </c>
      <c r="C4121">
        <v>0.82338071384820399</v>
      </c>
      <c r="D4121">
        <v>0.98549909738841801</v>
      </c>
      <c r="E4121">
        <v>0.91431359577495197</v>
      </c>
      <c r="F4121">
        <v>0.93065751626842197</v>
      </c>
      <c r="G4121">
        <v>0.677403588490606</v>
      </c>
      <c r="H4121">
        <v>0.67924847339633998</v>
      </c>
      <c r="I4121">
        <v>0.67117590607276001</v>
      </c>
      <c r="J4121">
        <v>0.67690799239507904</v>
      </c>
      <c r="K4121">
        <v>0.76020547088048696</v>
      </c>
      <c r="L4121">
        <v>4983.3401519000499</v>
      </c>
      <c r="M4121">
        <v>92.809885374779</v>
      </c>
      <c r="O4121">
        <v>53.669151388689201</v>
      </c>
      <c r="P4121">
        <v>-0.132833012797028</v>
      </c>
      <c r="Q4121">
        <v>0.69274675720409096</v>
      </c>
      <c r="R4121">
        <v>0.73265014643923698</v>
      </c>
      <c r="S4121" t="s">
        <v>8417</v>
      </c>
      <c r="T4121" t="s">
        <v>8590</v>
      </c>
      <c r="U4121" t="s">
        <v>8590</v>
      </c>
      <c r="V4121" t="s">
        <v>8590</v>
      </c>
      <c r="W4121">
        <v>3</v>
      </c>
      <c r="X4121" t="s">
        <v>12711</v>
      </c>
      <c r="Y4121">
        <v>0.83320867434414181</v>
      </c>
      <c r="Z4121" t="str">
        <f>HYPERLINK("Melting_Curves/meltCurve_tr_H7BZL0_H7BZL0_HUMAN_.pdf", "Melting_Curves/meltCurve_tr_H7BZL0_H7BZL0_HUMAN_.pdf")</f>
        <v>Melting_Curves/meltCurve_tr_H7BZL0_H7BZL0_HUMAN_.pdf</v>
      </c>
      <c r="AA4121" t="s">
        <v>16926</v>
      </c>
      <c r="AB4121" t="s">
        <v>21185</v>
      </c>
    </row>
    <row r="4122" spans="1:28" x14ac:dyDescent="0.25">
      <c r="A4122" t="s">
        <v>4126</v>
      </c>
      <c r="B4122">
        <v>0.99876560204751996</v>
      </c>
      <c r="C4122">
        <v>0.93910011341875999</v>
      </c>
      <c r="D4122">
        <v>0.94998299887871196</v>
      </c>
      <c r="E4122">
        <v>0.846735201258625</v>
      </c>
      <c r="F4122">
        <v>0.77813960879436395</v>
      </c>
      <c r="G4122">
        <v>0.56103287524621104</v>
      </c>
      <c r="H4122">
        <v>0.38375246633100302</v>
      </c>
      <c r="I4122">
        <v>0.36695113594564499</v>
      </c>
      <c r="J4122">
        <v>0.42963650511977403</v>
      </c>
      <c r="K4122">
        <v>0.44252893783865399</v>
      </c>
      <c r="L4122">
        <v>1005.5609001379401</v>
      </c>
      <c r="M4122">
        <v>18.679830563416498</v>
      </c>
      <c r="N4122">
        <v>58.399316215866001</v>
      </c>
      <c r="O4122">
        <v>53.2258172775826</v>
      </c>
      <c r="P4122">
        <v>-5.4048254712984099E-2</v>
      </c>
      <c r="Q4122">
        <v>0.38401157323806601</v>
      </c>
      <c r="R4122">
        <v>0.97249288944835599</v>
      </c>
      <c r="S4122" t="s">
        <v>8418</v>
      </c>
      <c r="T4122" t="s">
        <v>8590</v>
      </c>
      <c r="U4122" t="s">
        <v>8590</v>
      </c>
      <c r="V4122" t="s">
        <v>8590</v>
      </c>
      <c r="W4122">
        <v>12</v>
      </c>
      <c r="X4122" t="s">
        <v>12712</v>
      </c>
      <c r="Y4122">
        <v>0.67736580638033794</v>
      </c>
      <c r="Z4122" t="str">
        <f>HYPERLINK("Melting_Curves/meltCurve_tr_H7C0E5_H7C0E5_HUMAN_.pdf", "Melting_Curves/meltCurve_tr_H7C0E5_H7C0E5_HUMAN_.pdf")</f>
        <v>Melting_Curves/meltCurve_tr_H7C0E5_H7C0E5_HUMAN_.pdf</v>
      </c>
      <c r="AA4122" t="s">
        <v>16927</v>
      </c>
      <c r="AB4122" t="s">
        <v>21186</v>
      </c>
    </row>
    <row r="4123" spans="1:28" x14ac:dyDescent="0.25">
      <c r="A4123" t="s">
        <v>4127</v>
      </c>
      <c r="B4123">
        <v>0.99876560204751996</v>
      </c>
      <c r="C4123">
        <v>0.85097407675018499</v>
      </c>
      <c r="D4123">
        <v>0.850106418895613</v>
      </c>
      <c r="E4123">
        <v>0.63694134468444796</v>
      </c>
      <c r="F4123">
        <v>0.580635444348922</v>
      </c>
      <c r="G4123">
        <v>0.38784172804766298</v>
      </c>
      <c r="H4123">
        <v>0.20213017318263801</v>
      </c>
      <c r="I4123">
        <v>0.204775821309958</v>
      </c>
      <c r="J4123">
        <v>0.173316569030045</v>
      </c>
      <c r="K4123">
        <v>0.27055550104885701</v>
      </c>
      <c r="L4123">
        <v>574.76486143516195</v>
      </c>
      <c r="M4123">
        <v>11.0707542194044</v>
      </c>
      <c r="N4123">
        <v>53.475376775330197</v>
      </c>
      <c r="O4123">
        <v>50.309752574206598</v>
      </c>
      <c r="P4123">
        <v>-4.7445262450574198E-2</v>
      </c>
      <c r="Q4123">
        <v>0.13784595030282801</v>
      </c>
      <c r="R4123">
        <v>0.97054754218532102</v>
      </c>
      <c r="S4123" t="s">
        <v>8419</v>
      </c>
      <c r="T4123" t="s">
        <v>8590</v>
      </c>
      <c r="U4123" t="s">
        <v>8590</v>
      </c>
      <c r="V4123" t="s">
        <v>8590</v>
      </c>
      <c r="W4123">
        <v>1</v>
      </c>
      <c r="X4123" t="s">
        <v>12713</v>
      </c>
      <c r="Y4123">
        <v>0.50968119465219253</v>
      </c>
      <c r="Z4123" t="str">
        <f>HYPERLINK("Melting_Curves/meltCurve_tr_H7C0G7_H7C0G7_HUMAN_.pdf", "Melting_Curves/meltCurve_tr_H7C0G7_H7C0G7_HUMAN_.pdf")</f>
        <v>Melting_Curves/meltCurve_tr_H7C0G7_H7C0G7_HUMAN_.pdf</v>
      </c>
      <c r="AA4123" t="s">
        <v>16928</v>
      </c>
      <c r="AB4123" t="s">
        <v>21187</v>
      </c>
    </row>
    <row r="4124" spans="1:28" x14ac:dyDescent="0.25">
      <c r="A4124" t="s">
        <v>4128</v>
      </c>
      <c r="B4124">
        <v>0.99876560204751996</v>
      </c>
      <c r="C4124">
        <v>1.09754090604292</v>
      </c>
      <c r="D4124">
        <v>1.2035978195297901</v>
      </c>
      <c r="E4124">
        <v>1.0689602741433799</v>
      </c>
      <c r="F4124">
        <v>0.96224763433702598</v>
      </c>
      <c r="G4124">
        <v>0.51304061979883298</v>
      </c>
      <c r="H4124">
        <v>0.54531374709478797</v>
      </c>
      <c r="I4124">
        <v>0.37285522033714802</v>
      </c>
      <c r="J4124">
        <v>0.54808766917528895</v>
      </c>
      <c r="K4124">
        <v>0.48622256356208998</v>
      </c>
      <c r="L4124">
        <v>4177.4686001876598</v>
      </c>
      <c r="M4124">
        <v>76.259202063570598</v>
      </c>
      <c r="N4124">
        <v>57.600393551003599</v>
      </c>
      <c r="O4124">
        <v>54.7422270080584</v>
      </c>
      <c r="P4124">
        <v>-0.17829294135600099</v>
      </c>
      <c r="Q4124">
        <v>0.48805385627631798</v>
      </c>
      <c r="R4124">
        <v>0.91345061109619796</v>
      </c>
      <c r="S4124" t="s">
        <v>8420</v>
      </c>
      <c r="T4124" t="s">
        <v>8590</v>
      </c>
      <c r="U4124" t="s">
        <v>8590</v>
      </c>
      <c r="V4124" t="s">
        <v>8590</v>
      </c>
      <c r="W4124">
        <v>1</v>
      </c>
      <c r="X4124" t="s">
        <v>12714</v>
      </c>
      <c r="Y4124">
        <v>0.7408004035372503</v>
      </c>
      <c r="Z4124" t="str">
        <f>HYPERLINK("Melting_Curves/meltCurve_tr_H7C0V9_H7C0V9_HUMAN_.pdf", "Melting_Curves/meltCurve_tr_H7C0V9_H7C0V9_HUMAN_.pdf")</f>
        <v>Melting_Curves/meltCurve_tr_H7C0V9_H7C0V9_HUMAN_.pdf</v>
      </c>
      <c r="AA4124" t="s">
        <v>16929</v>
      </c>
      <c r="AB4124" t="s">
        <v>21188</v>
      </c>
    </row>
    <row r="4125" spans="1:28" x14ac:dyDescent="0.25">
      <c r="A4125" t="s">
        <v>4129</v>
      </c>
      <c r="B4125">
        <v>0.99876560204751996</v>
      </c>
      <c r="C4125">
        <v>0.94485121652160897</v>
      </c>
      <c r="D4125">
        <v>0.98562509995959602</v>
      </c>
      <c r="E4125">
        <v>0.72323091668086903</v>
      </c>
      <c r="F4125">
        <v>0.37401202593904398</v>
      </c>
      <c r="G4125">
        <v>0.18709022685331</v>
      </c>
      <c r="H4125">
        <v>0.138913497631734</v>
      </c>
      <c r="I4125">
        <v>0.12776445191668301</v>
      </c>
      <c r="J4125">
        <v>0.12963543119210699</v>
      </c>
      <c r="K4125">
        <v>5.9979317373717797E-2</v>
      </c>
      <c r="L4125">
        <v>1395.2749063091401</v>
      </c>
      <c r="M4125">
        <v>27.1306186638996</v>
      </c>
      <c r="N4125">
        <v>51.911138562584199</v>
      </c>
      <c r="O4125">
        <v>51.151105534510101</v>
      </c>
      <c r="P4125">
        <v>-0.117808223897705</v>
      </c>
      <c r="Q4125">
        <v>0.111563212661733</v>
      </c>
      <c r="R4125">
        <v>0.99523071295106302</v>
      </c>
      <c r="S4125" t="s">
        <v>8421</v>
      </c>
      <c r="T4125" t="s">
        <v>8590</v>
      </c>
      <c r="U4125" t="s">
        <v>8590</v>
      </c>
      <c r="V4125" t="s">
        <v>8590</v>
      </c>
      <c r="W4125">
        <v>1</v>
      </c>
      <c r="X4125" t="s">
        <v>12715</v>
      </c>
      <c r="Y4125">
        <v>0.45686756935832579</v>
      </c>
      <c r="Z4125" t="str">
        <f>HYPERLINK("Melting_Curves/meltCurve_tr_H7C0Y4_H7C0Y4_HUMAN_.pdf", "Melting_Curves/meltCurve_tr_H7C0Y4_H7C0Y4_HUMAN_.pdf")</f>
        <v>Melting_Curves/meltCurve_tr_H7C0Y4_H7C0Y4_HUMAN_.pdf</v>
      </c>
      <c r="AA4125" t="s">
        <v>16930</v>
      </c>
      <c r="AB4125" t="s">
        <v>21189</v>
      </c>
    </row>
    <row r="4126" spans="1:28" x14ac:dyDescent="0.25">
      <c r="A4126" t="s">
        <v>4130</v>
      </c>
      <c r="B4126">
        <v>0.99876560204751996</v>
      </c>
      <c r="C4126">
        <v>0.98714789854985596</v>
      </c>
      <c r="D4126">
        <v>0.96982420506981704</v>
      </c>
      <c r="E4126">
        <v>0.86034546002091905</v>
      </c>
      <c r="F4126">
        <v>0.81833708633741897</v>
      </c>
      <c r="G4126">
        <v>0.54988767343649203</v>
      </c>
      <c r="H4126">
        <v>0.357118979498463</v>
      </c>
      <c r="I4126">
        <v>0.357885924208729</v>
      </c>
      <c r="J4126">
        <v>0.43631646667378798</v>
      </c>
      <c r="K4126">
        <v>0.34909278161113799</v>
      </c>
      <c r="L4126">
        <v>1151.4566113255401</v>
      </c>
      <c r="M4126">
        <v>21.091771633964498</v>
      </c>
      <c r="N4126">
        <v>57.941373669511698</v>
      </c>
      <c r="O4126">
        <v>54.109059804770403</v>
      </c>
      <c r="P4126">
        <v>-6.3126677981866205E-2</v>
      </c>
      <c r="Q4126">
        <v>0.35223371995910602</v>
      </c>
      <c r="R4126">
        <v>0.97947853238805305</v>
      </c>
      <c r="S4126" t="s">
        <v>8422</v>
      </c>
      <c r="T4126" t="s">
        <v>8590</v>
      </c>
      <c r="U4126" t="s">
        <v>8590</v>
      </c>
      <c r="V4126" t="s">
        <v>8590</v>
      </c>
      <c r="W4126">
        <v>4</v>
      </c>
      <c r="X4126" t="s">
        <v>12716</v>
      </c>
      <c r="Y4126">
        <v>0.67532998628429231</v>
      </c>
      <c r="Z4126" t="str">
        <f>HYPERLINK("Melting_Curves/meltCurve_tr_H7C128_H7C128_HUMAN_.pdf", "Melting_Curves/meltCurve_tr_H7C128_H7C128_HUMAN_.pdf")</f>
        <v>Melting_Curves/meltCurve_tr_H7C128_H7C128_HUMAN_.pdf</v>
      </c>
      <c r="AA4126" t="s">
        <v>16931</v>
      </c>
      <c r="AB4126" t="s">
        <v>21190</v>
      </c>
    </row>
    <row r="4127" spans="1:28" x14ac:dyDescent="0.25">
      <c r="A4127" t="s">
        <v>4131</v>
      </c>
      <c r="B4127">
        <v>0.99876560204751996</v>
      </c>
      <c r="C4127">
        <v>1.1468194172896</v>
      </c>
      <c r="D4127">
        <v>1.04378901651768</v>
      </c>
      <c r="E4127">
        <v>0.82583346063349194</v>
      </c>
      <c r="F4127">
        <v>0.97366116205764297</v>
      </c>
      <c r="G4127">
        <v>0.66729309471291998</v>
      </c>
      <c r="H4127">
        <v>0.44865611206169298</v>
      </c>
      <c r="I4127">
        <v>0.395683352262791</v>
      </c>
      <c r="J4127">
        <v>0.63371590668408695</v>
      </c>
      <c r="K4127">
        <v>0.69269357031169498</v>
      </c>
      <c r="L4127">
        <v>14194.0199303507</v>
      </c>
      <c r="M4127">
        <v>250</v>
      </c>
      <c r="O4127">
        <v>56.772451454808703</v>
      </c>
      <c r="P4127">
        <v>-0.50344928955401003</v>
      </c>
      <c r="Q4127">
        <v>0.54268723534639995</v>
      </c>
      <c r="R4127">
        <v>0.80407313727299701</v>
      </c>
      <c r="S4127" t="s">
        <v>8423</v>
      </c>
      <c r="T4127" t="s">
        <v>8590</v>
      </c>
      <c r="U4127" t="s">
        <v>8590</v>
      </c>
      <c r="V4127" t="s">
        <v>8590</v>
      </c>
      <c r="W4127">
        <v>1</v>
      </c>
      <c r="X4127" t="s">
        <v>12717</v>
      </c>
      <c r="Y4127">
        <v>0.79846331575803586</v>
      </c>
      <c r="Z4127" t="str">
        <f>HYPERLINK("Melting_Curves/meltCurve_tr_H7C1I7_H7C1I7_HUMAN_.pdf", "Melting_Curves/meltCurve_tr_H7C1I7_H7C1I7_HUMAN_.pdf")</f>
        <v>Melting_Curves/meltCurve_tr_H7C1I7_H7C1I7_HUMAN_.pdf</v>
      </c>
      <c r="AA4127" t="s">
        <v>16932</v>
      </c>
      <c r="AB4127" t="s">
        <v>21191</v>
      </c>
    </row>
    <row r="4128" spans="1:28" x14ac:dyDescent="0.25">
      <c r="A4128" t="s">
        <v>4132</v>
      </c>
      <c r="B4128">
        <v>0.99876560204751996</v>
      </c>
      <c r="C4128">
        <v>0.68507699550592005</v>
      </c>
      <c r="D4128">
        <v>0.600111309036233</v>
      </c>
      <c r="E4128">
        <v>0.71110712819927602</v>
      </c>
      <c r="F4128">
        <v>0.65502790318454995</v>
      </c>
      <c r="G4128">
        <v>0.50586048860988297</v>
      </c>
      <c r="H4128">
        <v>0.30911665095570501</v>
      </c>
      <c r="I4128">
        <v>0.43239173983010698</v>
      </c>
      <c r="J4128">
        <v>0.70319297245174095</v>
      </c>
      <c r="K4128">
        <v>0.45975504737308998</v>
      </c>
      <c r="L4128">
        <v>515.52472255353302</v>
      </c>
      <c r="M4128">
        <v>11.7045153160858</v>
      </c>
      <c r="N4128">
        <v>67.153428787205897</v>
      </c>
      <c r="O4128">
        <v>42.818191402597897</v>
      </c>
      <c r="P4128">
        <v>-3.47871944127175E-2</v>
      </c>
      <c r="Q4128">
        <v>0.49109233215880399</v>
      </c>
      <c r="R4128">
        <v>0.56801527640459004</v>
      </c>
      <c r="S4128" t="s">
        <v>8424</v>
      </c>
      <c r="T4128" t="s">
        <v>8590</v>
      </c>
      <c r="U4128" t="s">
        <v>8590</v>
      </c>
      <c r="V4128" t="s">
        <v>8590</v>
      </c>
      <c r="W4128">
        <v>1</v>
      </c>
      <c r="X4128" t="s">
        <v>12718</v>
      </c>
      <c r="Y4128">
        <v>0.58913864655323367</v>
      </c>
      <c r="Z4128" t="str">
        <f>HYPERLINK("Melting_Curves/meltCurve_tr_H7C1J4_H7C1J4_HUMAN_.pdf", "Melting_Curves/meltCurve_tr_H7C1J4_H7C1J4_HUMAN_.pdf")</f>
        <v>Melting_Curves/meltCurve_tr_H7C1J4_H7C1J4_HUMAN_.pdf</v>
      </c>
      <c r="AA4128" t="s">
        <v>16933</v>
      </c>
      <c r="AB4128" t="s">
        <v>21192</v>
      </c>
    </row>
    <row r="4129" spans="1:28" x14ac:dyDescent="0.25">
      <c r="A4129" t="s">
        <v>4133</v>
      </c>
      <c r="B4129">
        <v>0.99876560204751996</v>
      </c>
      <c r="C4129">
        <v>0.79444944668013595</v>
      </c>
      <c r="D4129">
        <v>0.59979816302835498</v>
      </c>
      <c r="E4129">
        <v>0.63057612676868602</v>
      </c>
      <c r="F4129">
        <v>0.38927426235057799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642.18921063639505</v>
      </c>
      <c r="M4129">
        <v>12.9890195633616</v>
      </c>
      <c r="N4129">
        <v>49.440930221110598</v>
      </c>
      <c r="O4129">
        <v>48.313058725890599</v>
      </c>
      <c r="P4129">
        <v>-6.7224691430616407E-2</v>
      </c>
      <c r="Q4129">
        <v>0</v>
      </c>
      <c r="R4129">
        <v>0.93107828605355702</v>
      </c>
      <c r="S4129" t="s">
        <v>8425</v>
      </c>
      <c r="T4129" t="s">
        <v>8590</v>
      </c>
      <c r="U4129" t="s">
        <v>8590</v>
      </c>
      <c r="V4129" t="s">
        <v>8590</v>
      </c>
      <c r="W4129">
        <v>1</v>
      </c>
      <c r="X4129" t="s">
        <v>12719</v>
      </c>
      <c r="Y4129">
        <v>0.34605120795920308</v>
      </c>
      <c r="Z4129" t="str">
        <f>HYPERLINK("Melting_Curves/meltCurve_tr_H7C1V3_H7C1V3_HUMAN_.pdf", "Melting_Curves/meltCurve_tr_H7C1V3_H7C1V3_HUMAN_.pdf")</f>
        <v>Melting_Curves/meltCurve_tr_H7C1V3_H7C1V3_HUMAN_.pdf</v>
      </c>
      <c r="AA4129" t="s">
        <v>15978</v>
      </c>
      <c r="AB4129" t="s">
        <v>21193</v>
      </c>
    </row>
    <row r="4130" spans="1:28" x14ac:dyDescent="0.25">
      <c r="A4130" t="s">
        <v>4134</v>
      </c>
      <c r="B4130">
        <v>0.99876560204751996</v>
      </c>
      <c r="C4130">
        <v>0.92396510624905703</v>
      </c>
      <c r="D4130">
        <v>0.95842782508955204</v>
      </c>
      <c r="E4130">
        <v>0.84443203048679005</v>
      </c>
      <c r="F4130">
        <v>0.78966267118028</v>
      </c>
      <c r="G4130">
        <v>0.70420848390428303</v>
      </c>
      <c r="H4130">
        <v>0.58687756389538603</v>
      </c>
      <c r="I4130">
        <v>0.63676808282572495</v>
      </c>
      <c r="J4130">
        <v>0.83559820839452803</v>
      </c>
      <c r="K4130">
        <v>0.77534903653321396</v>
      </c>
      <c r="L4130">
        <v>1046.9137140187499</v>
      </c>
      <c r="M4130">
        <v>21.120980455600399</v>
      </c>
      <c r="O4130">
        <v>49.129536101869803</v>
      </c>
      <c r="P4130">
        <v>-3.1501399676135203E-2</v>
      </c>
      <c r="Q4130">
        <v>0.70690583711074095</v>
      </c>
      <c r="R4130">
        <v>0.71389238895013296</v>
      </c>
      <c r="S4130" t="s">
        <v>8426</v>
      </c>
      <c r="T4130" t="s">
        <v>8590</v>
      </c>
      <c r="U4130" t="s">
        <v>8590</v>
      </c>
      <c r="V4130" t="s">
        <v>8590</v>
      </c>
      <c r="W4130">
        <v>2</v>
      </c>
      <c r="X4130" t="s">
        <v>12720</v>
      </c>
      <c r="Y4130">
        <v>0.80404535090857088</v>
      </c>
      <c r="Z4130" t="str">
        <f>HYPERLINK("Melting_Curves/meltCurve_tr_H7C2B1_H7C2B1_HUMAN_.pdf", "Melting_Curves/meltCurve_tr_H7C2B1_H7C2B1_HUMAN_.pdf")</f>
        <v>Melting_Curves/meltCurve_tr_H7C2B1_H7C2B1_HUMAN_.pdf</v>
      </c>
      <c r="AA4130" t="s">
        <v>16934</v>
      </c>
      <c r="AB4130" t="s">
        <v>21194</v>
      </c>
    </row>
    <row r="4131" spans="1:28" x14ac:dyDescent="0.25">
      <c r="A4131" t="s">
        <v>4135</v>
      </c>
      <c r="B4131">
        <v>0.99876560204751996</v>
      </c>
      <c r="C4131">
        <v>0.78566974414258495</v>
      </c>
      <c r="D4131">
        <v>0.84214472663776396</v>
      </c>
      <c r="E4131">
        <v>0.67986119861304195</v>
      </c>
      <c r="F4131">
        <v>0.74002556716508205</v>
      </c>
      <c r="G4131">
        <v>0.83738979971372196</v>
      </c>
      <c r="H4131">
        <v>0.70705247334975896</v>
      </c>
      <c r="I4131">
        <v>1.22620137671352</v>
      </c>
      <c r="J4131">
        <v>1.42994915386832</v>
      </c>
      <c r="K4131">
        <v>1.39906652772142</v>
      </c>
      <c r="L4131">
        <v>15000</v>
      </c>
      <c r="M4131">
        <v>234.55819922447699</v>
      </c>
      <c r="O4131">
        <v>63.945382312163197</v>
      </c>
      <c r="P4131">
        <v>0.38012015906588897</v>
      </c>
      <c r="Q4131">
        <v>1.41451413302405</v>
      </c>
      <c r="R4131">
        <v>0.51943175734949498</v>
      </c>
      <c r="S4131" t="s">
        <v>8427</v>
      </c>
      <c r="T4131" t="s">
        <v>8590</v>
      </c>
      <c r="U4131" t="s">
        <v>8590</v>
      </c>
      <c r="V4131" t="s">
        <v>8590</v>
      </c>
      <c r="W4131">
        <v>1</v>
      </c>
      <c r="X4131" t="s">
        <v>12721</v>
      </c>
      <c r="Y4131">
        <v>1.0835406473645479</v>
      </c>
      <c r="Z4131" t="str">
        <f>HYPERLINK("Melting_Curves/meltCurve_tr_H7C2G2_H7C2G2_HUMAN_.pdf", "Melting_Curves/meltCurve_tr_H7C2G2_H7C2G2_HUMAN_.pdf")</f>
        <v>Melting_Curves/meltCurve_tr_H7C2G2_H7C2G2_HUMAN_.pdf</v>
      </c>
      <c r="AA4131" t="s">
        <v>16935</v>
      </c>
      <c r="AB4131" t="s">
        <v>21195</v>
      </c>
    </row>
    <row r="4132" spans="1:28" x14ac:dyDescent="0.25">
      <c r="A4132" t="s">
        <v>4136</v>
      </c>
      <c r="B4132">
        <v>0.99876560204751996</v>
      </c>
      <c r="C4132">
        <v>1.0735046503490999</v>
      </c>
      <c r="D4132">
        <v>0.99801840378089701</v>
      </c>
      <c r="E4132">
        <v>0.84470542216005995</v>
      </c>
      <c r="F4132">
        <v>0.63086395361547298</v>
      </c>
      <c r="G4132">
        <v>0.15439278218250899</v>
      </c>
      <c r="H4132">
        <v>2.4753636966536801E-2</v>
      </c>
      <c r="I4132">
        <v>2.20726300925509E-2</v>
      </c>
      <c r="J4132">
        <v>8.2876580627471302E-3</v>
      </c>
      <c r="K4132">
        <v>5.8072807969740802E-3</v>
      </c>
      <c r="L4132">
        <v>1479.7505061454999</v>
      </c>
      <c r="M4132">
        <v>27.5146421802832</v>
      </c>
      <c r="N4132">
        <v>53.780493198344303</v>
      </c>
      <c r="O4132">
        <v>53.498795388736397</v>
      </c>
      <c r="P4132">
        <v>-0.12857717071640201</v>
      </c>
      <c r="Q4132">
        <v>0</v>
      </c>
      <c r="R4132">
        <v>0.99543544334687795</v>
      </c>
      <c r="S4132" t="s">
        <v>8428</v>
      </c>
      <c r="T4132" t="s">
        <v>8590</v>
      </c>
      <c r="U4132" t="s">
        <v>8590</v>
      </c>
      <c r="V4132" t="s">
        <v>8590</v>
      </c>
      <c r="W4132">
        <v>1</v>
      </c>
      <c r="X4132" t="s">
        <v>12722</v>
      </c>
      <c r="Y4132">
        <v>0.46708185069143721</v>
      </c>
      <c r="Z4132" t="str">
        <f>HYPERLINK("Melting_Curves/meltCurve_tr_H7C3G7_H7C3G7_HUMAN_.pdf", "Melting_Curves/meltCurve_tr_H7C3G7_H7C3G7_HUMAN_.pdf")</f>
        <v>Melting_Curves/meltCurve_tr_H7C3G7_H7C3G7_HUMAN_.pdf</v>
      </c>
      <c r="AA4132" t="s">
        <v>16936</v>
      </c>
      <c r="AB4132" t="s">
        <v>21196</v>
      </c>
    </row>
    <row r="4133" spans="1:28" x14ac:dyDescent="0.25">
      <c r="A4133" t="s">
        <v>4137</v>
      </c>
      <c r="B4133">
        <v>0.99876560204751996</v>
      </c>
      <c r="C4133">
        <v>0.914596947703878</v>
      </c>
      <c r="D4133">
        <v>0.89349749111591403</v>
      </c>
      <c r="E4133">
        <v>0.88684739825903502</v>
      </c>
      <c r="F4133">
        <v>0.75003654162755096</v>
      </c>
      <c r="G4133">
        <v>0.655778276798894</v>
      </c>
      <c r="H4133">
        <v>0.38298810320228699</v>
      </c>
      <c r="I4133">
        <v>0.25955268721526098</v>
      </c>
      <c r="J4133">
        <v>0.198816618042293</v>
      </c>
      <c r="K4133">
        <v>0.16665150213678001</v>
      </c>
      <c r="L4133">
        <v>638.12045690899697</v>
      </c>
      <c r="M4133">
        <v>10.8489381916659</v>
      </c>
      <c r="N4133">
        <v>58.818680623978501</v>
      </c>
      <c r="O4133">
        <v>56.926071886413098</v>
      </c>
      <c r="P4133">
        <v>-4.7661810481007101E-2</v>
      </c>
      <c r="Q4133">
        <v>0</v>
      </c>
      <c r="R4133">
        <v>0.983710813345688</v>
      </c>
      <c r="S4133" t="s">
        <v>8429</v>
      </c>
      <c r="T4133" t="s">
        <v>8590</v>
      </c>
      <c r="U4133" t="s">
        <v>8590</v>
      </c>
      <c r="V4133" t="s">
        <v>8590</v>
      </c>
      <c r="W4133">
        <v>8</v>
      </c>
      <c r="X4133" t="s">
        <v>12723</v>
      </c>
      <c r="Y4133">
        <v>0.63406128794882965</v>
      </c>
      <c r="Z4133" t="str">
        <f>HYPERLINK("Melting_Curves/meltCurve_tr_H7C3P4_H7C3P4_HUMAN_.pdf", "Melting_Curves/meltCurve_tr_H7C3P4_H7C3P4_HUMAN_.pdf")</f>
        <v>Melting_Curves/meltCurve_tr_H7C3P4_H7C3P4_HUMAN_.pdf</v>
      </c>
      <c r="AA4133" t="s">
        <v>16937</v>
      </c>
      <c r="AB4133" t="s">
        <v>21197</v>
      </c>
    </row>
    <row r="4134" spans="1:28" x14ac:dyDescent="0.25">
      <c r="A4134" t="s">
        <v>4138</v>
      </c>
      <c r="B4134">
        <v>0.99876560204751996</v>
      </c>
      <c r="C4134">
        <v>1.0086672958352101</v>
      </c>
      <c r="D4134">
        <v>0.94714755296081699</v>
      </c>
      <c r="E4134">
        <v>0.73433475582582597</v>
      </c>
      <c r="F4134">
        <v>0.65351413455197604</v>
      </c>
      <c r="G4134">
        <v>0.43237135616860001</v>
      </c>
      <c r="H4134">
        <v>0.15539248987510901</v>
      </c>
      <c r="I4134">
        <v>7.3444307948590901E-2</v>
      </c>
      <c r="J4134">
        <v>0.186545809513877</v>
      </c>
      <c r="K4134">
        <v>5.0034840334512498E-2</v>
      </c>
      <c r="L4134">
        <v>762.76521593288396</v>
      </c>
      <c r="M4134">
        <v>13.923030790203001</v>
      </c>
      <c r="N4134">
        <v>54.959292164733199</v>
      </c>
      <c r="O4134">
        <v>53.691377409949098</v>
      </c>
      <c r="P4134">
        <v>-6.3432942307449502E-2</v>
      </c>
      <c r="Q4134">
        <v>2.1666573577080302E-2</v>
      </c>
      <c r="R4134">
        <v>0.98225599948336795</v>
      </c>
      <c r="S4134" t="s">
        <v>8430</v>
      </c>
      <c r="T4134" t="s">
        <v>8590</v>
      </c>
      <c r="U4134" t="s">
        <v>8590</v>
      </c>
      <c r="V4134" t="s">
        <v>8590</v>
      </c>
      <c r="W4134">
        <v>2</v>
      </c>
      <c r="X4134" t="s">
        <v>12724</v>
      </c>
      <c r="Y4134">
        <v>0.52450052918556567</v>
      </c>
      <c r="Z4134" t="str">
        <f>HYPERLINK("Melting_Curves/meltCurve_tr_H7C3T2_H7C3T2_HUMAN_.pdf", "Melting_Curves/meltCurve_tr_H7C3T2_H7C3T2_HUMAN_.pdf")</f>
        <v>Melting_Curves/meltCurve_tr_H7C3T2_H7C3T2_HUMAN_.pdf</v>
      </c>
      <c r="AA4134" t="s">
        <v>16938</v>
      </c>
      <c r="AB4134" t="s">
        <v>21198</v>
      </c>
    </row>
    <row r="4135" spans="1:28" x14ac:dyDescent="0.25">
      <c r="A4135" t="s">
        <v>4139</v>
      </c>
      <c r="B4135">
        <v>0.99876560204751996</v>
      </c>
      <c r="C4135">
        <v>0.96989614402093904</v>
      </c>
      <c r="D4135">
        <v>1.02694262939353</v>
      </c>
      <c r="E4135">
        <v>0.86967569124347699</v>
      </c>
      <c r="F4135">
        <v>0.84612853067009697</v>
      </c>
      <c r="G4135">
        <v>0.575236023806876</v>
      </c>
      <c r="H4135">
        <v>0.48652677176246301</v>
      </c>
      <c r="I4135">
        <v>0.49766134904860698</v>
      </c>
      <c r="J4135">
        <v>0.634253610252976</v>
      </c>
      <c r="K4135">
        <v>0.58470783176912799</v>
      </c>
      <c r="L4135">
        <v>1585.39014922606</v>
      </c>
      <c r="M4135">
        <v>29.714588436351999</v>
      </c>
      <c r="O4135">
        <v>53.114036123485697</v>
      </c>
      <c r="P4135">
        <v>-6.3679625365889198E-2</v>
      </c>
      <c r="Q4135">
        <v>0.54470053800401297</v>
      </c>
      <c r="R4135">
        <v>0.93323591543617801</v>
      </c>
      <c r="S4135" t="s">
        <v>8431</v>
      </c>
      <c r="T4135" t="s">
        <v>8590</v>
      </c>
      <c r="U4135" t="s">
        <v>8590</v>
      </c>
      <c r="V4135" t="s">
        <v>8590</v>
      </c>
      <c r="W4135">
        <v>7</v>
      </c>
      <c r="X4135" t="s">
        <v>12725</v>
      </c>
      <c r="Y4135">
        <v>0.75039111655765822</v>
      </c>
      <c r="Z4135" t="str">
        <f>HYPERLINK("Melting_Curves/meltCurve_tr_H7C4T5_H7C4T5_HUMAN_.pdf", "Melting_Curves/meltCurve_tr_H7C4T5_H7C4T5_HUMAN_.pdf")</f>
        <v>Melting_Curves/meltCurve_tr_H7C4T5_H7C4T5_HUMAN_.pdf</v>
      </c>
      <c r="AA4135" t="s">
        <v>16939</v>
      </c>
      <c r="AB4135" t="s">
        <v>21199</v>
      </c>
    </row>
    <row r="4136" spans="1:28" x14ac:dyDescent="0.25">
      <c r="A4136" t="s">
        <v>4140</v>
      </c>
      <c r="B4136">
        <v>0.99876560204751996</v>
      </c>
      <c r="C4136">
        <v>0.89534016214263001</v>
      </c>
      <c r="D4136">
        <v>0.89750484942289599</v>
      </c>
      <c r="E4136">
        <v>0.86414575511732405</v>
      </c>
      <c r="F4136">
        <v>0.88532597553787296</v>
      </c>
      <c r="G4136">
        <v>0.72479269941198099</v>
      </c>
      <c r="H4136">
        <v>0.51055891567460399</v>
      </c>
      <c r="I4136">
        <v>0.35353655086497798</v>
      </c>
      <c r="J4136">
        <v>0.193409654974108</v>
      </c>
      <c r="K4136">
        <v>0.119870238489836</v>
      </c>
      <c r="L4136">
        <v>789.97058552016404</v>
      </c>
      <c r="M4136">
        <v>13.008366522788601</v>
      </c>
      <c r="N4136">
        <v>60.727885034758302</v>
      </c>
      <c r="O4136">
        <v>59.346493301445904</v>
      </c>
      <c r="P4136">
        <v>-5.4808036065372399E-2</v>
      </c>
      <c r="Q4136">
        <v>0</v>
      </c>
      <c r="R4136">
        <v>0.97083543548241102</v>
      </c>
      <c r="S4136" t="s">
        <v>8432</v>
      </c>
      <c r="T4136" t="s">
        <v>8590</v>
      </c>
      <c r="U4136" t="s">
        <v>8590</v>
      </c>
      <c r="V4136" t="s">
        <v>8590</v>
      </c>
      <c r="W4136">
        <v>6</v>
      </c>
      <c r="X4136" t="s">
        <v>12726</v>
      </c>
      <c r="Y4136">
        <v>0.69130923545329259</v>
      </c>
      <c r="Z4136" t="str">
        <f>HYPERLINK("Melting_Curves/meltCurve_tr_H7C5G1_H7C5G1_HUMAN_.pdf", "Melting_Curves/meltCurve_tr_H7C5G1_H7C5G1_HUMAN_.pdf")</f>
        <v>Melting_Curves/meltCurve_tr_H7C5G1_H7C5G1_HUMAN_.pdf</v>
      </c>
      <c r="AA4136" t="s">
        <v>16940</v>
      </c>
      <c r="AB4136" t="s">
        <v>21200</v>
      </c>
    </row>
    <row r="4137" spans="1:28" x14ac:dyDescent="0.25">
      <c r="A4137" t="s">
        <v>4141</v>
      </c>
      <c r="B4137">
        <v>0.99876560204751996</v>
      </c>
      <c r="C4137">
        <v>0.98083979531249199</v>
      </c>
      <c r="D4137">
        <v>0.98370056790637095</v>
      </c>
      <c r="E4137">
        <v>1.00549168493688</v>
      </c>
      <c r="F4137">
        <v>0.68489797674227604</v>
      </c>
      <c r="G4137">
        <v>0.53302572065185705</v>
      </c>
      <c r="H4137">
        <v>0.39762244854108503</v>
      </c>
      <c r="I4137">
        <v>0.44415210286388002</v>
      </c>
      <c r="J4137">
        <v>0.38131601399968701</v>
      </c>
      <c r="K4137">
        <v>0.48826316020872002</v>
      </c>
      <c r="L4137">
        <v>2524.79847646088</v>
      </c>
      <c r="M4137">
        <v>47.777821573647003</v>
      </c>
      <c r="N4137">
        <v>55.372568309968401</v>
      </c>
      <c r="O4137">
        <v>52.752241412520398</v>
      </c>
      <c r="P4137">
        <v>-0.125994484046068</v>
      </c>
      <c r="Q4137">
        <v>0.44355063478815698</v>
      </c>
      <c r="R4137">
        <v>0.97634537649113096</v>
      </c>
      <c r="S4137" t="s">
        <v>8433</v>
      </c>
      <c r="T4137" t="s">
        <v>8590</v>
      </c>
      <c r="U4137" t="s">
        <v>8590</v>
      </c>
      <c r="V4137" t="s">
        <v>8590</v>
      </c>
      <c r="W4137">
        <v>1</v>
      </c>
      <c r="X4137" t="s">
        <v>12727</v>
      </c>
      <c r="Y4137">
        <v>0.68321674083124506</v>
      </c>
      <c r="Z4137" t="str">
        <f>HYPERLINK("Melting_Curves/meltCurve_tr_I3L097_I3L097_HUMAN_.pdf", "Melting_Curves/meltCurve_tr_I3L097_I3L097_HUMAN_.pdf")</f>
        <v>Melting_Curves/meltCurve_tr_I3L097_I3L097_HUMAN_.pdf</v>
      </c>
      <c r="AB4137" t="s">
        <v>21005</v>
      </c>
    </row>
    <row r="4138" spans="1:28" x14ac:dyDescent="0.25">
      <c r="A4138" t="s">
        <v>4142</v>
      </c>
      <c r="B4138">
        <v>0.99876560204751996</v>
      </c>
      <c r="C4138">
        <v>1.06609684512765</v>
      </c>
      <c r="D4138">
        <v>1.1456203989379099</v>
      </c>
      <c r="E4138">
        <v>0.98358749779923405</v>
      </c>
      <c r="F4138">
        <v>0.91151534571107495</v>
      </c>
      <c r="G4138">
        <v>0.64198124669423795</v>
      </c>
      <c r="H4138">
        <v>0.52902808097549603</v>
      </c>
      <c r="I4138">
        <v>0.52377510794478099</v>
      </c>
      <c r="J4138">
        <v>0.70980276027395495</v>
      </c>
      <c r="K4138">
        <v>0.60939755756093805</v>
      </c>
      <c r="L4138">
        <v>2635.7682146326501</v>
      </c>
      <c r="M4138">
        <v>48.441268859153602</v>
      </c>
      <c r="O4138">
        <v>54.3191380039829</v>
      </c>
      <c r="P4138">
        <v>-9.0502424873071696E-2</v>
      </c>
      <c r="Q4138">
        <v>0.59406439776787001</v>
      </c>
      <c r="R4138">
        <v>0.90097768448146198</v>
      </c>
      <c r="S4138" t="s">
        <v>8434</v>
      </c>
      <c r="T4138" t="s">
        <v>8590</v>
      </c>
      <c r="U4138" t="s">
        <v>8590</v>
      </c>
      <c r="V4138" t="s">
        <v>8590</v>
      </c>
      <c r="W4138">
        <v>3</v>
      </c>
      <c r="X4138" t="s">
        <v>12728</v>
      </c>
      <c r="Y4138">
        <v>0.79010864155235139</v>
      </c>
      <c r="Z4138" t="str">
        <f>HYPERLINK("Melting_Curves/meltCurve_tr_I3L0A5_I3L0A5_HUMAN_.pdf", "Melting_Curves/meltCurve_tr_I3L0A5_I3L0A5_HUMAN_.pdf")</f>
        <v>Melting_Curves/meltCurve_tr_I3L0A5_I3L0A5_HUMAN_.pdf</v>
      </c>
      <c r="AA4138" t="s">
        <v>16941</v>
      </c>
      <c r="AB4138" t="s">
        <v>21201</v>
      </c>
    </row>
    <row r="4139" spans="1:28" x14ac:dyDescent="0.25">
      <c r="A4139" t="s">
        <v>4143</v>
      </c>
      <c r="B4139">
        <v>0.99876560204751996</v>
      </c>
      <c r="C4139">
        <v>0.89824383869864</v>
      </c>
      <c r="D4139">
        <v>0.81528030597326495</v>
      </c>
      <c r="E4139">
        <v>0.45121178149586999</v>
      </c>
      <c r="F4139">
        <v>0.17883816623701199</v>
      </c>
      <c r="G4139">
        <v>0.100875116830483</v>
      </c>
      <c r="H4139">
        <v>7.1275668480904997E-2</v>
      </c>
      <c r="I4139">
        <v>6.8716317493085904E-2</v>
      </c>
      <c r="J4139">
        <v>7.94027742935597E-2</v>
      </c>
      <c r="K4139">
        <v>8.1487465726591393E-2</v>
      </c>
      <c r="L4139">
        <v>1046.8780201126201</v>
      </c>
      <c r="M4139">
        <v>21.407047791102499</v>
      </c>
      <c r="N4139">
        <v>49.219862675804499</v>
      </c>
      <c r="O4139">
        <v>48.482686628365201</v>
      </c>
      <c r="P4139">
        <v>-0.103291212185502</v>
      </c>
      <c r="Q4139">
        <v>6.4287651788295305E-2</v>
      </c>
      <c r="R4139">
        <v>0.99562436877474503</v>
      </c>
      <c r="S4139" t="s">
        <v>8435</v>
      </c>
      <c r="T4139" t="s">
        <v>8590</v>
      </c>
      <c r="U4139" t="s">
        <v>8590</v>
      </c>
      <c r="V4139" t="s">
        <v>8590</v>
      </c>
      <c r="W4139">
        <v>14</v>
      </c>
      <c r="X4139" t="s">
        <v>12729</v>
      </c>
      <c r="Y4139">
        <v>0.35340267460102248</v>
      </c>
      <c r="Z4139" t="str">
        <f>HYPERLINK("Melting_Curves/meltCurve_tr_I3L0H8_I3L0H8_HUMAN_.pdf", "Melting_Curves/meltCurve_tr_I3L0H8_I3L0H8_HUMAN_.pdf")</f>
        <v>Melting_Curves/meltCurve_tr_I3L0H8_I3L0H8_HUMAN_.pdf</v>
      </c>
      <c r="AA4139" t="s">
        <v>16942</v>
      </c>
      <c r="AB4139" t="s">
        <v>21202</v>
      </c>
    </row>
    <row r="4140" spans="1:28" x14ac:dyDescent="0.25">
      <c r="A4140" t="s">
        <v>4144</v>
      </c>
      <c r="B4140">
        <v>0.99876560204751996</v>
      </c>
      <c r="C4140">
        <v>1.0287272655280599</v>
      </c>
      <c r="D4140">
        <v>0.92785907771544995</v>
      </c>
      <c r="E4140">
        <v>1.04643094881563</v>
      </c>
      <c r="F4140">
        <v>0.63487445745875604</v>
      </c>
      <c r="G4140">
        <v>0.171043635371848</v>
      </c>
      <c r="H4140">
        <v>7.6431890054613594E-2</v>
      </c>
      <c r="I4140">
        <v>9.5587903858032605E-2</v>
      </c>
      <c r="J4140">
        <v>9.2345510766183303E-2</v>
      </c>
      <c r="K4140">
        <v>8.4317222963504607E-2</v>
      </c>
      <c r="L4140">
        <v>2846.9879459018798</v>
      </c>
      <c r="M4140">
        <v>53.268485841959198</v>
      </c>
      <c r="N4140">
        <v>53.661787993208002</v>
      </c>
      <c r="O4140">
        <v>53.370844732856398</v>
      </c>
      <c r="P4140">
        <v>-0.22546548620989099</v>
      </c>
      <c r="Q4140">
        <v>9.6405686328004905E-2</v>
      </c>
      <c r="R4140">
        <v>0.99262560224718799</v>
      </c>
      <c r="S4140" t="s">
        <v>8436</v>
      </c>
      <c r="T4140" t="s">
        <v>8590</v>
      </c>
      <c r="U4140" t="s">
        <v>8590</v>
      </c>
      <c r="V4140" t="s">
        <v>8590</v>
      </c>
      <c r="W4140">
        <v>36</v>
      </c>
      <c r="X4140" t="s">
        <v>12730</v>
      </c>
      <c r="Y4140">
        <v>0.50327232173820735</v>
      </c>
      <c r="Z4140" t="str">
        <f>HYPERLINK("Melting_Curves/meltCurve_tr_I3L0K7_I3L0K7_HUMAN_.pdf", "Melting_Curves/meltCurve_tr_I3L0K7_I3L0K7_HUMAN_.pdf")</f>
        <v>Melting_Curves/meltCurve_tr_I3L0K7_I3L0K7_HUMAN_.pdf</v>
      </c>
      <c r="AA4140" t="s">
        <v>16784</v>
      </c>
      <c r="AB4140" t="s">
        <v>21036</v>
      </c>
    </row>
    <row r="4141" spans="1:28" x14ac:dyDescent="0.25">
      <c r="A4141" t="s">
        <v>4145</v>
      </c>
      <c r="B4141">
        <v>0.99876560204751996</v>
      </c>
      <c r="C4141">
        <v>1.59783681660095</v>
      </c>
      <c r="D4141">
        <v>1.2401984045485199</v>
      </c>
      <c r="E4141">
        <v>0.88214815387573997</v>
      </c>
      <c r="F4141">
        <v>1.0955002577031601</v>
      </c>
      <c r="G4141">
        <v>0.60524757460315204</v>
      </c>
      <c r="H4141">
        <v>0.108268545719841</v>
      </c>
      <c r="I4141">
        <v>0.10654869447063001</v>
      </c>
      <c r="J4141">
        <v>0</v>
      </c>
      <c r="K4141">
        <v>0</v>
      </c>
      <c r="L4141">
        <v>2959.1444790847199</v>
      </c>
      <c r="M4141">
        <v>51.507550771193401</v>
      </c>
      <c r="N4141">
        <v>57.543293597281199</v>
      </c>
      <c r="O4141">
        <v>57.364291026945303</v>
      </c>
      <c r="P4141">
        <v>-0.215548387607334</v>
      </c>
      <c r="Q4141">
        <v>3.97702182426403E-2</v>
      </c>
      <c r="R4141">
        <v>0.85325882540311004</v>
      </c>
      <c r="S4141" t="s">
        <v>8437</v>
      </c>
      <c r="T4141" t="s">
        <v>8590</v>
      </c>
      <c r="U4141" t="s">
        <v>8590</v>
      </c>
      <c r="V4141" t="s">
        <v>8590</v>
      </c>
      <c r="W4141">
        <v>1</v>
      </c>
      <c r="X4141" t="s">
        <v>12731</v>
      </c>
      <c r="Y4141">
        <v>0.60061289839554821</v>
      </c>
      <c r="Z4141" t="str">
        <f>HYPERLINK("Melting_Curves/meltCurve_tr_I3L1H5_I3L1H5_HUMAN_.pdf", "Melting_Curves/meltCurve_tr_I3L1H5_I3L1H5_HUMAN_.pdf")</f>
        <v>Melting_Curves/meltCurve_tr_I3L1H5_I3L1H5_HUMAN_.pdf</v>
      </c>
      <c r="AA4141" t="s">
        <v>16943</v>
      </c>
      <c r="AB4141" t="s">
        <v>21203</v>
      </c>
    </row>
    <row r="4142" spans="1:28" x14ac:dyDescent="0.25">
      <c r="A4142" t="s">
        <v>4146</v>
      </c>
      <c r="B4142">
        <v>0.99876560204751996</v>
      </c>
      <c r="C4142">
        <v>1.0079450548253699</v>
      </c>
      <c r="D4142">
        <v>0.88696984567074399</v>
      </c>
      <c r="E4142">
        <v>0.84508395039853501</v>
      </c>
      <c r="F4142">
        <v>0.82122833655360505</v>
      </c>
      <c r="G4142">
        <v>0.61522328029532403</v>
      </c>
      <c r="H4142">
        <v>0.44315986549860698</v>
      </c>
      <c r="I4142">
        <v>0.58615156279668901</v>
      </c>
      <c r="J4142">
        <v>0.68431001966461202</v>
      </c>
      <c r="K4142">
        <v>0.65822831807717597</v>
      </c>
      <c r="L4142">
        <v>986.96700358274302</v>
      </c>
      <c r="M4142">
        <v>19.131706052079998</v>
      </c>
      <c r="O4142">
        <v>51.034316597848203</v>
      </c>
      <c r="P4142">
        <v>-3.8578409863661602E-2</v>
      </c>
      <c r="Q4142">
        <v>0.58838037180453195</v>
      </c>
      <c r="R4142">
        <v>0.82858750269650505</v>
      </c>
      <c r="S4142" t="s">
        <v>8438</v>
      </c>
      <c r="T4142" t="s">
        <v>8590</v>
      </c>
      <c r="U4142" t="s">
        <v>8590</v>
      </c>
      <c r="V4142" t="s">
        <v>8590</v>
      </c>
      <c r="W4142">
        <v>3</v>
      </c>
      <c r="X4142" t="s">
        <v>12732</v>
      </c>
      <c r="Y4142">
        <v>0.75355769151398744</v>
      </c>
      <c r="Z4142" t="str">
        <f>HYPERLINK("Melting_Curves/meltCurve_tr_I3L1K7_I3L1K7_HUMAN_.pdf", "Melting_Curves/meltCurve_tr_I3L1K7_I3L1K7_HUMAN_.pdf")</f>
        <v>Melting_Curves/meltCurve_tr_I3L1K7_I3L1K7_HUMAN_.pdf</v>
      </c>
      <c r="AA4142" t="s">
        <v>16944</v>
      </c>
      <c r="AB4142" t="s">
        <v>21204</v>
      </c>
    </row>
    <row r="4143" spans="1:28" x14ac:dyDescent="0.25">
      <c r="A4143" t="s">
        <v>4147</v>
      </c>
      <c r="B4143">
        <v>0.99876560204751996</v>
      </c>
      <c r="C4143">
        <v>1.1135966109630799</v>
      </c>
      <c r="D4143">
        <v>1.08302617861414</v>
      </c>
      <c r="E4143">
        <v>0.87609238796342404</v>
      </c>
      <c r="F4143">
        <v>0.65723693283825502</v>
      </c>
      <c r="G4143">
        <v>0.46505366288824801</v>
      </c>
      <c r="H4143">
        <v>0.32085435949204</v>
      </c>
      <c r="I4143">
        <v>0.17198479052756699</v>
      </c>
      <c r="J4143">
        <v>0.203813917418142</v>
      </c>
      <c r="K4143">
        <v>0.104397269650288</v>
      </c>
      <c r="L4143">
        <v>933.68618623270095</v>
      </c>
      <c r="M4143">
        <v>16.889723891334199</v>
      </c>
      <c r="N4143">
        <v>56.221423275087503</v>
      </c>
      <c r="O4143">
        <v>54.5238061620054</v>
      </c>
      <c r="P4143">
        <v>-6.7919271419854502E-2</v>
      </c>
      <c r="Q4143">
        <v>0.123021378591023</v>
      </c>
      <c r="R4143">
        <v>0.97405190061425895</v>
      </c>
      <c r="S4143" t="s">
        <v>8439</v>
      </c>
      <c r="T4143" t="s">
        <v>8590</v>
      </c>
      <c r="U4143" t="s">
        <v>8590</v>
      </c>
      <c r="V4143" t="s">
        <v>8590</v>
      </c>
      <c r="W4143">
        <v>2</v>
      </c>
      <c r="X4143" t="s">
        <v>12733</v>
      </c>
      <c r="Y4143">
        <v>0.5842557525923332</v>
      </c>
      <c r="Z4143" t="str">
        <f>HYPERLINK("Melting_Curves/meltCurve_tr_I3L1Q3_I3L1Q3_HUMAN_.pdf", "Melting_Curves/meltCurve_tr_I3L1Q3_I3L1Q3_HUMAN_.pdf")</f>
        <v>Melting_Curves/meltCurve_tr_I3L1Q3_I3L1Q3_HUMAN_.pdf</v>
      </c>
      <c r="AA4143" t="s">
        <v>16945</v>
      </c>
      <c r="AB4143" t="s">
        <v>21205</v>
      </c>
    </row>
    <row r="4144" spans="1:28" x14ac:dyDescent="0.25">
      <c r="A4144" t="s">
        <v>4148</v>
      </c>
      <c r="B4144">
        <v>0.99876560204751996</v>
      </c>
      <c r="C4144">
        <v>0.95404922307697104</v>
      </c>
      <c r="D4144">
        <v>0.895464990593417</v>
      </c>
      <c r="E4144">
        <v>0.63081459993160904</v>
      </c>
      <c r="F4144">
        <v>0.404715464372633</v>
      </c>
      <c r="G4144">
        <v>0.253022382802776</v>
      </c>
      <c r="H4144">
        <v>0.18609239631847499</v>
      </c>
      <c r="I4144">
        <v>0.21431721817197399</v>
      </c>
      <c r="J4144">
        <v>0.23403756684773799</v>
      </c>
      <c r="K4144">
        <v>0.19531046883292599</v>
      </c>
      <c r="L4144">
        <v>1047.0679476259299</v>
      </c>
      <c r="M4144">
        <v>20.820079875183701</v>
      </c>
      <c r="N4144">
        <v>51.535368950083601</v>
      </c>
      <c r="O4144">
        <v>49.8341933787204</v>
      </c>
      <c r="P4144">
        <v>-8.3818004292361803E-2</v>
      </c>
      <c r="Q4144">
        <v>0.19752725110589001</v>
      </c>
      <c r="R4144">
        <v>0.99726234665570901</v>
      </c>
      <c r="S4144" t="s">
        <v>8440</v>
      </c>
      <c r="T4144" t="s">
        <v>8590</v>
      </c>
      <c r="U4144" t="s">
        <v>8590</v>
      </c>
      <c r="V4144" t="s">
        <v>8590</v>
      </c>
      <c r="W4144">
        <v>19</v>
      </c>
      <c r="X4144" t="s">
        <v>12734</v>
      </c>
      <c r="Y4144">
        <v>0.48313377330915591</v>
      </c>
      <c r="Z4144" t="str">
        <f>HYPERLINK("Melting_Curves/meltCurve_tr_I3L2B0_I3L2B0_HUMAN_.pdf", "Melting_Curves/meltCurve_tr_I3L2B0_I3L2B0_HUMAN_.pdf")</f>
        <v>Melting_Curves/meltCurve_tr_I3L2B0_I3L2B0_HUMAN_.pdf</v>
      </c>
      <c r="AA4144" t="s">
        <v>16946</v>
      </c>
      <c r="AB4144" t="s">
        <v>21206</v>
      </c>
    </row>
    <row r="4145" spans="1:28" x14ac:dyDescent="0.25">
      <c r="A4145" t="s">
        <v>4149</v>
      </c>
      <c r="B4145">
        <v>0.99876560204751996</v>
      </c>
      <c r="C4145">
        <v>1.0767445386549701</v>
      </c>
      <c r="D4145">
        <v>1.06095897879529</v>
      </c>
      <c r="E4145">
        <v>0.82876376842130195</v>
      </c>
      <c r="F4145">
        <v>0.64285217998301902</v>
      </c>
      <c r="G4145">
        <v>0.39524368011986499</v>
      </c>
      <c r="H4145">
        <v>0.27052357950067002</v>
      </c>
      <c r="I4145">
        <v>0.271416081890061</v>
      </c>
      <c r="J4145">
        <v>0.253093201064514</v>
      </c>
      <c r="K4145">
        <v>0.26576179032938002</v>
      </c>
      <c r="L4145">
        <v>1256.21896884034</v>
      </c>
      <c r="M4145">
        <v>23.645668467586599</v>
      </c>
      <c r="N4145">
        <v>54.776228069699002</v>
      </c>
      <c r="O4145">
        <v>52.751206063034601</v>
      </c>
      <c r="P4145">
        <v>-8.3524399565227905E-2</v>
      </c>
      <c r="Q4145">
        <v>0.25467298169269798</v>
      </c>
      <c r="R4145">
        <v>0.98735187180197803</v>
      </c>
      <c r="S4145" t="s">
        <v>8441</v>
      </c>
      <c r="T4145" t="s">
        <v>8590</v>
      </c>
      <c r="U4145" t="s">
        <v>8590</v>
      </c>
      <c r="V4145" t="s">
        <v>8590</v>
      </c>
      <c r="W4145">
        <v>2</v>
      </c>
      <c r="X4145" t="s">
        <v>12735</v>
      </c>
      <c r="Y4145">
        <v>0.58841363021025872</v>
      </c>
      <c r="Z4145" t="str">
        <f>HYPERLINK("Melting_Curves/meltCurve_tr_I3L2J0_I3L2J0_HUMAN_.pdf", "Melting_Curves/meltCurve_tr_I3L2J0_I3L2J0_HUMAN_.pdf")</f>
        <v>Melting_Curves/meltCurve_tr_I3L2J0_I3L2J0_HUMAN_.pdf</v>
      </c>
      <c r="AA4145" t="s">
        <v>16947</v>
      </c>
      <c r="AB4145" t="s">
        <v>21207</v>
      </c>
    </row>
    <row r="4146" spans="1:28" x14ac:dyDescent="0.25">
      <c r="A4146" t="s">
        <v>4150</v>
      </c>
      <c r="B4146">
        <v>0.99876560204751996</v>
      </c>
      <c r="C4146">
        <v>1.0012840283543301</v>
      </c>
      <c r="D4146">
        <v>0.88457310024866698</v>
      </c>
      <c r="E4146">
        <v>0.80276819971296898</v>
      </c>
      <c r="F4146">
        <v>0.76397261823251905</v>
      </c>
      <c r="G4146">
        <v>0.54828052316710496</v>
      </c>
      <c r="H4146">
        <v>0.52999863398831304</v>
      </c>
      <c r="I4146">
        <v>0.46220456368989099</v>
      </c>
      <c r="J4146">
        <v>0.66729211095556795</v>
      </c>
      <c r="K4146">
        <v>0.64778272137300197</v>
      </c>
      <c r="L4146">
        <v>914.75166457469004</v>
      </c>
      <c r="M4146">
        <v>18.1262265999916</v>
      </c>
      <c r="O4146">
        <v>49.863420882191903</v>
      </c>
      <c r="P4146">
        <v>-3.9520108296300697E-2</v>
      </c>
      <c r="Q4146">
        <v>0.56515739348122296</v>
      </c>
      <c r="R4146">
        <v>0.86897442021051696</v>
      </c>
      <c r="S4146" t="s">
        <v>8442</v>
      </c>
      <c r="T4146" t="s">
        <v>8590</v>
      </c>
      <c r="U4146" t="s">
        <v>8590</v>
      </c>
      <c r="V4146" t="s">
        <v>8590</v>
      </c>
      <c r="W4146">
        <v>2</v>
      </c>
      <c r="X4146" t="s">
        <v>12736</v>
      </c>
      <c r="Y4146">
        <v>0.72413206397210883</v>
      </c>
      <c r="Z4146" t="str">
        <f>HYPERLINK("Melting_Curves/meltCurve_tr_I3L2L5_I3L2L5_HUMAN_.pdf", "Melting_Curves/meltCurve_tr_I3L2L5_I3L2L5_HUMAN_.pdf")</f>
        <v>Melting_Curves/meltCurve_tr_I3L2L5_I3L2L5_HUMAN_.pdf</v>
      </c>
      <c r="AA4146" t="s">
        <v>16948</v>
      </c>
      <c r="AB4146" t="s">
        <v>21208</v>
      </c>
    </row>
    <row r="4147" spans="1:28" x14ac:dyDescent="0.25">
      <c r="A4147" t="s">
        <v>4151</v>
      </c>
      <c r="B4147">
        <v>0.99876560204751996</v>
      </c>
      <c r="C4147">
        <v>0.93519967486226796</v>
      </c>
      <c r="D4147">
        <v>1.0856282411326501</v>
      </c>
      <c r="E4147">
        <v>0.91144469923558202</v>
      </c>
      <c r="F4147">
        <v>0.86996775085127798</v>
      </c>
      <c r="G4147">
        <v>0.65813116067734101</v>
      </c>
      <c r="H4147">
        <v>0.53537688853664001</v>
      </c>
      <c r="I4147">
        <v>0.52022680260093002</v>
      </c>
      <c r="J4147">
        <v>0.60659838339465999</v>
      </c>
      <c r="K4147">
        <v>0.75157091907318896</v>
      </c>
      <c r="L4147">
        <v>1803.4890584248701</v>
      </c>
      <c r="M4147">
        <v>33.545605985709301</v>
      </c>
      <c r="O4147">
        <v>53.572325919877798</v>
      </c>
      <c r="P4147">
        <v>-6.2115741124717398E-2</v>
      </c>
      <c r="Q4147">
        <v>0.603206355486958</v>
      </c>
      <c r="R4147">
        <v>0.86088341181970096</v>
      </c>
      <c r="S4147" t="s">
        <v>8443</v>
      </c>
      <c r="T4147" t="s">
        <v>8590</v>
      </c>
      <c r="U4147" t="s">
        <v>8590</v>
      </c>
      <c r="V4147" t="s">
        <v>8590</v>
      </c>
      <c r="W4147">
        <v>10</v>
      </c>
      <c r="X4147" t="s">
        <v>12737</v>
      </c>
      <c r="Y4147">
        <v>0.78732177986319174</v>
      </c>
      <c r="Z4147" t="str">
        <f>HYPERLINK("Melting_Curves/meltCurve_tr_I3L397_I3L397_HUMAN_.pdf", "Melting_Curves/meltCurve_tr_I3L397_I3L397_HUMAN_.pdf")</f>
        <v>Melting_Curves/meltCurve_tr_I3L397_I3L397_HUMAN_.pdf</v>
      </c>
      <c r="AA4147" t="s">
        <v>16949</v>
      </c>
      <c r="AB4147" t="s">
        <v>21209</v>
      </c>
    </row>
    <row r="4148" spans="1:28" x14ac:dyDescent="0.25">
      <c r="A4148" t="s">
        <v>4152</v>
      </c>
      <c r="B4148">
        <v>0.99876560204751996</v>
      </c>
      <c r="C4148">
        <v>0.95906864209507603</v>
      </c>
      <c r="D4148">
        <v>0.97524592192501403</v>
      </c>
      <c r="E4148">
        <v>0.72101665150410899</v>
      </c>
      <c r="F4148">
        <v>1.0532744871979001</v>
      </c>
      <c r="G4148">
        <v>0.74635042246111605</v>
      </c>
      <c r="H4148">
        <v>0.66829496466920302</v>
      </c>
      <c r="I4148">
        <v>0.65922690406356799</v>
      </c>
      <c r="J4148">
        <v>0.84762881395117895</v>
      </c>
      <c r="K4148">
        <v>0.713089671957293</v>
      </c>
      <c r="L4148">
        <v>556.56130012730898</v>
      </c>
      <c r="M4148">
        <v>10.6719920733852</v>
      </c>
      <c r="O4148">
        <v>50.420441391419303</v>
      </c>
      <c r="P4148">
        <v>-1.58775202792261E-2</v>
      </c>
      <c r="Q4148">
        <v>0.70005672748998604</v>
      </c>
      <c r="R4148">
        <v>0.48966252089616402</v>
      </c>
      <c r="S4148" t="s">
        <v>8444</v>
      </c>
      <c r="T4148" t="s">
        <v>8590</v>
      </c>
      <c r="U4148" t="s">
        <v>8590</v>
      </c>
      <c r="V4148" t="s">
        <v>8590</v>
      </c>
      <c r="W4148">
        <v>2</v>
      </c>
      <c r="X4148" t="s">
        <v>12738</v>
      </c>
      <c r="Y4148">
        <v>0.83200037924591341</v>
      </c>
      <c r="Z4148" t="str">
        <f>HYPERLINK("Melting_Curves/meltCurve_tr_I3L4C3_I3L4C3_HUMAN_.pdf", "Melting_Curves/meltCurve_tr_I3L4C3_I3L4C3_HUMAN_.pdf")</f>
        <v>Melting_Curves/meltCurve_tr_I3L4C3_I3L4C3_HUMAN_.pdf</v>
      </c>
      <c r="AA4148" t="s">
        <v>16950</v>
      </c>
      <c r="AB4148" t="s">
        <v>21210</v>
      </c>
    </row>
    <row r="4149" spans="1:28" x14ac:dyDescent="0.25">
      <c r="A4149" t="s">
        <v>4153</v>
      </c>
      <c r="B4149">
        <v>0.99876560204751996</v>
      </c>
      <c r="C4149">
        <v>1.4372729499443899</v>
      </c>
      <c r="D4149">
        <v>1.5366100793372499</v>
      </c>
      <c r="E4149">
        <v>1.1402140703314301</v>
      </c>
      <c r="F4149">
        <v>0.86109155742443499</v>
      </c>
      <c r="G4149">
        <v>0.70064125597287397</v>
      </c>
      <c r="H4149">
        <v>0.37332338971003298</v>
      </c>
      <c r="I4149">
        <v>0.197189219650409</v>
      </c>
      <c r="J4149">
        <v>0.18528468713975799</v>
      </c>
      <c r="K4149">
        <v>6.4629046695939593E-2</v>
      </c>
      <c r="L4149">
        <v>1362.7315974657399</v>
      </c>
      <c r="M4149">
        <v>23.163041899865199</v>
      </c>
      <c r="N4149">
        <v>59.307619026674097</v>
      </c>
      <c r="O4149">
        <v>58.398890262409402</v>
      </c>
      <c r="P4149">
        <v>-9.0757895839348096E-2</v>
      </c>
      <c r="Q4149">
        <v>8.4737532787547601E-2</v>
      </c>
      <c r="R4149">
        <v>0.79867099558755095</v>
      </c>
      <c r="S4149" t="s">
        <v>8445</v>
      </c>
      <c r="T4149" t="s">
        <v>8590</v>
      </c>
      <c r="U4149" t="s">
        <v>8590</v>
      </c>
      <c r="V4149" t="s">
        <v>8590</v>
      </c>
      <c r="W4149">
        <v>2</v>
      </c>
      <c r="X4149" t="s">
        <v>12739</v>
      </c>
      <c r="Y4149">
        <v>0.66756678582507489</v>
      </c>
      <c r="Z4149" t="str">
        <f>HYPERLINK("Melting_Curves/meltCurve_tr_I3L4X3_I3L4X3_HUMAN_.pdf", "Melting_Curves/meltCurve_tr_I3L4X3_I3L4X3_HUMAN_.pdf")</f>
        <v>Melting_Curves/meltCurve_tr_I3L4X3_I3L4X3_HUMAN_.pdf</v>
      </c>
      <c r="AA4149" t="s">
        <v>16951</v>
      </c>
      <c r="AB4149" t="s">
        <v>21211</v>
      </c>
    </row>
    <row r="4150" spans="1:28" x14ac:dyDescent="0.25">
      <c r="A4150" t="s">
        <v>4154</v>
      </c>
      <c r="B4150">
        <v>0.99876560204751996</v>
      </c>
      <c r="C4150">
        <v>1.00382688021236</v>
      </c>
      <c r="D4150">
        <v>0.85231211261334505</v>
      </c>
      <c r="E4150">
        <v>0.62027045435759098</v>
      </c>
      <c r="F4150">
        <v>0.36996413974242198</v>
      </c>
      <c r="G4150">
        <v>0.197038490552081</v>
      </c>
      <c r="H4150">
        <v>0.12270999476951</v>
      </c>
      <c r="I4150">
        <v>8.8551737891092497E-2</v>
      </c>
      <c r="J4150">
        <v>9.6810726466494496E-2</v>
      </c>
      <c r="K4150">
        <v>0.108955881903489</v>
      </c>
      <c r="L4150">
        <v>931.96944912527999</v>
      </c>
      <c r="M4150">
        <v>18.356825232755298</v>
      </c>
      <c r="N4150">
        <v>51.295577635746398</v>
      </c>
      <c r="O4150">
        <v>50.178639134166502</v>
      </c>
      <c r="P4150">
        <v>-8.3615882295555194E-2</v>
      </c>
      <c r="Q4150">
        <v>8.5780902783136104E-2</v>
      </c>
      <c r="R4150">
        <v>0.99787330037704203</v>
      </c>
      <c r="S4150" t="s">
        <v>8446</v>
      </c>
      <c r="T4150" t="s">
        <v>8590</v>
      </c>
      <c r="U4150" t="s">
        <v>8590</v>
      </c>
      <c r="V4150" t="s">
        <v>8590</v>
      </c>
      <c r="W4150">
        <v>3</v>
      </c>
      <c r="X4150" t="s">
        <v>12740</v>
      </c>
      <c r="Y4150">
        <v>0.42887438443867271</v>
      </c>
      <c r="Z4150" t="str">
        <f>HYPERLINK("Melting_Curves/meltCurve_tr_I3L521_I3L521_HUMAN_.pdf", "Melting_Curves/meltCurve_tr_I3L521_I3L521_HUMAN_.pdf")</f>
        <v>Melting_Curves/meltCurve_tr_I3L521_I3L521_HUMAN_.pdf</v>
      </c>
      <c r="AB4150" t="s">
        <v>21156</v>
      </c>
    </row>
    <row r="4151" spans="1:28" x14ac:dyDescent="0.25">
      <c r="A4151" t="s">
        <v>4155</v>
      </c>
      <c r="B4151">
        <v>0.99876560204751996</v>
      </c>
      <c r="C4151">
        <v>0.95501456055684897</v>
      </c>
      <c r="D4151">
        <v>1.04556280375719</v>
      </c>
      <c r="E4151">
        <v>0.93925290971472997</v>
      </c>
      <c r="F4151">
        <v>1.00159342259422</v>
      </c>
      <c r="G4151">
        <v>0.81296616092476504</v>
      </c>
      <c r="H4151">
        <v>0.72804471390461101</v>
      </c>
      <c r="I4151">
        <v>0.60200316248951002</v>
      </c>
      <c r="J4151">
        <v>0.59271404828824703</v>
      </c>
      <c r="K4151">
        <v>0.49342654451211598</v>
      </c>
      <c r="L4151">
        <v>930.13544157431795</v>
      </c>
      <c r="M4151">
        <v>15.356020039374</v>
      </c>
      <c r="O4151">
        <v>59.572049577256898</v>
      </c>
      <c r="P4151">
        <v>-3.51757676232178E-2</v>
      </c>
      <c r="Q4151">
        <v>0.45420767482570701</v>
      </c>
      <c r="R4151">
        <v>0.96426947736136703</v>
      </c>
      <c r="S4151" t="s">
        <v>8447</v>
      </c>
      <c r="T4151" t="s">
        <v>8590</v>
      </c>
      <c r="U4151" t="s">
        <v>8590</v>
      </c>
      <c r="V4151" t="s">
        <v>8590</v>
      </c>
      <c r="W4151">
        <v>8</v>
      </c>
      <c r="X4151" t="s">
        <v>12741</v>
      </c>
      <c r="Y4151">
        <v>0.83111658733758886</v>
      </c>
      <c r="Z4151" t="str">
        <f>HYPERLINK("Melting_Curves/meltCurve_tr_J3KMY5_J3KMY5_HUMAN_.pdf", "Melting_Curves/meltCurve_tr_J3KMY5_J3KMY5_HUMAN_.pdf")</f>
        <v>Melting_Curves/meltCurve_tr_J3KMY5_J3KMY5_HUMAN_.pdf</v>
      </c>
      <c r="AA4151" t="s">
        <v>16952</v>
      </c>
      <c r="AB4151" t="s">
        <v>21212</v>
      </c>
    </row>
    <row r="4152" spans="1:28" x14ac:dyDescent="0.25">
      <c r="A4152" t="s">
        <v>4156</v>
      </c>
      <c r="B4152">
        <v>0.99876560204751996</v>
      </c>
      <c r="C4152">
        <v>0.94568590057953505</v>
      </c>
      <c r="D4152">
        <v>0.82636659576087201</v>
      </c>
      <c r="E4152">
        <v>0.879660438216469</v>
      </c>
      <c r="F4152">
        <v>1.02734844714953</v>
      </c>
      <c r="G4152">
        <v>0.86228725907789505</v>
      </c>
      <c r="H4152">
        <v>0.76981599865477401</v>
      </c>
      <c r="I4152">
        <v>0.76240709157980102</v>
      </c>
      <c r="J4152">
        <v>0.91134055541743597</v>
      </c>
      <c r="K4152">
        <v>0.87095899173984503</v>
      </c>
      <c r="L4152">
        <v>347.81317399470902</v>
      </c>
      <c r="M4152">
        <v>7.4764590998109703</v>
      </c>
      <c r="O4152">
        <v>43.541519931895301</v>
      </c>
      <c r="P4152">
        <v>-7.32563503888887E-3</v>
      </c>
      <c r="Q4152">
        <v>0.82959527997514404</v>
      </c>
      <c r="R4152">
        <v>0.25590800916901102</v>
      </c>
      <c r="S4152" t="s">
        <v>8448</v>
      </c>
      <c r="T4152" t="s">
        <v>8590</v>
      </c>
      <c r="U4152" t="s">
        <v>8590</v>
      </c>
      <c r="V4152" t="s">
        <v>8590</v>
      </c>
      <c r="W4152">
        <v>11</v>
      </c>
      <c r="X4152" t="s">
        <v>12742</v>
      </c>
      <c r="Y4152">
        <v>0.88210962160350914</v>
      </c>
      <c r="Z4152" t="str">
        <f>HYPERLINK("Melting_Curves/meltCurve_tr_J3KN29_J3KN29_HUMAN_.pdf", "Melting_Curves/meltCurve_tr_J3KN29_J3KN29_HUMAN_.pdf")</f>
        <v>Melting_Curves/meltCurve_tr_J3KN29_J3KN29_HUMAN_.pdf</v>
      </c>
      <c r="AA4152" t="s">
        <v>16953</v>
      </c>
      <c r="AB4152" t="s">
        <v>21213</v>
      </c>
    </row>
    <row r="4153" spans="1:28" x14ac:dyDescent="0.25">
      <c r="A4153" t="s">
        <v>4157</v>
      </c>
      <c r="B4153">
        <v>0.99876560204751996</v>
      </c>
      <c r="C4153">
        <v>0.99510816169448502</v>
      </c>
      <c r="D4153">
        <v>0.99509833116231305</v>
      </c>
      <c r="E4153">
        <v>0.89284989546429205</v>
      </c>
      <c r="F4153">
        <v>0.88786648341711005</v>
      </c>
      <c r="G4153">
        <v>0.70371909676466704</v>
      </c>
      <c r="H4153">
        <v>0.64326250378277805</v>
      </c>
      <c r="I4153">
        <v>0.52361947289246702</v>
      </c>
      <c r="J4153">
        <v>0.81600414894777396</v>
      </c>
      <c r="K4153">
        <v>0.79639940932033404</v>
      </c>
      <c r="L4153">
        <v>1466.3457273300201</v>
      </c>
      <c r="M4153">
        <v>27.758114062207401</v>
      </c>
      <c r="O4153">
        <v>52.5539540809946</v>
      </c>
      <c r="P4153">
        <v>-4.0732527715684197E-2</v>
      </c>
      <c r="Q4153">
        <v>0.69152999901005996</v>
      </c>
      <c r="R4153">
        <v>0.72805737486729905</v>
      </c>
      <c r="S4153" t="s">
        <v>8449</v>
      </c>
      <c r="T4153" t="s">
        <v>8590</v>
      </c>
      <c r="U4153" t="s">
        <v>8590</v>
      </c>
      <c r="V4153" t="s">
        <v>8590</v>
      </c>
      <c r="W4153">
        <v>5</v>
      </c>
      <c r="X4153" t="s">
        <v>12743</v>
      </c>
      <c r="Y4153">
        <v>0.82573151326116589</v>
      </c>
      <c r="Z4153" t="str">
        <f>HYPERLINK("Melting_Curves/meltCurve_tr_J3KN66_J3KN66_HUMAN_.pdf", "Melting_Curves/meltCurve_tr_J3KN66_J3KN66_HUMAN_.pdf")</f>
        <v>Melting_Curves/meltCurve_tr_J3KN66_J3KN66_HUMAN_.pdf</v>
      </c>
      <c r="AA4153" t="s">
        <v>14826</v>
      </c>
      <c r="AB4153" t="s">
        <v>19062</v>
      </c>
    </row>
    <row r="4154" spans="1:28" x14ac:dyDescent="0.25">
      <c r="A4154" t="s">
        <v>4158</v>
      </c>
      <c r="B4154">
        <v>0.99876560204751996</v>
      </c>
      <c r="C4154">
        <v>1.0367255700312801</v>
      </c>
      <c r="D4154">
        <v>0.98272627783661104</v>
      </c>
      <c r="E4154">
        <v>0.82584066433487402</v>
      </c>
      <c r="F4154">
        <v>0.403532153709668</v>
      </c>
      <c r="G4154">
        <v>0.142182216981596</v>
      </c>
      <c r="H4154">
        <v>6.9696215700010805E-2</v>
      </c>
      <c r="I4154">
        <v>5.2603927784088997E-2</v>
      </c>
      <c r="J4154">
        <v>4.0061910868615103E-2</v>
      </c>
      <c r="K4154">
        <v>4.04706634747889E-2</v>
      </c>
      <c r="L4154">
        <v>1641.89188037706</v>
      </c>
      <c r="M4154">
        <v>31.434955513081</v>
      </c>
      <c r="N4154">
        <v>52.4128222765749</v>
      </c>
      <c r="O4154">
        <v>52.0213980916295</v>
      </c>
      <c r="P4154">
        <v>-0.143281020495311</v>
      </c>
      <c r="Q4154">
        <v>5.1547876602670802E-2</v>
      </c>
      <c r="R4154">
        <v>0.99837159032146705</v>
      </c>
      <c r="S4154" t="s">
        <v>8450</v>
      </c>
      <c r="T4154" t="s">
        <v>8590</v>
      </c>
      <c r="U4154" t="s">
        <v>8590</v>
      </c>
      <c r="V4154" t="s">
        <v>8590</v>
      </c>
      <c r="W4154">
        <v>7</v>
      </c>
      <c r="X4154" t="s">
        <v>12744</v>
      </c>
      <c r="Y4154">
        <v>0.44378820244075717</v>
      </c>
      <c r="Z4154" t="str">
        <f>HYPERLINK("Melting_Curves/meltCurve_tr_J3KN75_J3KN75_HUMAN_.pdf", "Melting_Curves/meltCurve_tr_J3KN75_J3KN75_HUMAN_.pdf")</f>
        <v>Melting_Curves/meltCurve_tr_J3KN75_J3KN75_HUMAN_.pdf</v>
      </c>
      <c r="AA4154" t="s">
        <v>16954</v>
      </c>
      <c r="AB4154" t="s">
        <v>21214</v>
      </c>
    </row>
    <row r="4155" spans="1:28" x14ac:dyDescent="0.25">
      <c r="A4155" t="s">
        <v>4159</v>
      </c>
      <c r="B4155">
        <v>0.99876560204751996</v>
      </c>
      <c r="C4155">
        <v>1.1066077059156501</v>
      </c>
      <c r="D4155">
        <v>0.81532724655117195</v>
      </c>
      <c r="E4155">
        <v>1.0301504629518501</v>
      </c>
      <c r="F4155">
        <v>0.85427580580103302</v>
      </c>
      <c r="G4155">
        <v>0.65436383429029199</v>
      </c>
      <c r="H4155">
        <v>0.50582245626491096</v>
      </c>
      <c r="I4155">
        <v>0.42953277219077801</v>
      </c>
      <c r="J4155">
        <v>0.40185905651437898</v>
      </c>
      <c r="K4155">
        <v>0.33304715134801899</v>
      </c>
      <c r="L4155">
        <v>990.88017114289198</v>
      </c>
      <c r="M4155">
        <v>17.338746162145899</v>
      </c>
      <c r="N4155">
        <v>60.979724570747699</v>
      </c>
      <c r="O4155">
        <v>56.404371664916702</v>
      </c>
      <c r="P4155">
        <v>-5.1354820512941601E-2</v>
      </c>
      <c r="Q4155">
        <v>0.33179218563123603</v>
      </c>
      <c r="R4155">
        <v>0.93102532913153901</v>
      </c>
      <c r="S4155" t="s">
        <v>8451</v>
      </c>
      <c r="T4155" t="s">
        <v>8590</v>
      </c>
      <c r="U4155" t="s">
        <v>8590</v>
      </c>
      <c r="V4155" t="s">
        <v>8590</v>
      </c>
      <c r="W4155">
        <v>1</v>
      </c>
      <c r="X4155" t="s">
        <v>12745</v>
      </c>
      <c r="Y4155">
        <v>0.72310909589218297</v>
      </c>
      <c r="Z4155" t="str">
        <f>HYPERLINK("Melting_Curves/meltCurve_tr_J3KNC0_J3KNC0_HUMAN_.pdf", "Melting_Curves/meltCurve_tr_J3KNC0_J3KNC0_HUMAN_.pdf")</f>
        <v>Melting_Curves/meltCurve_tr_J3KNC0_J3KNC0_HUMAN_.pdf</v>
      </c>
      <c r="AA4155" t="s">
        <v>16955</v>
      </c>
      <c r="AB4155" t="s">
        <v>21215</v>
      </c>
    </row>
    <row r="4156" spans="1:28" x14ac:dyDescent="0.25">
      <c r="A4156" t="s">
        <v>4160</v>
      </c>
      <c r="B4156">
        <v>0.99876560204751996</v>
      </c>
      <c r="C4156">
        <v>0.92448433086715498</v>
      </c>
      <c r="D4156">
        <v>0.963536934253586</v>
      </c>
      <c r="E4156">
        <v>0.86845631778606902</v>
      </c>
      <c r="F4156">
        <v>0.70173645867268197</v>
      </c>
      <c r="G4156">
        <v>0.27565861309363399</v>
      </c>
      <c r="H4156">
        <v>9.4073255342321999E-2</v>
      </c>
      <c r="I4156">
        <v>0.13437849765745299</v>
      </c>
      <c r="J4156">
        <v>8.6675709836828402E-2</v>
      </c>
      <c r="K4156">
        <v>8.8825358645649805E-2</v>
      </c>
      <c r="L4156">
        <v>1388.40811395587</v>
      </c>
      <c r="M4156">
        <v>25.608123351389199</v>
      </c>
      <c r="N4156">
        <v>54.596466685875399</v>
      </c>
      <c r="O4156">
        <v>53.890116653941902</v>
      </c>
      <c r="P4156">
        <v>-0.10912582535094099</v>
      </c>
      <c r="Q4156">
        <v>8.1427395357172E-2</v>
      </c>
      <c r="R4156">
        <v>0.99252062647129102</v>
      </c>
      <c r="S4156" t="s">
        <v>8452</v>
      </c>
      <c r="T4156" t="s">
        <v>8590</v>
      </c>
      <c r="U4156" t="s">
        <v>8590</v>
      </c>
      <c r="V4156" t="s">
        <v>8590</v>
      </c>
      <c r="W4156">
        <v>2</v>
      </c>
      <c r="X4156" t="s">
        <v>12746</v>
      </c>
      <c r="Y4156">
        <v>0.52489482263815046</v>
      </c>
      <c r="Z4156" t="str">
        <f>HYPERLINK("Melting_Curves/meltCurve_tr_J3KND1_J3KND1_HUMAN_.pdf", "Melting_Curves/meltCurve_tr_J3KND1_J3KND1_HUMAN_.pdf")</f>
        <v>Melting_Curves/meltCurve_tr_J3KND1_J3KND1_HUMAN_.pdf</v>
      </c>
      <c r="AA4156" t="s">
        <v>16956</v>
      </c>
      <c r="AB4156" t="s">
        <v>21216</v>
      </c>
    </row>
    <row r="4157" spans="1:28" x14ac:dyDescent="0.25">
      <c r="A4157" t="s">
        <v>4161</v>
      </c>
      <c r="B4157">
        <v>0.99876560204751996</v>
      </c>
      <c r="C4157">
        <v>0.87972587496261501</v>
      </c>
      <c r="D4157">
        <v>1.00321832155596</v>
      </c>
      <c r="E4157">
        <v>1.0610698122170801</v>
      </c>
      <c r="F4157">
        <v>0.90753079733586905</v>
      </c>
      <c r="G4157">
        <v>0.58718015314891103</v>
      </c>
      <c r="H4157">
        <v>0.422156401831077</v>
      </c>
      <c r="I4157">
        <v>0.38791218972836</v>
      </c>
      <c r="J4157">
        <v>0.37166579565675401</v>
      </c>
      <c r="K4157">
        <v>0.340794323466313</v>
      </c>
      <c r="L4157">
        <v>1890.17938012433</v>
      </c>
      <c r="M4157">
        <v>33.755588366241597</v>
      </c>
      <c r="N4157">
        <v>58.283448924034502</v>
      </c>
      <c r="O4157">
        <v>55.800611930365001</v>
      </c>
      <c r="P4157">
        <v>-9.5720358743862505E-2</v>
      </c>
      <c r="Q4157">
        <v>0.36706980310570603</v>
      </c>
      <c r="R4157">
        <v>0.97413658865043795</v>
      </c>
      <c r="S4157" t="s">
        <v>8453</v>
      </c>
      <c r="T4157" t="s">
        <v>8590</v>
      </c>
      <c r="U4157" t="s">
        <v>8590</v>
      </c>
      <c r="V4157" t="s">
        <v>8590</v>
      </c>
      <c r="W4157">
        <v>1</v>
      </c>
      <c r="X4157" t="s">
        <v>12747</v>
      </c>
      <c r="Y4157">
        <v>0.70793349631391211</v>
      </c>
      <c r="Z4157" t="str">
        <f>HYPERLINK("Melting_Curves/meltCurve_tr_J3KNE2_J3KNE2_HUMAN_.pdf", "Melting_Curves/meltCurve_tr_J3KNE2_J3KNE2_HUMAN_.pdf")</f>
        <v>Melting_Curves/meltCurve_tr_J3KNE2_J3KNE2_HUMAN_.pdf</v>
      </c>
      <c r="AA4157" t="s">
        <v>16957</v>
      </c>
      <c r="AB4157" t="s">
        <v>21217</v>
      </c>
    </row>
    <row r="4158" spans="1:28" x14ac:dyDescent="0.25">
      <c r="A4158" t="s">
        <v>4162</v>
      </c>
      <c r="B4158">
        <v>0.99876560204751996</v>
      </c>
      <c r="C4158">
        <v>0.96649384048720799</v>
      </c>
      <c r="D4158">
        <v>0.994564256401124</v>
      </c>
      <c r="E4158">
        <v>0.87500043036692698</v>
      </c>
      <c r="F4158">
        <v>0.84253619678892699</v>
      </c>
      <c r="G4158">
        <v>0.63255490975042805</v>
      </c>
      <c r="H4158">
        <v>0.47923243315410702</v>
      </c>
      <c r="I4158">
        <v>0.41703113418521198</v>
      </c>
      <c r="J4158">
        <v>0.451014896088133</v>
      </c>
      <c r="K4158">
        <v>0.449273626481967</v>
      </c>
      <c r="L4158">
        <v>1016.1467754274501</v>
      </c>
      <c r="M4158">
        <v>18.422042337902599</v>
      </c>
      <c r="N4158">
        <v>60.921436885702597</v>
      </c>
      <c r="O4158">
        <v>54.5216453616991</v>
      </c>
      <c r="P4158">
        <v>-4.9633171948277897E-2</v>
      </c>
      <c r="Q4158">
        <v>0.41245161244085399</v>
      </c>
      <c r="R4158">
        <v>0.98701955627959403</v>
      </c>
      <c r="S4158" t="s">
        <v>8454</v>
      </c>
      <c r="T4158" t="s">
        <v>8590</v>
      </c>
      <c r="U4158" t="s">
        <v>8590</v>
      </c>
      <c r="V4158" t="s">
        <v>8590</v>
      </c>
      <c r="W4158">
        <v>13</v>
      </c>
      <c r="X4158" t="s">
        <v>12748</v>
      </c>
      <c r="Y4158">
        <v>0.71809828893530203</v>
      </c>
      <c r="Z4158" t="str">
        <f>HYPERLINK("Melting_Curves/meltCurve_tr_J3KNF4_J3KNF4_HUMAN_.pdf", "Melting_Curves/meltCurve_tr_J3KNF4_J3KNF4_HUMAN_.pdf")</f>
        <v>Melting_Curves/meltCurve_tr_J3KNF4_J3KNF4_HUMAN_.pdf</v>
      </c>
      <c r="AA4158" t="s">
        <v>16958</v>
      </c>
      <c r="AB4158" t="s">
        <v>21218</v>
      </c>
    </row>
    <row r="4159" spans="1:28" x14ac:dyDescent="0.25">
      <c r="A4159" t="s">
        <v>4163</v>
      </c>
      <c r="B4159">
        <v>0.99876560204751996</v>
      </c>
      <c r="C4159">
        <v>1.07081323246403</v>
      </c>
      <c r="D4159">
        <v>1.0599983725578299</v>
      </c>
      <c r="E4159">
        <v>0.92345175809781499</v>
      </c>
      <c r="F4159">
        <v>0.74890766637762496</v>
      </c>
      <c r="G4159">
        <v>0.58550161047363003</v>
      </c>
      <c r="H4159">
        <v>0.47609515379648798</v>
      </c>
      <c r="I4159">
        <v>0.36823182886782402</v>
      </c>
      <c r="J4159">
        <v>0.54423879632181404</v>
      </c>
      <c r="K4159">
        <v>0.52480003941565501</v>
      </c>
      <c r="L4159">
        <v>1491.50252444374</v>
      </c>
      <c r="M4159">
        <v>27.979410879243702</v>
      </c>
      <c r="N4159">
        <v>60.119865320021098</v>
      </c>
      <c r="O4159">
        <v>53.037081510977202</v>
      </c>
      <c r="P4159">
        <v>-6.8711841156281706E-2</v>
      </c>
      <c r="Q4159">
        <v>0.479010734893625</v>
      </c>
      <c r="R4159">
        <v>0.95143293026474096</v>
      </c>
      <c r="S4159" t="s">
        <v>8455</v>
      </c>
      <c r="T4159" t="s">
        <v>8590</v>
      </c>
      <c r="U4159" t="s">
        <v>8590</v>
      </c>
      <c r="V4159" t="s">
        <v>8590</v>
      </c>
      <c r="W4159">
        <v>17</v>
      </c>
      <c r="X4159" t="s">
        <v>12749</v>
      </c>
      <c r="Y4159">
        <v>0.71399024042975057</v>
      </c>
      <c r="Z4159" t="str">
        <f>HYPERLINK("Melting_Curves/meltCurve_tr_J3KNL6_J3KNL6_HUMAN_.pdf", "Melting_Curves/meltCurve_tr_J3KNL6_J3KNL6_HUMAN_.pdf")</f>
        <v>Melting_Curves/meltCurve_tr_J3KNL6_J3KNL6_HUMAN_.pdf</v>
      </c>
      <c r="AA4159" t="s">
        <v>16959</v>
      </c>
      <c r="AB4159" t="s">
        <v>21219</v>
      </c>
    </row>
    <row r="4160" spans="1:28" x14ac:dyDescent="0.25">
      <c r="A4160" t="s">
        <v>4164</v>
      </c>
      <c r="B4160">
        <v>0.99876560204751996</v>
      </c>
      <c r="C4160">
        <v>1.0042717801267</v>
      </c>
      <c r="D4160">
        <v>1.0924711474855799</v>
      </c>
      <c r="E4160">
        <v>0.86570972482600395</v>
      </c>
      <c r="F4160">
        <v>0.62730610198994696</v>
      </c>
      <c r="G4160">
        <v>0.44132546534196399</v>
      </c>
      <c r="H4160">
        <v>0.23560091631042401</v>
      </c>
      <c r="I4160">
        <v>0.20408463102928401</v>
      </c>
      <c r="J4160">
        <v>0.18126442466989601</v>
      </c>
      <c r="K4160">
        <v>0.15015871817253201</v>
      </c>
      <c r="L4160">
        <v>1051.8124708973901</v>
      </c>
      <c r="M4160">
        <v>19.3704396129835</v>
      </c>
      <c r="N4160">
        <v>55.369413643737097</v>
      </c>
      <c r="O4160">
        <v>53.731086633196703</v>
      </c>
      <c r="P4160">
        <v>-7.6063595665416095E-2</v>
      </c>
      <c r="Q4160">
        <v>0.15606898188081</v>
      </c>
      <c r="R4160">
        <v>0.98591178530562396</v>
      </c>
      <c r="S4160" t="s">
        <v>8456</v>
      </c>
      <c r="T4160" t="s">
        <v>8590</v>
      </c>
      <c r="U4160" t="s">
        <v>8590</v>
      </c>
      <c r="V4160" t="s">
        <v>8590</v>
      </c>
      <c r="W4160">
        <v>3</v>
      </c>
      <c r="X4160" t="s">
        <v>12750</v>
      </c>
      <c r="Y4160">
        <v>0.57033457892483297</v>
      </c>
      <c r="Z4160" t="str">
        <f>HYPERLINK("Melting_Curves/meltCurve_tr_J3KNN7_J3KNN7_HUMAN_.pdf", "Melting_Curves/meltCurve_tr_J3KNN7_J3KNN7_HUMAN_.pdf")</f>
        <v>Melting_Curves/meltCurve_tr_J3KNN7_J3KNN7_HUMAN_.pdf</v>
      </c>
      <c r="AA4160" t="s">
        <v>16960</v>
      </c>
      <c r="AB4160" t="s">
        <v>21220</v>
      </c>
    </row>
    <row r="4161" spans="1:28" x14ac:dyDescent="0.25">
      <c r="A4161" t="s">
        <v>4165</v>
      </c>
      <c r="B4161">
        <v>0.99876560204751996</v>
      </c>
      <c r="C4161">
        <v>0.99582589513439101</v>
      </c>
      <c r="D4161">
        <v>1.0328436761773301</v>
      </c>
      <c r="E4161">
        <v>0.934900384235824</v>
      </c>
      <c r="F4161">
        <v>0.94072199154247305</v>
      </c>
      <c r="G4161">
        <v>0.61224922785520197</v>
      </c>
      <c r="H4161">
        <v>0.59257445652694196</v>
      </c>
      <c r="I4161">
        <v>0.57082266670672199</v>
      </c>
      <c r="J4161">
        <v>0.82343619681319402</v>
      </c>
      <c r="K4161">
        <v>0.73725096734437701</v>
      </c>
      <c r="L4161">
        <v>13331.0316184024</v>
      </c>
      <c r="M4161">
        <v>250</v>
      </c>
      <c r="O4161">
        <v>53.3207019838961</v>
      </c>
      <c r="P4161">
        <v>-0.39001411896396598</v>
      </c>
      <c r="Q4161">
        <v>0.66726669891075996</v>
      </c>
      <c r="R4161">
        <v>0.82468288532190803</v>
      </c>
      <c r="S4161" t="s">
        <v>8457</v>
      </c>
      <c r="T4161" t="s">
        <v>8590</v>
      </c>
      <c r="U4161" t="s">
        <v>8590</v>
      </c>
      <c r="V4161" t="s">
        <v>8590</v>
      </c>
      <c r="W4161">
        <v>4</v>
      </c>
      <c r="X4161" t="s">
        <v>12751</v>
      </c>
      <c r="Y4161">
        <v>0.81507718995177469</v>
      </c>
      <c r="Z4161" t="str">
        <f>HYPERLINK("Melting_Curves/meltCurve_tr_J3KP15_J3KP15_HUMAN_.pdf", "Melting_Curves/meltCurve_tr_J3KP15_J3KP15_HUMAN_.pdf")</f>
        <v>Melting_Curves/meltCurve_tr_J3KP15_J3KP15_HUMAN_.pdf</v>
      </c>
      <c r="AA4161" t="s">
        <v>16961</v>
      </c>
      <c r="AB4161" t="s">
        <v>21221</v>
      </c>
    </row>
    <row r="4162" spans="1:28" x14ac:dyDescent="0.25">
      <c r="A4162" t="s">
        <v>4166</v>
      </c>
      <c r="B4162">
        <v>0.99876560204751996</v>
      </c>
      <c r="C4162">
        <v>0.90048898976438096</v>
      </c>
      <c r="D4162">
        <v>0.92905688484401105</v>
      </c>
      <c r="E4162">
        <v>0.85449464521597496</v>
      </c>
      <c r="F4162">
        <v>0.83860950959835801</v>
      </c>
      <c r="G4162">
        <v>0.60419079216855698</v>
      </c>
      <c r="H4162">
        <v>0.59280543426864296</v>
      </c>
      <c r="I4162">
        <v>0.51939157543991399</v>
      </c>
      <c r="J4162">
        <v>0.75309251884928397</v>
      </c>
      <c r="K4162">
        <v>0.69698983145508797</v>
      </c>
      <c r="L4162">
        <v>926.04772615337197</v>
      </c>
      <c r="M4162">
        <v>18.066717247806299</v>
      </c>
      <c r="O4162">
        <v>50.641506834678303</v>
      </c>
      <c r="P4162">
        <v>-3.3259103417914403E-2</v>
      </c>
      <c r="Q4162">
        <v>0.62711339462862603</v>
      </c>
      <c r="R4162">
        <v>0.75890130866906602</v>
      </c>
      <c r="S4162" t="s">
        <v>8458</v>
      </c>
      <c r="T4162" t="s">
        <v>8590</v>
      </c>
      <c r="U4162" t="s">
        <v>8590</v>
      </c>
      <c r="V4162" t="s">
        <v>8590</v>
      </c>
      <c r="W4162">
        <v>6</v>
      </c>
      <c r="X4162" t="s">
        <v>12752</v>
      </c>
      <c r="Y4162">
        <v>0.77325706902013158</v>
      </c>
      <c r="Z4162" t="str">
        <f>HYPERLINK("Melting_Curves/meltCurve_tr_J3KP19_J3KP19_HUMAN_.pdf", "Melting_Curves/meltCurve_tr_J3KP19_J3KP19_HUMAN_.pdf")</f>
        <v>Melting_Curves/meltCurve_tr_J3KP19_J3KP19_HUMAN_.pdf</v>
      </c>
      <c r="AA4162" t="s">
        <v>16962</v>
      </c>
      <c r="AB4162" t="s">
        <v>21222</v>
      </c>
    </row>
    <row r="4163" spans="1:28" x14ac:dyDescent="0.25">
      <c r="A4163" t="s">
        <v>4167</v>
      </c>
      <c r="B4163">
        <v>0.99876560204751996</v>
      </c>
      <c r="C4163">
        <v>1.04545415807931</v>
      </c>
      <c r="D4163">
        <v>0.94801934778364505</v>
      </c>
      <c r="E4163">
        <v>0.69808187736140304</v>
      </c>
      <c r="F4163">
        <v>0.69892420404177302</v>
      </c>
      <c r="G4163">
        <v>0.55166670335180301</v>
      </c>
      <c r="H4163">
        <v>0.51807753749447205</v>
      </c>
      <c r="I4163">
        <v>0.473578817536568</v>
      </c>
      <c r="J4163">
        <v>0.55275297163032999</v>
      </c>
      <c r="K4163">
        <v>0.49879177350652198</v>
      </c>
      <c r="L4163">
        <v>979.57235014740399</v>
      </c>
      <c r="M4163">
        <v>19.528264678605701</v>
      </c>
      <c r="O4163">
        <v>49.644657184860399</v>
      </c>
      <c r="P4163">
        <v>-4.8285789411835298E-2</v>
      </c>
      <c r="Q4163">
        <v>0.50901013144578799</v>
      </c>
      <c r="R4163">
        <v>0.96367796052370303</v>
      </c>
      <c r="S4163" t="s">
        <v>8459</v>
      </c>
      <c r="T4163" t="s">
        <v>8590</v>
      </c>
      <c r="U4163" t="s">
        <v>8590</v>
      </c>
      <c r="V4163" t="s">
        <v>8590</v>
      </c>
      <c r="W4163">
        <v>3</v>
      </c>
      <c r="X4163" t="s">
        <v>12753</v>
      </c>
      <c r="Y4163">
        <v>0.68247474926436313</v>
      </c>
      <c r="Z4163" t="str">
        <f>HYPERLINK("Melting_Curves/meltCurve_tr_J3KP30_J3KP30_HUMAN_.pdf", "Melting_Curves/meltCurve_tr_J3KP30_J3KP30_HUMAN_.pdf")</f>
        <v>Melting_Curves/meltCurve_tr_J3KP30_J3KP30_HUMAN_.pdf</v>
      </c>
      <c r="AA4163" t="s">
        <v>16963</v>
      </c>
      <c r="AB4163" t="s">
        <v>21223</v>
      </c>
    </row>
    <row r="4164" spans="1:28" x14ac:dyDescent="0.25">
      <c r="A4164" t="s">
        <v>4168</v>
      </c>
      <c r="B4164">
        <v>0.99876560204751996</v>
      </c>
      <c r="C4164">
        <v>1.1377925334415999</v>
      </c>
      <c r="D4164">
        <v>1.1068738177731701</v>
      </c>
      <c r="E4164">
        <v>0.80647383836568798</v>
      </c>
      <c r="F4164">
        <v>0.59584883703913705</v>
      </c>
      <c r="G4164">
        <v>0.30629157483672198</v>
      </c>
      <c r="H4164">
        <v>0.36940572944961902</v>
      </c>
      <c r="I4164">
        <v>0.30950376622638298</v>
      </c>
      <c r="J4164">
        <v>0.39022786805470799</v>
      </c>
      <c r="K4164">
        <v>0.318643224123001</v>
      </c>
      <c r="L4164">
        <v>1709.35231349796</v>
      </c>
      <c r="M4164">
        <v>32.943774346329597</v>
      </c>
      <c r="N4164">
        <v>53.694323970271597</v>
      </c>
      <c r="O4164">
        <v>51.696890023821098</v>
      </c>
      <c r="P4164">
        <v>-0.105937166688509</v>
      </c>
      <c r="Q4164">
        <v>0.33503703423060299</v>
      </c>
      <c r="R4164">
        <v>0.95851408525334503</v>
      </c>
      <c r="S4164" t="s">
        <v>8460</v>
      </c>
      <c r="T4164" t="s">
        <v>8590</v>
      </c>
      <c r="U4164" t="s">
        <v>8590</v>
      </c>
      <c r="V4164" t="s">
        <v>8590</v>
      </c>
      <c r="W4164">
        <v>11</v>
      </c>
      <c r="X4164" t="s">
        <v>12754</v>
      </c>
      <c r="Y4164">
        <v>0.60203600539190272</v>
      </c>
      <c r="Z4164" t="str">
        <f>HYPERLINK("Melting_Curves/meltCurve_tr_J3KP36_J3KP36_HUMAN_.pdf", "Melting_Curves/meltCurve_tr_J3KP36_J3KP36_HUMAN_.pdf")</f>
        <v>Melting_Curves/meltCurve_tr_J3KP36_J3KP36_HUMAN_.pdf</v>
      </c>
      <c r="AA4164" t="s">
        <v>16964</v>
      </c>
      <c r="AB4164" t="s">
        <v>21224</v>
      </c>
    </row>
    <row r="4165" spans="1:28" x14ac:dyDescent="0.25">
      <c r="A4165" t="s">
        <v>4169</v>
      </c>
      <c r="B4165">
        <v>0.99876560204751996</v>
      </c>
      <c r="C4165">
        <v>0.97136958965521703</v>
      </c>
      <c r="D4165">
        <v>0.93967715700494903</v>
      </c>
      <c r="E4165">
        <v>0.77897002875685395</v>
      </c>
      <c r="F4165">
        <v>0.74152249981399398</v>
      </c>
      <c r="G4165">
        <v>0.55829153977022306</v>
      </c>
      <c r="H4165">
        <v>0.45983131356823997</v>
      </c>
      <c r="I4165">
        <v>0.475855332739892</v>
      </c>
      <c r="J4165">
        <v>0.58114144678286395</v>
      </c>
      <c r="K4165">
        <v>0.48735466156642099</v>
      </c>
      <c r="L4165">
        <v>864.30097195840403</v>
      </c>
      <c r="M4165">
        <v>16.757989053069</v>
      </c>
      <c r="N4165">
        <v>65.730303911235893</v>
      </c>
      <c r="O4165">
        <v>50.857820254393701</v>
      </c>
      <c r="P4165">
        <v>-4.2306666528347102E-2</v>
      </c>
      <c r="Q4165">
        <v>0.48645767502450599</v>
      </c>
      <c r="R4165">
        <v>0.96096355605728401</v>
      </c>
      <c r="S4165" t="s">
        <v>8461</v>
      </c>
      <c r="T4165" t="s">
        <v>8590</v>
      </c>
      <c r="U4165" t="s">
        <v>8590</v>
      </c>
      <c r="V4165" t="s">
        <v>8590</v>
      </c>
      <c r="W4165">
        <v>4</v>
      </c>
      <c r="X4165" t="s">
        <v>12755</v>
      </c>
      <c r="Y4165">
        <v>0.69432370996987591</v>
      </c>
      <c r="Z4165" t="str">
        <f>HYPERLINK("Melting_Curves/meltCurve_tr_J3KPS2_J3KPS2_HUMAN_.pdf", "Melting_Curves/meltCurve_tr_J3KPS2_J3KPS2_HUMAN_.pdf")</f>
        <v>Melting_Curves/meltCurve_tr_J3KPS2_J3KPS2_HUMAN_.pdf</v>
      </c>
      <c r="AA4165" t="s">
        <v>16965</v>
      </c>
      <c r="AB4165" t="s">
        <v>21225</v>
      </c>
    </row>
    <row r="4166" spans="1:28" x14ac:dyDescent="0.25">
      <c r="A4166" t="s">
        <v>4170</v>
      </c>
      <c r="B4166">
        <v>0.99876560204751996</v>
      </c>
      <c r="C4166">
        <v>0.88749611948299401</v>
      </c>
      <c r="D4166">
        <v>0.91754900227024805</v>
      </c>
      <c r="E4166">
        <v>0.73234789611771101</v>
      </c>
      <c r="F4166">
        <v>0.45764253105374503</v>
      </c>
      <c r="G4166">
        <v>0.18072397391716699</v>
      </c>
      <c r="H4166">
        <v>0.10972360418225199</v>
      </c>
      <c r="I4166">
        <v>7.5891486969562993E-2</v>
      </c>
      <c r="J4166">
        <v>6.5122843354348606E-2</v>
      </c>
      <c r="K4166">
        <v>5.3442456818921402E-2</v>
      </c>
      <c r="L4166">
        <v>974.89384516136204</v>
      </c>
      <c r="M4166">
        <v>18.674313541759201</v>
      </c>
      <c r="N4166">
        <v>52.4600437830983</v>
      </c>
      <c r="O4166">
        <v>51.617468737531198</v>
      </c>
      <c r="P4166">
        <v>-8.6525575125542098E-2</v>
      </c>
      <c r="Q4166">
        <v>4.33831886907073E-2</v>
      </c>
      <c r="R4166">
        <v>0.99242731662837502</v>
      </c>
      <c r="S4166" t="s">
        <v>8462</v>
      </c>
      <c r="T4166" t="s">
        <v>8590</v>
      </c>
      <c r="U4166" t="s">
        <v>8590</v>
      </c>
      <c r="V4166" t="s">
        <v>8590</v>
      </c>
      <c r="W4166">
        <v>20</v>
      </c>
      <c r="X4166" t="s">
        <v>12756</v>
      </c>
      <c r="Y4166">
        <v>0.44747882044157189</v>
      </c>
      <c r="Z4166" t="str">
        <f>HYPERLINK("Melting_Curves/meltCurve_tr_J3KPV7_J3KPV7_HUMAN_.pdf", "Melting_Curves/meltCurve_tr_J3KPV7_J3KPV7_HUMAN_.pdf")</f>
        <v>Melting_Curves/meltCurve_tr_J3KPV7_J3KPV7_HUMAN_.pdf</v>
      </c>
      <c r="AA4166" t="s">
        <v>16966</v>
      </c>
      <c r="AB4166" t="s">
        <v>21226</v>
      </c>
    </row>
    <row r="4167" spans="1:28" x14ac:dyDescent="0.25">
      <c r="A4167" t="s">
        <v>4171</v>
      </c>
      <c r="B4167">
        <v>0.99876560204751996</v>
      </c>
      <c r="C4167">
        <v>0.97430699526822495</v>
      </c>
      <c r="D4167">
        <v>0.903794555829319</v>
      </c>
      <c r="E4167">
        <v>0.84676567168606998</v>
      </c>
      <c r="F4167">
        <v>0.51364539832310296</v>
      </c>
      <c r="G4167">
        <v>0.17790289450331101</v>
      </c>
      <c r="H4167">
        <v>0.130733135859114</v>
      </c>
      <c r="I4167">
        <v>8.3954638098422699E-2</v>
      </c>
      <c r="J4167">
        <v>6.3874897512855605E-2</v>
      </c>
      <c r="K4167">
        <v>5.2340095835782301E-2</v>
      </c>
      <c r="L4167">
        <v>1318.46254992903</v>
      </c>
      <c r="M4167">
        <v>24.9383706803502</v>
      </c>
      <c r="N4167">
        <v>53.168887953092899</v>
      </c>
      <c r="O4167">
        <v>52.532398388388003</v>
      </c>
      <c r="P4167">
        <v>-0.11089184129845001</v>
      </c>
      <c r="Q4167">
        <v>6.5643002831055605E-2</v>
      </c>
      <c r="R4167">
        <v>0.99450489185135904</v>
      </c>
      <c r="S4167" t="s">
        <v>8463</v>
      </c>
      <c r="T4167" t="s">
        <v>8590</v>
      </c>
      <c r="U4167" t="s">
        <v>8590</v>
      </c>
      <c r="V4167" t="s">
        <v>8590</v>
      </c>
      <c r="W4167">
        <v>3</v>
      </c>
      <c r="X4167" t="s">
        <v>12757</v>
      </c>
      <c r="Y4167">
        <v>0.47508045199232052</v>
      </c>
      <c r="Z4167" t="str">
        <f>HYPERLINK("Melting_Curves/meltCurve_tr_J3KQ72_J3KQ72_HUMAN_.pdf", "Melting_Curves/meltCurve_tr_J3KQ72_J3KQ72_HUMAN_.pdf")</f>
        <v>Melting_Curves/meltCurve_tr_J3KQ72_J3KQ72_HUMAN_.pdf</v>
      </c>
      <c r="AA4167" t="s">
        <v>16967</v>
      </c>
      <c r="AB4167" t="s">
        <v>21227</v>
      </c>
    </row>
    <row r="4168" spans="1:28" x14ac:dyDescent="0.25">
      <c r="A4168" t="s">
        <v>4172</v>
      </c>
      <c r="B4168">
        <v>0.99876560204751996</v>
      </c>
      <c r="C4168">
        <v>0.87914690428685904</v>
      </c>
      <c r="D4168">
        <v>0.74355361229194095</v>
      </c>
      <c r="E4168">
        <v>0.62661270409549596</v>
      </c>
      <c r="F4168">
        <v>0.35788662480014299</v>
      </c>
      <c r="G4168">
        <v>0.25046289860126802</v>
      </c>
      <c r="H4168">
        <v>0.18870953589827499</v>
      </c>
      <c r="I4168">
        <v>0.109233177222754</v>
      </c>
      <c r="J4168">
        <v>9.9272432887553996E-2</v>
      </c>
      <c r="K4168">
        <v>7.2631325422817694E-2</v>
      </c>
      <c r="L4168">
        <v>583.27513235917502</v>
      </c>
      <c r="M4168">
        <v>11.484083058091199</v>
      </c>
      <c r="N4168">
        <v>51.152005759708601</v>
      </c>
      <c r="O4168">
        <v>49.323056260926698</v>
      </c>
      <c r="P4168">
        <v>-5.5951908226918701E-2</v>
      </c>
      <c r="Q4168">
        <v>3.904229145707E-2</v>
      </c>
      <c r="R4168">
        <v>0.99054740189808699</v>
      </c>
      <c r="S4168" t="s">
        <v>8464</v>
      </c>
      <c r="T4168" t="s">
        <v>8590</v>
      </c>
      <c r="U4168" t="s">
        <v>8590</v>
      </c>
      <c r="V4168" t="s">
        <v>8590</v>
      </c>
      <c r="W4168">
        <v>5</v>
      </c>
      <c r="X4168" t="s">
        <v>12758</v>
      </c>
      <c r="Y4168">
        <v>0.41847338701036152</v>
      </c>
      <c r="Z4168" t="str">
        <f>HYPERLINK("Melting_Curves/meltCurve_tr_J3KQG4_J3KQG4_HUMAN_.pdf", "Melting_Curves/meltCurve_tr_J3KQG4_J3KQG4_HUMAN_.pdf")</f>
        <v>Melting_Curves/meltCurve_tr_J3KQG4_J3KQG4_HUMAN_.pdf</v>
      </c>
      <c r="AA4168" t="s">
        <v>16968</v>
      </c>
      <c r="AB4168" t="s">
        <v>21228</v>
      </c>
    </row>
    <row r="4169" spans="1:28" x14ac:dyDescent="0.25">
      <c r="A4169" t="s">
        <v>4173</v>
      </c>
      <c r="B4169">
        <v>0.99876560204751996</v>
      </c>
      <c r="C4169">
        <v>1.1180163368132801</v>
      </c>
      <c r="D4169">
        <v>0.99263825026395403</v>
      </c>
      <c r="E4169">
        <v>1.0280333403859701</v>
      </c>
      <c r="F4169">
        <v>1.1371673144186101</v>
      </c>
      <c r="G4169">
        <v>0.80121907961599903</v>
      </c>
      <c r="H4169">
        <v>0.51547225209535297</v>
      </c>
      <c r="I4169">
        <v>0.32397073209130101</v>
      </c>
      <c r="J4169">
        <v>0.28688376184365399</v>
      </c>
      <c r="K4169">
        <v>0.32911583109570097</v>
      </c>
      <c r="L4169">
        <v>2006.8875463509401</v>
      </c>
      <c r="M4169">
        <v>33.940147152629102</v>
      </c>
      <c r="N4169">
        <v>60.754211683964002</v>
      </c>
      <c r="O4169">
        <v>58.926053868657803</v>
      </c>
      <c r="P4169">
        <v>-0.101058173497778</v>
      </c>
      <c r="Q4169">
        <v>0.29818390678599599</v>
      </c>
      <c r="R4169">
        <v>0.96174662662061305</v>
      </c>
      <c r="S4169" t="s">
        <v>8465</v>
      </c>
      <c r="T4169" t="s">
        <v>8590</v>
      </c>
      <c r="U4169" t="s">
        <v>8590</v>
      </c>
      <c r="V4169" t="s">
        <v>8590</v>
      </c>
      <c r="W4169">
        <v>5</v>
      </c>
      <c r="X4169" t="s">
        <v>12759</v>
      </c>
      <c r="Y4169">
        <v>0.74939663559862169</v>
      </c>
      <c r="Z4169" t="str">
        <f>HYPERLINK("Melting_Curves/meltCurve_tr_J3KQS6_J3KQS6_HUMAN_.pdf", "Melting_Curves/meltCurve_tr_J3KQS6_J3KQS6_HUMAN_.pdf")</f>
        <v>Melting_Curves/meltCurve_tr_J3KQS6_J3KQS6_HUMAN_.pdf</v>
      </c>
      <c r="AA4169" t="s">
        <v>16969</v>
      </c>
      <c r="AB4169" t="s">
        <v>21229</v>
      </c>
    </row>
    <row r="4170" spans="1:28" x14ac:dyDescent="0.25">
      <c r="A4170" t="s">
        <v>4174</v>
      </c>
      <c r="B4170">
        <v>0.99876560204751996</v>
      </c>
      <c r="C4170">
        <v>1.0384501325559099</v>
      </c>
      <c r="D4170">
        <v>0.93691978716587998</v>
      </c>
      <c r="E4170">
        <v>0.86251368389091998</v>
      </c>
      <c r="F4170">
        <v>0.69468377582841101</v>
      </c>
      <c r="G4170">
        <v>0.31287068526512701</v>
      </c>
      <c r="H4170">
        <v>0.16037502008327101</v>
      </c>
      <c r="I4170">
        <v>9.2728243474470701E-2</v>
      </c>
      <c r="J4170">
        <v>0.11848329449243</v>
      </c>
      <c r="K4170">
        <v>5.90156597305573E-2</v>
      </c>
      <c r="L4170">
        <v>1153.39464075399</v>
      </c>
      <c r="M4170">
        <v>21.166803010407001</v>
      </c>
      <c r="N4170">
        <v>54.867860343411898</v>
      </c>
      <c r="O4170">
        <v>54.011383137278699</v>
      </c>
      <c r="P4170">
        <v>-9.1343516930617402E-2</v>
      </c>
      <c r="Q4170">
        <v>6.7698686175419895E-2</v>
      </c>
      <c r="R4170">
        <v>0.99573708461874699</v>
      </c>
      <c r="S4170" t="s">
        <v>8466</v>
      </c>
      <c r="T4170" t="s">
        <v>8590</v>
      </c>
      <c r="U4170" t="s">
        <v>8590</v>
      </c>
      <c r="V4170" t="s">
        <v>8590</v>
      </c>
      <c r="W4170">
        <v>1</v>
      </c>
      <c r="X4170" t="s">
        <v>12760</v>
      </c>
      <c r="Y4170">
        <v>0.52949974309290215</v>
      </c>
      <c r="Z4170" t="str">
        <f>HYPERLINK("Melting_Curves/meltCurve_tr_J3KRP0_J3KRP0_HUMAN_.pdf", "Melting_Curves/meltCurve_tr_J3KRP0_J3KRP0_HUMAN_.pdf")</f>
        <v>Melting_Curves/meltCurve_tr_J3KRP0_J3KRP0_HUMAN_.pdf</v>
      </c>
      <c r="AA4170" t="s">
        <v>16970</v>
      </c>
      <c r="AB4170" t="s">
        <v>21230</v>
      </c>
    </row>
    <row r="4171" spans="1:28" x14ac:dyDescent="0.25">
      <c r="A4171" t="s">
        <v>4175</v>
      </c>
      <c r="B4171">
        <v>0.99876560204751996</v>
      </c>
      <c r="C4171">
        <v>0.97143496955563802</v>
      </c>
      <c r="D4171">
        <v>0.89056531234769698</v>
      </c>
      <c r="E4171">
        <v>0.71223681161659302</v>
      </c>
      <c r="F4171">
        <v>0.52438505193088403</v>
      </c>
      <c r="G4171">
        <v>0.22691465192135901</v>
      </c>
      <c r="H4171">
        <v>0.12001098030343101</v>
      </c>
      <c r="I4171">
        <v>9.87520737760781E-2</v>
      </c>
      <c r="J4171">
        <v>0</v>
      </c>
      <c r="K4171">
        <v>5.0536474750378702E-2</v>
      </c>
      <c r="L4171">
        <v>810.25769941165095</v>
      </c>
      <c r="M4171">
        <v>15.2983679983698</v>
      </c>
      <c r="N4171">
        <v>52.984476372313097</v>
      </c>
      <c r="O4171">
        <v>52.0834296575213</v>
      </c>
      <c r="P4171">
        <v>-7.3219042757046202E-2</v>
      </c>
      <c r="Q4171">
        <v>2.9937198440164801E-3</v>
      </c>
      <c r="R4171">
        <v>0.99659059811679696</v>
      </c>
      <c r="S4171" t="s">
        <v>8467</v>
      </c>
      <c r="T4171" t="s">
        <v>8590</v>
      </c>
      <c r="U4171" t="s">
        <v>8590</v>
      </c>
      <c r="V4171" t="s">
        <v>8590</v>
      </c>
      <c r="W4171">
        <v>1</v>
      </c>
      <c r="X4171" t="s">
        <v>12761</v>
      </c>
      <c r="Y4171">
        <v>0.45472139972746939</v>
      </c>
      <c r="Z4171" t="str">
        <f>HYPERLINK("Melting_Curves/meltCurve_tr_J3KRR7_J3KRR7_HUMAN_.pdf", "Melting_Curves/meltCurve_tr_J3KRR7_J3KRR7_HUMAN_.pdf")</f>
        <v>Melting_Curves/meltCurve_tr_J3KRR7_J3KRR7_HUMAN_.pdf</v>
      </c>
      <c r="AA4171" t="s">
        <v>16971</v>
      </c>
      <c r="AB4171" t="s">
        <v>21231</v>
      </c>
    </row>
    <row r="4172" spans="1:28" x14ac:dyDescent="0.25">
      <c r="A4172" t="s">
        <v>4176</v>
      </c>
      <c r="B4172">
        <v>0.99876560204751996</v>
      </c>
      <c r="C4172">
        <v>1.0663509976641301</v>
      </c>
      <c r="D4172">
        <v>1.0706125989216799</v>
      </c>
      <c r="E4172">
        <v>0.97890171300643403</v>
      </c>
      <c r="F4172">
        <v>0.86220220160618</v>
      </c>
      <c r="G4172">
        <v>0.62704420407998096</v>
      </c>
      <c r="H4172">
        <v>0.52457414943880198</v>
      </c>
      <c r="I4172">
        <v>0.47986347083063402</v>
      </c>
      <c r="J4172">
        <v>0.48888880552810299</v>
      </c>
      <c r="K4172">
        <v>0.45604508638720198</v>
      </c>
      <c r="L4172">
        <v>1492.9419868847101</v>
      </c>
      <c r="M4172">
        <v>27.0570518722541</v>
      </c>
      <c r="N4172">
        <v>61.817725524101697</v>
      </c>
      <c r="O4172">
        <v>54.878772970001798</v>
      </c>
      <c r="P4172">
        <v>-6.4999355493360597E-2</v>
      </c>
      <c r="Q4172">
        <v>0.47266228452478398</v>
      </c>
      <c r="R4172">
        <v>0.98294794373345495</v>
      </c>
      <c r="S4172" t="s">
        <v>8468</v>
      </c>
      <c r="T4172" t="s">
        <v>8590</v>
      </c>
      <c r="U4172" t="s">
        <v>8590</v>
      </c>
      <c r="V4172" t="s">
        <v>8590</v>
      </c>
      <c r="W4172">
        <v>4</v>
      </c>
      <c r="X4172" t="s">
        <v>12762</v>
      </c>
      <c r="Y4172">
        <v>0.7436897025836946</v>
      </c>
      <c r="Z4172" t="str">
        <f>HYPERLINK("Melting_Curves/meltCurve_tr_J3KS05_J3KS05_HUMAN_.pdf", "Melting_Curves/meltCurve_tr_J3KS05_J3KS05_HUMAN_.pdf")</f>
        <v>Melting_Curves/meltCurve_tr_J3KS05_J3KS05_HUMAN_.pdf</v>
      </c>
      <c r="AA4172" t="s">
        <v>16972</v>
      </c>
      <c r="AB4172" t="s">
        <v>21232</v>
      </c>
    </row>
    <row r="4173" spans="1:28" x14ac:dyDescent="0.25">
      <c r="A4173" t="s">
        <v>4177</v>
      </c>
      <c r="B4173">
        <v>0.99876560204751996</v>
      </c>
      <c r="C4173">
        <v>1.17666140954397</v>
      </c>
      <c r="D4173">
        <v>0.76953306681058797</v>
      </c>
      <c r="E4173">
        <v>1.1616982212579201</v>
      </c>
      <c r="F4173">
        <v>1.00160522810124</v>
      </c>
      <c r="G4173">
        <v>0.74115408358481905</v>
      </c>
      <c r="H4173">
        <v>0.64402266167852895</v>
      </c>
      <c r="I4173">
        <v>0.60778926276067102</v>
      </c>
      <c r="J4173">
        <v>0.77242487299891205</v>
      </c>
      <c r="K4173">
        <v>0.79791858278479</v>
      </c>
      <c r="L4173">
        <v>14136.9428047987</v>
      </c>
      <c r="M4173">
        <v>250</v>
      </c>
      <c r="O4173">
        <v>56.544152555997798</v>
      </c>
      <c r="P4173">
        <v>-0.32547701834014497</v>
      </c>
      <c r="Q4173">
        <v>0.70553884558860802</v>
      </c>
      <c r="R4173">
        <v>0.63434318925894895</v>
      </c>
      <c r="S4173" t="s">
        <v>8469</v>
      </c>
      <c r="T4173" t="s">
        <v>8590</v>
      </c>
      <c r="U4173" t="s">
        <v>8590</v>
      </c>
      <c r="V4173" t="s">
        <v>8590</v>
      </c>
      <c r="W4173">
        <v>1</v>
      </c>
      <c r="X4173" t="s">
        <v>12763</v>
      </c>
      <c r="Y4173">
        <v>0.8679905952532132</v>
      </c>
      <c r="Z4173" t="str">
        <f>HYPERLINK("Melting_Curves/meltCurve_tr_J3KS94_J3KS94_HUMAN_.pdf", "Melting_Curves/meltCurve_tr_J3KS94_J3KS94_HUMAN_.pdf")</f>
        <v>Melting_Curves/meltCurve_tr_J3KS94_J3KS94_HUMAN_.pdf</v>
      </c>
      <c r="AA4173" t="s">
        <v>16973</v>
      </c>
      <c r="AB4173" t="s">
        <v>21233</v>
      </c>
    </row>
    <row r="4174" spans="1:28" x14ac:dyDescent="0.25">
      <c r="A4174" t="s">
        <v>4178</v>
      </c>
      <c r="B4174">
        <v>0.99876560204751996</v>
      </c>
      <c r="C4174">
        <v>0.98733148511551605</v>
      </c>
      <c r="D4174">
        <v>1.0311446912058999</v>
      </c>
      <c r="E4174">
        <v>0.83850473273116799</v>
      </c>
      <c r="F4174">
        <v>0.74393702967917597</v>
      </c>
      <c r="G4174">
        <v>0.496540293556122</v>
      </c>
      <c r="H4174">
        <v>0.36007451558186099</v>
      </c>
      <c r="I4174">
        <v>0.32150240757847598</v>
      </c>
      <c r="J4174">
        <v>0.342410613496133</v>
      </c>
      <c r="K4174">
        <v>0.33050648594978299</v>
      </c>
      <c r="L4174">
        <v>1072.1278261350701</v>
      </c>
      <c r="M4174">
        <v>19.849444540767902</v>
      </c>
      <c r="N4174">
        <v>56.812069374672397</v>
      </c>
      <c r="O4174">
        <v>53.473751809206298</v>
      </c>
      <c r="P4174">
        <v>-6.3852047538612705E-2</v>
      </c>
      <c r="Q4174">
        <v>0.31196200797033602</v>
      </c>
      <c r="R4174">
        <v>0.99226950402723102</v>
      </c>
      <c r="S4174" t="s">
        <v>8470</v>
      </c>
      <c r="T4174" t="s">
        <v>8590</v>
      </c>
      <c r="U4174" t="s">
        <v>8590</v>
      </c>
      <c r="V4174" t="s">
        <v>8590</v>
      </c>
      <c r="W4174">
        <v>4</v>
      </c>
      <c r="X4174" t="s">
        <v>12764</v>
      </c>
      <c r="Y4174">
        <v>0.64280782594646646</v>
      </c>
      <c r="Z4174" t="str">
        <f>HYPERLINK("Melting_Curves/meltCurve_tr_J3KSS7_J3KSS7_HUMAN_.pdf", "Melting_Curves/meltCurve_tr_J3KSS7_J3KSS7_HUMAN_.pdf")</f>
        <v>Melting_Curves/meltCurve_tr_J3KSS7_J3KSS7_HUMAN_.pdf</v>
      </c>
      <c r="AA4174" t="s">
        <v>16974</v>
      </c>
      <c r="AB4174" t="s">
        <v>21234</v>
      </c>
    </row>
    <row r="4175" spans="1:28" x14ac:dyDescent="0.25">
      <c r="A4175" t="s">
        <v>4179</v>
      </c>
      <c r="B4175">
        <v>0.99876560204751996</v>
      </c>
      <c r="C4175">
        <v>0.87545459793160796</v>
      </c>
      <c r="D4175">
        <v>0.73739356041869997</v>
      </c>
      <c r="E4175">
        <v>0.82518549956057097</v>
      </c>
      <c r="F4175">
        <v>0.48362141625559502</v>
      </c>
      <c r="G4175">
        <v>0.22544888290067</v>
      </c>
      <c r="H4175">
        <v>0.16942257085259199</v>
      </c>
      <c r="I4175">
        <v>0.17834027274341299</v>
      </c>
      <c r="J4175">
        <v>0.28601007654966198</v>
      </c>
      <c r="K4175">
        <v>7.4033653265920193E-2</v>
      </c>
      <c r="L4175">
        <v>665.15508541096199</v>
      </c>
      <c r="M4175">
        <v>12.8089738470825</v>
      </c>
      <c r="N4175">
        <v>52.857521067880803</v>
      </c>
      <c r="O4175">
        <v>50.711965450722097</v>
      </c>
      <c r="P4175">
        <v>-5.6793704061725098E-2</v>
      </c>
      <c r="Q4175">
        <v>0.10076122832286299</v>
      </c>
      <c r="R4175">
        <v>0.92514464902441396</v>
      </c>
      <c r="S4175" t="s">
        <v>8471</v>
      </c>
      <c r="T4175" t="s">
        <v>8590</v>
      </c>
      <c r="U4175" t="s">
        <v>8590</v>
      </c>
      <c r="V4175" t="s">
        <v>8590</v>
      </c>
      <c r="W4175">
        <v>2</v>
      </c>
      <c r="X4175" t="s">
        <v>12765</v>
      </c>
      <c r="Y4175">
        <v>0.48367495420761031</v>
      </c>
      <c r="Z4175" t="str">
        <f>HYPERLINK("Melting_Curves/meltCurve_tr_J3KST8_J3KST8_HUMAN_.pdf", "Melting_Curves/meltCurve_tr_J3KST8_J3KST8_HUMAN_.pdf")</f>
        <v>Melting_Curves/meltCurve_tr_J3KST8_J3KST8_HUMAN_.pdf</v>
      </c>
      <c r="AA4175" t="s">
        <v>16975</v>
      </c>
      <c r="AB4175" t="s">
        <v>21235</v>
      </c>
    </row>
    <row r="4176" spans="1:28" x14ac:dyDescent="0.25">
      <c r="A4176" t="s">
        <v>4180</v>
      </c>
      <c r="B4176">
        <v>0.99876560204751996</v>
      </c>
      <c r="C4176">
        <v>1.2471247479312499</v>
      </c>
      <c r="D4176">
        <v>0.696974039493648</v>
      </c>
      <c r="E4176">
        <v>0.89211089385148601</v>
      </c>
      <c r="F4176">
        <v>0.82235191011939901</v>
      </c>
      <c r="G4176">
        <v>0.68470917867051995</v>
      </c>
      <c r="H4176">
        <v>0.54029397340350005</v>
      </c>
      <c r="I4176">
        <v>0.47872998750153301</v>
      </c>
      <c r="J4176">
        <v>0.32529807809123401</v>
      </c>
      <c r="K4176">
        <v>0.11393194342625</v>
      </c>
      <c r="L4176">
        <v>595.31484533508899</v>
      </c>
      <c r="M4176">
        <v>9.6902267101719897</v>
      </c>
      <c r="N4176">
        <v>61.434540841116601</v>
      </c>
      <c r="O4176">
        <v>58.989378063209301</v>
      </c>
      <c r="P4176">
        <v>-4.1090200474658098E-2</v>
      </c>
      <c r="Q4176">
        <v>0</v>
      </c>
      <c r="R4176">
        <v>0.838967218864068</v>
      </c>
      <c r="S4176" t="s">
        <v>8472</v>
      </c>
      <c r="T4176" t="s">
        <v>8590</v>
      </c>
      <c r="U4176" t="s">
        <v>8590</v>
      </c>
      <c r="V4176" t="s">
        <v>8590</v>
      </c>
      <c r="W4176">
        <v>3</v>
      </c>
      <c r="X4176" t="s">
        <v>12766</v>
      </c>
      <c r="Y4176">
        <v>0.69671300035398942</v>
      </c>
      <c r="Z4176" t="str">
        <f>HYPERLINK("Melting_Curves/meltCurve_tr_J3KSZ8_J3KSZ8_HUMAN_.pdf", "Melting_Curves/meltCurve_tr_J3KSZ8_J3KSZ8_HUMAN_.pdf")</f>
        <v>Melting_Curves/meltCurve_tr_J3KSZ8_J3KSZ8_HUMAN_.pdf</v>
      </c>
      <c r="AA4176" t="s">
        <v>16976</v>
      </c>
      <c r="AB4176" t="s">
        <v>21236</v>
      </c>
    </row>
    <row r="4177" spans="1:28" x14ac:dyDescent="0.25">
      <c r="A4177" t="s">
        <v>4181</v>
      </c>
      <c r="B4177">
        <v>0.99876560204751996</v>
      </c>
      <c r="C4177">
        <v>0.97255910697865</v>
      </c>
      <c r="D4177">
        <v>1.0376637964386399</v>
      </c>
      <c r="E4177">
        <v>1.0330278482581201</v>
      </c>
      <c r="F4177">
        <v>1.08323742798484</v>
      </c>
      <c r="G4177">
        <v>0.76748302691537296</v>
      </c>
      <c r="H4177">
        <v>0.67180671695981498</v>
      </c>
      <c r="I4177">
        <v>0.61463191829861197</v>
      </c>
      <c r="J4177">
        <v>0.82859456208340099</v>
      </c>
      <c r="K4177">
        <v>0.70714070717144994</v>
      </c>
      <c r="L4177">
        <v>14174.600169249999</v>
      </c>
      <c r="M4177">
        <v>250</v>
      </c>
      <c r="O4177">
        <v>56.694748398920503</v>
      </c>
      <c r="P4177">
        <v>-0.32460722805382802</v>
      </c>
      <c r="Q4177">
        <v>0.70554347313178101</v>
      </c>
      <c r="R4177">
        <v>0.87156166457070805</v>
      </c>
      <c r="S4177" t="s">
        <v>8473</v>
      </c>
      <c r="T4177" t="s">
        <v>8590</v>
      </c>
      <c r="U4177" t="s">
        <v>8590</v>
      </c>
      <c r="V4177" t="s">
        <v>8590</v>
      </c>
      <c r="W4177">
        <v>3</v>
      </c>
      <c r="X4177" t="s">
        <v>12767</v>
      </c>
      <c r="Y4177">
        <v>0.86947120855954385</v>
      </c>
      <c r="Z4177" t="str">
        <f>HYPERLINK("Melting_Curves/meltCurve_tr_J3KT51_J3KT51_HUMAN_.pdf", "Melting_Curves/meltCurve_tr_J3KT51_J3KT51_HUMAN_.pdf")</f>
        <v>Melting_Curves/meltCurve_tr_J3KT51_J3KT51_HUMAN_.pdf</v>
      </c>
      <c r="AA4177" t="s">
        <v>16977</v>
      </c>
      <c r="AB4177" t="s">
        <v>21237</v>
      </c>
    </row>
    <row r="4178" spans="1:28" x14ac:dyDescent="0.25">
      <c r="A4178" t="s">
        <v>4182</v>
      </c>
      <c r="B4178">
        <v>0.99876560204751996</v>
      </c>
      <c r="C4178">
        <v>1.01471573165938</v>
      </c>
      <c r="D4178">
        <v>0.85567417244253596</v>
      </c>
      <c r="E4178">
        <v>0.78148696188554301</v>
      </c>
      <c r="F4178">
        <v>0.60045308992532698</v>
      </c>
      <c r="G4178">
        <v>0.35110720137699603</v>
      </c>
      <c r="H4178">
        <v>0.236655426028857</v>
      </c>
      <c r="I4178">
        <v>0.222852029844266</v>
      </c>
      <c r="J4178">
        <v>0.23571823762052899</v>
      </c>
      <c r="K4178">
        <v>0.124634995854551</v>
      </c>
      <c r="L4178">
        <v>774.97880229963096</v>
      </c>
      <c r="M4178">
        <v>14.565788271078301</v>
      </c>
      <c r="N4178">
        <v>54.4395316207262</v>
      </c>
      <c r="O4178">
        <v>52.232727824140298</v>
      </c>
      <c r="P4178">
        <v>-5.99198968717169E-2</v>
      </c>
      <c r="Q4178">
        <v>0.140609514237372</v>
      </c>
      <c r="R4178">
        <v>0.98842746826832695</v>
      </c>
      <c r="S4178" t="s">
        <v>8474</v>
      </c>
      <c r="T4178" t="s">
        <v>8590</v>
      </c>
      <c r="U4178" t="s">
        <v>8590</v>
      </c>
      <c r="V4178" t="s">
        <v>8590</v>
      </c>
      <c r="W4178">
        <v>2</v>
      </c>
      <c r="X4178" t="s">
        <v>12768</v>
      </c>
      <c r="Y4178">
        <v>0.53796410394335625</v>
      </c>
      <c r="Z4178" t="str">
        <f>HYPERLINK("Melting_Curves/meltCurve_tr_J3KT74_J3KT74_HUMAN_.pdf", "Melting_Curves/meltCurve_tr_J3KT74_J3KT74_HUMAN_.pdf")</f>
        <v>Melting_Curves/meltCurve_tr_J3KT74_J3KT74_HUMAN_.pdf</v>
      </c>
      <c r="AA4178" t="s">
        <v>16978</v>
      </c>
      <c r="AB4178" t="s">
        <v>21238</v>
      </c>
    </row>
    <row r="4179" spans="1:28" x14ac:dyDescent="0.25">
      <c r="A4179" t="s">
        <v>4183</v>
      </c>
      <c r="B4179">
        <v>0.99876560204751996</v>
      </c>
      <c r="C4179">
        <v>0.97586838637145801</v>
      </c>
      <c r="D4179">
        <v>0.89491489231547905</v>
      </c>
      <c r="E4179">
        <v>0.92032760899979105</v>
      </c>
      <c r="F4179">
        <v>0.99250976734025798</v>
      </c>
      <c r="G4179">
        <v>0.56277380207615602</v>
      </c>
      <c r="H4179">
        <v>0.37392048195532201</v>
      </c>
      <c r="I4179">
        <v>0.32084843576067201</v>
      </c>
      <c r="J4179">
        <v>0.250731018926936</v>
      </c>
      <c r="K4179">
        <v>0.23011711279035599</v>
      </c>
      <c r="L4179">
        <v>1835.46941190955</v>
      </c>
      <c r="M4179">
        <v>32.398609779740497</v>
      </c>
      <c r="N4179">
        <v>58.018995804537802</v>
      </c>
      <c r="O4179">
        <v>56.438196325909402</v>
      </c>
      <c r="P4179">
        <v>-0.10521688136400301</v>
      </c>
      <c r="Q4179">
        <v>0.266854670417632</v>
      </c>
      <c r="R4179">
        <v>0.97358274829390601</v>
      </c>
      <c r="S4179" t="s">
        <v>8475</v>
      </c>
      <c r="T4179" t="s">
        <v>8590</v>
      </c>
      <c r="U4179" t="s">
        <v>8590</v>
      </c>
      <c r="V4179" t="s">
        <v>8590</v>
      </c>
      <c r="W4179">
        <v>2</v>
      </c>
      <c r="X4179" t="s">
        <v>12769</v>
      </c>
      <c r="Y4179">
        <v>0.67806805135411419</v>
      </c>
      <c r="Z4179" t="str">
        <f>HYPERLINK("Melting_Curves/meltCurve_tr_J3KTJ8_J3KTJ8_HUMAN_.pdf", "Melting_Curves/meltCurve_tr_J3KTJ8_J3KTJ8_HUMAN_.pdf")</f>
        <v>Melting_Curves/meltCurve_tr_J3KTJ8_J3KTJ8_HUMAN_.pdf</v>
      </c>
      <c r="AA4179" t="s">
        <v>16979</v>
      </c>
      <c r="AB4179" t="s">
        <v>21239</v>
      </c>
    </row>
    <row r="4180" spans="1:28" x14ac:dyDescent="0.25">
      <c r="A4180" t="s">
        <v>4184</v>
      </c>
      <c r="B4180">
        <v>0.99876560204751996</v>
      </c>
      <c r="C4180">
        <v>0.90203583198749904</v>
      </c>
      <c r="D4180">
        <v>0.92131856506076104</v>
      </c>
      <c r="E4180">
        <v>0.65907554815176905</v>
      </c>
      <c r="F4180">
        <v>0.31688672467228501</v>
      </c>
      <c r="G4180">
        <v>0.14616977585507901</v>
      </c>
      <c r="H4180">
        <v>8.6373952516212896E-2</v>
      </c>
      <c r="I4180">
        <v>8.3121857736171506E-2</v>
      </c>
      <c r="J4180">
        <v>9.4548924048537E-2</v>
      </c>
      <c r="K4180">
        <v>6.5172021579814401E-2</v>
      </c>
      <c r="L4180">
        <v>1189.9658577857399</v>
      </c>
      <c r="M4180">
        <v>23.369123557554001</v>
      </c>
      <c r="N4180">
        <v>51.267259851497599</v>
      </c>
      <c r="O4180">
        <v>50.551948768748503</v>
      </c>
      <c r="P4180">
        <v>-0.10712177249702901</v>
      </c>
      <c r="Q4180">
        <v>7.3115415195235095E-2</v>
      </c>
      <c r="R4180">
        <v>0.99363557675581204</v>
      </c>
      <c r="S4180" t="s">
        <v>8476</v>
      </c>
      <c r="T4180" t="s">
        <v>8590</v>
      </c>
      <c r="U4180" t="s">
        <v>8590</v>
      </c>
      <c r="V4180" t="s">
        <v>8590</v>
      </c>
      <c r="W4180">
        <v>3</v>
      </c>
      <c r="X4180" t="s">
        <v>12770</v>
      </c>
      <c r="Y4180">
        <v>0.4200639945148098</v>
      </c>
      <c r="Z4180" t="str">
        <f>HYPERLINK("Melting_Curves/meltCurve_tr_J3QL56_J3QL56_HUMAN_.pdf", "Melting_Curves/meltCurve_tr_J3QL56_J3QL56_HUMAN_.pdf")</f>
        <v>Melting_Curves/meltCurve_tr_J3QL56_J3QL56_HUMAN_.pdf</v>
      </c>
      <c r="AA4180" t="s">
        <v>16980</v>
      </c>
      <c r="AB4180" t="s">
        <v>21240</v>
      </c>
    </row>
    <row r="4181" spans="1:28" x14ac:dyDescent="0.25">
      <c r="A4181" t="s">
        <v>4185</v>
      </c>
      <c r="B4181">
        <v>0.99876560204751996</v>
      </c>
      <c r="C4181">
        <v>1.1003252631004199</v>
      </c>
      <c r="D4181">
        <v>1.1038677216013599</v>
      </c>
      <c r="E4181">
        <v>0.992984689265207</v>
      </c>
      <c r="F4181">
        <v>0.90224265341532695</v>
      </c>
      <c r="G4181">
        <v>0.681367869325049</v>
      </c>
      <c r="H4181">
        <v>0.52845964653712496</v>
      </c>
      <c r="I4181">
        <v>0.43577590990041498</v>
      </c>
      <c r="J4181">
        <v>0.40979085385125202</v>
      </c>
      <c r="K4181">
        <v>0.21914323277631401</v>
      </c>
      <c r="L4181">
        <v>911.391401900765</v>
      </c>
      <c r="M4181">
        <v>15.351156655956601</v>
      </c>
      <c r="N4181">
        <v>61.713821531049597</v>
      </c>
      <c r="O4181">
        <v>58.389445310782001</v>
      </c>
      <c r="P4181">
        <v>-5.1211218147025402E-2</v>
      </c>
      <c r="Q4181">
        <v>0.22092678395236801</v>
      </c>
      <c r="R4181">
        <v>0.95981726913725096</v>
      </c>
      <c r="S4181" t="s">
        <v>8477</v>
      </c>
      <c r="T4181" t="s">
        <v>8590</v>
      </c>
      <c r="U4181" t="s">
        <v>8590</v>
      </c>
      <c r="V4181" t="s">
        <v>8590</v>
      </c>
      <c r="W4181">
        <v>8</v>
      </c>
      <c r="X4181" t="s">
        <v>12771</v>
      </c>
      <c r="Y4181">
        <v>0.73125747232429228</v>
      </c>
      <c r="Z4181" t="str">
        <f>HYPERLINK("Melting_Curves/meltCurve_tr_J3QLE5_J3QLE5_HUMAN_.pdf", "Melting_Curves/meltCurve_tr_J3QLE5_J3QLE5_HUMAN_.pdf")</f>
        <v>Melting_Curves/meltCurve_tr_J3QLE5_J3QLE5_HUMAN_.pdf</v>
      </c>
      <c r="AA4181" t="s">
        <v>16981</v>
      </c>
      <c r="AB4181" t="s">
        <v>21241</v>
      </c>
    </row>
    <row r="4182" spans="1:28" x14ac:dyDescent="0.25">
      <c r="A4182" t="s">
        <v>4186</v>
      </c>
      <c r="B4182">
        <v>0.99876560204751996</v>
      </c>
      <c r="C4182">
        <v>1.13089820316844</v>
      </c>
      <c r="D4182">
        <v>1.12218349864289</v>
      </c>
      <c r="E4182">
        <v>0.96459010880827301</v>
      </c>
      <c r="F4182">
        <v>1.13967924078448</v>
      </c>
      <c r="G4182">
        <v>0.56117670151944599</v>
      </c>
      <c r="H4182">
        <v>0.62080602626846904</v>
      </c>
      <c r="I4182">
        <v>0.67653477606811796</v>
      </c>
      <c r="J4182">
        <v>0.82454650859809397</v>
      </c>
      <c r="K4182">
        <v>0.71783371989164302</v>
      </c>
      <c r="L4182">
        <v>5017.5162814579699</v>
      </c>
      <c r="M4182">
        <v>91.252770094448096</v>
      </c>
      <c r="O4182">
        <v>54.958426761835</v>
      </c>
      <c r="P4182">
        <v>-0.13296541836065601</v>
      </c>
      <c r="Q4182">
        <v>0.679677948236318</v>
      </c>
      <c r="R4182">
        <v>0.78033432438975303</v>
      </c>
      <c r="S4182" t="s">
        <v>8478</v>
      </c>
      <c r="T4182" t="s">
        <v>8590</v>
      </c>
      <c r="U4182" t="s">
        <v>8590</v>
      </c>
      <c r="V4182" t="s">
        <v>8590</v>
      </c>
      <c r="W4182">
        <v>1</v>
      </c>
      <c r="X4182" t="s">
        <v>12772</v>
      </c>
      <c r="Y4182">
        <v>0.83990912739238832</v>
      </c>
      <c r="Z4182" t="str">
        <f>HYPERLINK("Melting_Curves/meltCurve_tr_J3QLP6_J3QLP6_HUMAN_.pdf", "Melting_Curves/meltCurve_tr_J3QLP6_J3QLP6_HUMAN_.pdf")</f>
        <v>Melting_Curves/meltCurve_tr_J3QLP6_J3QLP6_HUMAN_.pdf</v>
      </c>
      <c r="AA4182" t="s">
        <v>16982</v>
      </c>
      <c r="AB4182" t="s">
        <v>21242</v>
      </c>
    </row>
    <row r="4183" spans="1:28" x14ac:dyDescent="0.25">
      <c r="A4183" t="s">
        <v>4187</v>
      </c>
      <c r="B4183">
        <v>0.99876560204751996</v>
      </c>
      <c r="C4183">
        <v>0.91593041195117997</v>
      </c>
      <c r="D4183">
        <v>0.85905474333592802</v>
      </c>
      <c r="E4183">
        <v>0.78362052432471296</v>
      </c>
      <c r="F4183">
        <v>0.77711987718202102</v>
      </c>
      <c r="G4183">
        <v>0.62372762312321794</v>
      </c>
      <c r="H4183">
        <v>0.54060520928334699</v>
      </c>
      <c r="I4183">
        <v>0.54020067505386604</v>
      </c>
      <c r="J4183">
        <v>0.62996456276107304</v>
      </c>
      <c r="K4183">
        <v>0.57753233361130596</v>
      </c>
      <c r="L4183">
        <v>540.73941666274902</v>
      </c>
      <c r="M4183">
        <v>10.698615521805101</v>
      </c>
      <c r="O4183">
        <v>48.8730661436839</v>
      </c>
      <c r="P4183">
        <v>-2.52927962181115E-2</v>
      </c>
      <c r="Q4183">
        <v>0.53800655377967899</v>
      </c>
      <c r="R4183">
        <v>0.93589194815224497</v>
      </c>
      <c r="S4183" t="s">
        <v>8479</v>
      </c>
      <c r="T4183" t="s">
        <v>8590</v>
      </c>
      <c r="U4183" t="s">
        <v>8590</v>
      </c>
      <c r="V4183" t="s">
        <v>8590</v>
      </c>
      <c r="W4183">
        <v>3</v>
      </c>
      <c r="X4183" t="s">
        <v>12773</v>
      </c>
      <c r="Y4183">
        <v>0.71861977030476587</v>
      </c>
      <c r="Z4183" t="str">
        <f>HYPERLINK("Melting_Curves/meltCurve_tr_J3QLU0_J3QLU0_HUMAN_.pdf", "Melting_Curves/meltCurve_tr_J3QLU0_J3QLU0_HUMAN_.pdf")</f>
        <v>Melting_Curves/meltCurve_tr_J3QLU0_J3QLU0_HUMAN_.pdf</v>
      </c>
      <c r="AA4183" t="s">
        <v>16983</v>
      </c>
      <c r="AB4183" t="s">
        <v>21243</v>
      </c>
    </row>
    <row r="4184" spans="1:28" x14ac:dyDescent="0.25">
      <c r="A4184" t="s">
        <v>4188</v>
      </c>
      <c r="B4184">
        <v>0.99876560204751996</v>
      </c>
      <c r="C4184">
        <v>1.11517123637213</v>
      </c>
      <c r="D4184">
        <v>0.90632963198447403</v>
      </c>
      <c r="E4184">
        <v>0.67133658220068204</v>
      </c>
      <c r="F4184">
        <v>0.24367992916311301</v>
      </c>
      <c r="G4184">
        <v>0.12584029274508099</v>
      </c>
      <c r="H4184">
        <v>5.9842970774997298E-2</v>
      </c>
      <c r="I4184">
        <v>5.0607852562658998E-2</v>
      </c>
      <c r="J4184">
        <v>5.4256826303006302E-2</v>
      </c>
      <c r="K4184">
        <v>2.21165085906074E-2</v>
      </c>
      <c r="L4184">
        <v>1515.0554520865301</v>
      </c>
      <c r="M4184">
        <v>29.7692124769138</v>
      </c>
      <c r="N4184">
        <v>51.0728091319396</v>
      </c>
      <c r="O4184">
        <v>50.6653688159412</v>
      </c>
      <c r="P4184">
        <v>-0.13959870954752199</v>
      </c>
      <c r="Q4184">
        <v>4.9652752655592297E-2</v>
      </c>
      <c r="R4184">
        <v>0.98838549063617898</v>
      </c>
      <c r="S4184" t="s">
        <v>8480</v>
      </c>
      <c r="T4184" t="s">
        <v>8590</v>
      </c>
      <c r="U4184" t="s">
        <v>8590</v>
      </c>
      <c r="V4184" t="s">
        <v>8590</v>
      </c>
      <c r="W4184">
        <v>7</v>
      </c>
      <c r="X4184" t="s">
        <v>12774</v>
      </c>
      <c r="Y4184">
        <v>0.4007933181846417</v>
      </c>
      <c r="Z4184" t="str">
        <f>HYPERLINK("Melting_Curves/meltCurve_tr_J3QQJ5_J3QQJ5_HUMAN_.pdf", "Melting_Curves/meltCurve_tr_J3QQJ5_J3QQJ5_HUMAN_.pdf")</f>
        <v>Melting_Curves/meltCurve_tr_J3QQJ5_J3QQJ5_HUMAN_.pdf</v>
      </c>
      <c r="AA4184" t="s">
        <v>16984</v>
      </c>
      <c r="AB4184" t="s">
        <v>21244</v>
      </c>
    </row>
    <row r="4185" spans="1:28" x14ac:dyDescent="0.25">
      <c r="A4185" t="s">
        <v>4189</v>
      </c>
      <c r="B4185">
        <v>0.99876560204751996</v>
      </c>
      <c r="C4185">
        <v>1.04366597114893</v>
      </c>
      <c r="D4185">
        <v>0.89106757597030295</v>
      </c>
      <c r="E4185">
        <v>0.618714221011612</v>
      </c>
      <c r="F4185">
        <v>0.41560834616232101</v>
      </c>
      <c r="G4185">
        <v>0.28981633404201002</v>
      </c>
      <c r="H4185">
        <v>0.210748578988565</v>
      </c>
      <c r="I4185">
        <v>0.21155575981282501</v>
      </c>
      <c r="J4185">
        <v>0.30032882054871501</v>
      </c>
      <c r="K4185">
        <v>0.25050242945500001</v>
      </c>
      <c r="L4185">
        <v>1154.63610385946</v>
      </c>
      <c r="M4185">
        <v>23.0866994792597</v>
      </c>
      <c r="N4185">
        <v>51.484959073000297</v>
      </c>
      <c r="O4185">
        <v>49.642336023404503</v>
      </c>
      <c r="P4185">
        <v>-8.8179195760841295E-2</v>
      </c>
      <c r="Q4185">
        <v>0.241582271578101</v>
      </c>
      <c r="R4185">
        <v>0.98983256081414595</v>
      </c>
      <c r="S4185" t="s">
        <v>8481</v>
      </c>
      <c r="T4185" t="s">
        <v>8590</v>
      </c>
      <c r="U4185" t="s">
        <v>8590</v>
      </c>
      <c r="V4185" t="s">
        <v>8590</v>
      </c>
      <c r="W4185">
        <v>2</v>
      </c>
      <c r="X4185" t="s">
        <v>12775</v>
      </c>
      <c r="Y4185">
        <v>0.502669803554193</v>
      </c>
      <c r="Z4185" t="str">
        <f>HYPERLINK("Melting_Curves/meltCurve_tr_J3QQT2_J3QQT2_HUMAN_.pdf", "Melting_Curves/meltCurve_tr_J3QQT2_J3QQT2_HUMAN_.pdf")</f>
        <v>Melting_Curves/meltCurve_tr_J3QQT2_J3QQT2_HUMAN_.pdf</v>
      </c>
      <c r="AA4185" t="s">
        <v>16985</v>
      </c>
      <c r="AB4185" t="s">
        <v>21245</v>
      </c>
    </row>
    <row r="4186" spans="1:28" x14ac:dyDescent="0.25">
      <c r="A4186" t="s">
        <v>4190</v>
      </c>
      <c r="B4186">
        <v>0.99876560204751996</v>
      </c>
      <c r="C4186">
        <v>0.62787835439559403</v>
      </c>
      <c r="D4186">
        <v>0.33058282783091503</v>
      </c>
      <c r="E4186">
        <v>0.17880586485292699</v>
      </c>
      <c r="F4186">
        <v>9.5777640396988606E-2</v>
      </c>
      <c r="G4186">
        <v>5.7138895793544899E-2</v>
      </c>
      <c r="H4186">
        <v>4.6774649727193099E-2</v>
      </c>
      <c r="I4186">
        <v>4.5157586278849797E-2</v>
      </c>
      <c r="J4186">
        <v>4.0151936218100197E-2</v>
      </c>
      <c r="K4186">
        <v>2.2922996271576498E-2</v>
      </c>
      <c r="L4186">
        <v>953.73627877812601</v>
      </c>
      <c r="M4186">
        <v>21.5798372003506</v>
      </c>
      <c r="N4186">
        <v>44.419808022737499</v>
      </c>
      <c r="O4186">
        <v>43.821444829051899</v>
      </c>
      <c r="P4186">
        <v>-0.116765598331855</v>
      </c>
      <c r="Q4186">
        <v>5.1575093295428302E-2</v>
      </c>
      <c r="R4186">
        <v>0.98474639084619597</v>
      </c>
      <c r="S4186" t="s">
        <v>8482</v>
      </c>
      <c r="T4186" t="s">
        <v>8590</v>
      </c>
      <c r="U4186" t="s">
        <v>8590</v>
      </c>
      <c r="V4186" t="s">
        <v>8590</v>
      </c>
      <c r="W4186">
        <v>22</v>
      </c>
      <c r="X4186" t="s">
        <v>12776</v>
      </c>
      <c r="Y4186">
        <v>0.19918181165009971</v>
      </c>
      <c r="Z4186" t="str">
        <f>HYPERLINK("Melting_Curves/meltCurve_tr_J3QQX3_J3QQX3_HUMAN_.pdf", "Melting_Curves/meltCurve_tr_J3QQX3_J3QQX3_HUMAN_.pdf")</f>
        <v>Melting_Curves/meltCurve_tr_J3QQX3_J3QQX3_HUMAN_.pdf</v>
      </c>
      <c r="AA4186" t="s">
        <v>13705</v>
      </c>
      <c r="AB4186" t="s">
        <v>17921</v>
      </c>
    </row>
    <row r="4187" spans="1:28" x14ac:dyDescent="0.25">
      <c r="A4187" t="s">
        <v>4191</v>
      </c>
      <c r="B4187">
        <v>0.99876560204751996</v>
      </c>
      <c r="C4187">
        <v>1.06493415870125</v>
      </c>
      <c r="D4187">
        <v>0.97126463802306096</v>
      </c>
      <c r="E4187">
        <v>0.96616572392003597</v>
      </c>
      <c r="F4187">
        <v>0.93305833955004402</v>
      </c>
      <c r="G4187">
        <v>0.73647950432253195</v>
      </c>
      <c r="H4187">
        <v>0.62252850559760198</v>
      </c>
      <c r="I4187">
        <v>0.54637330157173103</v>
      </c>
      <c r="J4187">
        <v>0.71350402336923502</v>
      </c>
      <c r="K4187">
        <v>0.634132818588101</v>
      </c>
      <c r="L4187">
        <v>1918.7125504547</v>
      </c>
      <c r="M4187">
        <v>34.664900355134002</v>
      </c>
      <c r="O4187">
        <v>55.1670641439025</v>
      </c>
      <c r="P4187">
        <v>-5.8704246438524302E-2</v>
      </c>
      <c r="Q4187">
        <v>0.62630451390184905</v>
      </c>
      <c r="R4187">
        <v>0.93496215905553104</v>
      </c>
      <c r="S4187" t="s">
        <v>8483</v>
      </c>
      <c r="T4187" t="s">
        <v>8590</v>
      </c>
      <c r="U4187" t="s">
        <v>8590</v>
      </c>
      <c r="V4187" t="s">
        <v>8590</v>
      </c>
      <c r="W4187">
        <v>2</v>
      </c>
      <c r="X4187" t="s">
        <v>12777</v>
      </c>
      <c r="Y4187">
        <v>0.81940135191580155</v>
      </c>
      <c r="Z4187" t="str">
        <f>HYPERLINK("Melting_Curves/meltCurve_tr_J3QR09_J3QR09_HUMAN_.pdf", "Melting_Curves/meltCurve_tr_J3QR09_J3QR09_HUMAN_.pdf")</f>
        <v>Melting_Curves/meltCurve_tr_J3QR09_J3QR09_HUMAN_.pdf</v>
      </c>
      <c r="AA4187" t="s">
        <v>16986</v>
      </c>
      <c r="AB4187" t="s">
        <v>21246</v>
      </c>
    </row>
    <row r="4188" spans="1:28" x14ac:dyDescent="0.25">
      <c r="A4188" t="s">
        <v>4192</v>
      </c>
      <c r="B4188">
        <v>0.99876560204751996</v>
      </c>
      <c r="C4188">
        <v>0.90952337188099097</v>
      </c>
      <c r="D4188">
        <v>0.92939036923892804</v>
      </c>
      <c r="E4188">
        <v>0.85606136446183001</v>
      </c>
      <c r="F4188">
        <v>0.66535811473421302</v>
      </c>
      <c r="G4188">
        <v>0.34744688812607499</v>
      </c>
      <c r="H4188">
        <v>0.36676342186268801</v>
      </c>
      <c r="I4188">
        <v>0.35896527788259802</v>
      </c>
      <c r="J4188">
        <v>0.43058456070669598</v>
      </c>
      <c r="K4188">
        <v>0.33483042527666002</v>
      </c>
      <c r="L4188">
        <v>1532.82530541355</v>
      </c>
      <c r="M4188">
        <v>29.244433786488798</v>
      </c>
      <c r="N4188">
        <v>54.773757767010203</v>
      </c>
      <c r="O4188">
        <v>52.171008934607201</v>
      </c>
      <c r="P4188">
        <v>-8.9949186146686899E-2</v>
      </c>
      <c r="Q4188">
        <v>0.35814030975009198</v>
      </c>
      <c r="R4188">
        <v>0.96674607812774005</v>
      </c>
      <c r="S4188" t="s">
        <v>8484</v>
      </c>
      <c r="T4188" t="s">
        <v>8590</v>
      </c>
      <c r="U4188" t="s">
        <v>8590</v>
      </c>
      <c r="V4188" t="s">
        <v>8590</v>
      </c>
      <c r="W4188">
        <v>1</v>
      </c>
      <c r="X4188" t="s">
        <v>12778</v>
      </c>
      <c r="Y4188">
        <v>0.62808725590285108</v>
      </c>
      <c r="Z4188" t="str">
        <f>HYPERLINK("Melting_Curves/meltCurve_tr_J3QRH2_J3QRH2_HUMAN_.pdf", "Melting_Curves/meltCurve_tr_J3QRH2_J3QRH2_HUMAN_.pdf")</f>
        <v>Melting_Curves/meltCurve_tr_J3QRH2_J3QRH2_HUMAN_.pdf</v>
      </c>
      <c r="AA4188" t="s">
        <v>16987</v>
      </c>
      <c r="AB4188" t="s">
        <v>21247</v>
      </c>
    </row>
    <row r="4189" spans="1:28" x14ac:dyDescent="0.25">
      <c r="A4189" t="s">
        <v>4193</v>
      </c>
      <c r="B4189">
        <v>0.99876560204751996</v>
      </c>
      <c r="C4189">
        <v>1.00735545139176</v>
      </c>
      <c r="D4189">
        <v>0.98448573032043696</v>
      </c>
      <c r="E4189">
        <v>1.0607434255733501</v>
      </c>
      <c r="F4189">
        <v>0.85390312102029597</v>
      </c>
      <c r="G4189">
        <v>0.75264853894101702</v>
      </c>
      <c r="H4189">
        <v>0.62442762259927598</v>
      </c>
      <c r="I4189">
        <v>0.50475825597162305</v>
      </c>
      <c r="J4189">
        <v>0.65108993959108996</v>
      </c>
      <c r="K4189">
        <v>0.26341466348165499</v>
      </c>
      <c r="L4189">
        <v>577.01524808926899</v>
      </c>
      <c r="M4189">
        <v>8.7872397149929498</v>
      </c>
      <c r="N4189">
        <v>65.665129063754904</v>
      </c>
      <c r="O4189">
        <v>62.530758380334603</v>
      </c>
      <c r="P4189">
        <v>-3.5159597856559602E-2</v>
      </c>
      <c r="Q4189">
        <v>0</v>
      </c>
      <c r="R4189">
        <v>0.88400175210349996</v>
      </c>
      <c r="S4189" t="s">
        <v>8485</v>
      </c>
      <c r="T4189" t="s">
        <v>8590</v>
      </c>
      <c r="U4189" t="s">
        <v>8590</v>
      </c>
      <c r="V4189" t="s">
        <v>8590</v>
      </c>
      <c r="W4189">
        <v>1</v>
      </c>
      <c r="X4189" t="s">
        <v>12779</v>
      </c>
      <c r="Y4189">
        <v>0.78004082537840946</v>
      </c>
      <c r="Z4189" t="str">
        <f>HYPERLINK("Melting_Curves/meltCurve_tr_J3QRK2_J3QRK2_HUMAN_.pdf", "Melting_Curves/meltCurve_tr_J3QRK2_J3QRK2_HUMAN_.pdf")</f>
        <v>Melting_Curves/meltCurve_tr_J3QRK2_J3QRK2_HUMAN_.pdf</v>
      </c>
      <c r="AA4189" t="s">
        <v>16988</v>
      </c>
      <c r="AB4189" t="s">
        <v>21248</v>
      </c>
    </row>
    <row r="4190" spans="1:28" x14ac:dyDescent="0.25">
      <c r="A4190" t="s">
        <v>4194</v>
      </c>
      <c r="B4190">
        <v>0.99876560204751996</v>
      </c>
      <c r="C4190">
        <v>0.94109102722245597</v>
      </c>
      <c r="D4190">
        <v>0.744031887819255</v>
      </c>
      <c r="E4190">
        <v>0.78934306751857597</v>
      </c>
      <c r="F4190">
        <v>0.59928427482347901</v>
      </c>
      <c r="G4190">
        <v>0.47882785867116201</v>
      </c>
      <c r="H4190">
        <v>0.59219939132814303</v>
      </c>
      <c r="I4190">
        <v>0.50045273472864604</v>
      </c>
      <c r="J4190">
        <v>0.52959622380013505</v>
      </c>
      <c r="K4190">
        <v>0.64927730671274797</v>
      </c>
      <c r="L4190">
        <v>726.52526417616798</v>
      </c>
      <c r="M4190">
        <v>15.366879556049</v>
      </c>
      <c r="O4190">
        <v>46.499707470110501</v>
      </c>
      <c r="P4190">
        <v>-3.7537430010095497E-2</v>
      </c>
      <c r="Q4190">
        <v>0.54569345472056396</v>
      </c>
      <c r="R4190">
        <v>0.85649718572049804</v>
      </c>
      <c r="S4190" t="s">
        <v>8486</v>
      </c>
      <c r="T4190" t="s">
        <v>8590</v>
      </c>
      <c r="U4190" t="s">
        <v>8590</v>
      </c>
      <c r="V4190" t="s">
        <v>8590</v>
      </c>
      <c r="W4190">
        <v>1</v>
      </c>
      <c r="X4190" t="s">
        <v>12780</v>
      </c>
      <c r="Y4190">
        <v>0.66747069118794389</v>
      </c>
      <c r="Z4190" t="str">
        <f>HYPERLINK("Melting_Curves/meltCurve_tr_J3QRX6_J3QRX6_HUMAN_.pdf", "Melting_Curves/meltCurve_tr_J3QRX6_J3QRX6_HUMAN_.pdf")</f>
        <v>Melting_Curves/meltCurve_tr_J3QRX6_J3QRX6_HUMAN_.pdf</v>
      </c>
      <c r="AA4190" t="s">
        <v>16989</v>
      </c>
      <c r="AB4190" t="s">
        <v>21249</v>
      </c>
    </row>
    <row r="4191" spans="1:28" x14ac:dyDescent="0.25">
      <c r="A4191" t="s">
        <v>4195</v>
      </c>
      <c r="B4191">
        <v>0.99876560204751996</v>
      </c>
      <c r="C4191">
        <v>0.93741089169936198</v>
      </c>
      <c r="D4191">
        <v>0.90758252274681295</v>
      </c>
      <c r="E4191">
        <v>0.74894089088048799</v>
      </c>
      <c r="F4191">
        <v>0.36829364444528601</v>
      </c>
      <c r="G4191">
        <v>0.16008864399654801</v>
      </c>
      <c r="H4191">
        <v>6.8705577352663805E-2</v>
      </c>
      <c r="I4191">
        <v>3.5198870042304202E-2</v>
      </c>
      <c r="J4191">
        <v>4.8677489853896999E-2</v>
      </c>
      <c r="K4191">
        <v>1.9299758780995699E-2</v>
      </c>
      <c r="L4191">
        <v>1148.67531671698</v>
      </c>
      <c r="M4191">
        <v>22.140009289597501</v>
      </c>
      <c r="N4191">
        <v>52.021514190344199</v>
      </c>
      <c r="O4191">
        <v>51.464626602862502</v>
      </c>
      <c r="P4191">
        <v>-0.104459076401481</v>
      </c>
      <c r="Q4191">
        <v>2.8757325462087001E-2</v>
      </c>
      <c r="R4191">
        <v>0.99495268652550595</v>
      </c>
      <c r="S4191" t="s">
        <v>8487</v>
      </c>
      <c r="T4191" t="s">
        <v>8590</v>
      </c>
      <c r="U4191" t="s">
        <v>8590</v>
      </c>
      <c r="V4191" t="s">
        <v>8590</v>
      </c>
      <c r="W4191">
        <v>1</v>
      </c>
      <c r="X4191" t="s">
        <v>12781</v>
      </c>
      <c r="Y4191">
        <v>0.42460209817394767</v>
      </c>
      <c r="Z4191" t="str">
        <f>HYPERLINK("Melting_Curves/meltCurve_tr_J3QRZ6_J3QRZ6_HUMAN_.pdf", "Melting_Curves/meltCurve_tr_J3QRZ6_J3QRZ6_HUMAN_.pdf")</f>
        <v>Melting_Curves/meltCurve_tr_J3QRZ6_J3QRZ6_HUMAN_.pdf</v>
      </c>
      <c r="AA4191" t="s">
        <v>16990</v>
      </c>
      <c r="AB4191" t="s">
        <v>21250</v>
      </c>
    </row>
    <row r="4192" spans="1:28" x14ac:dyDescent="0.25">
      <c r="A4192" t="s">
        <v>4196</v>
      </c>
      <c r="B4192">
        <v>0.99876560204751996</v>
      </c>
      <c r="C4192">
        <v>0.99616134010815405</v>
      </c>
      <c r="D4192">
        <v>1.0127559321772801</v>
      </c>
      <c r="E4192">
        <v>0.86111172144072401</v>
      </c>
      <c r="F4192">
        <v>0.67514241745529902</v>
      </c>
      <c r="G4192">
        <v>0.37701070859810598</v>
      </c>
      <c r="H4192">
        <v>0.21107933196207199</v>
      </c>
      <c r="I4192">
        <v>0.18776430337458899</v>
      </c>
      <c r="J4192">
        <v>0.174924458255687</v>
      </c>
      <c r="K4192">
        <v>0.17659497866433799</v>
      </c>
      <c r="L4192">
        <v>1175.1937881931401</v>
      </c>
      <c r="M4192">
        <v>21.734978270534601</v>
      </c>
      <c r="N4192">
        <v>55.058053502331802</v>
      </c>
      <c r="O4192">
        <v>53.617781379464802</v>
      </c>
      <c r="P4192">
        <v>-8.4968398295319505E-2</v>
      </c>
      <c r="Q4192">
        <v>0.16158915812427399</v>
      </c>
      <c r="R4192">
        <v>0.99869775020386597</v>
      </c>
      <c r="S4192" t="s">
        <v>8488</v>
      </c>
      <c r="T4192" t="s">
        <v>8590</v>
      </c>
      <c r="U4192" t="s">
        <v>8590</v>
      </c>
      <c r="V4192" t="s">
        <v>8590</v>
      </c>
      <c r="W4192">
        <v>1</v>
      </c>
      <c r="X4192" t="s">
        <v>12782</v>
      </c>
      <c r="Y4192">
        <v>0.56470634875407433</v>
      </c>
      <c r="Z4192" t="str">
        <f>HYPERLINK("Melting_Curves/meltCurve_tr_J3QSE5_J3QSE5_HUMAN_.pdf", "Melting_Curves/meltCurve_tr_J3QSE5_J3QSE5_HUMAN_.pdf")</f>
        <v>Melting_Curves/meltCurve_tr_J3QSE5_J3QSE5_HUMAN_.pdf</v>
      </c>
      <c r="AA4192" t="s">
        <v>16991</v>
      </c>
      <c r="AB4192" t="s">
        <v>21251</v>
      </c>
    </row>
    <row r="4193" spans="1:28" x14ac:dyDescent="0.25">
      <c r="A4193" t="s">
        <v>4197</v>
      </c>
      <c r="B4193">
        <v>0.99876560204751996</v>
      </c>
      <c r="C4193">
        <v>0.90295553790932803</v>
      </c>
      <c r="D4193">
        <v>1.10570742758314</v>
      </c>
      <c r="E4193">
        <v>0.93369055099620002</v>
      </c>
      <c r="F4193">
        <v>1.24192368135154</v>
      </c>
      <c r="G4193">
        <v>1.0249759173294199</v>
      </c>
      <c r="H4193">
        <v>0.98348226808516903</v>
      </c>
      <c r="I4193">
        <v>1.0055174154504101</v>
      </c>
      <c r="J4193">
        <v>1.21135285491099</v>
      </c>
      <c r="K4193">
        <v>1.3587938443552099</v>
      </c>
      <c r="L4193">
        <v>6503.0665773397504</v>
      </c>
      <c r="M4193">
        <v>97.394043484382294</v>
      </c>
      <c r="O4193">
        <v>66.742544132794606</v>
      </c>
      <c r="P4193">
        <v>0.13235567049942301</v>
      </c>
      <c r="Q4193">
        <v>1.3628046765985</v>
      </c>
      <c r="R4193">
        <v>0.57578880843427904</v>
      </c>
      <c r="S4193" t="s">
        <v>8489</v>
      </c>
      <c r="T4193" t="s">
        <v>8590</v>
      </c>
      <c r="U4193" t="s">
        <v>8590</v>
      </c>
      <c r="V4193" t="s">
        <v>8590</v>
      </c>
      <c r="W4193">
        <v>4</v>
      </c>
      <c r="X4193" t="s">
        <v>12783</v>
      </c>
      <c r="Y4193">
        <v>1.038876896008178</v>
      </c>
      <c r="Z4193" t="str">
        <f>HYPERLINK("Melting_Curves/meltCurve_tr_J3QSV6_J3QSV6_HUMAN_.pdf", "Melting_Curves/meltCurve_tr_J3QSV6_J3QSV6_HUMAN_.pdf")</f>
        <v>Melting_Curves/meltCurve_tr_J3QSV6_J3QSV6_HUMAN_.pdf</v>
      </c>
      <c r="AA4193" t="s">
        <v>16992</v>
      </c>
      <c r="AB4193" t="s">
        <v>21252</v>
      </c>
    </row>
    <row r="4194" spans="1:28" x14ac:dyDescent="0.25">
      <c r="A4194" t="s">
        <v>4198</v>
      </c>
      <c r="B4194">
        <v>0.99876560204751996</v>
      </c>
      <c r="C4194">
        <v>1.27760834909091</v>
      </c>
      <c r="D4194">
        <v>0.96764674408603302</v>
      </c>
      <c r="E4194">
        <v>1.43412358335985</v>
      </c>
      <c r="F4194">
        <v>0.34113370368407903</v>
      </c>
      <c r="G4194">
        <v>0.60733031966908002</v>
      </c>
      <c r="H4194">
        <v>0.78455043140175795</v>
      </c>
      <c r="I4194">
        <v>0.37120032938875502</v>
      </c>
      <c r="J4194">
        <v>0.248847231128598</v>
      </c>
      <c r="K4194">
        <v>0</v>
      </c>
      <c r="L4194">
        <v>730.686042519024</v>
      </c>
      <c r="M4194">
        <v>11.991155669769901</v>
      </c>
      <c r="N4194">
        <v>60.935414672714501</v>
      </c>
      <c r="O4194">
        <v>59.314889688590597</v>
      </c>
      <c r="P4194">
        <v>-5.05524611838594E-2</v>
      </c>
      <c r="Q4194">
        <v>0</v>
      </c>
      <c r="R4194">
        <v>0.63594686441468495</v>
      </c>
      <c r="S4194" t="s">
        <v>8490</v>
      </c>
      <c r="T4194" t="s">
        <v>8590</v>
      </c>
      <c r="U4194" t="s">
        <v>8590</v>
      </c>
      <c r="V4194" t="s">
        <v>8590</v>
      </c>
      <c r="W4194">
        <v>1</v>
      </c>
      <c r="X4194" t="s">
        <v>12784</v>
      </c>
      <c r="Y4194">
        <v>0.69424187906977264</v>
      </c>
      <c r="Z4194" t="str">
        <f>HYPERLINK("Melting_Curves/meltCurve_tr_J3QSY4_J3QSY4_HUMAN_.pdf", "Melting_Curves/meltCurve_tr_J3QSY4_J3QSY4_HUMAN_.pdf")</f>
        <v>Melting_Curves/meltCurve_tr_J3QSY4_J3QSY4_HUMAN_.pdf</v>
      </c>
      <c r="AA4194" t="s">
        <v>16993</v>
      </c>
      <c r="AB4194" t="s">
        <v>21253</v>
      </c>
    </row>
    <row r="4195" spans="1:28" x14ac:dyDescent="0.25">
      <c r="A4195" t="s">
        <v>4199</v>
      </c>
      <c r="B4195">
        <v>0.99876560204751996</v>
      </c>
      <c r="C4195">
        <v>1.09136929502311</v>
      </c>
      <c r="D4195">
        <v>1.0503873683312901</v>
      </c>
      <c r="E4195">
        <v>0.97267927427728795</v>
      </c>
      <c r="F4195">
        <v>0.85423111985295597</v>
      </c>
      <c r="G4195">
        <v>0.38163591354890603</v>
      </c>
      <c r="H4195">
        <v>0.114493662193093</v>
      </c>
      <c r="I4195">
        <v>7.3707726199535695E-2</v>
      </c>
      <c r="J4195">
        <v>5.53225001437085E-2</v>
      </c>
      <c r="K4195">
        <v>5.0014031482373003E-2</v>
      </c>
      <c r="L4195">
        <v>1757.5157446953799</v>
      </c>
      <c r="M4195">
        <v>31.459244802366399</v>
      </c>
      <c r="N4195">
        <v>56.060752264864597</v>
      </c>
      <c r="O4195">
        <v>55.642134491588699</v>
      </c>
      <c r="P4195">
        <v>-0.13404524185022301</v>
      </c>
      <c r="Q4195">
        <v>5.1658777935095199E-2</v>
      </c>
      <c r="R4195">
        <v>0.99433309884636101</v>
      </c>
      <c r="S4195" t="s">
        <v>8491</v>
      </c>
      <c r="T4195" t="s">
        <v>8590</v>
      </c>
      <c r="U4195" t="s">
        <v>8590</v>
      </c>
      <c r="V4195" t="s">
        <v>8590</v>
      </c>
      <c r="W4195">
        <v>4</v>
      </c>
      <c r="X4195" t="s">
        <v>12785</v>
      </c>
      <c r="Y4195">
        <v>0.5590062929913473</v>
      </c>
      <c r="Z4195" t="str">
        <f>HYPERLINK("Melting_Curves/meltCurve_tr_J9JIC5_J9JIC5_HUMAN_.pdf", "Melting_Curves/meltCurve_tr_J9JIC5_J9JIC5_HUMAN_.pdf")</f>
        <v>Melting_Curves/meltCurve_tr_J9JIC5_J9JIC5_HUMAN_.pdf</v>
      </c>
      <c r="AA4195" t="s">
        <v>16994</v>
      </c>
      <c r="AB4195" t="s">
        <v>21254</v>
      </c>
    </row>
    <row r="4196" spans="1:28" x14ac:dyDescent="0.25">
      <c r="A4196" t="s">
        <v>4200</v>
      </c>
      <c r="B4196">
        <v>0.99876560204751996</v>
      </c>
      <c r="C4196">
        <v>1.01426578380996</v>
      </c>
      <c r="D4196">
        <v>0.92365231347539001</v>
      </c>
      <c r="E4196">
        <v>0.80970481240306502</v>
      </c>
      <c r="F4196">
        <v>0.806526570048688</v>
      </c>
      <c r="G4196">
        <v>0.58620073427658403</v>
      </c>
      <c r="H4196">
        <v>0.62872243031152797</v>
      </c>
      <c r="I4196">
        <v>0.52599743189652404</v>
      </c>
      <c r="J4196">
        <v>0.63896985740577905</v>
      </c>
      <c r="K4196">
        <v>0.63532776268128799</v>
      </c>
      <c r="L4196">
        <v>894.45418177752401</v>
      </c>
      <c r="M4196">
        <v>17.4861173947777</v>
      </c>
      <c r="O4196">
        <v>50.497307479366597</v>
      </c>
      <c r="P4196">
        <v>-3.5411193791988697E-2</v>
      </c>
      <c r="Q4196">
        <v>0.59097357086548896</v>
      </c>
      <c r="R4196">
        <v>0.92727852434296798</v>
      </c>
      <c r="S4196" t="s">
        <v>8492</v>
      </c>
      <c r="T4196" t="s">
        <v>8590</v>
      </c>
      <c r="U4196" t="s">
        <v>8590</v>
      </c>
      <c r="V4196" t="s">
        <v>8590</v>
      </c>
      <c r="W4196">
        <v>1</v>
      </c>
      <c r="X4196" t="s">
        <v>12786</v>
      </c>
      <c r="Y4196">
        <v>0.75026883255158794</v>
      </c>
      <c r="Z4196" t="str">
        <f>HYPERLINK("Melting_Curves/meltCurve_tr_J9JIE0_J9JIE0_HUMAN_.pdf", "Melting_Curves/meltCurve_tr_J9JIE0_J9JIE0_HUMAN_.pdf")</f>
        <v>Melting_Curves/meltCurve_tr_J9JIE0_J9JIE0_HUMAN_.pdf</v>
      </c>
      <c r="AA4196" t="s">
        <v>16995</v>
      </c>
      <c r="AB4196" t="s">
        <v>21255</v>
      </c>
    </row>
    <row r="4197" spans="1:28" x14ac:dyDescent="0.25">
      <c r="A4197" t="s">
        <v>4201</v>
      </c>
      <c r="B4197">
        <v>0.99876560204751996</v>
      </c>
      <c r="C4197">
        <v>1.04180359798894</v>
      </c>
      <c r="D4197">
        <v>0.95786110299091998</v>
      </c>
      <c r="E4197">
        <v>0.959326615037012</v>
      </c>
      <c r="F4197">
        <v>0.83332388540788604</v>
      </c>
      <c r="G4197">
        <v>0.64234069844533503</v>
      </c>
      <c r="H4197">
        <v>0.53538665226070203</v>
      </c>
      <c r="I4197">
        <v>0.50594362126901105</v>
      </c>
      <c r="J4197">
        <v>0.55278048226496901</v>
      </c>
      <c r="K4197">
        <v>0.42446314101146998</v>
      </c>
      <c r="L4197">
        <v>1144.4404228260601</v>
      </c>
      <c r="M4197">
        <v>20.8043077930426</v>
      </c>
      <c r="N4197">
        <v>64.631622732954497</v>
      </c>
      <c r="O4197">
        <v>54.509100542342502</v>
      </c>
      <c r="P4197">
        <v>-4.9865027027679101E-2</v>
      </c>
      <c r="Q4197">
        <v>0.477411781266182</v>
      </c>
      <c r="R4197">
        <v>0.97856075172137003</v>
      </c>
      <c r="S4197" t="s">
        <v>8493</v>
      </c>
      <c r="T4197" t="s">
        <v>8590</v>
      </c>
      <c r="U4197" t="s">
        <v>8590</v>
      </c>
      <c r="V4197" t="s">
        <v>8590</v>
      </c>
      <c r="W4197">
        <v>10</v>
      </c>
      <c r="X4197" t="s">
        <v>12787</v>
      </c>
      <c r="Y4197">
        <v>0.74542750446962747</v>
      </c>
      <c r="Z4197" t="str">
        <f>HYPERLINK("Melting_Curves/meltCurve_tr_J9JIE9_J9JIE9_HUMAN_.pdf", "Melting_Curves/meltCurve_tr_J9JIE9_J9JIE9_HUMAN_.pdf")</f>
        <v>Melting_Curves/meltCurve_tr_J9JIE9_J9JIE9_HUMAN_.pdf</v>
      </c>
      <c r="AA4197" t="s">
        <v>16996</v>
      </c>
      <c r="AB4197" t="s">
        <v>21256</v>
      </c>
    </row>
    <row r="4198" spans="1:28" x14ac:dyDescent="0.25">
      <c r="A4198" t="s">
        <v>4202</v>
      </c>
      <c r="B4198">
        <v>0.99876560204751996</v>
      </c>
      <c r="C4198">
        <v>1.01770772250445</v>
      </c>
      <c r="D4198">
        <v>0.81360442823912105</v>
      </c>
      <c r="E4198">
        <v>0.51378347838064897</v>
      </c>
      <c r="F4198">
        <v>0.22191404069692799</v>
      </c>
      <c r="G4198">
        <v>0.103174449146038</v>
      </c>
      <c r="H4198">
        <v>6.60684861785545E-2</v>
      </c>
      <c r="I4198">
        <v>5.7343221011265502E-2</v>
      </c>
      <c r="J4198">
        <v>5.9399178587794199E-2</v>
      </c>
      <c r="K4198">
        <v>5.1015165026479702E-2</v>
      </c>
      <c r="L4198">
        <v>1069.38662707564</v>
      </c>
      <c r="M4198">
        <v>21.549120218552702</v>
      </c>
      <c r="N4198">
        <v>49.866171612093801</v>
      </c>
      <c r="O4198">
        <v>49.204117537968401</v>
      </c>
      <c r="P4198">
        <v>-0.104084193384617</v>
      </c>
      <c r="Q4198">
        <v>4.9382037911071298E-2</v>
      </c>
      <c r="R4198">
        <v>0.99658455423689996</v>
      </c>
      <c r="S4198" t="s">
        <v>8494</v>
      </c>
      <c r="T4198" t="s">
        <v>8590</v>
      </c>
      <c r="U4198" t="s">
        <v>8590</v>
      </c>
      <c r="V4198" t="s">
        <v>8590</v>
      </c>
      <c r="W4198">
        <v>38</v>
      </c>
      <c r="X4198" t="s">
        <v>12788</v>
      </c>
      <c r="Y4198">
        <v>0.36581382307991561</v>
      </c>
      <c r="Z4198" t="str">
        <f>HYPERLINK("Melting_Curves/meltCurve_tr_K7EIG1_K7EIG1_HUMAN_.pdf", "Melting_Curves/meltCurve_tr_K7EIG1_K7EIG1_HUMAN_.pdf")</f>
        <v>Melting_Curves/meltCurve_tr_K7EIG1_K7EIG1_HUMAN_.pdf</v>
      </c>
      <c r="AA4198" t="s">
        <v>16946</v>
      </c>
      <c r="AB4198" t="s">
        <v>21206</v>
      </c>
    </row>
    <row r="4199" spans="1:28" x14ac:dyDescent="0.25">
      <c r="A4199" t="s">
        <v>4203</v>
      </c>
      <c r="B4199">
        <v>0.99876560204751996</v>
      </c>
      <c r="C4199">
        <v>0.95717063768104205</v>
      </c>
      <c r="D4199">
        <v>1.0018620769872599</v>
      </c>
      <c r="E4199">
        <v>0.85373629610441304</v>
      </c>
      <c r="F4199">
        <v>0.81495799354135301</v>
      </c>
      <c r="G4199">
        <v>0.62499979628689795</v>
      </c>
      <c r="H4199">
        <v>0.51302376755593004</v>
      </c>
      <c r="I4199">
        <v>0.37309138987143398</v>
      </c>
      <c r="J4199">
        <v>0.28052495288527901</v>
      </c>
      <c r="K4199">
        <v>0.20744368459138399</v>
      </c>
      <c r="L4199">
        <v>585.49933249032995</v>
      </c>
      <c r="M4199">
        <v>9.6602315499451006</v>
      </c>
      <c r="N4199">
        <v>60.609227623970703</v>
      </c>
      <c r="O4199">
        <v>58.182887709102303</v>
      </c>
      <c r="P4199">
        <v>-4.1531082804029402E-2</v>
      </c>
      <c r="Q4199">
        <v>0</v>
      </c>
      <c r="R4199">
        <v>0.99345256297197104</v>
      </c>
      <c r="S4199" t="s">
        <v>8495</v>
      </c>
      <c r="T4199" t="s">
        <v>8590</v>
      </c>
      <c r="U4199" t="s">
        <v>8590</v>
      </c>
      <c r="V4199" t="s">
        <v>8590</v>
      </c>
      <c r="W4199">
        <v>1</v>
      </c>
      <c r="X4199" t="s">
        <v>12789</v>
      </c>
      <c r="Y4199">
        <v>0.67641434778658827</v>
      </c>
      <c r="Z4199" t="str">
        <f>HYPERLINK("Melting_Curves/meltCurve_tr_K7EIN1_K7EIN1_HUMAN_.pdf", "Melting_Curves/meltCurve_tr_K7EIN1_K7EIN1_HUMAN_.pdf")</f>
        <v>Melting_Curves/meltCurve_tr_K7EIN1_K7EIN1_HUMAN_.pdf</v>
      </c>
      <c r="AA4199" t="s">
        <v>16997</v>
      </c>
      <c r="AB4199" t="s">
        <v>21257</v>
      </c>
    </row>
    <row r="4200" spans="1:28" x14ac:dyDescent="0.25">
      <c r="A4200" t="s">
        <v>4204</v>
      </c>
      <c r="B4200">
        <v>0.99876560204751996</v>
      </c>
      <c r="C4200">
        <v>0.84111387462100695</v>
      </c>
      <c r="D4200">
        <v>0.81600936872374596</v>
      </c>
      <c r="E4200">
        <v>0.74934155950868497</v>
      </c>
      <c r="F4200">
        <v>0.59543378123338697</v>
      </c>
      <c r="G4200">
        <v>0.35347588347165398</v>
      </c>
      <c r="H4200">
        <v>0.13835859789426999</v>
      </c>
      <c r="I4200">
        <v>0.11506527191782701</v>
      </c>
      <c r="J4200">
        <v>0.16169270518210199</v>
      </c>
      <c r="K4200">
        <v>8.5207923887486506E-2</v>
      </c>
      <c r="L4200">
        <v>585.11879905935803</v>
      </c>
      <c r="M4200">
        <v>10.8639512607489</v>
      </c>
      <c r="N4200">
        <v>53.858746325835803</v>
      </c>
      <c r="O4200">
        <v>52.130249835404598</v>
      </c>
      <c r="P4200">
        <v>-5.21184749639493E-2</v>
      </c>
      <c r="Q4200">
        <v>0</v>
      </c>
      <c r="R4200">
        <v>0.97397189691223296</v>
      </c>
      <c r="S4200" t="s">
        <v>8496</v>
      </c>
      <c r="T4200" t="s">
        <v>8590</v>
      </c>
      <c r="U4200" t="s">
        <v>8590</v>
      </c>
      <c r="V4200" t="s">
        <v>8590</v>
      </c>
      <c r="W4200">
        <v>2</v>
      </c>
      <c r="X4200" t="s">
        <v>12790</v>
      </c>
      <c r="Y4200">
        <v>0.49086105444792788</v>
      </c>
      <c r="Z4200" t="str">
        <f>HYPERLINK("Melting_Curves/meltCurve_tr_K7EIR0_K7EIR0_HUMAN_.pdf", "Melting_Curves/meltCurve_tr_K7EIR0_K7EIR0_HUMAN_.pdf")</f>
        <v>Melting_Curves/meltCurve_tr_K7EIR0_K7EIR0_HUMAN_.pdf</v>
      </c>
      <c r="AA4200" t="s">
        <v>16998</v>
      </c>
      <c r="AB4200" t="s">
        <v>21258</v>
      </c>
    </row>
    <row r="4201" spans="1:28" x14ac:dyDescent="0.25">
      <c r="A4201" t="s">
        <v>4205</v>
      </c>
      <c r="B4201">
        <v>0.99876560204751996</v>
      </c>
      <c r="C4201">
        <v>0.95644285919956396</v>
      </c>
      <c r="D4201">
        <v>0.95728674292167704</v>
      </c>
      <c r="E4201">
        <v>0.94909171458863995</v>
      </c>
      <c r="F4201">
        <v>1.02353164845814</v>
      </c>
      <c r="G4201">
        <v>0.60269998617396503</v>
      </c>
      <c r="H4201">
        <v>0.342578779954201</v>
      </c>
      <c r="I4201">
        <v>0.18136345066913201</v>
      </c>
      <c r="J4201">
        <v>0.121091552304481</v>
      </c>
      <c r="K4201">
        <v>0.120294314486092</v>
      </c>
      <c r="L4201">
        <v>1548.1863297037</v>
      </c>
      <c r="M4201">
        <v>26.713174319328001</v>
      </c>
      <c r="N4201">
        <v>58.5287189146595</v>
      </c>
      <c r="O4201">
        <v>57.634045855352802</v>
      </c>
      <c r="P4201">
        <v>-0.102545962616056</v>
      </c>
      <c r="Q4201">
        <v>0.11503178505292599</v>
      </c>
      <c r="R4201">
        <v>0.98704706318178204</v>
      </c>
      <c r="S4201" t="s">
        <v>8497</v>
      </c>
      <c r="T4201" t="s">
        <v>8590</v>
      </c>
      <c r="U4201" t="s">
        <v>8590</v>
      </c>
      <c r="V4201" t="s">
        <v>8590</v>
      </c>
      <c r="W4201">
        <v>7</v>
      </c>
      <c r="X4201" t="s">
        <v>12791</v>
      </c>
      <c r="Y4201">
        <v>0.65171753754849115</v>
      </c>
      <c r="Z4201" t="str">
        <f>HYPERLINK("Melting_Curves/meltCurve_tr_K7EIU8_K7EIU8_HUMAN_.pdf", "Melting_Curves/meltCurve_tr_K7EIU8_K7EIU8_HUMAN_.pdf")</f>
        <v>Melting_Curves/meltCurve_tr_K7EIU8_K7EIU8_HUMAN_.pdf</v>
      </c>
      <c r="AA4201" t="s">
        <v>16999</v>
      </c>
      <c r="AB4201" t="s">
        <v>21259</v>
      </c>
    </row>
    <row r="4202" spans="1:28" x14ac:dyDescent="0.25">
      <c r="A4202" t="s">
        <v>4206</v>
      </c>
      <c r="B4202">
        <v>0.99876560204751996</v>
      </c>
      <c r="C4202">
        <v>0.85902308536809802</v>
      </c>
      <c r="D4202">
        <v>0.90598501693259603</v>
      </c>
      <c r="E4202">
        <v>0.84888881412574102</v>
      </c>
      <c r="F4202">
        <v>0.873577257984684</v>
      </c>
      <c r="G4202">
        <v>0.67964267895125696</v>
      </c>
      <c r="H4202">
        <v>0</v>
      </c>
      <c r="I4202">
        <v>0.233398913221321</v>
      </c>
      <c r="J4202">
        <v>0.22637497766786799</v>
      </c>
      <c r="K4202">
        <v>0.19156052852573499</v>
      </c>
      <c r="L4202">
        <v>14277.259460117501</v>
      </c>
      <c r="M4202">
        <v>250</v>
      </c>
      <c r="N4202">
        <v>57.199194241725799</v>
      </c>
      <c r="O4202">
        <v>57.1053879368827</v>
      </c>
      <c r="P4202">
        <v>-0.91625163466259296</v>
      </c>
      <c r="Q4202">
        <v>0.16283358901389999</v>
      </c>
      <c r="R4202">
        <v>0.91757058544526804</v>
      </c>
      <c r="S4202" t="s">
        <v>8498</v>
      </c>
      <c r="T4202" t="s">
        <v>8590</v>
      </c>
      <c r="U4202" t="s">
        <v>8590</v>
      </c>
      <c r="V4202" t="s">
        <v>8590</v>
      </c>
      <c r="W4202">
        <v>2</v>
      </c>
      <c r="X4202" t="s">
        <v>12792</v>
      </c>
      <c r="Y4202">
        <v>0.6403545545574717</v>
      </c>
      <c r="Z4202" t="str">
        <f>HYPERLINK("Melting_Curves/meltCurve_tr_K7EIV9_K7EIV9_HUMAN_.pdf", "Melting_Curves/meltCurve_tr_K7EIV9_K7EIV9_HUMAN_.pdf")</f>
        <v>Melting_Curves/meltCurve_tr_K7EIV9_K7EIV9_HUMAN_.pdf</v>
      </c>
      <c r="AA4202" t="s">
        <v>17000</v>
      </c>
      <c r="AB4202" t="s">
        <v>21260</v>
      </c>
    </row>
    <row r="4203" spans="1:28" x14ac:dyDescent="0.25">
      <c r="A4203" t="s">
        <v>4207</v>
      </c>
      <c r="B4203">
        <v>0.99876560204751996</v>
      </c>
      <c r="C4203">
        <v>1.2011729147138099</v>
      </c>
      <c r="D4203">
        <v>1.09163711034551</v>
      </c>
      <c r="E4203">
        <v>0.94412348750887798</v>
      </c>
      <c r="F4203">
        <v>0.85996974965552697</v>
      </c>
      <c r="G4203">
        <v>0.60142345206360803</v>
      </c>
      <c r="H4203">
        <v>0.41614047679171501</v>
      </c>
      <c r="I4203">
        <v>0.45655269052807301</v>
      </c>
      <c r="J4203">
        <v>0.31725052453396202</v>
      </c>
      <c r="K4203">
        <v>0.34117576699874202</v>
      </c>
      <c r="L4203">
        <v>1276.89888071256</v>
      </c>
      <c r="M4203">
        <v>22.813791579356099</v>
      </c>
      <c r="N4203">
        <v>59.017802396787197</v>
      </c>
      <c r="O4203">
        <v>55.545756711426897</v>
      </c>
      <c r="P4203">
        <v>-6.7149324472866895E-2</v>
      </c>
      <c r="Q4203">
        <v>0.34604681549336402</v>
      </c>
      <c r="R4203">
        <v>0.94168739194141804</v>
      </c>
      <c r="S4203" t="s">
        <v>8499</v>
      </c>
      <c r="T4203" t="s">
        <v>8590</v>
      </c>
      <c r="U4203" t="s">
        <v>8590</v>
      </c>
      <c r="V4203" t="s">
        <v>8590</v>
      </c>
      <c r="W4203">
        <v>1</v>
      </c>
      <c r="X4203" t="s">
        <v>12793</v>
      </c>
      <c r="Y4203">
        <v>0.70113698869533225</v>
      </c>
      <c r="Z4203" t="str">
        <f>HYPERLINK("Melting_Curves/meltCurve_tr_K7EJ05_K7EJ05_HUMAN_.pdf", "Melting_Curves/meltCurve_tr_K7EJ05_K7EJ05_HUMAN_.pdf")</f>
        <v>Melting_Curves/meltCurve_tr_K7EJ05_K7EJ05_HUMAN_.pdf</v>
      </c>
      <c r="AA4203" t="s">
        <v>17001</v>
      </c>
      <c r="AB4203" t="s">
        <v>21261</v>
      </c>
    </row>
    <row r="4204" spans="1:28" x14ac:dyDescent="0.25">
      <c r="A4204" t="s">
        <v>4208</v>
      </c>
      <c r="B4204">
        <v>0.99876560204751996</v>
      </c>
      <c r="C4204">
        <v>1.01590261533207</v>
      </c>
      <c r="D4204">
        <v>0.98319699736055399</v>
      </c>
      <c r="E4204">
        <v>1.1480687379587</v>
      </c>
      <c r="F4204">
        <v>0.82177043752969203</v>
      </c>
      <c r="G4204">
        <v>0.57020336737608002</v>
      </c>
      <c r="H4204">
        <v>0.46005004952261003</v>
      </c>
      <c r="I4204">
        <v>0.42199619569980101</v>
      </c>
      <c r="J4204">
        <v>0.58673269935581096</v>
      </c>
      <c r="K4204">
        <v>0.566626670708546</v>
      </c>
      <c r="L4204">
        <v>13277.712164701999</v>
      </c>
      <c r="M4204">
        <v>250</v>
      </c>
      <c r="O4204">
        <v>53.107435862064797</v>
      </c>
      <c r="P4204">
        <v>-0.56357231034766098</v>
      </c>
      <c r="Q4204">
        <v>0.52112178809615295</v>
      </c>
      <c r="R4204">
        <v>0.92936985183149901</v>
      </c>
      <c r="S4204" t="s">
        <v>8500</v>
      </c>
      <c r="T4204" t="s">
        <v>8590</v>
      </c>
      <c r="U4204" t="s">
        <v>8590</v>
      </c>
      <c r="V4204" t="s">
        <v>8590</v>
      </c>
      <c r="W4204">
        <v>17</v>
      </c>
      <c r="X4204" t="s">
        <v>12794</v>
      </c>
      <c r="Y4204">
        <v>0.73044974912694072</v>
      </c>
      <c r="Z4204" t="str">
        <f>HYPERLINK("Melting_Curves/meltCurve_tr_K7EJB9_K7EJB9_HUMAN_.pdf", "Melting_Curves/meltCurve_tr_K7EJB9_K7EJB9_HUMAN_.pdf")</f>
        <v>Melting_Curves/meltCurve_tr_K7EJB9_K7EJB9_HUMAN_.pdf</v>
      </c>
      <c r="AA4204" t="s">
        <v>13769</v>
      </c>
      <c r="AB4204" t="s">
        <v>21262</v>
      </c>
    </row>
    <row r="4205" spans="1:28" x14ac:dyDescent="0.25">
      <c r="A4205" t="s">
        <v>4209</v>
      </c>
      <c r="B4205">
        <v>0.99876560204751996</v>
      </c>
      <c r="C4205">
        <v>0.93571538991029601</v>
      </c>
      <c r="D4205">
        <v>0.94809783008779802</v>
      </c>
      <c r="E4205">
        <v>0.78684501464502399</v>
      </c>
      <c r="F4205">
        <v>0.87307119887393003</v>
      </c>
      <c r="G4205">
        <v>0.69636079861466504</v>
      </c>
      <c r="H4205">
        <v>0.58823778375702296</v>
      </c>
      <c r="I4205">
        <v>0.53896632456104798</v>
      </c>
      <c r="J4205">
        <v>0.59664191336546701</v>
      </c>
      <c r="K4205">
        <v>0.64479691291737395</v>
      </c>
      <c r="L4205">
        <v>618.17842139652498</v>
      </c>
      <c r="M4205">
        <v>11.6545944930972</v>
      </c>
      <c r="O4205">
        <v>51.552177040831403</v>
      </c>
      <c r="P4205">
        <v>-2.5228673242408101E-2</v>
      </c>
      <c r="Q4205">
        <v>0.55374093159077997</v>
      </c>
      <c r="R4205">
        <v>0.89887717078177498</v>
      </c>
      <c r="S4205" t="s">
        <v>8501</v>
      </c>
      <c r="T4205" t="s">
        <v>8590</v>
      </c>
      <c r="U4205" t="s">
        <v>8590</v>
      </c>
      <c r="V4205" t="s">
        <v>8590</v>
      </c>
      <c r="W4205">
        <v>3</v>
      </c>
      <c r="X4205" t="s">
        <v>12795</v>
      </c>
      <c r="Y4205">
        <v>0.76081290731739248</v>
      </c>
      <c r="Z4205" t="str">
        <f>HYPERLINK("Melting_Curves/meltCurve_tr_K7EJG0_K7EJG0_HUMAN_.pdf", "Melting_Curves/meltCurve_tr_K7EJG0_K7EJG0_HUMAN_.pdf")</f>
        <v>Melting_Curves/meltCurve_tr_K7EJG0_K7EJG0_HUMAN_.pdf</v>
      </c>
      <c r="AA4205" t="s">
        <v>17002</v>
      </c>
      <c r="AB4205" t="s">
        <v>21263</v>
      </c>
    </row>
    <row r="4206" spans="1:28" x14ac:dyDescent="0.25">
      <c r="A4206" t="s">
        <v>4210</v>
      </c>
      <c r="B4206">
        <v>0.99876560204751996</v>
      </c>
      <c r="C4206">
        <v>0.95652167511145403</v>
      </c>
      <c r="D4206">
        <v>0.92486265262938605</v>
      </c>
      <c r="E4206">
        <v>0.91113514358501901</v>
      </c>
      <c r="F4206">
        <v>0.75463383633336401</v>
      </c>
      <c r="G4206">
        <v>0.54604400794615504</v>
      </c>
      <c r="H4206">
        <v>0.29831912440312602</v>
      </c>
      <c r="I4206">
        <v>0.255543194400704</v>
      </c>
      <c r="J4206">
        <v>0.19111447598848999</v>
      </c>
      <c r="K4206">
        <v>0.15707223506614801</v>
      </c>
      <c r="L4206">
        <v>842.10028423585595</v>
      </c>
      <c r="M4206">
        <v>14.892177798838</v>
      </c>
      <c r="N4206">
        <v>57.483657487023201</v>
      </c>
      <c r="O4206">
        <v>55.5562417596093</v>
      </c>
      <c r="P4206">
        <v>-5.9797243291499297E-2</v>
      </c>
      <c r="Q4206">
        <v>0.107782712943415</v>
      </c>
      <c r="R4206">
        <v>0.99474726211370401</v>
      </c>
      <c r="S4206" t="s">
        <v>8502</v>
      </c>
      <c r="T4206" t="s">
        <v>8590</v>
      </c>
      <c r="U4206" t="s">
        <v>8590</v>
      </c>
      <c r="V4206" t="s">
        <v>8590</v>
      </c>
      <c r="W4206">
        <v>1</v>
      </c>
      <c r="X4206" t="s">
        <v>12796</v>
      </c>
      <c r="Y4206">
        <v>0.61489949505774033</v>
      </c>
      <c r="Z4206" t="str">
        <f>HYPERLINK("Melting_Curves/meltCurve_tr_K7EJX0_K7EJX0_HUMAN_.pdf", "Melting_Curves/meltCurve_tr_K7EJX0_K7EJX0_HUMAN_.pdf")</f>
        <v>Melting_Curves/meltCurve_tr_K7EJX0_K7EJX0_HUMAN_.pdf</v>
      </c>
      <c r="AA4206" t="s">
        <v>17003</v>
      </c>
      <c r="AB4206" t="s">
        <v>21264</v>
      </c>
    </row>
    <row r="4207" spans="1:28" x14ac:dyDescent="0.25">
      <c r="A4207" t="s">
        <v>4211</v>
      </c>
      <c r="B4207">
        <v>0.99876560204751996</v>
      </c>
      <c r="C4207">
        <v>0.97203919040243703</v>
      </c>
      <c r="D4207">
        <v>0.93939075654128001</v>
      </c>
      <c r="E4207">
        <v>0.69382450219665204</v>
      </c>
      <c r="F4207">
        <v>0.4474222698575</v>
      </c>
      <c r="G4207">
        <v>0.32830733253636002</v>
      </c>
      <c r="H4207">
        <v>0.18560101170312701</v>
      </c>
      <c r="I4207">
        <v>0.17306070136347601</v>
      </c>
      <c r="J4207">
        <v>0.14122952794722901</v>
      </c>
      <c r="K4207">
        <v>0.155780821668381</v>
      </c>
      <c r="L4207">
        <v>915.77347292181196</v>
      </c>
      <c r="M4207">
        <v>17.723092191184701</v>
      </c>
      <c r="N4207">
        <v>52.680753203431301</v>
      </c>
      <c r="O4207">
        <v>51.026828992096299</v>
      </c>
      <c r="P4207">
        <v>-7.4333506768023902E-2</v>
      </c>
      <c r="Q4207">
        <v>0.143985898183695</v>
      </c>
      <c r="R4207">
        <v>0.99632276843998802</v>
      </c>
      <c r="S4207" t="s">
        <v>8503</v>
      </c>
      <c r="T4207" t="s">
        <v>8590</v>
      </c>
      <c r="U4207" t="s">
        <v>8590</v>
      </c>
      <c r="V4207" t="s">
        <v>8590</v>
      </c>
      <c r="W4207">
        <v>5</v>
      </c>
      <c r="X4207" t="s">
        <v>12797</v>
      </c>
      <c r="Y4207">
        <v>0.49170595436968179</v>
      </c>
      <c r="Z4207" t="str">
        <f>HYPERLINK("Melting_Curves/meltCurve_tr_K7EK07_K7EK07_HUMAN_.pdf", "Melting_Curves/meltCurve_tr_K7EK07_K7EK07_HUMAN_.pdf")</f>
        <v>Melting_Curves/meltCurve_tr_K7EK07_K7EK07_HUMAN_.pdf</v>
      </c>
      <c r="AA4207" t="s">
        <v>17004</v>
      </c>
      <c r="AB4207" t="s">
        <v>21265</v>
      </c>
    </row>
    <row r="4208" spans="1:28" x14ac:dyDescent="0.25">
      <c r="A4208" t="s">
        <v>4212</v>
      </c>
      <c r="B4208">
        <v>0.99876560204751996</v>
      </c>
      <c r="C4208">
        <v>0.92643904144266798</v>
      </c>
      <c r="D4208">
        <v>0.85952038301221501</v>
      </c>
      <c r="E4208">
        <v>0.54074174022593102</v>
      </c>
      <c r="F4208">
        <v>0.210135668375735</v>
      </c>
      <c r="G4208">
        <v>0.12100553273081099</v>
      </c>
      <c r="H4208">
        <v>5.2675549722156899E-2</v>
      </c>
      <c r="I4208">
        <v>4.66096158135215E-2</v>
      </c>
      <c r="J4208">
        <v>3.9434334904215301E-2</v>
      </c>
      <c r="K4208">
        <v>3.4116888665762402E-2</v>
      </c>
      <c r="L4208">
        <v>1058.7480167081201</v>
      </c>
      <c r="M4208">
        <v>21.208985549605099</v>
      </c>
      <c r="N4208">
        <v>50.089624347606197</v>
      </c>
      <c r="O4208">
        <v>49.482346687541998</v>
      </c>
      <c r="P4208">
        <v>-0.10343934683179</v>
      </c>
      <c r="Q4208">
        <v>3.4694136578353997E-2</v>
      </c>
      <c r="R4208">
        <v>0.99643541989752205</v>
      </c>
      <c r="S4208" t="s">
        <v>8504</v>
      </c>
      <c r="T4208" t="s">
        <v>8590</v>
      </c>
      <c r="U4208" t="s">
        <v>8590</v>
      </c>
      <c r="V4208" t="s">
        <v>8590</v>
      </c>
      <c r="W4208">
        <v>13</v>
      </c>
      <c r="X4208" t="s">
        <v>12798</v>
      </c>
      <c r="Y4208">
        <v>0.36585783166155172</v>
      </c>
      <c r="Z4208" t="str">
        <f>HYPERLINK("Melting_Curves/meltCurve_tr_K7EK11_K7EK11_HUMAN_.pdf", "Melting_Curves/meltCurve_tr_K7EK11_K7EK11_HUMAN_.pdf")</f>
        <v>Melting_Curves/meltCurve_tr_K7EK11_K7EK11_HUMAN_.pdf</v>
      </c>
      <c r="AA4208" t="s">
        <v>17005</v>
      </c>
      <c r="AB4208" t="s">
        <v>21266</v>
      </c>
    </row>
    <row r="4209" spans="1:28" x14ac:dyDescent="0.25">
      <c r="A4209" t="s">
        <v>4213</v>
      </c>
      <c r="B4209">
        <v>0.99876560204751996</v>
      </c>
      <c r="C4209">
        <v>0.98302981717740801</v>
      </c>
      <c r="D4209">
        <v>0.91816608784985598</v>
      </c>
      <c r="E4209">
        <v>0.52763431468463595</v>
      </c>
      <c r="F4209">
        <v>0.23496341462932899</v>
      </c>
      <c r="G4209">
        <v>0.124587109207017</v>
      </c>
      <c r="H4209">
        <v>6.5794286872018604E-2</v>
      </c>
      <c r="I4209">
        <v>4.9513722970304999E-2</v>
      </c>
      <c r="J4209">
        <v>4.0516596255914299E-2</v>
      </c>
      <c r="K4209">
        <v>3.4025929473075998E-2</v>
      </c>
      <c r="L4209">
        <v>1237.3685711256301</v>
      </c>
      <c r="M4209">
        <v>24.708714897639101</v>
      </c>
      <c r="N4209">
        <v>50.2854694242656</v>
      </c>
      <c r="O4209">
        <v>49.753660348714902</v>
      </c>
      <c r="P4209">
        <v>-0.118145986239725</v>
      </c>
      <c r="Q4209">
        <v>4.8414688645127199E-2</v>
      </c>
      <c r="R4209">
        <v>0.99897315580850599</v>
      </c>
      <c r="S4209" t="s">
        <v>8505</v>
      </c>
      <c r="T4209" t="s">
        <v>8590</v>
      </c>
      <c r="U4209" t="s">
        <v>8590</v>
      </c>
      <c r="V4209" t="s">
        <v>8590</v>
      </c>
      <c r="W4209">
        <v>43</v>
      </c>
      <c r="X4209" t="s">
        <v>12799</v>
      </c>
      <c r="Y4209">
        <v>0.37680537227316591</v>
      </c>
      <c r="Z4209" t="str">
        <f>HYPERLINK("Melting_Curves/meltCurve_tr_K7EKE6_K7EKE6_HUMAN_.pdf", "Melting_Curves/meltCurve_tr_K7EKE6_K7EKE6_HUMAN_.pdf")</f>
        <v>Melting_Curves/meltCurve_tr_K7EKE6_K7EKE6_HUMAN_.pdf</v>
      </c>
      <c r="AA4209" t="s">
        <v>17006</v>
      </c>
      <c r="AB4209" t="s">
        <v>21267</v>
      </c>
    </row>
    <row r="4210" spans="1:28" x14ac:dyDescent="0.25">
      <c r="A4210" t="s">
        <v>4214</v>
      </c>
      <c r="B4210">
        <v>0.99876560204751996</v>
      </c>
      <c r="C4210">
        <v>1.07678144691567</v>
      </c>
      <c r="D4210">
        <v>0.98005188150003597</v>
      </c>
      <c r="E4210">
        <v>1.05330052303376</v>
      </c>
      <c r="F4210">
        <v>1.03833959294796</v>
      </c>
      <c r="G4210">
        <v>0.89647449006219404</v>
      </c>
      <c r="H4210">
        <v>0.828708465229266</v>
      </c>
      <c r="I4210">
        <v>0.83541455797495201</v>
      </c>
      <c r="J4210">
        <v>1.0123652462077599</v>
      </c>
      <c r="K4210">
        <v>1.06747741276134</v>
      </c>
      <c r="L4210">
        <v>3859.3798097709</v>
      </c>
      <c r="M4210">
        <v>70.190462252771596</v>
      </c>
      <c r="O4210">
        <v>54.939810413064897</v>
      </c>
      <c r="P4210">
        <v>-2.2947600235454099E-2</v>
      </c>
      <c r="Q4210">
        <v>0.92815340081363396</v>
      </c>
      <c r="R4210">
        <v>0.26363694267016702</v>
      </c>
      <c r="S4210" t="s">
        <v>8506</v>
      </c>
      <c r="T4210" t="s">
        <v>8590</v>
      </c>
      <c r="U4210" t="s">
        <v>8590</v>
      </c>
      <c r="V4210" t="s">
        <v>8590</v>
      </c>
      <c r="W4210">
        <v>19</v>
      </c>
      <c r="X4210" t="s">
        <v>12800</v>
      </c>
      <c r="Y4210">
        <v>0.9641274974634283</v>
      </c>
      <c r="Z4210" t="str">
        <f>HYPERLINK("Melting_Curves/meltCurve_tr_K7ELL7_K7ELL7_HUMAN_.pdf", "Melting_Curves/meltCurve_tr_K7ELL7_K7ELL7_HUMAN_.pdf")</f>
        <v>Melting_Curves/meltCurve_tr_K7ELL7_K7ELL7_HUMAN_.pdf</v>
      </c>
      <c r="AA4210" t="s">
        <v>17007</v>
      </c>
      <c r="AB4210" t="s">
        <v>21268</v>
      </c>
    </row>
    <row r="4211" spans="1:28" x14ac:dyDescent="0.25">
      <c r="A4211" t="s">
        <v>4215</v>
      </c>
      <c r="B4211">
        <v>0.99876560204751996</v>
      </c>
      <c r="C4211">
        <v>1.0427181617720001</v>
      </c>
      <c r="D4211">
        <v>0.956638042405205</v>
      </c>
      <c r="E4211">
        <v>0.98190423485993805</v>
      </c>
      <c r="F4211">
        <v>0.81492905585595199</v>
      </c>
      <c r="G4211">
        <v>0.73476052980684503</v>
      </c>
      <c r="H4211">
        <v>0.55809814394430002</v>
      </c>
      <c r="I4211">
        <v>0.43704157655569298</v>
      </c>
      <c r="J4211">
        <v>0.34097651474186103</v>
      </c>
      <c r="K4211">
        <v>7.2071993945632101E-2</v>
      </c>
      <c r="L4211">
        <v>761.807823349307</v>
      </c>
      <c r="M4211">
        <v>12.317350510406101</v>
      </c>
      <c r="N4211">
        <v>61.8483514941408</v>
      </c>
      <c r="O4211">
        <v>60.285939267006</v>
      </c>
      <c r="P4211">
        <v>-5.1089997871694097E-2</v>
      </c>
      <c r="Q4211">
        <v>0</v>
      </c>
      <c r="R4211">
        <v>0.96999430907362805</v>
      </c>
      <c r="S4211" t="s">
        <v>8507</v>
      </c>
      <c r="T4211" t="s">
        <v>8590</v>
      </c>
      <c r="U4211" t="s">
        <v>8590</v>
      </c>
      <c r="V4211" t="s">
        <v>8590</v>
      </c>
      <c r="W4211">
        <v>1</v>
      </c>
      <c r="X4211" t="s">
        <v>12801</v>
      </c>
      <c r="Y4211">
        <v>0.71926699321941456</v>
      </c>
      <c r="Z4211" t="str">
        <f>HYPERLINK("Melting_Curves/meltCurve_tr_K7EM02_K7EM02_HUMAN_.pdf", "Melting_Curves/meltCurve_tr_K7EM02_K7EM02_HUMAN_.pdf")</f>
        <v>Melting_Curves/meltCurve_tr_K7EM02_K7EM02_HUMAN_.pdf</v>
      </c>
      <c r="AA4211" t="s">
        <v>17008</v>
      </c>
      <c r="AB4211" t="s">
        <v>21269</v>
      </c>
    </row>
    <row r="4212" spans="1:28" x14ac:dyDescent="0.25">
      <c r="A4212" t="s">
        <v>4216</v>
      </c>
      <c r="B4212">
        <v>0.99876560204751996</v>
      </c>
      <c r="C4212">
        <v>1.01121266089235</v>
      </c>
      <c r="D4212">
        <v>0.69136585174528598</v>
      </c>
      <c r="E4212">
        <v>0.65414524937845897</v>
      </c>
      <c r="F4212">
        <v>0.30156978717434002</v>
      </c>
      <c r="G4212">
        <v>0.11800509340728201</v>
      </c>
      <c r="H4212">
        <v>9.2390956793587595E-2</v>
      </c>
      <c r="I4212">
        <v>8.4884073725655096E-2</v>
      </c>
      <c r="J4212">
        <v>9.5091173603158094E-2</v>
      </c>
      <c r="K4212">
        <v>2.34552236784593E-2</v>
      </c>
      <c r="L4212">
        <v>784.97070555263201</v>
      </c>
      <c r="M4212">
        <v>15.591457973231</v>
      </c>
      <c r="N4212">
        <v>50.573543982999396</v>
      </c>
      <c r="O4212">
        <v>49.539802429339602</v>
      </c>
      <c r="P4212">
        <v>-7.6025178970617197E-2</v>
      </c>
      <c r="Q4212">
        <v>3.3843940313944797E-2</v>
      </c>
      <c r="R4212">
        <v>0.97095873904937202</v>
      </c>
      <c r="S4212" t="s">
        <v>8508</v>
      </c>
      <c r="T4212" t="s">
        <v>8590</v>
      </c>
      <c r="U4212" t="s">
        <v>8590</v>
      </c>
      <c r="V4212" t="s">
        <v>8590</v>
      </c>
      <c r="W4212">
        <v>1</v>
      </c>
      <c r="X4212" t="s">
        <v>12802</v>
      </c>
      <c r="Y4212">
        <v>0.38834282161985628</v>
      </c>
      <c r="Z4212" t="str">
        <f>HYPERLINK("Melting_Curves/meltCurve_tr_K7EM09_K7EM09_HUMAN_.pdf", "Melting_Curves/meltCurve_tr_K7EM09_K7EM09_HUMAN_.pdf")</f>
        <v>Melting_Curves/meltCurve_tr_K7EM09_K7EM09_HUMAN_.pdf</v>
      </c>
      <c r="AA4212" t="s">
        <v>17009</v>
      </c>
      <c r="AB4212" t="s">
        <v>21270</v>
      </c>
    </row>
    <row r="4213" spans="1:28" x14ac:dyDescent="0.25">
      <c r="A4213" t="s">
        <v>4217</v>
      </c>
      <c r="B4213">
        <v>0.99876560204751996</v>
      </c>
      <c r="C4213">
        <v>0.759148419934635</v>
      </c>
      <c r="D4213">
        <v>0.41768683824533998</v>
      </c>
      <c r="E4213">
        <v>0.35744209589806603</v>
      </c>
      <c r="F4213">
        <v>0.21415978400951</v>
      </c>
      <c r="G4213">
        <v>0.21983677794291401</v>
      </c>
      <c r="H4213">
        <v>7.8434292903574496E-2</v>
      </c>
      <c r="I4213">
        <v>0.12960969524638799</v>
      </c>
      <c r="J4213">
        <v>3.8895975469546797E-2</v>
      </c>
      <c r="K4213">
        <v>0</v>
      </c>
      <c r="L4213">
        <v>620.94989182885604</v>
      </c>
      <c r="M4213">
        <v>13.483850689450801</v>
      </c>
      <c r="N4213">
        <v>46.533984491512598</v>
      </c>
      <c r="O4213">
        <v>45.073850762133098</v>
      </c>
      <c r="P4213">
        <v>-6.9918169856058102E-2</v>
      </c>
      <c r="Q4213">
        <v>6.5252216134138993E-2</v>
      </c>
      <c r="R4213">
        <v>0.95235592650262602</v>
      </c>
      <c r="S4213" t="s">
        <v>8509</v>
      </c>
      <c r="T4213" t="s">
        <v>8590</v>
      </c>
      <c r="U4213" t="s">
        <v>8590</v>
      </c>
      <c r="V4213" t="s">
        <v>8590</v>
      </c>
      <c r="W4213">
        <v>12</v>
      </c>
      <c r="X4213" t="s">
        <v>12803</v>
      </c>
      <c r="Y4213">
        <v>0.28762230973851999</v>
      </c>
      <c r="Z4213" t="str">
        <f>HYPERLINK("Melting_Curves/meltCurve_tr_K7EM38_K7EM38_HUMAN_.pdf", "Melting_Curves/meltCurve_tr_K7EM38_K7EM38_HUMAN_.pdf")</f>
        <v>Melting_Curves/meltCurve_tr_K7EM38_K7EM38_HUMAN_.pdf</v>
      </c>
      <c r="AA4213" t="s">
        <v>14310</v>
      </c>
      <c r="AB4213" t="s">
        <v>21271</v>
      </c>
    </row>
    <row r="4214" spans="1:28" x14ac:dyDescent="0.25">
      <c r="A4214" t="s">
        <v>4218</v>
      </c>
      <c r="B4214">
        <v>0.99876560204751996</v>
      </c>
      <c r="C4214">
        <v>0.83833748024569199</v>
      </c>
      <c r="D4214">
        <v>0.574318793706875</v>
      </c>
      <c r="E4214">
        <v>0.74915395801436602</v>
      </c>
      <c r="F4214">
        <v>0.545697454886091</v>
      </c>
      <c r="G4214">
        <v>0.44756102773481399</v>
      </c>
      <c r="H4214">
        <v>0.25780502000125199</v>
      </c>
      <c r="I4214">
        <v>2.1715002969191199</v>
      </c>
      <c r="J4214">
        <v>0.112602181997821</v>
      </c>
      <c r="K4214">
        <v>7.9950888614547494E-2</v>
      </c>
      <c r="L4214">
        <v>10738.415429995801</v>
      </c>
      <c r="M4214">
        <v>250</v>
      </c>
      <c r="O4214">
        <v>42.950912922418297</v>
      </c>
      <c r="P4214">
        <v>-0.55685123054257801</v>
      </c>
      <c r="Q4214">
        <v>0.61732370059939501</v>
      </c>
      <c r="R4214">
        <v>4.7901233370303602E-2</v>
      </c>
      <c r="S4214" t="s">
        <v>8510</v>
      </c>
      <c r="T4214" t="s">
        <v>8590</v>
      </c>
      <c r="U4214" t="s">
        <v>8590</v>
      </c>
      <c r="V4214" t="s">
        <v>8590</v>
      </c>
      <c r="W4214">
        <v>33</v>
      </c>
      <c r="X4214" t="s">
        <v>12804</v>
      </c>
      <c r="Y4214">
        <v>0.65502909246414032</v>
      </c>
      <c r="Z4214" t="str">
        <f>HYPERLINK("Melting_Curves/meltCurve_tr_K7EME0_K7EME0_HUMAN_.pdf", "Melting_Curves/meltCurve_tr_K7EME0_K7EME0_HUMAN_.pdf")</f>
        <v>Melting_Curves/meltCurve_tr_K7EME0_K7EME0_HUMAN_.pdf</v>
      </c>
      <c r="AA4214" t="s">
        <v>13958</v>
      </c>
      <c r="AB4214" t="s">
        <v>18177</v>
      </c>
    </row>
    <row r="4215" spans="1:28" x14ac:dyDescent="0.25">
      <c r="A4215" t="s">
        <v>4219</v>
      </c>
      <c r="B4215">
        <v>0.99876560204751996</v>
      </c>
      <c r="C4215">
        <v>0.86914537908768097</v>
      </c>
      <c r="D4215">
        <v>0.84068922860205197</v>
      </c>
      <c r="E4215">
        <v>0.88956305181682405</v>
      </c>
      <c r="F4215">
        <v>0.90844646672263796</v>
      </c>
      <c r="G4215">
        <v>0.64672294356775095</v>
      </c>
      <c r="H4215">
        <v>0.58619775579205302</v>
      </c>
      <c r="I4215">
        <v>0.59899209582555202</v>
      </c>
      <c r="J4215">
        <v>0.58814202225310896</v>
      </c>
      <c r="K4215">
        <v>0.61521078169635601</v>
      </c>
      <c r="L4215">
        <v>398.99244127168402</v>
      </c>
      <c r="M4215">
        <v>7.1574580164291897</v>
      </c>
      <c r="O4215">
        <v>51.885578792297203</v>
      </c>
      <c r="P4215">
        <v>-1.8494573962383298E-2</v>
      </c>
      <c r="Q4215">
        <v>0.464634017983725</v>
      </c>
      <c r="R4215">
        <v>0.82589680461984505</v>
      </c>
      <c r="S4215" t="s">
        <v>8511</v>
      </c>
      <c r="T4215" t="s">
        <v>8590</v>
      </c>
      <c r="U4215" t="s">
        <v>8590</v>
      </c>
      <c r="V4215" t="s">
        <v>8590</v>
      </c>
      <c r="W4215">
        <v>1</v>
      </c>
      <c r="X4215" t="s">
        <v>12805</v>
      </c>
      <c r="Y4215">
        <v>0.75663541678795909</v>
      </c>
      <c r="Z4215" t="str">
        <f>HYPERLINK("Melting_Curves/meltCurve_tr_K7EN05_K7EN05_HUMAN_.pdf", "Melting_Curves/meltCurve_tr_K7EN05_K7EN05_HUMAN_.pdf")</f>
        <v>Melting_Curves/meltCurve_tr_K7EN05_K7EN05_HUMAN_.pdf</v>
      </c>
      <c r="AA4215" t="s">
        <v>17010</v>
      </c>
      <c r="AB4215" t="s">
        <v>21272</v>
      </c>
    </row>
    <row r="4216" spans="1:28" x14ac:dyDescent="0.25">
      <c r="A4216" t="s">
        <v>4220</v>
      </c>
      <c r="B4216">
        <v>0.99876560204751996</v>
      </c>
      <c r="C4216">
        <v>1.0009975153002699</v>
      </c>
      <c r="D4216">
        <v>1.0039015231316499</v>
      </c>
      <c r="E4216">
        <v>0.97206663635244295</v>
      </c>
      <c r="F4216">
        <v>0.94668980300826999</v>
      </c>
      <c r="G4216">
        <v>0.82032920059362502</v>
      </c>
      <c r="H4216">
        <v>0.47337513200537801</v>
      </c>
      <c r="I4216">
        <v>0.255920960574885</v>
      </c>
      <c r="J4216">
        <v>0.10221065724107101</v>
      </c>
      <c r="K4216">
        <v>4.8083580189168203E-2</v>
      </c>
      <c r="L4216">
        <v>1345.2389656617599</v>
      </c>
      <c r="M4216">
        <v>22.1398203520612</v>
      </c>
      <c r="N4216">
        <v>60.761077993437802</v>
      </c>
      <c r="O4216">
        <v>60.271865761218997</v>
      </c>
      <c r="P4216">
        <v>-9.1835146495787195E-2</v>
      </c>
      <c r="Q4216">
        <v>0</v>
      </c>
      <c r="R4216">
        <v>0.99932325237658903</v>
      </c>
      <c r="S4216" t="s">
        <v>8512</v>
      </c>
      <c r="T4216" t="s">
        <v>8590</v>
      </c>
      <c r="U4216" t="s">
        <v>8590</v>
      </c>
      <c r="V4216" t="s">
        <v>8590</v>
      </c>
      <c r="W4216">
        <v>3</v>
      </c>
      <c r="X4216" t="s">
        <v>12806</v>
      </c>
      <c r="Y4216">
        <v>0.69886839326417527</v>
      </c>
      <c r="Z4216" t="str">
        <f>HYPERLINK("Melting_Curves/meltCurve_tr_K7ENR6_K7ENR6_HUMAN_.pdf", "Melting_Curves/meltCurve_tr_K7ENR6_K7ENR6_HUMAN_.pdf")</f>
        <v>Melting_Curves/meltCurve_tr_K7ENR6_K7ENR6_HUMAN_.pdf</v>
      </c>
      <c r="AA4216" t="s">
        <v>17011</v>
      </c>
      <c r="AB4216" t="s">
        <v>21273</v>
      </c>
    </row>
    <row r="4217" spans="1:28" x14ac:dyDescent="0.25">
      <c r="A4217" t="s">
        <v>4221</v>
      </c>
      <c r="B4217">
        <v>0.99876560204751996</v>
      </c>
      <c r="C4217">
        <v>1.0673777973818599</v>
      </c>
      <c r="D4217">
        <v>0.88031655772755801</v>
      </c>
      <c r="E4217">
        <v>0.78264003819147998</v>
      </c>
      <c r="F4217">
        <v>0.54067043687317795</v>
      </c>
      <c r="G4217">
        <v>0.33597626019376298</v>
      </c>
      <c r="H4217">
        <v>0.22741205139322099</v>
      </c>
      <c r="I4217">
        <v>0.14592471349872099</v>
      </c>
      <c r="J4217">
        <v>0.13054118635190601</v>
      </c>
      <c r="K4217">
        <v>0.100565598535199</v>
      </c>
      <c r="L4217">
        <v>824.31107623392097</v>
      </c>
      <c r="M4217">
        <v>15.472199913987399</v>
      </c>
      <c r="N4217">
        <v>53.976581280683</v>
      </c>
      <c r="O4217">
        <v>52.410730719662602</v>
      </c>
      <c r="P4217">
        <v>-6.7102752127132098E-2</v>
      </c>
      <c r="Q4217">
        <v>9.0862558061484203E-2</v>
      </c>
      <c r="R4217">
        <v>0.99084858212656701</v>
      </c>
      <c r="S4217" t="s">
        <v>8513</v>
      </c>
      <c r="T4217" t="s">
        <v>8590</v>
      </c>
      <c r="U4217" t="s">
        <v>8590</v>
      </c>
      <c r="V4217" t="s">
        <v>8590</v>
      </c>
      <c r="W4217">
        <v>5</v>
      </c>
      <c r="X4217" t="s">
        <v>12807</v>
      </c>
      <c r="Y4217">
        <v>0.51173877627181552</v>
      </c>
      <c r="Z4217" t="str">
        <f>HYPERLINK("Melting_Curves/meltCurve_tr_K7ENT8_K7ENT8_HUMAN_.pdf", "Melting_Curves/meltCurve_tr_K7ENT8_K7ENT8_HUMAN_.pdf")</f>
        <v>Melting_Curves/meltCurve_tr_K7ENT8_K7ENT8_HUMAN_.pdf</v>
      </c>
      <c r="AA4217" t="s">
        <v>17012</v>
      </c>
      <c r="AB4217" t="s">
        <v>21274</v>
      </c>
    </row>
    <row r="4218" spans="1:28" x14ac:dyDescent="0.25">
      <c r="A4218" t="s">
        <v>4222</v>
      </c>
      <c r="B4218">
        <v>0.99876560204751996</v>
      </c>
      <c r="C4218">
        <v>0.87342501531539396</v>
      </c>
      <c r="D4218">
        <v>0.70776553576728496</v>
      </c>
      <c r="E4218">
        <v>0.37790178941955099</v>
      </c>
      <c r="F4218">
        <v>0.25623692061019598</v>
      </c>
      <c r="G4218">
        <v>0.17000699865726901</v>
      </c>
      <c r="H4218">
        <v>0.11234886840458</v>
      </c>
      <c r="I4218">
        <v>7.5016673950496299E-2</v>
      </c>
      <c r="J4218">
        <v>0.10223269153791301</v>
      </c>
      <c r="K4218">
        <v>7.8023824334341504E-2</v>
      </c>
      <c r="L4218">
        <v>785.682851665572</v>
      </c>
      <c r="M4218">
        <v>16.3617557290458</v>
      </c>
      <c r="N4218">
        <v>48.555990449669203</v>
      </c>
      <c r="O4218">
        <v>47.319349467651897</v>
      </c>
      <c r="P4218">
        <v>-7.9300396006549104E-2</v>
      </c>
      <c r="Q4218">
        <v>8.2696606874283998E-2</v>
      </c>
      <c r="R4218">
        <v>0.99731223237620203</v>
      </c>
      <c r="S4218" t="s">
        <v>8514</v>
      </c>
      <c r="T4218" t="s">
        <v>8590</v>
      </c>
      <c r="U4218" t="s">
        <v>8590</v>
      </c>
      <c r="V4218" t="s">
        <v>8590</v>
      </c>
      <c r="W4218">
        <v>6</v>
      </c>
      <c r="X4218" t="s">
        <v>12808</v>
      </c>
      <c r="Y4218">
        <v>0.3477124696426393</v>
      </c>
      <c r="Z4218" t="str">
        <f>HYPERLINK("Melting_Curves/meltCurve_tr_K7EP32_K7EP32_HUMAN_.pdf", "Melting_Curves/meltCurve_tr_K7EP32_K7EP32_HUMAN_.pdf")</f>
        <v>Melting_Curves/meltCurve_tr_K7EP32_K7EP32_HUMAN_.pdf</v>
      </c>
      <c r="AA4218" t="s">
        <v>17013</v>
      </c>
      <c r="AB4218" t="s">
        <v>21275</v>
      </c>
    </row>
    <row r="4219" spans="1:28" x14ac:dyDescent="0.25">
      <c r="A4219" t="s">
        <v>4223</v>
      </c>
      <c r="B4219">
        <v>0.99876560204751996</v>
      </c>
      <c r="C4219">
        <v>1.1542435119013801</v>
      </c>
      <c r="D4219">
        <v>1.04867709223859</v>
      </c>
      <c r="E4219">
        <v>0.79048210269909003</v>
      </c>
      <c r="F4219">
        <v>0.47743354413330902</v>
      </c>
      <c r="G4219">
        <v>0.22378332422063901</v>
      </c>
      <c r="H4219">
        <v>0.18096460216559301</v>
      </c>
      <c r="I4219">
        <v>0.16521445438563601</v>
      </c>
      <c r="J4219">
        <v>0.15704982774444401</v>
      </c>
      <c r="K4219">
        <v>0.143255612344386</v>
      </c>
      <c r="L4219">
        <v>1554.0088123047799</v>
      </c>
      <c r="M4219">
        <v>29.848739932553599</v>
      </c>
      <c r="N4219">
        <v>52.740752225149002</v>
      </c>
      <c r="O4219">
        <v>51.830787515900901</v>
      </c>
      <c r="P4219">
        <v>-0.121033682371096</v>
      </c>
      <c r="Q4219">
        <v>0.15933076513143099</v>
      </c>
      <c r="R4219">
        <v>0.98152683445443201</v>
      </c>
      <c r="S4219" t="s">
        <v>8515</v>
      </c>
      <c r="T4219" t="s">
        <v>8590</v>
      </c>
      <c r="U4219" t="s">
        <v>8590</v>
      </c>
      <c r="V4219" t="s">
        <v>8590</v>
      </c>
      <c r="W4219">
        <v>2</v>
      </c>
      <c r="X4219" t="s">
        <v>12809</v>
      </c>
      <c r="Y4219">
        <v>0.50278876926729377</v>
      </c>
      <c r="Z4219" t="str">
        <f>HYPERLINK("Melting_Curves/meltCurve_tr_K7ER46_K7ER46_HUMAN_.pdf", "Melting_Curves/meltCurve_tr_K7ER46_K7ER46_HUMAN_.pdf")</f>
        <v>Melting_Curves/meltCurve_tr_K7ER46_K7ER46_HUMAN_.pdf</v>
      </c>
      <c r="AA4219" t="s">
        <v>17014</v>
      </c>
      <c r="AB4219" t="s">
        <v>21276</v>
      </c>
    </row>
    <row r="4220" spans="1:28" x14ac:dyDescent="0.25">
      <c r="A4220" t="s">
        <v>4224</v>
      </c>
      <c r="B4220">
        <v>0.99876560204751996</v>
      </c>
      <c r="C4220">
        <v>1.1002215301673901</v>
      </c>
      <c r="D4220">
        <v>1.0417286925275699</v>
      </c>
      <c r="E4220">
        <v>1.0128089849245601</v>
      </c>
      <c r="F4220">
        <v>1.15652669074197</v>
      </c>
      <c r="G4220">
        <v>0.73483422223995598</v>
      </c>
      <c r="H4220">
        <v>0.14606776647846201</v>
      </c>
      <c r="I4220">
        <v>0.895372208737928</v>
      </c>
      <c r="J4220">
        <v>0</v>
      </c>
      <c r="K4220">
        <v>13.962515990046301</v>
      </c>
      <c r="L4220">
        <v>1770.1126102411399</v>
      </c>
      <c r="M4220">
        <v>28.415651632654502</v>
      </c>
      <c r="O4220">
        <v>61.987483689675599</v>
      </c>
      <c r="P4220">
        <v>5.7301629201555397E-2</v>
      </c>
      <c r="Q4220">
        <v>1.5</v>
      </c>
      <c r="R4220">
        <v>-1.0343533896747E-2</v>
      </c>
      <c r="S4220" t="s">
        <v>8516</v>
      </c>
      <c r="T4220" t="s">
        <v>8590</v>
      </c>
      <c r="U4220" t="s">
        <v>8590</v>
      </c>
      <c r="V4220" t="s">
        <v>8590</v>
      </c>
      <c r="W4220">
        <v>5</v>
      </c>
      <c r="X4220" t="s">
        <v>12810</v>
      </c>
      <c r="Y4220">
        <v>1.1262928936093879</v>
      </c>
      <c r="Z4220" t="str">
        <f>HYPERLINK("Melting_Curves/meltCurve_tr_K7ERE3_K7ERE3_HUMAN_.pdf", "Melting_Curves/meltCurve_tr_K7ERE3_K7ERE3_HUMAN_.pdf")</f>
        <v>Melting_Curves/meltCurve_tr_K7ERE3_K7ERE3_HUMAN_.pdf</v>
      </c>
      <c r="AA4220" t="s">
        <v>17015</v>
      </c>
      <c r="AB4220" t="s">
        <v>21277</v>
      </c>
    </row>
    <row r="4221" spans="1:28" x14ac:dyDescent="0.25">
      <c r="A4221" t="s">
        <v>4225</v>
      </c>
      <c r="B4221">
        <v>0.99876560204751996</v>
      </c>
      <c r="C4221">
        <v>0.99654268718022398</v>
      </c>
      <c r="D4221">
        <v>0.69827723400793795</v>
      </c>
      <c r="E4221">
        <v>0.56087072191415299</v>
      </c>
      <c r="F4221">
        <v>0.33999061809673697</v>
      </c>
      <c r="G4221">
        <v>0.19129492499703299</v>
      </c>
      <c r="H4221">
        <v>0.14263313892410601</v>
      </c>
      <c r="I4221">
        <v>0.10767445093929801</v>
      </c>
      <c r="J4221">
        <v>9.3566539109231794E-2</v>
      </c>
      <c r="K4221">
        <v>0.11139890252281499</v>
      </c>
      <c r="L4221">
        <v>737.63998086662002</v>
      </c>
      <c r="M4221">
        <v>14.8536758229512</v>
      </c>
      <c r="N4221">
        <v>50.283395298318403</v>
      </c>
      <c r="O4221">
        <v>48.7863942173135</v>
      </c>
      <c r="P4221">
        <v>-6.9726310061079599E-2</v>
      </c>
      <c r="Q4221">
        <v>8.4041379921780707E-2</v>
      </c>
      <c r="R4221">
        <v>0.98642435598561595</v>
      </c>
      <c r="S4221" t="s">
        <v>8517</v>
      </c>
      <c r="T4221" t="s">
        <v>8590</v>
      </c>
      <c r="U4221" t="s">
        <v>8590</v>
      </c>
      <c r="V4221" t="s">
        <v>8590</v>
      </c>
      <c r="W4221">
        <v>1</v>
      </c>
      <c r="X4221" t="s">
        <v>12811</v>
      </c>
      <c r="Y4221">
        <v>0.4014746563481989</v>
      </c>
      <c r="Z4221" t="str">
        <f>HYPERLINK("Melting_Curves/meltCurve_tr_K7ERI9_K7ERI9_HUMAN_.pdf", "Melting_Curves/meltCurve_tr_K7ERI9_K7ERI9_HUMAN_.pdf")</f>
        <v>Melting_Curves/meltCurve_tr_K7ERI9_K7ERI9_HUMAN_.pdf</v>
      </c>
      <c r="AA4221" t="s">
        <v>17016</v>
      </c>
      <c r="AB4221" t="s">
        <v>21278</v>
      </c>
    </row>
    <row r="4222" spans="1:28" x14ac:dyDescent="0.25">
      <c r="A4222" t="s">
        <v>4226</v>
      </c>
      <c r="B4222">
        <v>0.99876560204751996</v>
      </c>
      <c r="C4222">
        <v>0.97798854359459397</v>
      </c>
      <c r="D4222">
        <v>0.91394586605510197</v>
      </c>
      <c r="E4222">
        <v>0.76766860860882602</v>
      </c>
      <c r="F4222">
        <v>0.36069000510421201</v>
      </c>
      <c r="G4222">
        <v>0.142796772183127</v>
      </c>
      <c r="H4222">
        <v>6.5054165951922302E-2</v>
      </c>
      <c r="I4222">
        <v>7.4285437385550296E-2</v>
      </c>
      <c r="J4222">
        <v>8.1394892757884904E-2</v>
      </c>
      <c r="K4222">
        <v>3.5497336148883098E-2</v>
      </c>
      <c r="L4222">
        <v>1425.1420122710399</v>
      </c>
      <c r="M4222">
        <v>27.543201113947401</v>
      </c>
      <c r="N4222">
        <v>51.983433334512398</v>
      </c>
      <c r="O4222">
        <v>51.471616451326703</v>
      </c>
      <c r="P4222">
        <v>-0.12574995660441399</v>
      </c>
      <c r="Q4222">
        <v>6.0022947463062103E-2</v>
      </c>
      <c r="R4222">
        <v>0.99611465415338096</v>
      </c>
      <c r="S4222" t="s">
        <v>8518</v>
      </c>
      <c r="T4222" t="s">
        <v>8590</v>
      </c>
      <c r="U4222" t="s">
        <v>8590</v>
      </c>
      <c r="V4222" t="s">
        <v>8590</v>
      </c>
      <c r="W4222">
        <v>3</v>
      </c>
      <c r="X4222" t="s">
        <v>12812</v>
      </c>
      <c r="Y4222">
        <v>0.43501527731726869</v>
      </c>
      <c r="Z4222" t="str">
        <f>HYPERLINK("Melting_Curves/meltCurve_tr_K7ES31_K7ES31_HUMAN_.pdf", "Melting_Curves/meltCurve_tr_K7ES31_K7ES31_HUMAN_.pdf")</f>
        <v>Melting_Curves/meltCurve_tr_K7ES31_K7ES31_HUMAN_.pdf</v>
      </c>
      <c r="AA4222" t="s">
        <v>17017</v>
      </c>
      <c r="AB4222" t="s">
        <v>21279</v>
      </c>
    </row>
    <row r="4223" spans="1:28" x14ac:dyDescent="0.25">
      <c r="A4223" t="s">
        <v>4227</v>
      </c>
      <c r="B4223">
        <v>0.99876560204751996</v>
      </c>
      <c r="C4223">
        <v>0.93251839645849499</v>
      </c>
      <c r="D4223">
        <v>0.98308122076174298</v>
      </c>
      <c r="E4223">
        <v>0.88805584671354598</v>
      </c>
      <c r="F4223">
        <v>0.96443170266031797</v>
      </c>
      <c r="G4223">
        <v>0.73336033281490498</v>
      </c>
      <c r="H4223">
        <v>0.65437919468351902</v>
      </c>
      <c r="I4223">
        <v>0.63285630426008399</v>
      </c>
      <c r="J4223">
        <v>0.78417445174128098</v>
      </c>
      <c r="K4223">
        <v>0.75271608524619205</v>
      </c>
      <c r="L4223">
        <v>2979.4587914815102</v>
      </c>
      <c r="M4223">
        <v>54.466124159553601</v>
      </c>
      <c r="O4223">
        <v>54.629379565495597</v>
      </c>
      <c r="P4223">
        <v>-7.3394579520236203E-2</v>
      </c>
      <c r="Q4223">
        <v>0.70554191205535599</v>
      </c>
      <c r="R4223">
        <v>0.80410102456114496</v>
      </c>
      <c r="S4223" t="s">
        <v>8519</v>
      </c>
      <c r="T4223" t="s">
        <v>8590</v>
      </c>
      <c r="U4223" t="s">
        <v>8590</v>
      </c>
      <c r="V4223" t="s">
        <v>8590</v>
      </c>
      <c r="W4223">
        <v>10</v>
      </c>
      <c r="X4223" t="s">
        <v>12813</v>
      </c>
      <c r="Y4223">
        <v>0.85045366214246976</v>
      </c>
      <c r="Z4223" t="str">
        <f>HYPERLINK("Melting_Curves/meltCurve_tr_K7ESE3_K7ESE3_HUMAN_.pdf", "Melting_Curves/meltCurve_tr_K7ESE3_K7ESE3_HUMAN_.pdf")</f>
        <v>Melting_Curves/meltCurve_tr_K7ESE3_K7ESE3_HUMAN_.pdf</v>
      </c>
      <c r="AA4223" t="s">
        <v>17018</v>
      </c>
      <c r="AB4223" t="s">
        <v>21280</v>
      </c>
    </row>
    <row r="4224" spans="1:28" x14ac:dyDescent="0.25">
      <c r="A4224" t="s">
        <v>4228</v>
      </c>
      <c r="B4224">
        <v>0.99876560204751996</v>
      </c>
      <c r="C4224">
        <v>0.98207457500512496</v>
      </c>
      <c r="D4224">
        <v>0.83297150040691204</v>
      </c>
      <c r="E4224">
        <v>0.55207069056254299</v>
      </c>
      <c r="F4224">
        <v>0.214912141801469</v>
      </c>
      <c r="G4224">
        <v>0.113595659502377</v>
      </c>
      <c r="H4224">
        <v>8.3658151128732997E-2</v>
      </c>
      <c r="I4224">
        <v>5.9350054135473798E-2</v>
      </c>
      <c r="J4224">
        <v>5.6743651085276403E-2</v>
      </c>
      <c r="K4224">
        <v>3.97650820890273E-2</v>
      </c>
      <c r="L4224">
        <v>1077.8141027833899</v>
      </c>
      <c r="M4224">
        <v>21.613523737169899</v>
      </c>
      <c r="N4224">
        <v>50.107113198688403</v>
      </c>
      <c r="O4224">
        <v>49.446575078368802</v>
      </c>
      <c r="P4224">
        <v>-0.10391612201122399</v>
      </c>
      <c r="Q4224">
        <v>4.9081798059482103E-2</v>
      </c>
      <c r="R4224">
        <v>0.99655613718924896</v>
      </c>
      <c r="S4224" t="s">
        <v>8520</v>
      </c>
      <c r="T4224" t="s">
        <v>8590</v>
      </c>
      <c r="U4224" t="s">
        <v>8590</v>
      </c>
      <c r="V4224" t="s">
        <v>8590</v>
      </c>
      <c r="W4224">
        <v>20</v>
      </c>
      <c r="X4224" t="s">
        <v>12814</v>
      </c>
      <c r="Y4224">
        <v>0.3732203438096231</v>
      </c>
      <c r="Z4224" t="str">
        <f>HYPERLINK("Melting_Curves/meltCurve_tr_M0QWZ7_M0QWZ7_HUMAN_.pdf", "Melting_Curves/meltCurve_tr_M0QWZ7_M0QWZ7_HUMAN_.pdf")</f>
        <v>Melting_Curves/meltCurve_tr_M0QWZ7_M0QWZ7_HUMAN_.pdf</v>
      </c>
      <c r="AA4224" t="s">
        <v>17019</v>
      </c>
      <c r="AB4224" t="s">
        <v>21281</v>
      </c>
    </row>
    <row r="4225" spans="1:28" x14ac:dyDescent="0.25">
      <c r="A4225" t="s">
        <v>4229</v>
      </c>
      <c r="B4225">
        <v>0.99876560204751996</v>
      </c>
      <c r="C4225">
        <v>0.839592515576011</v>
      </c>
      <c r="D4225">
        <v>0.734527528220562</v>
      </c>
      <c r="E4225">
        <v>0.81778057674579696</v>
      </c>
      <c r="F4225">
        <v>0.63925079562665699</v>
      </c>
      <c r="G4225">
        <v>0.46552927010041001</v>
      </c>
      <c r="H4225">
        <v>0.296266132241921</v>
      </c>
      <c r="I4225">
        <v>0.19984768435375699</v>
      </c>
      <c r="J4225">
        <v>0.13640791464771401</v>
      </c>
      <c r="K4225">
        <v>0.154315387250543</v>
      </c>
      <c r="L4225">
        <v>483.68255078118102</v>
      </c>
      <c r="M4225">
        <v>8.7230563766024201</v>
      </c>
      <c r="N4225">
        <v>55.4487475296309</v>
      </c>
      <c r="O4225">
        <v>52.766014938201998</v>
      </c>
      <c r="P4225">
        <v>-4.13627290466764E-2</v>
      </c>
      <c r="Q4225">
        <v>0</v>
      </c>
      <c r="R4225">
        <v>0.95714468721814205</v>
      </c>
      <c r="S4225" t="s">
        <v>8521</v>
      </c>
      <c r="T4225" t="s">
        <v>8590</v>
      </c>
      <c r="U4225" t="s">
        <v>8590</v>
      </c>
      <c r="V4225" t="s">
        <v>8590</v>
      </c>
      <c r="W4225">
        <v>3</v>
      </c>
      <c r="X4225" t="s">
        <v>12815</v>
      </c>
      <c r="Y4225">
        <v>0.53908326342882085</v>
      </c>
      <c r="Z4225" t="str">
        <f>HYPERLINK("Melting_Curves/meltCurve_tr_M0QX35_M0QX35_HUMAN_.pdf", "Melting_Curves/meltCurve_tr_M0QX35_M0QX35_HUMAN_.pdf")</f>
        <v>Melting_Curves/meltCurve_tr_M0QX35_M0QX35_HUMAN_.pdf</v>
      </c>
      <c r="AA4225" t="s">
        <v>17020</v>
      </c>
      <c r="AB4225" t="s">
        <v>21282</v>
      </c>
    </row>
    <row r="4226" spans="1:28" x14ac:dyDescent="0.25">
      <c r="A4226" t="s">
        <v>4230</v>
      </c>
      <c r="B4226">
        <v>0.99876560204751996</v>
      </c>
      <c r="C4226">
        <v>1.02817614809419</v>
      </c>
      <c r="D4226">
        <v>0.95103618954620195</v>
      </c>
      <c r="E4226">
        <v>0.76645041698198102</v>
      </c>
      <c r="F4226">
        <v>0.65359835425038404</v>
      </c>
      <c r="G4226">
        <v>0.411274606888542</v>
      </c>
      <c r="H4226">
        <v>0.204914265311397</v>
      </c>
      <c r="I4226">
        <v>0.210413294607255</v>
      </c>
      <c r="J4226">
        <v>0.26876490371747502</v>
      </c>
      <c r="K4226">
        <v>0.21671864424978801</v>
      </c>
      <c r="L4226">
        <v>945.78312663257498</v>
      </c>
      <c r="M4226">
        <v>17.7454125255652</v>
      </c>
      <c r="N4226">
        <v>54.8307647381531</v>
      </c>
      <c r="O4226">
        <v>52.634314376331801</v>
      </c>
      <c r="P4226">
        <v>-6.7803086192128603E-2</v>
      </c>
      <c r="Q4226">
        <v>0.195604426818764</v>
      </c>
      <c r="R4226">
        <v>0.98782784964844506</v>
      </c>
      <c r="S4226" t="s">
        <v>8522</v>
      </c>
      <c r="T4226" t="s">
        <v>8590</v>
      </c>
      <c r="U4226" t="s">
        <v>8590</v>
      </c>
      <c r="V4226" t="s">
        <v>8590</v>
      </c>
      <c r="W4226">
        <v>5</v>
      </c>
      <c r="X4226" t="s">
        <v>12816</v>
      </c>
      <c r="Y4226">
        <v>0.56553478150008585</v>
      </c>
      <c r="Z4226" t="str">
        <f>HYPERLINK("Melting_Curves/meltCurve_tr_M0QXL5_M0QXL5_HUMAN_.pdf", "Melting_Curves/meltCurve_tr_M0QXL5_M0QXL5_HUMAN_.pdf")</f>
        <v>Melting_Curves/meltCurve_tr_M0QXL5_M0QXL5_HUMAN_.pdf</v>
      </c>
      <c r="AA4226" t="s">
        <v>17021</v>
      </c>
      <c r="AB4226" t="s">
        <v>21283</v>
      </c>
    </row>
    <row r="4227" spans="1:28" x14ac:dyDescent="0.25">
      <c r="A4227" t="s">
        <v>4231</v>
      </c>
      <c r="B4227">
        <v>0.99876560204751996</v>
      </c>
      <c r="C4227">
        <v>1.1843902983979799</v>
      </c>
      <c r="D4227">
        <v>1.0868440023104999</v>
      </c>
      <c r="E4227">
        <v>0.95995992971853095</v>
      </c>
      <c r="F4227">
        <v>0.71023570208630604</v>
      </c>
      <c r="G4227">
        <v>0.34029424787954998</v>
      </c>
      <c r="H4227">
        <v>0.106890202333351</v>
      </c>
      <c r="I4227">
        <v>9.7506951857446206E-2</v>
      </c>
      <c r="J4227">
        <v>9.0572611835646105E-2</v>
      </c>
      <c r="K4227">
        <v>0.13060535920306801</v>
      </c>
      <c r="L4227">
        <v>1552.2225250024201</v>
      </c>
      <c r="M4227">
        <v>28.395208220679301</v>
      </c>
      <c r="N4227">
        <v>55.071869279429201</v>
      </c>
      <c r="O4227">
        <v>54.395985931402102</v>
      </c>
      <c r="P4227">
        <v>-0.118153711218154</v>
      </c>
      <c r="Q4227">
        <v>9.4631171752474902E-2</v>
      </c>
      <c r="R4227">
        <v>0.975491556900139</v>
      </c>
      <c r="S4227" t="s">
        <v>8523</v>
      </c>
      <c r="T4227" t="s">
        <v>8590</v>
      </c>
      <c r="U4227" t="s">
        <v>8590</v>
      </c>
      <c r="V4227" t="s">
        <v>8590</v>
      </c>
      <c r="W4227">
        <v>2</v>
      </c>
      <c r="X4227" t="s">
        <v>12817</v>
      </c>
      <c r="Y4227">
        <v>0.54384727381738274</v>
      </c>
      <c r="Z4227" t="str">
        <f>HYPERLINK("Melting_Curves/meltCurve_tr_M0QYF4_M0QYF4_HUMAN_.pdf", "Melting_Curves/meltCurve_tr_M0QYF4_M0QYF4_HUMAN_.pdf")</f>
        <v>Melting_Curves/meltCurve_tr_M0QYF4_M0QYF4_HUMAN_.pdf</v>
      </c>
      <c r="AA4227" t="s">
        <v>17022</v>
      </c>
      <c r="AB4227" t="s">
        <v>21284</v>
      </c>
    </row>
    <row r="4228" spans="1:28" x14ac:dyDescent="0.25">
      <c r="A4228" t="s">
        <v>4232</v>
      </c>
      <c r="B4228">
        <v>0.99876560204751996</v>
      </c>
      <c r="C4228">
        <v>1.05186341874228</v>
      </c>
      <c r="D4228">
        <v>1.2252116669916799</v>
      </c>
      <c r="E4228">
        <v>1.0230856241191</v>
      </c>
      <c r="F4228">
        <v>1.1973215033458799</v>
      </c>
      <c r="G4228">
        <v>0.77675830815167901</v>
      </c>
      <c r="H4228">
        <v>0.755390564793884</v>
      </c>
      <c r="I4228">
        <v>0.64936357510989795</v>
      </c>
      <c r="J4228">
        <v>0.759711822637687</v>
      </c>
      <c r="K4228">
        <v>0.94722940538121503</v>
      </c>
      <c r="L4228">
        <v>13331.202590446799</v>
      </c>
      <c r="M4228">
        <v>240.14603761693499</v>
      </c>
      <c r="O4228">
        <v>55.509048694404399</v>
      </c>
      <c r="P4228">
        <v>-0.24053130382104099</v>
      </c>
      <c r="Q4228">
        <v>0.777607593837774</v>
      </c>
      <c r="R4228">
        <v>0.60100359446009999</v>
      </c>
      <c r="S4228" t="s">
        <v>8524</v>
      </c>
      <c r="T4228" t="s">
        <v>8590</v>
      </c>
      <c r="U4228" t="s">
        <v>8590</v>
      </c>
      <c r="V4228" t="s">
        <v>8590</v>
      </c>
      <c r="W4228">
        <v>2</v>
      </c>
      <c r="X4228" t="s">
        <v>12818</v>
      </c>
      <c r="Y4228">
        <v>0.89262943540877215</v>
      </c>
      <c r="Z4228" t="str">
        <f>HYPERLINK("Melting_Curves/meltCurve_tr_M0QZC7_M0QZC7_HUMAN_.pdf", "Melting_Curves/meltCurve_tr_M0QZC7_M0QZC7_HUMAN_.pdf")</f>
        <v>Melting_Curves/meltCurve_tr_M0QZC7_M0QZC7_HUMAN_.pdf</v>
      </c>
      <c r="AA4228" t="s">
        <v>17023</v>
      </c>
      <c r="AB4228" t="s">
        <v>21285</v>
      </c>
    </row>
    <row r="4229" spans="1:28" x14ac:dyDescent="0.25">
      <c r="A4229" t="s">
        <v>4233</v>
      </c>
      <c r="B4229">
        <v>0.99876560204751996</v>
      </c>
      <c r="C4229">
        <v>0.91451583438731898</v>
      </c>
      <c r="D4229">
        <v>1.11318670695291</v>
      </c>
      <c r="E4229">
        <v>0.77577350243324905</v>
      </c>
      <c r="F4229">
        <v>0.59638355359564099</v>
      </c>
      <c r="G4229">
        <v>0.340711292161681</v>
      </c>
      <c r="H4229">
        <v>0.23636231640466401</v>
      </c>
      <c r="I4229">
        <v>0.31160575696545001</v>
      </c>
      <c r="J4229">
        <v>0.42877779420856199</v>
      </c>
      <c r="K4229">
        <v>0.38284947418084297</v>
      </c>
      <c r="L4229">
        <v>1587.38737691858</v>
      </c>
      <c r="M4229">
        <v>30.692127773229501</v>
      </c>
      <c r="N4229">
        <v>53.664516414015402</v>
      </c>
      <c r="O4229">
        <v>51.501639062232599</v>
      </c>
      <c r="P4229">
        <v>-9.8987189334403106E-2</v>
      </c>
      <c r="Q4229">
        <v>0.33559900042087898</v>
      </c>
      <c r="R4229">
        <v>0.94305512581916995</v>
      </c>
      <c r="S4229" t="s">
        <v>8525</v>
      </c>
      <c r="T4229" t="s">
        <v>8590</v>
      </c>
      <c r="U4229" t="s">
        <v>8590</v>
      </c>
      <c r="V4229" t="s">
        <v>8590</v>
      </c>
      <c r="W4229">
        <v>1</v>
      </c>
      <c r="X4229" t="s">
        <v>12819</v>
      </c>
      <c r="Y4229">
        <v>0.59919025645380708</v>
      </c>
      <c r="Z4229" t="str">
        <f>HYPERLINK("Melting_Curves/meltCurve_tr_M0QZE0_M0QZE0_HUMAN_.pdf", "Melting_Curves/meltCurve_tr_M0QZE0_M0QZE0_HUMAN_.pdf")</f>
        <v>Melting_Curves/meltCurve_tr_M0QZE0_M0QZE0_HUMAN_.pdf</v>
      </c>
      <c r="AA4229" t="s">
        <v>17024</v>
      </c>
      <c r="AB4229" t="s">
        <v>21286</v>
      </c>
    </row>
    <row r="4230" spans="1:28" x14ac:dyDescent="0.25">
      <c r="A4230" t="s">
        <v>4234</v>
      </c>
      <c r="B4230">
        <v>0.99876560204751996</v>
      </c>
      <c r="C4230">
        <v>1.0490330430961301</v>
      </c>
      <c r="D4230">
        <v>0.80974778683458504</v>
      </c>
      <c r="E4230">
        <v>0.84992518086018098</v>
      </c>
      <c r="F4230">
        <v>0.63565203476429699</v>
      </c>
      <c r="G4230">
        <v>0.46981173624745198</v>
      </c>
      <c r="H4230">
        <v>0.36579763422162798</v>
      </c>
      <c r="I4230">
        <v>0.305217738965542</v>
      </c>
      <c r="J4230">
        <v>0.25891850406074202</v>
      </c>
      <c r="K4230">
        <v>0.42040346208953899</v>
      </c>
      <c r="L4230">
        <v>821.99580111211196</v>
      </c>
      <c r="M4230">
        <v>15.583811391153301</v>
      </c>
      <c r="N4230">
        <v>56.066103430251502</v>
      </c>
      <c r="O4230">
        <v>51.9011178350788</v>
      </c>
      <c r="P4230">
        <v>-5.2455261181360603E-2</v>
      </c>
      <c r="Q4230">
        <v>0.30126210635914902</v>
      </c>
      <c r="R4230">
        <v>0.94717385865082304</v>
      </c>
      <c r="S4230" t="s">
        <v>8526</v>
      </c>
      <c r="T4230" t="s">
        <v>8590</v>
      </c>
      <c r="U4230" t="s">
        <v>8590</v>
      </c>
      <c r="V4230" t="s">
        <v>8590</v>
      </c>
      <c r="W4230">
        <v>1</v>
      </c>
      <c r="X4230" t="s">
        <v>12820</v>
      </c>
      <c r="Y4230">
        <v>0.61252547525849377</v>
      </c>
      <c r="Z4230" t="str">
        <f>HYPERLINK("Melting_Curves/meltCurve_tr_M0R021_M0R021_HUMAN_.pdf", "Melting_Curves/meltCurve_tr_M0R021_M0R021_HUMAN_.pdf")</f>
        <v>Melting_Curves/meltCurve_tr_M0R021_M0R021_HUMAN_.pdf</v>
      </c>
      <c r="AA4230" t="s">
        <v>17025</v>
      </c>
      <c r="AB4230" t="s">
        <v>21287</v>
      </c>
    </row>
    <row r="4231" spans="1:28" x14ac:dyDescent="0.25">
      <c r="A4231" t="s">
        <v>4235</v>
      </c>
      <c r="B4231">
        <v>0.99876560204751996</v>
      </c>
      <c r="C4231">
        <v>1.0682361923569199</v>
      </c>
      <c r="D4231">
        <v>1.08207519692112</v>
      </c>
      <c r="E4231">
        <v>1.01652179990473</v>
      </c>
      <c r="F4231">
        <v>0.79705757969328905</v>
      </c>
      <c r="G4231">
        <v>0.46644423218046799</v>
      </c>
      <c r="H4231">
        <v>0.27898577539113201</v>
      </c>
      <c r="I4231">
        <v>0.200814926378791</v>
      </c>
      <c r="J4231">
        <v>0.16636848378024499</v>
      </c>
      <c r="K4231">
        <v>0.12023449270577601</v>
      </c>
      <c r="L4231">
        <v>1357.56863879038</v>
      </c>
      <c r="M4231">
        <v>24.27422002218</v>
      </c>
      <c r="N4231">
        <v>56.750022661614103</v>
      </c>
      <c r="O4231">
        <v>55.550943819177903</v>
      </c>
      <c r="P4231">
        <v>-9.3025256411995105E-2</v>
      </c>
      <c r="Q4231">
        <v>0.14846902173733501</v>
      </c>
      <c r="R4231">
        <v>0.98731530059699302</v>
      </c>
      <c r="S4231" t="s">
        <v>8527</v>
      </c>
      <c r="T4231" t="s">
        <v>8590</v>
      </c>
      <c r="U4231" t="s">
        <v>8590</v>
      </c>
      <c r="V4231" t="s">
        <v>8590</v>
      </c>
      <c r="W4231">
        <v>1</v>
      </c>
      <c r="X4231" t="s">
        <v>12821</v>
      </c>
      <c r="Y4231">
        <v>0.60874257149925293</v>
      </c>
      <c r="Z4231" t="str">
        <f>HYPERLINK("Melting_Curves/meltCurve_tr_M0R0B4_M0R0B4_HUMAN_.pdf", "Melting_Curves/meltCurve_tr_M0R0B4_M0R0B4_HUMAN_.pdf")</f>
        <v>Melting_Curves/meltCurve_tr_M0R0B4_M0R0B4_HUMAN_.pdf</v>
      </c>
      <c r="AA4231" t="s">
        <v>17026</v>
      </c>
      <c r="AB4231" t="s">
        <v>21288</v>
      </c>
    </row>
    <row r="4232" spans="1:28" x14ac:dyDescent="0.25">
      <c r="A4232" t="s">
        <v>4236</v>
      </c>
      <c r="B4232">
        <v>0.99876560204751996</v>
      </c>
      <c r="C4232">
        <v>1.1125530703250599</v>
      </c>
      <c r="D4232">
        <v>1.0686761295614899</v>
      </c>
      <c r="E4232">
        <v>0.99204073307797702</v>
      </c>
      <c r="F4232">
        <v>0.90965563127159299</v>
      </c>
      <c r="G4232">
        <v>0.44920884968348901</v>
      </c>
      <c r="H4232">
        <v>0.26071994836474399</v>
      </c>
      <c r="I4232">
        <v>0.20494619363898101</v>
      </c>
      <c r="J4232">
        <v>0.255714628547205</v>
      </c>
      <c r="K4232">
        <v>0.14230602499752401</v>
      </c>
      <c r="L4232">
        <v>2067.3417361035899</v>
      </c>
      <c r="M4232">
        <v>37.031768246605402</v>
      </c>
      <c r="N4232">
        <v>56.627895085897698</v>
      </c>
      <c r="O4232">
        <v>55.664121761479898</v>
      </c>
      <c r="P4232">
        <v>-0.13238703541350499</v>
      </c>
      <c r="Q4232">
        <v>0.20401455681063499</v>
      </c>
      <c r="R4232">
        <v>0.98363095392032596</v>
      </c>
      <c r="S4232" t="s">
        <v>8528</v>
      </c>
      <c r="T4232" t="s">
        <v>8590</v>
      </c>
      <c r="U4232" t="s">
        <v>8590</v>
      </c>
      <c r="V4232" t="s">
        <v>8590</v>
      </c>
      <c r="W4232">
        <v>17</v>
      </c>
      <c r="X4232" t="s">
        <v>12822</v>
      </c>
      <c r="Y4232">
        <v>0.62748053614611654</v>
      </c>
      <c r="Z4232" t="str">
        <f>HYPERLINK("Melting_Curves/meltCurve_tr_M0R248_M0R248_HUMAN_.pdf", "Melting_Curves/meltCurve_tr_M0R248_M0R248_HUMAN_.pdf")</f>
        <v>Melting_Curves/meltCurve_tr_M0R248_M0R248_HUMAN_.pdf</v>
      </c>
      <c r="AA4232" t="s">
        <v>14499</v>
      </c>
      <c r="AB4232" t="s">
        <v>21289</v>
      </c>
    </row>
    <row r="4233" spans="1:28" x14ac:dyDescent="0.25">
      <c r="A4233" t="s">
        <v>4237</v>
      </c>
      <c r="B4233">
        <v>0.99876560204751996</v>
      </c>
      <c r="C4233">
        <v>1.0301314088183999</v>
      </c>
      <c r="D4233">
        <v>0.86608871627865402</v>
      </c>
      <c r="E4233">
        <v>0.55552496407157004</v>
      </c>
      <c r="F4233">
        <v>0.381601246549642</v>
      </c>
      <c r="G4233">
        <v>0.18957000228600099</v>
      </c>
      <c r="H4233">
        <v>0.13062435317472801</v>
      </c>
      <c r="I4233">
        <v>0.13509868396355901</v>
      </c>
      <c r="J4233">
        <v>0.158846806381927</v>
      </c>
      <c r="K4233">
        <v>0.129185721327158</v>
      </c>
      <c r="L4233">
        <v>1011.89914799907</v>
      </c>
      <c r="M4233">
        <v>20.181412203794299</v>
      </c>
      <c r="N4233">
        <v>50.8944139404501</v>
      </c>
      <c r="O4233">
        <v>49.655646325305497</v>
      </c>
      <c r="P4233">
        <v>-8.8476750479342697E-2</v>
      </c>
      <c r="Q4233">
        <v>0.12925189720244301</v>
      </c>
      <c r="R4233">
        <v>0.99509198437203505</v>
      </c>
      <c r="S4233" t="s">
        <v>8529</v>
      </c>
      <c r="T4233" t="s">
        <v>8590</v>
      </c>
      <c r="U4233" t="s">
        <v>8590</v>
      </c>
      <c r="V4233" t="s">
        <v>8590</v>
      </c>
      <c r="W4233">
        <v>2</v>
      </c>
      <c r="X4233" t="s">
        <v>12823</v>
      </c>
      <c r="Y4233">
        <v>0.43547451644598212</v>
      </c>
      <c r="Z4233" t="str">
        <f>HYPERLINK("Melting_Curves/meltCurve_tr_M0R2L9_M0R2L9_HUMAN_.pdf", "Melting_Curves/meltCurve_tr_M0R2L9_M0R2L9_HUMAN_.pdf")</f>
        <v>Melting_Curves/meltCurve_tr_M0R2L9_M0R2L9_HUMAN_.pdf</v>
      </c>
      <c r="AA4233" t="s">
        <v>17027</v>
      </c>
      <c r="AB4233" t="s">
        <v>21290</v>
      </c>
    </row>
    <row r="4234" spans="1:28" x14ac:dyDescent="0.25">
      <c r="A4234" t="s">
        <v>4238</v>
      </c>
      <c r="B4234">
        <v>0.99876560204751996</v>
      </c>
      <c r="C4234">
        <v>1.08905552020288</v>
      </c>
      <c r="D4234">
        <v>1.13337525574457</v>
      </c>
      <c r="E4234">
        <v>0.99733441168992998</v>
      </c>
      <c r="F4234">
        <v>0.80277858379672395</v>
      </c>
      <c r="G4234">
        <v>0.55165568199771298</v>
      </c>
      <c r="H4234">
        <v>0.37186730551591202</v>
      </c>
      <c r="I4234">
        <v>0.31241160919834599</v>
      </c>
      <c r="J4234">
        <v>0.388361636576878</v>
      </c>
      <c r="K4234">
        <v>0.39100701447499098</v>
      </c>
      <c r="L4234">
        <v>1610.8622999654799</v>
      </c>
      <c r="M4234">
        <v>29.335470865191098</v>
      </c>
      <c r="N4234">
        <v>57.383277692797698</v>
      </c>
      <c r="O4234">
        <v>54.658499840826202</v>
      </c>
      <c r="P4234">
        <v>-8.6052233706344197E-2</v>
      </c>
      <c r="Q4234">
        <v>0.358667031385137</v>
      </c>
      <c r="R4234">
        <v>0.96557091277919704</v>
      </c>
      <c r="S4234" t="s">
        <v>8530</v>
      </c>
      <c r="T4234" t="s">
        <v>8590</v>
      </c>
      <c r="U4234" t="s">
        <v>8590</v>
      </c>
      <c r="V4234" t="s">
        <v>8590</v>
      </c>
      <c r="W4234">
        <v>6</v>
      </c>
      <c r="X4234" t="s">
        <v>12824</v>
      </c>
      <c r="Y4234">
        <v>0.68188166891998214</v>
      </c>
      <c r="Z4234" t="str">
        <f>HYPERLINK("Melting_Curves/meltCurve_tr_O95205_O95205_HUMAN_.pdf", "Melting_Curves/meltCurve_tr_O95205_O95205_HUMAN_.pdf")</f>
        <v>Melting_Curves/meltCurve_tr_O95205_O95205_HUMAN_.pdf</v>
      </c>
      <c r="AA4234" t="s">
        <v>17028</v>
      </c>
      <c r="AB4234" t="s">
        <v>21291</v>
      </c>
    </row>
    <row r="4235" spans="1:28" x14ac:dyDescent="0.25">
      <c r="A4235" t="s">
        <v>4239</v>
      </c>
      <c r="B4235">
        <v>0.99876560204751996</v>
      </c>
      <c r="C4235">
        <v>1.0705449895344401</v>
      </c>
      <c r="D4235">
        <v>1.0415746037073299</v>
      </c>
      <c r="E4235">
        <v>0.98963586513688495</v>
      </c>
      <c r="F4235">
        <v>0.97621859938737698</v>
      </c>
      <c r="G4235">
        <v>0.43025184821213902</v>
      </c>
      <c r="H4235">
        <v>0.38729576439791802</v>
      </c>
      <c r="I4235">
        <v>0.34799754269726602</v>
      </c>
      <c r="J4235">
        <v>0.32009351288402199</v>
      </c>
      <c r="K4235">
        <v>0.32561596106930701</v>
      </c>
      <c r="L4235">
        <v>3830.9356813752602</v>
      </c>
      <c r="M4235">
        <v>69.087621725244105</v>
      </c>
      <c r="N4235">
        <v>56.4047403730859</v>
      </c>
      <c r="O4235">
        <v>55.403987361186999</v>
      </c>
      <c r="P4235">
        <v>-0.204302618519972</v>
      </c>
      <c r="Q4235">
        <v>0.34464804180004599</v>
      </c>
      <c r="R4235">
        <v>0.99120799222721501</v>
      </c>
      <c r="S4235" t="s">
        <v>8531</v>
      </c>
      <c r="T4235" t="s">
        <v>8590</v>
      </c>
      <c r="U4235" t="s">
        <v>8590</v>
      </c>
      <c r="V4235" t="s">
        <v>8590</v>
      </c>
      <c r="W4235">
        <v>3</v>
      </c>
      <c r="X4235" t="s">
        <v>12825</v>
      </c>
      <c r="Y4235">
        <v>0.68300017442013972</v>
      </c>
      <c r="Z4235" t="str">
        <f>HYPERLINK("Melting_Curves/meltCurve_tr_Q17RU2_Q17RU2_HUMAN_.pdf", "Melting_Curves/meltCurve_tr_Q17RU2_Q17RU2_HUMAN_.pdf")</f>
        <v>Melting_Curves/meltCurve_tr_Q17RU2_Q17RU2_HUMAN_.pdf</v>
      </c>
      <c r="AA4235" t="s">
        <v>17029</v>
      </c>
      <c r="AB4235" t="s">
        <v>21292</v>
      </c>
    </row>
    <row r="4236" spans="1:28" x14ac:dyDescent="0.25">
      <c r="A4236" t="s">
        <v>4240</v>
      </c>
      <c r="B4236">
        <v>0.99876560204751996</v>
      </c>
      <c r="C4236">
        <v>0.98229053896532603</v>
      </c>
      <c r="D4236">
        <v>0.838640178444365</v>
      </c>
      <c r="E4236">
        <v>0.81216197151220704</v>
      </c>
      <c r="F4236">
        <v>0.49353362840818399</v>
      </c>
      <c r="G4236">
        <v>0.216920514146663</v>
      </c>
      <c r="H4236">
        <v>0.103400348270947</v>
      </c>
      <c r="I4236">
        <v>7.8921209446829704E-2</v>
      </c>
      <c r="J4236">
        <v>6.4256829662251103E-2</v>
      </c>
      <c r="K4236">
        <v>5.4188147335345403E-2</v>
      </c>
      <c r="L4236">
        <v>984.31773871706798</v>
      </c>
      <c r="M4236">
        <v>18.6330163498492</v>
      </c>
      <c r="N4236">
        <v>53.054581743437801</v>
      </c>
      <c r="O4236">
        <v>52.229352239750199</v>
      </c>
      <c r="P4236">
        <v>-8.5759871576771493E-2</v>
      </c>
      <c r="Q4236">
        <v>3.8483169424799603E-2</v>
      </c>
      <c r="R4236">
        <v>0.989742907807456</v>
      </c>
      <c r="S4236" t="s">
        <v>8532</v>
      </c>
      <c r="T4236" t="s">
        <v>8590</v>
      </c>
      <c r="U4236" t="s">
        <v>8590</v>
      </c>
      <c r="V4236" t="s">
        <v>8590</v>
      </c>
      <c r="W4236">
        <v>8</v>
      </c>
      <c r="X4236" t="s">
        <v>12826</v>
      </c>
      <c r="Y4236">
        <v>0.46450620002819859</v>
      </c>
      <c r="Z4236" t="str">
        <f>HYPERLINK("Melting_Curves/meltCurve_tr_Q2TAM5_Q2TAM5_HUMAN_.pdf", "Melting_Curves/meltCurve_tr_Q2TAM5_Q2TAM5_HUMAN_.pdf")</f>
        <v>Melting_Curves/meltCurve_tr_Q2TAM5_Q2TAM5_HUMAN_.pdf</v>
      </c>
      <c r="AA4236" t="s">
        <v>17030</v>
      </c>
      <c r="AB4236" t="s">
        <v>21293</v>
      </c>
    </row>
    <row r="4237" spans="1:28" x14ac:dyDescent="0.25">
      <c r="A4237" t="s">
        <v>4241</v>
      </c>
      <c r="B4237">
        <v>0.99876560204751996</v>
      </c>
      <c r="C4237">
        <v>0.99281490289417895</v>
      </c>
      <c r="D4237">
        <v>0.93149165642399501</v>
      </c>
      <c r="E4237">
        <v>0.76448991516973996</v>
      </c>
      <c r="F4237">
        <v>0.70760795081891703</v>
      </c>
      <c r="G4237">
        <v>0.57860318755515505</v>
      </c>
      <c r="H4237">
        <v>0.51960441513740496</v>
      </c>
      <c r="I4237">
        <v>0.583625272743863</v>
      </c>
      <c r="J4237">
        <v>0.68402661187035996</v>
      </c>
      <c r="K4237">
        <v>0.64164800175083103</v>
      </c>
      <c r="L4237">
        <v>1142.3748778299801</v>
      </c>
      <c r="M4237">
        <v>23.136890425114299</v>
      </c>
      <c r="O4237">
        <v>49.010216207110801</v>
      </c>
      <c r="P4237">
        <v>-4.6958792759553003E-2</v>
      </c>
      <c r="Q4237">
        <v>0.60212152167666599</v>
      </c>
      <c r="R4237">
        <v>0.93118019799396301</v>
      </c>
      <c r="S4237" t="s">
        <v>8533</v>
      </c>
      <c r="T4237" t="s">
        <v>8590</v>
      </c>
      <c r="U4237" t="s">
        <v>8590</v>
      </c>
      <c r="V4237" t="s">
        <v>8590</v>
      </c>
      <c r="W4237">
        <v>4</v>
      </c>
      <c r="X4237" t="s">
        <v>12827</v>
      </c>
      <c r="Y4237">
        <v>0.73059331134332439</v>
      </c>
      <c r="Z4237" t="str">
        <f>HYPERLINK("Melting_Curves/meltCurve_tr_Q32N00_Q32N00_HUMAN_.pdf", "Melting_Curves/meltCurve_tr_Q32N00_Q32N00_HUMAN_.pdf")</f>
        <v>Melting_Curves/meltCurve_tr_Q32N00_Q32N00_HUMAN_.pdf</v>
      </c>
      <c r="AA4237" t="s">
        <v>17031</v>
      </c>
      <c r="AB4237" t="s">
        <v>21294</v>
      </c>
    </row>
    <row r="4238" spans="1:28" x14ac:dyDescent="0.25">
      <c r="A4238" t="s">
        <v>4242</v>
      </c>
      <c r="B4238">
        <v>0.99876560204751996</v>
      </c>
      <c r="C4238">
        <v>0.99782756948039297</v>
      </c>
      <c r="D4238">
        <v>0.96047233495273299</v>
      </c>
      <c r="E4238">
        <v>1.0839676172017101</v>
      </c>
      <c r="F4238">
        <v>0.89660917763043402</v>
      </c>
      <c r="G4238">
        <v>0.73051721023999705</v>
      </c>
      <c r="H4238">
        <v>0.64147636808451203</v>
      </c>
      <c r="I4238">
        <v>0.59462479575471805</v>
      </c>
      <c r="J4238">
        <v>0.61098419068556997</v>
      </c>
      <c r="K4238">
        <v>0.194192282769695</v>
      </c>
      <c r="L4238">
        <v>661.76383797814697</v>
      </c>
      <c r="M4238">
        <v>10.108521269180599</v>
      </c>
      <c r="N4238">
        <v>65.465931428147101</v>
      </c>
      <c r="O4238">
        <v>63.0587893347872</v>
      </c>
      <c r="P4238">
        <v>-4.0094486080897301E-2</v>
      </c>
      <c r="Q4238">
        <v>0</v>
      </c>
      <c r="R4238">
        <v>0.88289583373923897</v>
      </c>
      <c r="S4238" t="s">
        <v>8534</v>
      </c>
      <c r="T4238" t="s">
        <v>8590</v>
      </c>
      <c r="U4238" t="s">
        <v>8590</v>
      </c>
      <c r="V4238" t="s">
        <v>8590</v>
      </c>
      <c r="W4238">
        <v>19</v>
      </c>
      <c r="X4238" t="s">
        <v>12828</v>
      </c>
      <c r="Y4238">
        <v>0.78940520066264763</v>
      </c>
      <c r="Z4238" t="str">
        <f>HYPERLINK("Melting_Curves/meltCurve_tr_Q53XA7_Q53XA7_HUMAN_.pdf", "Melting_Curves/meltCurve_tr_Q53XA7_Q53XA7_HUMAN_.pdf")</f>
        <v>Melting_Curves/meltCurve_tr_Q53XA7_Q53XA7_HUMAN_.pdf</v>
      </c>
      <c r="AA4238" t="s">
        <v>17032</v>
      </c>
      <c r="AB4238" t="s">
        <v>17838</v>
      </c>
    </row>
    <row r="4239" spans="1:28" x14ac:dyDescent="0.25">
      <c r="A4239" t="s">
        <v>4243</v>
      </c>
      <c r="B4239">
        <v>0.99876560204751996</v>
      </c>
      <c r="C4239">
        <v>0.86510861159378905</v>
      </c>
      <c r="D4239">
        <v>0.92149888008173497</v>
      </c>
      <c r="E4239">
        <v>0.80176479181917104</v>
      </c>
      <c r="F4239">
        <v>0.51955818125450304</v>
      </c>
      <c r="G4239">
        <v>0.249610737038481</v>
      </c>
      <c r="H4239">
        <v>0.15545925552044201</v>
      </c>
      <c r="I4239">
        <v>0.14165457942311499</v>
      </c>
      <c r="J4239">
        <v>0.21616681236959001</v>
      </c>
      <c r="K4239">
        <v>0.52686046117594898</v>
      </c>
      <c r="L4239">
        <v>1592.09532022801</v>
      </c>
      <c r="M4239">
        <v>30.785316864265699</v>
      </c>
      <c r="N4239">
        <v>52.918894371990802</v>
      </c>
      <c r="O4239">
        <v>51.499333770911001</v>
      </c>
      <c r="P4239">
        <v>-0.111839011233167</v>
      </c>
      <c r="Q4239">
        <v>0.251643465703282</v>
      </c>
      <c r="R4239">
        <v>0.87879455843994003</v>
      </c>
      <c r="S4239" t="s">
        <v>8535</v>
      </c>
      <c r="T4239" t="s">
        <v>8590</v>
      </c>
      <c r="U4239" t="s">
        <v>8590</v>
      </c>
      <c r="V4239" t="s">
        <v>8590</v>
      </c>
      <c r="W4239">
        <v>11</v>
      </c>
      <c r="X4239" t="s">
        <v>12829</v>
      </c>
      <c r="Y4239">
        <v>0.54842460292721429</v>
      </c>
      <c r="Z4239" t="str">
        <f>HYPERLINK("Melting_Curves/meltCurve_tr_Q567Q0_Q567Q0_HUMAN_.pdf", "Melting_Curves/meltCurve_tr_Q567Q0_Q567Q0_HUMAN_.pdf")</f>
        <v>Melting_Curves/meltCurve_tr_Q567Q0_Q567Q0_HUMAN_.pdf</v>
      </c>
      <c r="AA4239" t="s">
        <v>17033</v>
      </c>
      <c r="AB4239" t="s">
        <v>21295</v>
      </c>
    </row>
    <row r="4240" spans="1:28" x14ac:dyDescent="0.25">
      <c r="A4240" t="s">
        <v>4244</v>
      </c>
      <c r="B4240">
        <v>0.99876560204751996</v>
      </c>
      <c r="C4240">
        <v>0.95146825864162998</v>
      </c>
      <c r="D4240">
        <v>0.89691830515723803</v>
      </c>
      <c r="E4240">
        <v>0.82705866963452901</v>
      </c>
      <c r="F4240">
        <v>0.87555467682322297</v>
      </c>
      <c r="G4240">
        <v>0.56423985198650894</v>
      </c>
      <c r="H4240">
        <v>0.46494882850820102</v>
      </c>
      <c r="I4240">
        <v>0.33932460634618899</v>
      </c>
      <c r="J4240">
        <v>0.26525639652973199</v>
      </c>
      <c r="K4240">
        <v>0.185806536748052</v>
      </c>
      <c r="L4240">
        <v>576.14851538715197</v>
      </c>
      <c r="M4240">
        <v>9.6431398721760004</v>
      </c>
      <c r="N4240">
        <v>59.746974586218002</v>
      </c>
      <c r="O4240">
        <v>57.347213261524097</v>
      </c>
      <c r="P4240">
        <v>-4.2061886701165403E-2</v>
      </c>
      <c r="Q4240">
        <v>0</v>
      </c>
      <c r="R4240">
        <v>0.97875112364195804</v>
      </c>
      <c r="S4240" t="s">
        <v>8536</v>
      </c>
      <c r="T4240" t="s">
        <v>8590</v>
      </c>
      <c r="U4240" t="s">
        <v>8590</v>
      </c>
      <c r="V4240" t="s">
        <v>8590</v>
      </c>
      <c r="W4240">
        <v>1</v>
      </c>
      <c r="X4240" t="s">
        <v>12830</v>
      </c>
      <c r="Y4240">
        <v>0.65469752368189715</v>
      </c>
      <c r="Z4240" t="str">
        <f>HYPERLINK("Melting_Curves/meltCurve_tr_Q5H9A7_Q5H9A7_HUMAN_.pdf", "Melting_Curves/meltCurve_tr_Q5H9A7_Q5H9A7_HUMAN_.pdf")</f>
        <v>Melting_Curves/meltCurve_tr_Q5H9A7_Q5H9A7_HUMAN_.pdf</v>
      </c>
      <c r="AA4240" t="s">
        <v>17034</v>
      </c>
      <c r="AB4240" t="s">
        <v>21296</v>
      </c>
    </row>
    <row r="4241" spans="1:28" x14ac:dyDescent="0.25">
      <c r="A4241" t="s">
        <v>4245</v>
      </c>
      <c r="B4241">
        <v>0.99876560204751996</v>
      </c>
      <c r="C4241">
        <v>1.0702943963257201</v>
      </c>
      <c r="D4241">
        <v>0.91977734948422396</v>
      </c>
      <c r="E4241">
        <v>0.97178671838230601</v>
      </c>
      <c r="F4241">
        <v>0.71895353977990595</v>
      </c>
      <c r="G4241">
        <v>0.33614102892471398</v>
      </c>
      <c r="H4241">
        <v>0.23034363369674199</v>
      </c>
      <c r="I4241">
        <v>0.195000889798567</v>
      </c>
      <c r="J4241">
        <v>0.21071858294871099</v>
      </c>
      <c r="K4241">
        <v>0.16551392736391801</v>
      </c>
      <c r="L4241">
        <v>1678.2826285791</v>
      </c>
      <c r="M4241">
        <v>30.9819616694503</v>
      </c>
      <c r="N4241">
        <v>55.028335822087399</v>
      </c>
      <c r="O4241">
        <v>53.945492387618202</v>
      </c>
      <c r="P4241">
        <v>-0.116060315532703</v>
      </c>
      <c r="Q4241">
        <v>0.19167226282584399</v>
      </c>
      <c r="R4241">
        <v>0.99028734468405</v>
      </c>
      <c r="S4241" t="s">
        <v>8537</v>
      </c>
      <c r="T4241" t="s">
        <v>8590</v>
      </c>
      <c r="U4241" t="s">
        <v>8590</v>
      </c>
      <c r="V4241" t="s">
        <v>8590</v>
      </c>
      <c r="W4241">
        <v>53</v>
      </c>
      <c r="X4241" t="s">
        <v>12831</v>
      </c>
      <c r="Y4241">
        <v>0.57846278932657025</v>
      </c>
      <c r="Z4241" t="str">
        <f>HYPERLINK("Melting_Curves/meltCurve_tr_Q5HY54_Q5HY54_HUMAN_.pdf", "Melting_Curves/meltCurve_tr_Q5HY54_Q5HY54_HUMAN_.pdf")</f>
        <v>Melting_Curves/meltCurve_tr_Q5HY54_Q5HY54_HUMAN_.pdf</v>
      </c>
      <c r="AA4241" t="s">
        <v>17035</v>
      </c>
      <c r="AB4241" t="s">
        <v>21297</v>
      </c>
    </row>
    <row r="4242" spans="1:28" x14ac:dyDescent="0.25">
      <c r="A4242" t="s">
        <v>4246</v>
      </c>
      <c r="B4242">
        <v>0.99876560204751996</v>
      </c>
      <c r="C4242">
        <v>0.87499880520489204</v>
      </c>
      <c r="D4242">
        <v>0.88536538934656495</v>
      </c>
      <c r="E4242">
        <v>0.63765429123484996</v>
      </c>
      <c r="F4242">
        <v>0.24453107837347601</v>
      </c>
      <c r="G4242">
        <v>0.16938603333883301</v>
      </c>
      <c r="H4242">
        <v>4.0003214545694103E-2</v>
      </c>
      <c r="I4242">
        <v>7.9764071895674193E-2</v>
      </c>
      <c r="J4242">
        <v>2.8869421013146799E-2</v>
      </c>
      <c r="K4242">
        <v>0</v>
      </c>
      <c r="L4242">
        <v>980.86788907224195</v>
      </c>
      <c r="M4242">
        <v>19.336175960508101</v>
      </c>
      <c r="N4242">
        <v>50.8484892147086</v>
      </c>
      <c r="O4242">
        <v>50.193870981633502</v>
      </c>
      <c r="P4242">
        <v>-9.4138450339659396E-2</v>
      </c>
      <c r="Q4242">
        <v>2.2558029558379999E-2</v>
      </c>
      <c r="R4242">
        <v>0.98450586054912004</v>
      </c>
      <c r="S4242" t="s">
        <v>8538</v>
      </c>
      <c r="T4242" t="s">
        <v>8590</v>
      </c>
      <c r="U4242" t="s">
        <v>8590</v>
      </c>
      <c r="V4242" t="s">
        <v>8590</v>
      </c>
      <c r="W4242">
        <v>2</v>
      </c>
      <c r="X4242" t="s">
        <v>12832</v>
      </c>
      <c r="Y4242">
        <v>0.38653056926101648</v>
      </c>
      <c r="Z4242" t="str">
        <f>HYPERLINK("Melting_Curves/meltCurve_tr_Q5JB52_Q5JB52_HUMAN_.pdf", "Melting_Curves/meltCurve_tr_Q5JB52_Q5JB52_HUMAN_.pdf")</f>
        <v>Melting_Curves/meltCurve_tr_Q5JB52_Q5JB52_HUMAN_.pdf</v>
      </c>
      <c r="AA4242" t="s">
        <v>17036</v>
      </c>
      <c r="AB4242" t="s">
        <v>21298</v>
      </c>
    </row>
    <row r="4243" spans="1:28" x14ac:dyDescent="0.25">
      <c r="A4243" t="s">
        <v>4247</v>
      </c>
      <c r="B4243">
        <v>0.99876560204751996</v>
      </c>
      <c r="C4243">
        <v>0.75216083147272395</v>
      </c>
      <c r="D4243">
        <v>0.49664503360220902</v>
      </c>
      <c r="E4243">
        <v>0.34426492252379798</v>
      </c>
      <c r="F4243">
        <v>0.17268366683139799</v>
      </c>
      <c r="G4243">
        <v>0.101880283205984</v>
      </c>
      <c r="H4243">
        <v>6.4402729127138195E-2</v>
      </c>
      <c r="I4243">
        <v>4.71388336593399E-2</v>
      </c>
      <c r="J4243">
        <v>5.7644956534532499E-2</v>
      </c>
      <c r="K4243">
        <v>5.1234626031675799E-2</v>
      </c>
      <c r="L4243">
        <v>680.90352436610203</v>
      </c>
      <c r="M4243">
        <v>14.6950839302222</v>
      </c>
      <c r="N4243">
        <v>46.6327481564416</v>
      </c>
      <c r="O4243">
        <v>45.502771806775797</v>
      </c>
      <c r="P4243">
        <v>-7.7135689234309399E-2</v>
      </c>
      <c r="Q4243">
        <v>4.4713615065668802E-2</v>
      </c>
      <c r="R4243">
        <v>0.98673690580414297</v>
      </c>
      <c r="S4243" t="s">
        <v>8539</v>
      </c>
      <c r="T4243" t="s">
        <v>8590</v>
      </c>
      <c r="U4243" t="s">
        <v>8590</v>
      </c>
      <c r="V4243" t="s">
        <v>8590</v>
      </c>
      <c r="W4243">
        <v>17</v>
      </c>
      <c r="X4243" t="s">
        <v>12833</v>
      </c>
      <c r="Y4243">
        <v>0.27480863120152399</v>
      </c>
      <c r="Z4243" t="str">
        <f>HYPERLINK("Melting_Curves/meltCurve_tr_Q5JP53_Q5JP53_HUMAN_.pdf", "Melting_Curves/meltCurve_tr_Q5JP53_Q5JP53_HUMAN_.pdf")</f>
        <v>Melting_Curves/meltCurve_tr_Q5JP53_Q5JP53_HUMAN_.pdf</v>
      </c>
      <c r="AA4243" t="s">
        <v>17037</v>
      </c>
      <c r="AB4243" t="s">
        <v>21299</v>
      </c>
    </row>
    <row r="4244" spans="1:28" x14ac:dyDescent="0.25">
      <c r="A4244" t="s">
        <v>4248</v>
      </c>
      <c r="B4244">
        <v>0.99876560204751996</v>
      </c>
      <c r="C4244">
        <v>0.78942493584614604</v>
      </c>
      <c r="D4244">
        <v>0.61396904384686701</v>
      </c>
      <c r="E4244">
        <v>0.372360576711177</v>
      </c>
      <c r="F4244">
        <v>0.14911947915914101</v>
      </c>
      <c r="G4244">
        <v>7.2090158724148007E-2</v>
      </c>
      <c r="H4244">
        <v>4.9126733778925999E-2</v>
      </c>
      <c r="I4244">
        <v>3.9831019887630499E-2</v>
      </c>
      <c r="J4244">
        <v>3.7956430057315797E-2</v>
      </c>
      <c r="K4244">
        <v>3.0238349286191801E-2</v>
      </c>
      <c r="L4244">
        <v>714.121669241365</v>
      </c>
      <c r="M4244">
        <v>15.064108909405</v>
      </c>
      <c r="N4244">
        <v>47.512996166529099</v>
      </c>
      <c r="O4244">
        <v>46.593658084943797</v>
      </c>
      <c r="P4244">
        <v>-7.9480955941840903E-2</v>
      </c>
      <c r="Q4244">
        <v>1.67518163886036E-2</v>
      </c>
      <c r="R4244">
        <v>0.99254578917558201</v>
      </c>
      <c r="S4244" t="s">
        <v>8540</v>
      </c>
      <c r="T4244" t="s">
        <v>8590</v>
      </c>
      <c r="U4244" t="s">
        <v>8590</v>
      </c>
      <c r="V4244" t="s">
        <v>8590</v>
      </c>
      <c r="W4244">
        <v>9</v>
      </c>
      <c r="X4244" t="s">
        <v>12834</v>
      </c>
      <c r="Y4244">
        <v>0.28532589806625219</v>
      </c>
      <c r="Z4244" t="str">
        <f>HYPERLINK("Melting_Curves/meltCurve_tr_Q5JR08_Q5JR08_HUMAN_.pdf", "Melting_Curves/meltCurve_tr_Q5JR08_Q5JR08_HUMAN_.pdf")</f>
        <v>Melting_Curves/meltCurve_tr_Q5JR08_Q5JR08_HUMAN_.pdf</v>
      </c>
      <c r="AA4244" t="s">
        <v>17038</v>
      </c>
      <c r="AB4244" t="s">
        <v>21300</v>
      </c>
    </row>
    <row r="4245" spans="1:28" x14ac:dyDescent="0.25">
      <c r="A4245" t="s">
        <v>4249</v>
      </c>
      <c r="B4245">
        <v>0.99876560204751996</v>
      </c>
      <c r="C4245">
        <v>0.88470863031591396</v>
      </c>
      <c r="D4245">
        <v>0.88483424196391103</v>
      </c>
      <c r="E4245">
        <v>0.68831896756981603</v>
      </c>
      <c r="F4245">
        <v>0.61777686362400597</v>
      </c>
      <c r="G4245">
        <v>0.49547316526847102</v>
      </c>
      <c r="H4245">
        <v>0.30157344776650402</v>
      </c>
      <c r="I4245">
        <v>0.29672894159170998</v>
      </c>
      <c r="J4245">
        <v>0.255921293108618</v>
      </c>
      <c r="K4245">
        <v>0.34904019975372502</v>
      </c>
      <c r="L4245">
        <v>580.28622119658803</v>
      </c>
      <c r="M4245">
        <v>11.0850056573722</v>
      </c>
      <c r="N4245">
        <v>55.444631516566197</v>
      </c>
      <c r="O4245">
        <v>50.731692068028302</v>
      </c>
      <c r="P4245">
        <v>-4.2034685811711103E-2</v>
      </c>
      <c r="Q4245">
        <v>0.23074732821334601</v>
      </c>
      <c r="R4245">
        <v>0.97358583013995004</v>
      </c>
      <c r="S4245" t="s">
        <v>8541</v>
      </c>
      <c r="T4245" t="s">
        <v>8590</v>
      </c>
      <c r="U4245" t="s">
        <v>8590</v>
      </c>
      <c r="V4245" t="s">
        <v>8590</v>
      </c>
      <c r="W4245">
        <v>1</v>
      </c>
      <c r="X4245" t="s">
        <v>12835</v>
      </c>
      <c r="Y4245">
        <v>0.57263530605291757</v>
      </c>
      <c r="Z4245" t="str">
        <f>HYPERLINK("Melting_Curves/meltCurve_tr_Q5JRG1_Q5JRG1_HUMAN_.pdf", "Melting_Curves/meltCurve_tr_Q5JRG1_Q5JRG1_HUMAN_.pdf")</f>
        <v>Melting_Curves/meltCurve_tr_Q5JRG1_Q5JRG1_HUMAN_.pdf</v>
      </c>
      <c r="AA4245" t="s">
        <v>17039</v>
      </c>
      <c r="AB4245" t="s">
        <v>21301</v>
      </c>
    </row>
    <row r="4246" spans="1:28" x14ac:dyDescent="0.25">
      <c r="A4246" t="s">
        <v>4250</v>
      </c>
      <c r="B4246">
        <v>0.99876560204751996</v>
      </c>
      <c r="C4246">
        <v>0.85474375097069899</v>
      </c>
      <c r="D4246">
        <v>1.0086059277493999</v>
      </c>
      <c r="E4246">
        <v>0.827630859265029</v>
      </c>
      <c r="F4246">
        <v>0.614183196663874</v>
      </c>
      <c r="G4246">
        <v>0.30191736676540099</v>
      </c>
      <c r="H4246">
        <v>0.20336776939829501</v>
      </c>
      <c r="I4246">
        <v>0.16927605075396601</v>
      </c>
      <c r="J4246">
        <v>0.219868450499108</v>
      </c>
      <c r="K4246">
        <v>0.135427287784748</v>
      </c>
      <c r="L4246">
        <v>1200.26305183456</v>
      </c>
      <c r="M4246">
        <v>22.558113478540701</v>
      </c>
      <c r="N4246">
        <v>54.1473790319221</v>
      </c>
      <c r="O4246">
        <v>52.794754378097302</v>
      </c>
      <c r="P4246">
        <v>-8.9518452840108301E-2</v>
      </c>
      <c r="Q4246">
        <v>0.16198503043301299</v>
      </c>
      <c r="R4246">
        <v>0.97885948202942497</v>
      </c>
      <c r="S4246" t="s">
        <v>8542</v>
      </c>
      <c r="T4246" t="s">
        <v>8590</v>
      </c>
      <c r="U4246" t="s">
        <v>8590</v>
      </c>
      <c r="V4246" t="s">
        <v>8590</v>
      </c>
      <c r="W4246">
        <v>2</v>
      </c>
      <c r="X4246" t="s">
        <v>12836</v>
      </c>
      <c r="Y4246">
        <v>0.54025103320472856</v>
      </c>
      <c r="Z4246" t="str">
        <f>HYPERLINK("Melting_Curves/meltCurve_tr_Q5JTV1_Q5JTV1_HUMAN_.pdf", "Melting_Curves/meltCurve_tr_Q5JTV1_Q5JTV1_HUMAN_.pdf")</f>
        <v>Melting_Curves/meltCurve_tr_Q5JTV1_Q5JTV1_HUMAN_.pdf</v>
      </c>
      <c r="AA4246" t="s">
        <v>17040</v>
      </c>
      <c r="AB4246" t="s">
        <v>21302</v>
      </c>
    </row>
    <row r="4247" spans="1:28" x14ac:dyDescent="0.25">
      <c r="A4247" t="s">
        <v>4251</v>
      </c>
      <c r="B4247">
        <v>0.99876560204751996</v>
      </c>
      <c r="C4247">
        <v>0.94182938360584001</v>
      </c>
      <c r="D4247">
        <v>0.71549739019074898</v>
      </c>
      <c r="E4247">
        <v>0.46556140343274999</v>
      </c>
      <c r="F4247">
        <v>0.13971139267159199</v>
      </c>
      <c r="G4247">
        <v>0.10280257891647999</v>
      </c>
      <c r="H4247">
        <v>5.4310445899490002E-2</v>
      </c>
      <c r="I4247">
        <v>8.2306111783885305E-2</v>
      </c>
      <c r="J4247">
        <v>0</v>
      </c>
      <c r="K4247">
        <v>0</v>
      </c>
      <c r="L4247">
        <v>881.63092040273796</v>
      </c>
      <c r="M4247">
        <v>18.068471612458399</v>
      </c>
      <c r="N4247">
        <v>48.897602146886001</v>
      </c>
      <c r="O4247">
        <v>48.207973041640699</v>
      </c>
      <c r="P4247">
        <v>-9.1943522234633396E-2</v>
      </c>
      <c r="Q4247">
        <v>1.8800091692959799E-2</v>
      </c>
      <c r="R4247">
        <v>0.98978053804780397</v>
      </c>
      <c r="S4247" t="s">
        <v>8543</v>
      </c>
      <c r="T4247" t="s">
        <v>8590</v>
      </c>
      <c r="U4247" t="s">
        <v>8590</v>
      </c>
      <c r="V4247" t="s">
        <v>8590</v>
      </c>
      <c r="W4247">
        <v>1</v>
      </c>
      <c r="X4247" t="s">
        <v>12837</v>
      </c>
      <c r="Y4247">
        <v>0.32335323112312359</v>
      </c>
      <c r="Z4247" t="str">
        <f>HYPERLINK("Melting_Curves/meltCurve_tr_Q5JUA8_Q5JUA8_HUMAN_.pdf", "Melting_Curves/meltCurve_tr_Q5JUA8_Q5JUA8_HUMAN_.pdf")</f>
        <v>Melting_Curves/meltCurve_tr_Q5JUA8_Q5JUA8_HUMAN_.pdf</v>
      </c>
      <c r="AA4247" t="s">
        <v>17041</v>
      </c>
      <c r="AB4247" t="s">
        <v>21303</v>
      </c>
    </row>
    <row r="4248" spans="1:28" x14ac:dyDescent="0.25">
      <c r="A4248" t="s">
        <v>4252</v>
      </c>
      <c r="B4248">
        <v>0.99876560204751996</v>
      </c>
      <c r="C4248">
        <v>0.950828147899621</v>
      </c>
      <c r="D4248">
        <v>1.02835463913193</v>
      </c>
      <c r="E4248">
        <v>0.88460856564262502</v>
      </c>
      <c r="F4248">
        <v>0.80801192186081905</v>
      </c>
      <c r="G4248">
        <v>0.68482957245173004</v>
      </c>
      <c r="H4248">
        <v>0.62782978279142199</v>
      </c>
      <c r="I4248">
        <v>0.68660130266865804</v>
      </c>
      <c r="J4248">
        <v>0.83328139746208896</v>
      </c>
      <c r="K4248">
        <v>0.74146355798400199</v>
      </c>
      <c r="L4248">
        <v>1682.45981426041</v>
      </c>
      <c r="M4248">
        <v>32.990057639664698</v>
      </c>
      <c r="O4248">
        <v>50.812699369004001</v>
      </c>
      <c r="P4248">
        <v>-4.6039429050643697E-2</v>
      </c>
      <c r="Q4248">
        <v>0.71635366846125104</v>
      </c>
      <c r="R4248">
        <v>0.83143540983648101</v>
      </c>
      <c r="S4248" t="s">
        <v>8544</v>
      </c>
      <c r="T4248" t="s">
        <v>8590</v>
      </c>
      <c r="U4248" t="s">
        <v>8590</v>
      </c>
      <c r="V4248" t="s">
        <v>8590</v>
      </c>
      <c r="W4248">
        <v>6</v>
      </c>
      <c r="X4248" t="s">
        <v>12838</v>
      </c>
      <c r="Y4248">
        <v>0.82182155923395894</v>
      </c>
      <c r="Z4248" t="str">
        <f>HYPERLINK("Melting_Curves/meltCurve_tr_Q5JW30_Q5JW30_HUMAN_.pdf", "Melting_Curves/meltCurve_tr_Q5JW30_Q5JW30_HUMAN_.pdf")</f>
        <v>Melting_Curves/meltCurve_tr_Q5JW30_Q5JW30_HUMAN_.pdf</v>
      </c>
      <c r="AA4248" t="s">
        <v>17042</v>
      </c>
      <c r="AB4248" t="s">
        <v>21304</v>
      </c>
    </row>
    <row r="4249" spans="1:28" x14ac:dyDescent="0.25">
      <c r="A4249" t="s">
        <v>4253</v>
      </c>
      <c r="B4249">
        <v>0.99876560204751996</v>
      </c>
      <c r="C4249">
        <v>1.0003768449216599</v>
      </c>
      <c r="D4249">
        <v>1.0734337135066601</v>
      </c>
      <c r="E4249">
        <v>0.96023770882161896</v>
      </c>
      <c r="F4249">
        <v>0.950262852173273</v>
      </c>
      <c r="G4249">
        <v>0.77470188841529697</v>
      </c>
      <c r="H4249">
        <v>0.68641492972195495</v>
      </c>
      <c r="I4249">
        <v>0.67661375982196803</v>
      </c>
      <c r="J4249">
        <v>0.80923277919685999</v>
      </c>
      <c r="K4249">
        <v>0.79891802166904902</v>
      </c>
      <c r="L4249">
        <v>2618.4757542850298</v>
      </c>
      <c r="M4249">
        <v>48.052651636025999</v>
      </c>
      <c r="O4249">
        <v>54.3976907270578</v>
      </c>
      <c r="P4249">
        <v>-5.6684540558397799E-2</v>
      </c>
      <c r="Q4249">
        <v>0.74332284612557897</v>
      </c>
      <c r="R4249">
        <v>0.87630418654867204</v>
      </c>
      <c r="S4249" t="s">
        <v>8545</v>
      </c>
      <c r="T4249" t="s">
        <v>8590</v>
      </c>
      <c r="U4249" t="s">
        <v>8590</v>
      </c>
      <c r="V4249" t="s">
        <v>8590</v>
      </c>
      <c r="W4249">
        <v>14</v>
      </c>
      <c r="X4249" t="s">
        <v>12839</v>
      </c>
      <c r="Y4249">
        <v>0.86798125179259555</v>
      </c>
      <c r="Z4249" t="str">
        <f>HYPERLINK("Melting_Curves/meltCurve_tr_Q5QNY5_Q5QNY5_HUMAN_.pdf", "Melting_Curves/meltCurve_tr_Q5QNY5_Q5QNY5_HUMAN_.pdf")</f>
        <v>Melting_Curves/meltCurve_tr_Q5QNY5_Q5QNY5_HUMAN_.pdf</v>
      </c>
      <c r="AA4249" t="s">
        <v>17043</v>
      </c>
      <c r="AB4249" t="s">
        <v>21305</v>
      </c>
    </row>
    <row r="4250" spans="1:28" x14ac:dyDescent="0.25">
      <c r="A4250" t="s">
        <v>4254</v>
      </c>
      <c r="B4250">
        <v>0.99876560204751996</v>
      </c>
      <c r="C4250">
        <v>0.93954472311702297</v>
      </c>
      <c r="D4250">
        <v>1.0239011311306501</v>
      </c>
      <c r="E4250">
        <v>0.89228179990234502</v>
      </c>
      <c r="F4250">
        <v>0.94495831166172595</v>
      </c>
      <c r="G4250">
        <v>0.72404689761491903</v>
      </c>
      <c r="H4250">
        <v>0.60387948192202801</v>
      </c>
      <c r="I4250">
        <v>0.52632038789244495</v>
      </c>
      <c r="J4250">
        <v>0.71610845052775296</v>
      </c>
      <c r="K4250">
        <v>0.63092262460709503</v>
      </c>
      <c r="L4250">
        <v>1826.8287257618799</v>
      </c>
      <c r="M4250">
        <v>33.070783085807001</v>
      </c>
      <c r="O4250">
        <v>55.039148722801897</v>
      </c>
      <c r="P4250">
        <v>-5.7707380460434603E-2</v>
      </c>
      <c r="Q4250">
        <v>0.61583600271379502</v>
      </c>
      <c r="R4250">
        <v>0.885594290708276</v>
      </c>
      <c r="S4250" t="s">
        <v>8546</v>
      </c>
      <c r="T4250" t="s">
        <v>8590</v>
      </c>
      <c r="U4250" t="s">
        <v>8590</v>
      </c>
      <c r="V4250" t="s">
        <v>8590</v>
      </c>
      <c r="W4250">
        <v>4</v>
      </c>
      <c r="X4250" t="s">
        <v>12840</v>
      </c>
      <c r="Y4250">
        <v>0.81311140628249301</v>
      </c>
      <c r="Z4250" t="str">
        <f>HYPERLINK("Melting_Curves/meltCurve_tr_Q5QPL9_Q5QPL9_HUMAN_.pdf", "Melting_Curves/meltCurve_tr_Q5QPL9_Q5QPL9_HUMAN_.pdf")</f>
        <v>Melting_Curves/meltCurve_tr_Q5QPL9_Q5QPL9_HUMAN_.pdf</v>
      </c>
      <c r="AA4250" t="s">
        <v>17044</v>
      </c>
      <c r="AB4250" t="s">
        <v>21306</v>
      </c>
    </row>
    <row r="4251" spans="1:28" x14ac:dyDescent="0.25">
      <c r="A4251" t="s">
        <v>4255</v>
      </c>
      <c r="B4251">
        <v>0.99876560204751996</v>
      </c>
      <c r="C4251">
        <v>0.99401622717747895</v>
      </c>
      <c r="D4251">
        <v>1.05428688069457</v>
      </c>
      <c r="E4251">
        <v>0.96432620061385699</v>
      </c>
      <c r="F4251">
        <v>1.1158219386985799</v>
      </c>
      <c r="G4251">
        <v>0.80439561363407197</v>
      </c>
      <c r="H4251">
        <v>0.18556658355171601</v>
      </c>
      <c r="I4251">
        <v>0.29976774001060003</v>
      </c>
      <c r="J4251">
        <v>0.13981367339744899</v>
      </c>
      <c r="K4251">
        <v>0.122093431041749</v>
      </c>
      <c r="L4251">
        <v>14315.534212009799</v>
      </c>
      <c r="M4251">
        <v>250</v>
      </c>
      <c r="N4251">
        <v>57.369486905032304</v>
      </c>
      <c r="O4251">
        <v>57.258496313483803</v>
      </c>
      <c r="P4251">
        <v>-0.88763030737377602</v>
      </c>
      <c r="Q4251">
        <v>0.18681031072388901</v>
      </c>
      <c r="R4251">
        <v>0.97722629061308797</v>
      </c>
      <c r="S4251" t="s">
        <v>8547</v>
      </c>
      <c r="T4251" t="s">
        <v>8590</v>
      </c>
      <c r="U4251" t="s">
        <v>8590</v>
      </c>
      <c r="V4251" t="s">
        <v>8590</v>
      </c>
      <c r="W4251">
        <v>4</v>
      </c>
      <c r="X4251" t="s">
        <v>12841</v>
      </c>
      <c r="Y4251">
        <v>0.65480508819441952</v>
      </c>
      <c r="Z4251" t="str">
        <f>HYPERLINK("Melting_Curves/meltCurve_tr_Q5QPM7_Q5QPM7_HUMAN_.pdf", "Melting_Curves/meltCurve_tr_Q5QPM7_Q5QPM7_HUMAN_.pdf")</f>
        <v>Melting_Curves/meltCurve_tr_Q5QPM7_Q5QPM7_HUMAN_.pdf</v>
      </c>
      <c r="AA4251" t="s">
        <v>17045</v>
      </c>
      <c r="AB4251" t="s">
        <v>21307</v>
      </c>
    </row>
    <row r="4252" spans="1:28" x14ac:dyDescent="0.25">
      <c r="A4252" t="s">
        <v>4256</v>
      </c>
      <c r="B4252">
        <v>0.99876560204751996</v>
      </c>
      <c r="C4252">
        <v>1.5547296572170299</v>
      </c>
      <c r="D4252">
        <v>2.3732161388975199</v>
      </c>
      <c r="E4252">
        <v>1.59815672260909</v>
      </c>
      <c r="F4252">
        <v>2.0559583904305998</v>
      </c>
      <c r="G4252">
        <v>0.85865856052868705</v>
      </c>
      <c r="H4252">
        <v>0.59884028338976703</v>
      </c>
      <c r="I4252">
        <v>0.34018679961412701</v>
      </c>
      <c r="J4252">
        <v>0.26199008120101003</v>
      </c>
      <c r="K4252">
        <v>0.109481703910492</v>
      </c>
      <c r="L4252">
        <v>2178.2228259178501</v>
      </c>
      <c r="M4252">
        <v>35.549522973256302</v>
      </c>
      <c r="N4252">
        <v>61.976225282041398</v>
      </c>
      <c r="O4252">
        <v>61.079970158352602</v>
      </c>
      <c r="P4252">
        <v>-0.12135249513120699</v>
      </c>
      <c r="Q4252">
        <v>0.165987689245405</v>
      </c>
      <c r="R4252">
        <v>0.33686544108503702</v>
      </c>
      <c r="S4252" t="s">
        <v>8548</v>
      </c>
      <c r="T4252" t="s">
        <v>8590</v>
      </c>
      <c r="U4252" t="s">
        <v>8590</v>
      </c>
      <c r="V4252" t="s">
        <v>8590</v>
      </c>
      <c r="W4252">
        <v>1</v>
      </c>
      <c r="X4252" t="s">
        <v>12842</v>
      </c>
      <c r="Y4252">
        <v>0.7610753368460661</v>
      </c>
      <c r="Z4252" t="str">
        <f>HYPERLINK("Melting_Curves/meltCurve_tr_Q5SSZ3_Q5SSZ3_HUMAN_.pdf", "Melting_Curves/meltCurve_tr_Q5SSZ3_Q5SSZ3_HUMAN_.pdf")</f>
        <v>Melting_Curves/meltCurve_tr_Q5SSZ3_Q5SSZ3_HUMAN_.pdf</v>
      </c>
      <c r="AA4252" t="s">
        <v>17046</v>
      </c>
      <c r="AB4252" t="s">
        <v>21308</v>
      </c>
    </row>
    <row r="4253" spans="1:28" x14ac:dyDescent="0.25">
      <c r="A4253" t="s">
        <v>4257</v>
      </c>
      <c r="B4253">
        <v>0.99876560204751996</v>
      </c>
      <c r="C4253">
        <v>0.86503834048514205</v>
      </c>
      <c r="D4253">
        <v>0.97092913625677002</v>
      </c>
      <c r="E4253">
        <v>0.89275324447983995</v>
      </c>
      <c r="F4253">
        <v>0.67752938454256295</v>
      </c>
      <c r="G4253">
        <v>0.52577997832878698</v>
      </c>
      <c r="H4253">
        <v>0.53906102072515205</v>
      </c>
      <c r="I4253">
        <v>0.61077480383318405</v>
      </c>
      <c r="J4253">
        <v>0.81820617340651203</v>
      </c>
      <c r="K4253">
        <v>0.83595473600020997</v>
      </c>
      <c r="L4253">
        <v>3723.8164420483099</v>
      </c>
      <c r="M4253">
        <v>73.729479610579006</v>
      </c>
      <c r="O4253">
        <v>50.469360799295302</v>
      </c>
      <c r="P4253">
        <v>-0.121913682104554</v>
      </c>
      <c r="Q4253">
        <v>0.666190266330279</v>
      </c>
      <c r="R4253">
        <v>0.59315135648605199</v>
      </c>
      <c r="S4253" t="s">
        <v>8549</v>
      </c>
      <c r="T4253" t="s">
        <v>8590</v>
      </c>
      <c r="U4253" t="s">
        <v>8590</v>
      </c>
      <c r="V4253" t="s">
        <v>8590</v>
      </c>
      <c r="W4253">
        <v>16</v>
      </c>
      <c r="X4253" t="s">
        <v>12843</v>
      </c>
      <c r="Y4253">
        <v>0.78343674994406898</v>
      </c>
      <c r="Z4253" t="str">
        <f>HYPERLINK("Melting_Curves/meltCurve_tr_Q5SZC6_Q5SZC6_HUMAN_.pdf", "Melting_Curves/meltCurve_tr_Q5SZC6_Q5SZC6_HUMAN_.pdf")</f>
        <v>Melting_Curves/meltCurve_tr_Q5SZC6_Q5SZC6_HUMAN_.pdf</v>
      </c>
      <c r="AA4253" t="s">
        <v>16345</v>
      </c>
      <c r="AB4253" t="s">
        <v>21309</v>
      </c>
    </row>
    <row r="4254" spans="1:28" x14ac:dyDescent="0.25">
      <c r="A4254" t="s">
        <v>4258</v>
      </c>
      <c r="B4254">
        <v>0.99876560204751996</v>
      </c>
      <c r="C4254">
        <v>0.89764105719738796</v>
      </c>
      <c r="D4254">
        <v>0.79863709669039495</v>
      </c>
      <c r="E4254">
        <v>0.80045420223804098</v>
      </c>
      <c r="F4254">
        <v>0.73920476514199096</v>
      </c>
      <c r="G4254">
        <v>0.66814250133866904</v>
      </c>
      <c r="H4254">
        <v>0.57310969220866403</v>
      </c>
      <c r="I4254">
        <v>0.60307263648325105</v>
      </c>
      <c r="J4254">
        <v>0.63166254993855697</v>
      </c>
      <c r="K4254">
        <v>0.62951050180394197</v>
      </c>
      <c r="L4254">
        <v>481.65625961595299</v>
      </c>
      <c r="M4254">
        <v>9.9124014127273803</v>
      </c>
      <c r="O4254">
        <v>46.737656447886401</v>
      </c>
      <c r="P4254">
        <v>-2.1988396221383998E-2</v>
      </c>
      <c r="Q4254">
        <v>0.585501277245151</v>
      </c>
      <c r="R4254">
        <v>0.93239736665506601</v>
      </c>
      <c r="S4254" t="s">
        <v>8550</v>
      </c>
      <c r="T4254" t="s">
        <v>8590</v>
      </c>
      <c r="U4254" t="s">
        <v>8590</v>
      </c>
      <c r="V4254" t="s">
        <v>8590</v>
      </c>
      <c r="W4254">
        <v>2</v>
      </c>
      <c r="X4254" t="s">
        <v>12844</v>
      </c>
      <c r="Y4254">
        <v>0.72543408220402583</v>
      </c>
      <c r="Z4254" t="str">
        <f>HYPERLINK("Melting_Curves/meltCurve_tr_Q5T123_Q5T123_HUMAN_.pdf", "Melting_Curves/meltCurve_tr_Q5T123_Q5T123_HUMAN_.pdf")</f>
        <v>Melting_Curves/meltCurve_tr_Q5T123_Q5T123_HUMAN_.pdf</v>
      </c>
      <c r="AA4254" t="s">
        <v>17047</v>
      </c>
      <c r="AB4254" t="s">
        <v>21310</v>
      </c>
    </row>
    <row r="4255" spans="1:28" x14ac:dyDescent="0.25">
      <c r="A4255" t="s">
        <v>4259</v>
      </c>
      <c r="B4255">
        <v>0.99876560204751996</v>
      </c>
      <c r="C4255">
        <v>0.89414689382538703</v>
      </c>
      <c r="D4255">
        <v>0.853862929961829</v>
      </c>
      <c r="E4255">
        <v>0.64345422616930503</v>
      </c>
      <c r="F4255">
        <v>0.49690904575432598</v>
      </c>
      <c r="G4255">
        <v>0.23399974215108901</v>
      </c>
      <c r="H4255">
        <v>7.3988822183673197E-2</v>
      </c>
      <c r="I4255">
        <v>4.0272279191827798E-2</v>
      </c>
      <c r="J4255">
        <v>3.07165124474112E-2</v>
      </c>
      <c r="K4255">
        <v>2.78679826780453E-2</v>
      </c>
      <c r="L4255">
        <v>737.699443401346</v>
      </c>
      <c r="M4255">
        <v>14.131675724161999</v>
      </c>
      <c r="N4255">
        <v>52.201815813108503</v>
      </c>
      <c r="O4255">
        <v>51.189869876754898</v>
      </c>
      <c r="P4255">
        <v>-6.9024782918709907E-2</v>
      </c>
      <c r="Q4255">
        <v>0</v>
      </c>
      <c r="R4255">
        <v>0.993341989008384</v>
      </c>
      <c r="S4255" t="s">
        <v>8551</v>
      </c>
      <c r="T4255" t="s">
        <v>8590</v>
      </c>
      <c r="U4255" t="s">
        <v>8590</v>
      </c>
      <c r="V4255" t="s">
        <v>8590</v>
      </c>
      <c r="W4255">
        <v>3</v>
      </c>
      <c r="X4255" t="s">
        <v>12845</v>
      </c>
      <c r="Y4255">
        <v>0.43095736387361011</v>
      </c>
      <c r="Z4255" t="str">
        <f>HYPERLINK("Melting_Curves/meltCurve_tr_Q5T6K7_Q5T6K7_HUMAN_.pdf", "Melting_Curves/meltCurve_tr_Q5T6K7_Q5T6K7_HUMAN_.pdf")</f>
        <v>Melting_Curves/meltCurve_tr_Q5T6K7_Q5T6K7_HUMAN_.pdf</v>
      </c>
      <c r="AA4255" t="s">
        <v>17048</v>
      </c>
      <c r="AB4255" t="s">
        <v>21311</v>
      </c>
    </row>
    <row r="4256" spans="1:28" x14ac:dyDescent="0.25">
      <c r="A4256" t="s">
        <v>4260</v>
      </c>
      <c r="B4256">
        <v>0.99876560204751996</v>
      </c>
      <c r="C4256">
        <v>0.86828016518609397</v>
      </c>
      <c r="D4256">
        <v>0.81348264401179804</v>
      </c>
      <c r="E4256">
        <v>0.70750882242876101</v>
      </c>
      <c r="F4256">
        <v>0.31141215284653301</v>
      </c>
      <c r="G4256">
        <v>0.13755720329201099</v>
      </c>
      <c r="H4256">
        <v>8.5596160757399203E-2</v>
      </c>
      <c r="I4256">
        <v>6.4345989815545304E-2</v>
      </c>
      <c r="J4256">
        <v>6.4708779010880096E-2</v>
      </c>
      <c r="K4256">
        <v>6.3374685177528006E-2</v>
      </c>
      <c r="L4256">
        <v>871.59944630009795</v>
      </c>
      <c r="M4256">
        <v>17.089323348335601</v>
      </c>
      <c r="N4256">
        <v>51.214634211138403</v>
      </c>
      <c r="O4256">
        <v>50.319558272077003</v>
      </c>
      <c r="P4256">
        <v>-8.2008828030392306E-2</v>
      </c>
      <c r="Q4256">
        <v>3.4157722102253901E-2</v>
      </c>
      <c r="R4256">
        <v>0.97874495440269005</v>
      </c>
      <c r="S4256" t="s">
        <v>8552</v>
      </c>
      <c r="T4256" t="s">
        <v>8590</v>
      </c>
      <c r="U4256" t="s">
        <v>8590</v>
      </c>
      <c r="V4256" t="s">
        <v>8590</v>
      </c>
      <c r="W4256">
        <v>12</v>
      </c>
      <c r="X4256" t="s">
        <v>12846</v>
      </c>
      <c r="Y4256">
        <v>0.40623550602057679</v>
      </c>
      <c r="Z4256" t="str">
        <f>HYPERLINK("Melting_Curves/meltCurve_tr_Q5T7A4_Q5T7A4_HUMAN_.pdf", "Melting_Curves/meltCurve_tr_Q5T7A4_Q5T7A4_HUMAN_.pdf")</f>
        <v>Melting_Curves/meltCurve_tr_Q5T7A4_Q5T7A4_HUMAN_.pdf</v>
      </c>
      <c r="AA4256" t="s">
        <v>17049</v>
      </c>
      <c r="AB4256" t="s">
        <v>21312</v>
      </c>
    </row>
    <row r="4257" spans="1:28" x14ac:dyDescent="0.25">
      <c r="A4257" t="s">
        <v>4261</v>
      </c>
      <c r="B4257">
        <v>0.99876560204751996</v>
      </c>
      <c r="C4257">
        <v>0.94216675034994102</v>
      </c>
      <c r="D4257">
        <v>0.84735427938087504</v>
      </c>
      <c r="E4257">
        <v>0.78930398645147404</v>
      </c>
      <c r="F4257">
        <v>0.61566653223588497</v>
      </c>
      <c r="G4257">
        <v>0.42854158898816802</v>
      </c>
      <c r="H4257">
        <v>0.213331615090917</v>
      </c>
      <c r="I4257">
        <v>0.123498942716503</v>
      </c>
      <c r="J4257">
        <v>8.9589471333205703E-2</v>
      </c>
      <c r="K4257">
        <v>6.5456326927332997E-2</v>
      </c>
      <c r="L4257">
        <v>665.52874570436995</v>
      </c>
      <c r="M4257">
        <v>12.114029470293501</v>
      </c>
      <c r="N4257">
        <v>54.938676450502697</v>
      </c>
      <c r="O4257">
        <v>53.505855859310003</v>
      </c>
      <c r="P4257">
        <v>-5.6614575233640697E-2</v>
      </c>
      <c r="Q4257">
        <v>0</v>
      </c>
      <c r="R4257">
        <v>0.99341974691382695</v>
      </c>
      <c r="S4257" t="s">
        <v>8553</v>
      </c>
      <c r="T4257" t="s">
        <v>8590</v>
      </c>
      <c r="U4257" t="s">
        <v>8590</v>
      </c>
      <c r="V4257" t="s">
        <v>8590</v>
      </c>
      <c r="W4257">
        <v>19</v>
      </c>
      <c r="X4257" t="s">
        <v>12847</v>
      </c>
      <c r="Y4257">
        <v>0.52142242840493336</v>
      </c>
      <c r="Z4257" t="str">
        <f>HYPERLINK("Melting_Curves/meltCurve_tr_Q5T985_Q5T985_HUMAN_.pdf", "Melting_Curves/meltCurve_tr_Q5T985_Q5T985_HUMAN_.pdf")</f>
        <v>Melting_Curves/meltCurve_tr_Q5T985_Q5T985_HUMAN_.pdf</v>
      </c>
      <c r="AA4257" t="s">
        <v>17050</v>
      </c>
      <c r="AB4257" t="s">
        <v>21313</v>
      </c>
    </row>
    <row r="4258" spans="1:28" x14ac:dyDescent="0.25">
      <c r="A4258" t="s">
        <v>4262</v>
      </c>
      <c r="B4258">
        <v>0.99876560204751996</v>
      </c>
      <c r="C4258">
        <v>1.6336852347111901</v>
      </c>
      <c r="D4258">
        <v>1.9853568397719701</v>
      </c>
      <c r="E4258">
        <v>1.5963071049186499</v>
      </c>
      <c r="F4258">
        <v>1.84737826497544</v>
      </c>
      <c r="G4258">
        <v>1.0614000917831701</v>
      </c>
      <c r="H4258">
        <v>0.856337675299921</v>
      </c>
      <c r="I4258">
        <v>0.73548392331896295</v>
      </c>
      <c r="J4258">
        <v>0.81003020891197897</v>
      </c>
      <c r="K4258">
        <v>0.54334105604264604</v>
      </c>
      <c r="L4258">
        <v>1824.30593778971</v>
      </c>
      <c r="M4258">
        <v>28.670770002625702</v>
      </c>
      <c r="O4258">
        <v>63.322331702161399</v>
      </c>
      <c r="P4258">
        <v>-4.5446886729672502E-2</v>
      </c>
      <c r="Q4258">
        <v>0.59850671840858005</v>
      </c>
      <c r="R4258">
        <v>-5.3777689953003603E-2</v>
      </c>
      <c r="S4258" t="s">
        <v>8554</v>
      </c>
      <c r="T4258" t="s">
        <v>8590</v>
      </c>
      <c r="U4258" t="s">
        <v>8590</v>
      </c>
      <c r="V4258" t="s">
        <v>8590</v>
      </c>
      <c r="W4258">
        <v>1</v>
      </c>
      <c r="X4258" t="s">
        <v>12848</v>
      </c>
      <c r="Y4258">
        <v>0.91543079091341795</v>
      </c>
      <c r="Z4258" t="str">
        <f>HYPERLINK("Melting_Curves/meltCurve_tr_Q5TA04_Q5TA04_HUMAN_.pdf", "Melting_Curves/meltCurve_tr_Q5TA04_Q5TA04_HUMAN_.pdf")</f>
        <v>Melting_Curves/meltCurve_tr_Q5TA04_Q5TA04_HUMAN_.pdf</v>
      </c>
      <c r="AA4258" t="s">
        <v>17051</v>
      </c>
      <c r="AB4258" t="s">
        <v>21314</v>
      </c>
    </row>
    <row r="4259" spans="1:28" x14ac:dyDescent="0.25">
      <c r="A4259" t="s">
        <v>4263</v>
      </c>
      <c r="B4259">
        <v>0.99876560204751996</v>
      </c>
      <c r="C4259">
        <v>0.99685371771037001</v>
      </c>
      <c r="D4259">
        <v>0.94790854794172896</v>
      </c>
      <c r="E4259">
        <v>0.90788804250271604</v>
      </c>
      <c r="F4259">
        <v>0.79902726589519002</v>
      </c>
      <c r="G4259">
        <v>0.67285007103171501</v>
      </c>
      <c r="H4259">
        <v>0.47473930385596702</v>
      </c>
      <c r="I4259">
        <v>0.46883177258787101</v>
      </c>
      <c r="J4259">
        <v>0.49824118402176698</v>
      </c>
      <c r="K4259">
        <v>0.37886652699873002</v>
      </c>
      <c r="L4259">
        <v>796.79225097327003</v>
      </c>
      <c r="M4259">
        <v>14.275347374266801</v>
      </c>
      <c r="N4259">
        <v>62.1276073493203</v>
      </c>
      <c r="O4259">
        <v>54.754899201825303</v>
      </c>
      <c r="P4259">
        <v>-4.0236623470599503E-2</v>
      </c>
      <c r="Q4259">
        <v>0.38274481333369098</v>
      </c>
      <c r="R4259">
        <v>0.98298268746046302</v>
      </c>
      <c r="S4259" t="s">
        <v>8555</v>
      </c>
      <c r="T4259" t="s">
        <v>8590</v>
      </c>
      <c r="U4259" t="s">
        <v>8590</v>
      </c>
      <c r="V4259" t="s">
        <v>8590</v>
      </c>
      <c r="W4259">
        <v>18</v>
      </c>
      <c r="X4259" t="s">
        <v>12849</v>
      </c>
      <c r="Y4259">
        <v>0.71977935646513325</v>
      </c>
      <c r="Z4259" t="str">
        <f>HYPERLINK("Melting_Curves/meltCurve_tr_Q5TA58_Q5TA58_HUMAN_.pdf", "Melting_Curves/meltCurve_tr_Q5TA58_Q5TA58_HUMAN_.pdf")</f>
        <v>Melting_Curves/meltCurve_tr_Q5TA58_Q5TA58_HUMAN_.pdf</v>
      </c>
      <c r="AA4259" t="s">
        <v>17052</v>
      </c>
      <c r="AB4259" t="s">
        <v>21315</v>
      </c>
    </row>
    <row r="4260" spans="1:28" x14ac:dyDescent="0.25">
      <c r="A4260" t="s">
        <v>4264</v>
      </c>
      <c r="B4260">
        <v>0.99876560204751996</v>
      </c>
      <c r="C4260">
        <v>1.0437577908407001</v>
      </c>
      <c r="D4260">
        <v>1.04902692959008</v>
      </c>
      <c r="E4260">
        <v>0.93735347079305797</v>
      </c>
      <c r="F4260">
        <v>0.80360519901762295</v>
      </c>
      <c r="G4260">
        <v>0.54058517933433903</v>
      </c>
      <c r="H4260">
        <v>0.41305230057110398</v>
      </c>
      <c r="I4260">
        <v>0.35094659091547797</v>
      </c>
      <c r="J4260">
        <v>0.42161638218014102</v>
      </c>
      <c r="K4260">
        <v>0.346458956897299</v>
      </c>
      <c r="L4260">
        <v>1382.45041866512</v>
      </c>
      <c r="M4260">
        <v>25.265454070603599</v>
      </c>
      <c r="N4260">
        <v>57.738083859404497</v>
      </c>
      <c r="O4260">
        <v>54.377701672576798</v>
      </c>
      <c r="P4260">
        <v>-7.3563719174855005E-2</v>
      </c>
      <c r="Q4260">
        <v>0.36669673052888602</v>
      </c>
      <c r="R4260">
        <v>0.98920344762499701</v>
      </c>
      <c r="S4260" t="s">
        <v>8556</v>
      </c>
      <c r="T4260" t="s">
        <v>8590</v>
      </c>
      <c r="U4260" t="s">
        <v>8590</v>
      </c>
      <c r="V4260" t="s">
        <v>8590</v>
      </c>
      <c r="W4260">
        <v>2</v>
      </c>
      <c r="X4260" t="s">
        <v>12850</v>
      </c>
      <c r="Y4260">
        <v>0.68312900367959228</v>
      </c>
      <c r="Z4260" t="str">
        <f>HYPERLINK("Melting_Curves/meltCurve_tr_Q5TAQ0_Q5TAQ0_HUMAN_.pdf", "Melting_Curves/meltCurve_tr_Q5TAQ0_Q5TAQ0_HUMAN_.pdf")</f>
        <v>Melting_Curves/meltCurve_tr_Q5TAQ0_Q5TAQ0_HUMAN_.pdf</v>
      </c>
      <c r="AA4260" t="s">
        <v>17053</v>
      </c>
      <c r="AB4260" t="s">
        <v>21316</v>
      </c>
    </row>
    <row r="4261" spans="1:28" x14ac:dyDescent="0.25">
      <c r="A4261" t="s">
        <v>4265</v>
      </c>
      <c r="B4261">
        <v>0.99876560204751996</v>
      </c>
      <c r="C4261">
        <v>0.94369998795335097</v>
      </c>
      <c r="D4261">
        <v>1.0991376524824401</v>
      </c>
      <c r="E4261">
        <v>0.89207926880315302</v>
      </c>
      <c r="F4261">
        <v>0.82874497248229295</v>
      </c>
      <c r="G4261">
        <v>0.50333286196915095</v>
      </c>
      <c r="H4261">
        <v>0.39839436142837498</v>
      </c>
      <c r="I4261">
        <v>0.307477845480502</v>
      </c>
      <c r="J4261">
        <v>0.31602610530462499</v>
      </c>
      <c r="K4261">
        <v>0.25862930708952198</v>
      </c>
      <c r="L4261">
        <v>1196.0657146582901</v>
      </c>
      <c r="M4261">
        <v>21.601622380971399</v>
      </c>
      <c r="N4261">
        <v>57.542793834928098</v>
      </c>
      <c r="O4261">
        <v>54.901302626992297</v>
      </c>
      <c r="P4261">
        <v>-7.0934181398496304E-2</v>
      </c>
      <c r="Q4261">
        <v>0.27889028931287901</v>
      </c>
      <c r="R4261">
        <v>0.97882531924581895</v>
      </c>
      <c r="S4261" t="s">
        <v>8557</v>
      </c>
      <c r="T4261" t="s">
        <v>8590</v>
      </c>
      <c r="U4261" t="s">
        <v>8590</v>
      </c>
      <c r="V4261" t="s">
        <v>8590</v>
      </c>
      <c r="W4261">
        <v>1</v>
      </c>
      <c r="X4261" t="s">
        <v>12851</v>
      </c>
      <c r="Y4261">
        <v>0.65678357100039741</v>
      </c>
      <c r="Z4261" t="str">
        <f>HYPERLINK("Melting_Curves/meltCurve_tr_Q5TBP5_Q5TBP5_HUMAN_.pdf", "Melting_Curves/meltCurve_tr_Q5TBP5_Q5TBP5_HUMAN_.pdf")</f>
        <v>Melting_Curves/meltCurve_tr_Q5TBP5_Q5TBP5_HUMAN_.pdf</v>
      </c>
      <c r="AA4261" t="s">
        <v>17054</v>
      </c>
      <c r="AB4261" t="s">
        <v>21317</v>
      </c>
    </row>
    <row r="4262" spans="1:28" x14ac:dyDescent="0.25">
      <c r="A4262" t="s">
        <v>4266</v>
      </c>
      <c r="B4262">
        <v>0.99876560204751996</v>
      </c>
      <c r="C4262">
        <v>1.09254066470137</v>
      </c>
      <c r="D4262">
        <v>0.82592370378561397</v>
      </c>
      <c r="E4262">
        <v>0.656477380451571</v>
      </c>
      <c r="F4262">
        <v>0.80182528661664199</v>
      </c>
      <c r="G4262">
        <v>0.21087150575122199</v>
      </c>
      <c r="H4262">
        <v>0.17234952809922599</v>
      </c>
      <c r="I4262">
        <v>0.177698059711735</v>
      </c>
      <c r="J4262">
        <v>0.44312101975594698</v>
      </c>
      <c r="K4262">
        <v>0.33936859809624098</v>
      </c>
      <c r="L4262">
        <v>988.08087502409899</v>
      </c>
      <c r="M4262">
        <v>18.997475332927401</v>
      </c>
      <c r="N4262">
        <v>54.047097181374397</v>
      </c>
      <c r="O4262">
        <v>51.445139859013103</v>
      </c>
      <c r="P4262">
        <v>-6.8729226057565096E-2</v>
      </c>
      <c r="Q4262">
        <v>0.25555504686881197</v>
      </c>
      <c r="R4262">
        <v>0.83254104053732503</v>
      </c>
      <c r="S4262" t="s">
        <v>8558</v>
      </c>
      <c r="T4262" t="s">
        <v>8590</v>
      </c>
      <c r="U4262" t="s">
        <v>8590</v>
      </c>
      <c r="V4262" t="s">
        <v>8590</v>
      </c>
      <c r="W4262">
        <v>1</v>
      </c>
      <c r="X4262" t="s">
        <v>12852</v>
      </c>
      <c r="Y4262">
        <v>0.56489426951746435</v>
      </c>
      <c r="Z4262" t="str">
        <f>HYPERLINK("Melting_Curves/meltCurve_tr_Q5TBP9_Q5TBP9_HUMAN_.pdf", "Melting_Curves/meltCurve_tr_Q5TBP9_Q5TBP9_HUMAN_.pdf")</f>
        <v>Melting_Curves/meltCurve_tr_Q5TBP9_Q5TBP9_HUMAN_.pdf</v>
      </c>
      <c r="AA4262" t="s">
        <v>17055</v>
      </c>
      <c r="AB4262" t="s">
        <v>21318</v>
      </c>
    </row>
    <row r="4263" spans="1:28" x14ac:dyDescent="0.25">
      <c r="A4263" t="s">
        <v>4267</v>
      </c>
      <c r="B4263">
        <v>0.99876560204751996</v>
      </c>
      <c r="C4263">
        <v>0.90342282510945104</v>
      </c>
      <c r="D4263">
        <v>0.72038401681929598</v>
      </c>
      <c r="E4263">
        <v>0.50199020057584098</v>
      </c>
      <c r="F4263">
        <v>0.29083094803516801</v>
      </c>
      <c r="G4263">
        <v>0.123737836667632</v>
      </c>
      <c r="H4263">
        <v>9.3175345108998497E-2</v>
      </c>
      <c r="I4263">
        <v>9.6556026949476306E-2</v>
      </c>
      <c r="J4263">
        <v>0.10041316757673401</v>
      </c>
      <c r="K4263">
        <v>0.105995749995873</v>
      </c>
      <c r="L4263">
        <v>768.03147343332398</v>
      </c>
      <c r="M4263">
        <v>15.684656924280601</v>
      </c>
      <c r="N4263">
        <v>49.464199559621797</v>
      </c>
      <c r="O4263">
        <v>48.191795233114298</v>
      </c>
      <c r="P4263">
        <v>-7.5438903323959403E-2</v>
      </c>
      <c r="Q4263">
        <v>7.2921286541971705E-2</v>
      </c>
      <c r="R4263">
        <v>0.99471289444243405</v>
      </c>
      <c r="S4263" t="s">
        <v>8559</v>
      </c>
      <c r="T4263" t="s">
        <v>8590</v>
      </c>
      <c r="U4263" t="s">
        <v>8590</v>
      </c>
      <c r="V4263" t="s">
        <v>8590</v>
      </c>
      <c r="W4263">
        <v>3</v>
      </c>
      <c r="X4263" t="s">
        <v>12853</v>
      </c>
      <c r="Y4263">
        <v>0.37107214807645328</v>
      </c>
      <c r="Z4263" t="str">
        <f>HYPERLINK("Melting_Curves/meltCurve_tr_Q5TCW7_Q5TCW7_HUMAN_.pdf", "Melting_Curves/meltCurve_tr_Q5TCW7_Q5TCW7_HUMAN_.pdf")</f>
        <v>Melting_Curves/meltCurve_tr_Q5TCW7_Q5TCW7_HUMAN_.pdf</v>
      </c>
      <c r="AA4263" t="s">
        <v>17056</v>
      </c>
      <c r="AB4263" t="s">
        <v>21319</v>
      </c>
    </row>
    <row r="4264" spans="1:28" x14ac:dyDescent="0.25">
      <c r="A4264" t="s">
        <v>4268</v>
      </c>
      <c r="B4264">
        <v>0.99876560204751996</v>
      </c>
      <c r="C4264">
        <v>0.81785024260307004</v>
      </c>
      <c r="D4264">
        <v>0.897111809333627</v>
      </c>
      <c r="E4264">
        <v>0.68919339734574903</v>
      </c>
      <c r="F4264">
        <v>0.485360618365134</v>
      </c>
      <c r="G4264">
        <v>0.216501139055439</v>
      </c>
      <c r="H4264">
        <v>0.13832728690111001</v>
      </c>
      <c r="I4264">
        <v>0.11858297329301801</v>
      </c>
      <c r="J4264">
        <v>0.107341671239362</v>
      </c>
      <c r="K4264">
        <v>0.106870570770413</v>
      </c>
      <c r="L4264">
        <v>756.78408594840505</v>
      </c>
      <c r="M4264">
        <v>14.570424692646499</v>
      </c>
      <c r="N4264">
        <v>52.412917395927799</v>
      </c>
      <c r="O4264">
        <v>50.9907788029399</v>
      </c>
      <c r="P4264">
        <v>-6.7041681880504994E-2</v>
      </c>
      <c r="Q4264">
        <v>6.16277224914498E-2</v>
      </c>
      <c r="R4264">
        <v>0.97901476455334602</v>
      </c>
      <c r="S4264" t="s">
        <v>8560</v>
      </c>
      <c r="T4264" t="s">
        <v>8590</v>
      </c>
      <c r="U4264" t="s">
        <v>8590</v>
      </c>
      <c r="V4264" t="s">
        <v>8590</v>
      </c>
      <c r="W4264">
        <v>1</v>
      </c>
      <c r="X4264" t="s">
        <v>12854</v>
      </c>
      <c r="Y4264">
        <v>0.45706431654860402</v>
      </c>
      <c r="Z4264" t="str">
        <f>HYPERLINK("Melting_Curves/meltCurve_tr_Q5TH58_Q5TH58_HUMAN_.pdf", "Melting_Curves/meltCurve_tr_Q5TH58_Q5TH58_HUMAN_.pdf")</f>
        <v>Melting_Curves/meltCurve_tr_Q5TH58_Q5TH58_HUMAN_.pdf</v>
      </c>
      <c r="AA4264" t="s">
        <v>17057</v>
      </c>
      <c r="AB4264" t="s">
        <v>21320</v>
      </c>
    </row>
    <row r="4265" spans="1:28" x14ac:dyDescent="0.25">
      <c r="A4265" t="s">
        <v>4269</v>
      </c>
      <c r="B4265">
        <v>0.99876560204751996</v>
      </c>
      <c r="C4265">
        <v>0.98087203376832099</v>
      </c>
      <c r="D4265">
        <v>0.92195428024037596</v>
      </c>
      <c r="E4265">
        <v>0.772284792002358</v>
      </c>
      <c r="F4265">
        <v>0.65011587344491395</v>
      </c>
      <c r="G4265">
        <v>0.49794594101527501</v>
      </c>
      <c r="H4265">
        <v>0.417587715221441</v>
      </c>
      <c r="I4265">
        <v>0.39454842069784701</v>
      </c>
      <c r="J4265">
        <v>0.47953566996227598</v>
      </c>
      <c r="K4265">
        <v>0.45672359258904099</v>
      </c>
      <c r="L4265">
        <v>939.47146055049404</v>
      </c>
      <c r="M4265">
        <v>18.339063346653699</v>
      </c>
      <c r="N4265">
        <v>57.167309052187797</v>
      </c>
      <c r="O4265">
        <v>50.6304214713319</v>
      </c>
      <c r="P4265">
        <v>-5.2015023367157499E-2</v>
      </c>
      <c r="Q4265">
        <v>0.425614756948899</v>
      </c>
      <c r="R4265">
        <v>0.98657773196791498</v>
      </c>
      <c r="S4265" t="s">
        <v>8561</v>
      </c>
      <c r="T4265" t="s">
        <v>8590</v>
      </c>
      <c r="U4265" t="s">
        <v>8590</v>
      </c>
      <c r="V4265" t="s">
        <v>8590</v>
      </c>
      <c r="W4265">
        <v>15</v>
      </c>
      <c r="X4265" t="s">
        <v>12855</v>
      </c>
      <c r="Y4265">
        <v>0.64992113790851469</v>
      </c>
      <c r="Z4265" t="str">
        <f>HYPERLINK("Melting_Curves/meltCurve_tr_Q5VTI5_Q5VTI5_HUMAN_.pdf", "Melting_Curves/meltCurve_tr_Q5VTI5_Q5VTI5_HUMAN_.pdf")</f>
        <v>Melting_Curves/meltCurve_tr_Q5VTI5_Q5VTI5_HUMAN_.pdf</v>
      </c>
      <c r="AA4265" t="s">
        <v>17058</v>
      </c>
      <c r="AB4265" t="s">
        <v>21321</v>
      </c>
    </row>
    <row r="4266" spans="1:28" x14ac:dyDescent="0.25">
      <c r="A4266" t="s">
        <v>4270</v>
      </c>
      <c r="B4266">
        <v>0.99876560204751996</v>
      </c>
      <c r="C4266">
        <v>1.0270436798790099</v>
      </c>
      <c r="D4266">
        <v>0.92864359801759899</v>
      </c>
      <c r="E4266">
        <v>0.65456356242967795</v>
      </c>
      <c r="F4266">
        <v>0.36395167591005601</v>
      </c>
      <c r="G4266">
        <v>0.18469546796904099</v>
      </c>
      <c r="H4266">
        <v>0.111830828518966</v>
      </c>
      <c r="I4266">
        <v>8.6337230976547302E-2</v>
      </c>
      <c r="J4266">
        <v>7.1605916064214001E-2</v>
      </c>
      <c r="K4266">
        <v>7.1103535412642804E-2</v>
      </c>
      <c r="L4266">
        <v>1118.6792195974899</v>
      </c>
      <c r="M4266">
        <v>21.8520712424313</v>
      </c>
      <c r="N4266">
        <v>51.583656929069797</v>
      </c>
      <c r="O4266">
        <v>50.770332035422101</v>
      </c>
      <c r="P4266">
        <v>-9.9403898236193805E-2</v>
      </c>
      <c r="Q4266">
        <v>7.6214971794720199E-2</v>
      </c>
      <c r="R4266">
        <v>0.99847926021778699</v>
      </c>
      <c r="S4266" t="s">
        <v>8562</v>
      </c>
      <c r="T4266" t="s">
        <v>8590</v>
      </c>
      <c r="U4266" t="s">
        <v>8590</v>
      </c>
      <c r="V4266" t="s">
        <v>8590</v>
      </c>
      <c r="W4266">
        <v>1</v>
      </c>
      <c r="X4266" t="s">
        <v>12856</v>
      </c>
      <c r="Y4266">
        <v>0.43173749085077301</v>
      </c>
      <c r="Z4266" t="str">
        <f>HYPERLINK("Melting_Curves/meltCurve_tr_Q5VTU3_Q5VTU3_HUMAN_.pdf", "Melting_Curves/meltCurve_tr_Q5VTU3_Q5VTU3_HUMAN_.pdf")</f>
        <v>Melting_Curves/meltCurve_tr_Q5VTU3_Q5VTU3_HUMAN_.pdf</v>
      </c>
      <c r="AA4266" t="s">
        <v>17059</v>
      </c>
      <c r="AB4266" t="s">
        <v>21322</v>
      </c>
    </row>
    <row r="4267" spans="1:28" x14ac:dyDescent="0.25">
      <c r="A4267" t="s">
        <v>4271</v>
      </c>
      <c r="B4267">
        <v>0.99876560204751996</v>
      </c>
      <c r="C4267">
        <v>1.0846438809537799</v>
      </c>
      <c r="D4267">
        <v>1.29092608623867</v>
      </c>
      <c r="E4267">
        <v>0.960784674827037</v>
      </c>
      <c r="F4267">
        <v>0.82548622088551804</v>
      </c>
      <c r="G4267">
        <v>0.52203151610370901</v>
      </c>
      <c r="H4267">
        <v>0.32409570400925303</v>
      </c>
      <c r="I4267">
        <v>0.23898293737215301</v>
      </c>
      <c r="J4267">
        <v>0.122235374753444</v>
      </c>
      <c r="K4267">
        <v>0.23170440438196399</v>
      </c>
      <c r="L4267">
        <v>1334.78643775554</v>
      </c>
      <c r="M4267">
        <v>23.7252185257577</v>
      </c>
      <c r="N4267">
        <v>57.350787523509901</v>
      </c>
      <c r="O4267">
        <v>55.865114704116401</v>
      </c>
      <c r="P4267">
        <v>-8.6897611627858806E-2</v>
      </c>
      <c r="Q4267">
        <v>0.181552008552571</v>
      </c>
      <c r="R4267">
        <v>0.93494255866438103</v>
      </c>
      <c r="S4267" t="s">
        <v>8563</v>
      </c>
      <c r="T4267" t="s">
        <v>8590</v>
      </c>
      <c r="U4267" t="s">
        <v>8590</v>
      </c>
      <c r="V4267" t="s">
        <v>8590</v>
      </c>
      <c r="W4267">
        <v>2</v>
      </c>
      <c r="X4267" t="s">
        <v>12857</v>
      </c>
      <c r="Y4267">
        <v>0.63329760510705213</v>
      </c>
      <c r="Z4267" t="str">
        <f>HYPERLINK("Melting_Curves/meltCurve_tr_Q5VZM0_Q5VZM0_HUMAN_.pdf", "Melting_Curves/meltCurve_tr_Q5VZM0_Q5VZM0_HUMAN_.pdf")</f>
        <v>Melting_Curves/meltCurve_tr_Q5VZM0_Q5VZM0_HUMAN_.pdf</v>
      </c>
      <c r="AA4267" t="s">
        <v>17060</v>
      </c>
      <c r="AB4267" t="s">
        <v>21323</v>
      </c>
    </row>
    <row r="4268" spans="1:28" x14ac:dyDescent="0.25">
      <c r="A4268" t="s">
        <v>4272</v>
      </c>
      <c r="B4268">
        <v>0.99876560204751996</v>
      </c>
      <c r="C4268">
        <v>1.27647814191474</v>
      </c>
      <c r="D4268">
        <v>1.0748092032600001</v>
      </c>
      <c r="E4268">
        <v>1.5926487718178699</v>
      </c>
      <c r="F4268">
        <v>1.2075549141077799</v>
      </c>
      <c r="G4268">
        <v>0.91275713336577202</v>
      </c>
      <c r="H4268">
        <v>0.82830121074819096</v>
      </c>
      <c r="I4268">
        <v>0.67634620110557897</v>
      </c>
      <c r="J4268">
        <v>0.57176363837218902</v>
      </c>
      <c r="K4268">
        <v>0.44802311530102201</v>
      </c>
      <c r="L4268">
        <v>1557.07301066185</v>
      </c>
      <c r="M4268">
        <v>24.535699516791201</v>
      </c>
      <c r="N4268">
        <v>68.417084018354601</v>
      </c>
      <c r="O4268">
        <v>63.044488300431802</v>
      </c>
      <c r="P4268">
        <v>-5.6875614690217097E-2</v>
      </c>
      <c r="Q4268">
        <v>0.41544099939406098</v>
      </c>
      <c r="R4268">
        <v>0.55601339568643005</v>
      </c>
      <c r="S4268" t="s">
        <v>8564</v>
      </c>
      <c r="T4268" t="s">
        <v>8590</v>
      </c>
      <c r="U4268" t="s">
        <v>8590</v>
      </c>
      <c r="V4268" t="s">
        <v>8590</v>
      </c>
      <c r="W4268">
        <v>7</v>
      </c>
      <c r="X4268" t="s">
        <v>12858</v>
      </c>
      <c r="Y4268">
        <v>0.87297720317451355</v>
      </c>
      <c r="Z4268" t="str">
        <f>HYPERLINK("Melting_Curves/meltCurve_tr_Q64EX5_Q64EX5_HUMAN_.pdf", "Melting_Curves/meltCurve_tr_Q64EX5_Q64EX5_HUMAN_.pdf")</f>
        <v>Melting_Curves/meltCurve_tr_Q64EX5_Q64EX5_HUMAN_.pdf</v>
      </c>
      <c r="AA4268" t="s">
        <v>17061</v>
      </c>
      <c r="AB4268" t="s">
        <v>21324</v>
      </c>
    </row>
    <row r="4269" spans="1:28" x14ac:dyDescent="0.25">
      <c r="A4269" t="s">
        <v>4273</v>
      </c>
      <c r="B4269">
        <v>0.99876560204751996</v>
      </c>
      <c r="C4269">
        <v>1.0333484587901101</v>
      </c>
      <c r="D4269">
        <v>0.93371740645908696</v>
      </c>
      <c r="E4269">
        <v>0.79645743058892005</v>
      </c>
      <c r="F4269">
        <v>0.531746247486516</v>
      </c>
      <c r="G4269">
        <v>0.36411886320660802</v>
      </c>
      <c r="H4269">
        <v>0.27954808788397001</v>
      </c>
      <c r="I4269">
        <v>0.17243309469433299</v>
      </c>
      <c r="J4269">
        <v>0.138939901506693</v>
      </c>
      <c r="K4269">
        <v>0.104041718927567</v>
      </c>
      <c r="L4269">
        <v>812.87953645726395</v>
      </c>
      <c r="M4269">
        <v>15.201377884624</v>
      </c>
      <c r="N4269">
        <v>54.334145251547099</v>
      </c>
      <c r="O4269">
        <v>52.574290721078903</v>
      </c>
      <c r="P4269">
        <v>-6.4561735169420695E-2</v>
      </c>
      <c r="Q4269">
        <v>0.106933127226641</v>
      </c>
      <c r="R4269">
        <v>0.99197726691588795</v>
      </c>
      <c r="S4269" t="s">
        <v>8565</v>
      </c>
      <c r="T4269" t="s">
        <v>8590</v>
      </c>
      <c r="U4269" t="s">
        <v>8590</v>
      </c>
      <c r="V4269" t="s">
        <v>8590</v>
      </c>
      <c r="W4269">
        <v>1</v>
      </c>
      <c r="X4269" t="s">
        <v>12859</v>
      </c>
      <c r="Y4269">
        <v>0.52652616862440138</v>
      </c>
      <c r="Z4269" t="str">
        <f>HYPERLINK("Melting_Curves/meltCurve_tr_Q68DL3_Q68DL3_HUMAN_.pdf", "Melting_Curves/meltCurve_tr_Q68DL3_Q68DL3_HUMAN_.pdf")</f>
        <v>Melting_Curves/meltCurve_tr_Q68DL3_Q68DL3_HUMAN_.pdf</v>
      </c>
      <c r="AA4269" t="s">
        <v>17062</v>
      </c>
      <c r="AB4269" t="s">
        <v>21325</v>
      </c>
    </row>
    <row r="4270" spans="1:28" x14ac:dyDescent="0.25">
      <c r="A4270" t="s">
        <v>4274</v>
      </c>
      <c r="B4270">
        <v>0.99876560204751996</v>
      </c>
      <c r="C4270">
        <v>0.95157576524643495</v>
      </c>
      <c r="D4270">
        <v>0.950229172614247</v>
      </c>
      <c r="E4270">
        <v>0.85548635318460298</v>
      </c>
      <c r="F4270">
        <v>0.75653365965463304</v>
      </c>
      <c r="G4270">
        <v>0.58239796781086295</v>
      </c>
      <c r="H4270">
        <v>0.40600745444281899</v>
      </c>
      <c r="I4270">
        <v>0.32967198612492599</v>
      </c>
      <c r="J4270">
        <v>0.27050778212965498</v>
      </c>
      <c r="K4270">
        <v>0.17230372339043601</v>
      </c>
      <c r="L4270">
        <v>584.32659647156299</v>
      </c>
      <c r="M4270">
        <v>9.9580296475009007</v>
      </c>
      <c r="N4270">
        <v>59.013393401713302</v>
      </c>
      <c r="O4270">
        <v>56.459694578089497</v>
      </c>
      <c r="P4270">
        <v>-4.2904931076776599E-2</v>
      </c>
      <c r="Q4270">
        <v>2.7436991895951401E-2</v>
      </c>
      <c r="R4270">
        <v>0.99779492108574097</v>
      </c>
      <c r="S4270" t="s">
        <v>8566</v>
      </c>
      <c r="T4270" t="s">
        <v>8590</v>
      </c>
      <c r="U4270" t="s">
        <v>8590</v>
      </c>
      <c r="V4270" t="s">
        <v>8590</v>
      </c>
      <c r="W4270">
        <v>8</v>
      </c>
      <c r="X4270" t="s">
        <v>12860</v>
      </c>
      <c r="Y4270">
        <v>0.63824576533614064</v>
      </c>
      <c r="Z4270" t="str">
        <f>HYPERLINK("Melting_Curves/meltCurve_tr_Q6ICJ4_Q6ICJ4_HUMAN_.pdf", "Melting_Curves/meltCurve_tr_Q6ICJ4_Q6ICJ4_HUMAN_.pdf")</f>
        <v>Melting_Curves/meltCurve_tr_Q6ICJ4_Q6ICJ4_HUMAN_.pdf</v>
      </c>
      <c r="AA4270" t="s">
        <v>17063</v>
      </c>
      <c r="AB4270" t="s">
        <v>21326</v>
      </c>
    </row>
    <row r="4271" spans="1:28" x14ac:dyDescent="0.25">
      <c r="A4271" t="s">
        <v>4275</v>
      </c>
      <c r="B4271">
        <v>0.99876560204751996</v>
      </c>
      <c r="C4271">
        <v>1.0437569409198799</v>
      </c>
      <c r="D4271">
        <v>1.0112856286504699</v>
      </c>
      <c r="E4271">
        <v>0.83525345824467701</v>
      </c>
      <c r="F4271">
        <v>0.82808165625142105</v>
      </c>
      <c r="G4271">
        <v>0.71733201882477604</v>
      </c>
      <c r="H4271">
        <v>0.62914999920113901</v>
      </c>
      <c r="I4271">
        <v>0.669903373878728</v>
      </c>
      <c r="J4271">
        <v>0.73014375126118503</v>
      </c>
      <c r="K4271">
        <v>0.72288802942771901</v>
      </c>
      <c r="L4271">
        <v>1180.5406072128201</v>
      </c>
      <c r="M4271">
        <v>23.125588031379301</v>
      </c>
      <c r="O4271">
        <v>50.671952624987398</v>
      </c>
      <c r="P4271">
        <v>-3.5354317428079797E-2</v>
      </c>
      <c r="Q4271">
        <v>0.690137126084996</v>
      </c>
      <c r="R4271">
        <v>0.92554169149167698</v>
      </c>
      <c r="S4271" t="s">
        <v>8567</v>
      </c>
      <c r="T4271" t="s">
        <v>8590</v>
      </c>
      <c r="U4271" t="s">
        <v>8590</v>
      </c>
      <c r="V4271" t="s">
        <v>8590</v>
      </c>
      <c r="W4271">
        <v>3</v>
      </c>
      <c r="X4271" t="s">
        <v>12861</v>
      </c>
      <c r="Y4271">
        <v>0.80752190292035519</v>
      </c>
      <c r="Z4271" t="str">
        <f>HYPERLINK("Melting_Curves/meltCurve_tr_Q6PIR0_Q6PIR0_HUMAN_.pdf", "Melting_Curves/meltCurve_tr_Q6PIR0_Q6PIR0_HUMAN_.pdf")</f>
        <v>Melting_Curves/meltCurve_tr_Q6PIR0_Q6PIR0_HUMAN_.pdf</v>
      </c>
      <c r="AA4271" t="s">
        <v>17064</v>
      </c>
      <c r="AB4271" t="s">
        <v>21327</v>
      </c>
    </row>
    <row r="4272" spans="1:28" x14ac:dyDescent="0.25">
      <c r="A4272" t="s">
        <v>4276</v>
      </c>
      <c r="B4272">
        <v>0.99876560204751996</v>
      </c>
      <c r="C4272">
        <v>1.07872640348575</v>
      </c>
      <c r="D4272">
        <v>0.88705448310073198</v>
      </c>
      <c r="E4272">
        <v>0.73142054266347301</v>
      </c>
      <c r="F4272">
        <v>0.54631726909235301</v>
      </c>
      <c r="G4272">
        <v>0.31274567287423599</v>
      </c>
      <c r="H4272">
        <v>0.15335868078618001</v>
      </c>
      <c r="I4272">
        <v>0.13481097421628699</v>
      </c>
      <c r="J4272">
        <v>9.4672319585257195E-2</v>
      </c>
      <c r="K4272">
        <v>0.102558749840601</v>
      </c>
      <c r="L4272">
        <v>847.66701136427298</v>
      </c>
      <c r="M4272">
        <v>15.9921538684195</v>
      </c>
      <c r="N4272">
        <v>53.528544810334402</v>
      </c>
      <c r="O4272">
        <v>52.197145763681597</v>
      </c>
      <c r="P4272">
        <v>-7.1057043202338493E-2</v>
      </c>
      <c r="Q4272">
        <v>7.2374295341275499E-2</v>
      </c>
      <c r="R4272">
        <v>0.99107521427268497</v>
      </c>
      <c r="S4272" t="s">
        <v>8568</v>
      </c>
      <c r="T4272" t="s">
        <v>8590</v>
      </c>
      <c r="U4272" t="s">
        <v>8590</v>
      </c>
      <c r="V4272" t="s">
        <v>8590</v>
      </c>
      <c r="W4272">
        <v>1</v>
      </c>
      <c r="X4272" t="s">
        <v>12862</v>
      </c>
      <c r="Y4272">
        <v>0.49271653612413491</v>
      </c>
      <c r="Z4272" t="str">
        <f>HYPERLINK("Melting_Curves/meltCurve_tr_Q6PJZ0_Q6PJZ0_HUMAN_.pdf", "Melting_Curves/meltCurve_tr_Q6PJZ0_Q6PJZ0_HUMAN_.pdf")</f>
        <v>Melting_Curves/meltCurve_tr_Q6PJZ0_Q6PJZ0_HUMAN_.pdf</v>
      </c>
      <c r="AA4272" t="s">
        <v>17065</v>
      </c>
      <c r="AB4272" t="s">
        <v>21328</v>
      </c>
    </row>
    <row r="4273" spans="1:28" x14ac:dyDescent="0.25">
      <c r="A4273" t="s">
        <v>4277</v>
      </c>
      <c r="B4273">
        <v>0.99876560204751996</v>
      </c>
      <c r="C4273">
        <v>1.01419765021814</v>
      </c>
      <c r="D4273">
        <v>0.85812887225565804</v>
      </c>
      <c r="E4273">
        <v>0.68415022725086405</v>
      </c>
      <c r="F4273">
        <v>0.44302697175953198</v>
      </c>
      <c r="G4273">
        <v>0.28973413885752197</v>
      </c>
      <c r="H4273">
        <v>0.18492838257982799</v>
      </c>
      <c r="I4273">
        <v>0.14487448179846801</v>
      </c>
      <c r="J4273">
        <v>0.12763125595746</v>
      </c>
      <c r="K4273">
        <v>0.120766733166319</v>
      </c>
      <c r="L4273">
        <v>820.20460102520997</v>
      </c>
      <c r="M4273">
        <v>15.8869868914476</v>
      </c>
      <c r="N4273">
        <v>52.4415523791127</v>
      </c>
      <c r="O4273">
        <v>50.830229959257899</v>
      </c>
      <c r="P4273">
        <v>-6.9603930035592898E-2</v>
      </c>
      <c r="Q4273">
        <v>0.10928402702034699</v>
      </c>
      <c r="R4273">
        <v>0.99643241418658701</v>
      </c>
      <c r="S4273" t="s">
        <v>8569</v>
      </c>
      <c r="T4273" t="s">
        <v>8590</v>
      </c>
      <c r="U4273" t="s">
        <v>8590</v>
      </c>
      <c r="V4273" t="s">
        <v>8590</v>
      </c>
      <c r="W4273">
        <v>2</v>
      </c>
      <c r="X4273" t="s">
        <v>12863</v>
      </c>
      <c r="Y4273">
        <v>0.47290095515981201</v>
      </c>
      <c r="Z4273" t="str">
        <f>HYPERLINK("Melting_Curves/meltCurve_tr_Q71TU5_Q71TU5_HUMAN_.pdf", "Melting_Curves/meltCurve_tr_Q71TU5_Q71TU5_HUMAN_.pdf")</f>
        <v>Melting_Curves/meltCurve_tr_Q71TU5_Q71TU5_HUMAN_.pdf</v>
      </c>
      <c r="AA4273" t="s">
        <v>17066</v>
      </c>
      <c r="AB4273" t="s">
        <v>21329</v>
      </c>
    </row>
    <row r="4274" spans="1:28" x14ac:dyDescent="0.25">
      <c r="A4274" t="s">
        <v>4278</v>
      </c>
      <c r="B4274">
        <v>0.99876560204751996</v>
      </c>
      <c r="C4274">
        <v>0.88041254213289799</v>
      </c>
      <c r="D4274">
        <v>0.88196720160161401</v>
      </c>
      <c r="E4274">
        <v>0.68750407435169303</v>
      </c>
      <c r="F4274">
        <v>0.35639848434541799</v>
      </c>
      <c r="G4274">
        <v>7.4550410055660099E-2</v>
      </c>
      <c r="H4274">
        <v>2.89800412610337E-2</v>
      </c>
      <c r="I4274">
        <v>1.90011204250078E-2</v>
      </c>
      <c r="J4274">
        <v>1.28972975963479E-2</v>
      </c>
      <c r="K4274">
        <v>1.34888264640157E-2</v>
      </c>
      <c r="L4274">
        <v>1080.3368928524801</v>
      </c>
      <c r="M4274">
        <v>20.984519701744201</v>
      </c>
      <c r="N4274">
        <v>51.482564708228203</v>
      </c>
      <c r="O4274">
        <v>51.021873113814799</v>
      </c>
      <c r="P4274">
        <v>-0.10282396369058799</v>
      </c>
      <c r="Q4274">
        <v>0</v>
      </c>
      <c r="R4274">
        <v>0.98994759186163195</v>
      </c>
      <c r="S4274" t="s">
        <v>8570</v>
      </c>
      <c r="T4274" t="s">
        <v>8590</v>
      </c>
      <c r="U4274" t="s">
        <v>8590</v>
      </c>
      <c r="V4274" t="s">
        <v>8590</v>
      </c>
      <c r="W4274">
        <v>2</v>
      </c>
      <c r="X4274" t="s">
        <v>12864</v>
      </c>
      <c r="Y4274">
        <v>0.39543728647024529</v>
      </c>
      <c r="Z4274" t="str">
        <f>HYPERLINK("Melting_Curves/meltCurve_tr_Q7Z721_Q7Z721_HUMAN_.pdf", "Melting_Curves/meltCurve_tr_Q7Z721_Q7Z721_HUMAN_.pdf")</f>
        <v>Melting_Curves/meltCurve_tr_Q7Z721_Q7Z721_HUMAN_.pdf</v>
      </c>
      <c r="AA4274" t="s">
        <v>17067</v>
      </c>
      <c r="AB4274" t="s">
        <v>21330</v>
      </c>
    </row>
    <row r="4275" spans="1:28" x14ac:dyDescent="0.25">
      <c r="A4275" t="s">
        <v>4279</v>
      </c>
      <c r="B4275">
        <v>0.99876560204751996</v>
      </c>
      <c r="C4275">
        <v>0.92990008532661605</v>
      </c>
      <c r="D4275">
        <v>0.946338595154263</v>
      </c>
      <c r="E4275">
        <v>0.92366242798142495</v>
      </c>
      <c r="F4275">
        <v>0.893454935624028</v>
      </c>
      <c r="G4275">
        <v>0.79154925040582502</v>
      </c>
      <c r="H4275">
        <v>0.62495191225893598</v>
      </c>
      <c r="I4275">
        <v>0.486449736131223</v>
      </c>
      <c r="J4275">
        <v>0.42327759685879601</v>
      </c>
      <c r="K4275">
        <v>0.32862912666823402</v>
      </c>
      <c r="L4275">
        <v>588.53108274559304</v>
      </c>
      <c r="M4275">
        <v>9.1348723606239499</v>
      </c>
      <c r="N4275">
        <v>64.426846498575202</v>
      </c>
      <c r="O4275">
        <v>61.564587329175303</v>
      </c>
      <c r="P4275">
        <v>-3.7120133716531001E-2</v>
      </c>
      <c r="Q4275">
        <v>0</v>
      </c>
      <c r="R4275">
        <v>0.98856717550402395</v>
      </c>
      <c r="S4275" t="s">
        <v>8571</v>
      </c>
      <c r="T4275" t="s">
        <v>8590</v>
      </c>
      <c r="U4275" t="s">
        <v>8590</v>
      </c>
      <c r="V4275" t="s">
        <v>8590</v>
      </c>
      <c r="W4275">
        <v>18</v>
      </c>
      <c r="X4275" t="s">
        <v>12865</v>
      </c>
      <c r="Y4275">
        <v>0.7591669211094435</v>
      </c>
      <c r="Z4275" t="str">
        <f>HYPERLINK("Melting_Curves/meltCurve_tr_Q86UY0_Q86UY0_HUMAN_.pdf", "Melting_Curves/meltCurve_tr_Q86UY0_Q86UY0_HUMAN_.pdf")</f>
        <v>Melting_Curves/meltCurve_tr_Q86UY0_Q86UY0_HUMAN_.pdf</v>
      </c>
      <c r="AA4275" t="s">
        <v>17068</v>
      </c>
      <c r="AB4275" t="s">
        <v>21331</v>
      </c>
    </row>
    <row r="4276" spans="1:28" x14ac:dyDescent="0.25">
      <c r="A4276" t="s">
        <v>4280</v>
      </c>
      <c r="B4276">
        <v>0.99876560204751996</v>
      </c>
      <c r="C4276">
        <v>1.08630281819785</v>
      </c>
      <c r="D4276">
        <v>1.22902962529631</v>
      </c>
      <c r="E4276">
        <v>0.85876762216963798</v>
      </c>
      <c r="F4276">
        <v>0.64718913312505999</v>
      </c>
      <c r="G4276">
        <v>0.39118797452778897</v>
      </c>
      <c r="H4276">
        <v>0.44761509516772102</v>
      </c>
      <c r="I4276">
        <v>0.46578590835728501</v>
      </c>
      <c r="J4276">
        <v>0.478965521877873</v>
      </c>
      <c r="K4276">
        <v>0.52298734873611097</v>
      </c>
      <c r="L4276">
        <v>2097.86318122898</v>
      </c>
      <c r="M4276">
        <v>40.508606361895502</v>
      </c>
      <c r="N4276">
        <v>55.317227824597403</v>
      </c>
      <c r="O4276">
        <v>51.662356651573901</v>
      </c>
      <c r="P4276">
        <v>-0.105407565085694</v>
      </c>
      <c r="Q4276">
        <v>0.46227797004016402</v>
      </c>
      <c r="R4276">
        <v>0.91026142458572701</v>
      </c>
      <c r="S4276" t="s">
        <v>8572</v>
      </c>
      <c r="T4276" t="s">
        <v>8590</v>
      </c>
      <c r="U4276" t="s">
        <v>8590</v>
      </c>
      <c r="V4276" t="s">
        <v>8590</v>
      </c>
      <c r="W4276">
        <v>2</v>
      </c>
      <c r="X4276" t="s">
        <v>12866</v>
      </c>
      <c r="Y4276">
        <v>0.6754443087326798</v>
      </c>
      <c r="Z4276" t="str">
        <f>HYPERLINK("Melting_Curves/meltCurve_tr_Q86VQ2_Q86VQ2_HUMAN_.pdf", "Melting_Curves/meltCurve_tr_Q86VQ2_Q86VQ2_HUMAN_.pdf")</f>
        <v>Melting_Curves/meltCurve_tr_Q86VQ2_Q86VQ2_HUMAN_.pdf</v>
      </c>
      <c r="AA4276" t="s">
        <v>17069</v>
      </c>
      <c r="AB4276" t="s">
        <v>21332</v>
      </c>
    </row>
    <row r="4277" spans="1:28" x14ac:dyDescent="0.25">
      <c r="A4277" t="s">
        <v>4281</v>
      </c>
      <c r="B4277">
        <v>0.99876560204751996</v>
      </c>
      <c r="C4277">
        <v>0.885970633081403</v>
      </c>
      <c r="D4277">
        <v>0.902007143906711</v>
      </c>
      <c r="E4277">
        <v>0.84051587317913401</v>
      </c>
      <c r="F4277">
        <v>0.53436610522216998</v>
      </c>
      <c r="G4277">
        <v>0.32020195543040902</v>
      </c>
      <c r="H4277">
        <v>0.16553639251570401</v>
      </c>
      <c r="I4277">
        <v>0.13764291231531001</v>
      </c>
      <c r="J4277">
        <v>0.11243792969379</v>
      </c>
      <c r="K4277">
        <v>0.122559472219403</v>
      </c>
      <c r="L4277">
        <v>929.21797992840595</v>
      </c>
      <c r="M4277">
        <v>17.4482445180419</v>
      </c>
      <c r="N4277">
        <v>53.885089186566901</v>
      </c>
      <c r="O4277">
        <v>52.570900415677102</v>
      </c>
      <c r="P4277">
        <v>-7.5329519764796599E-2</v>
      </c>
      <c r="Q4277">
        <v>9.2190664278204201E-2</v>
      </c>
      <c r="R4277">
        <v>0.98603889476538797</v>
      </c>
      <c r="S4277" t="s">
        <v>8573</v>
      </c>
      <c r="T4277" t="s">
        <v>8590</v>
      </c>
      <c r="U4277" t="s">
        <v>8590</v>
      </c>
      <c r="V4277" t="s">
        <v>8590</v>
      </c>
      <c r="W4277">
        <v>1</v>
      </c>
      <c r="X4277" t="s">
        <v>12867</v>
      </c>
      <c r="Y4277">
        <v>0.50883354767247924</v>
      </c>
      <c r="Z4277" t="str">
        <f>HYPERLINK("Melting_Curves/meltCurve_tr_Q8IUW1_Q8IUW1_HUMAN_.pdf", "Melting_Curves/meltCurve_tr_Q8IUW1_Q8IUW1_HUMAN_.pdf")</f>
        <v>Melting_Curves/meltCurve_tr_Q8IUW1_Q8IUW1_HUMAN_.pdf</v>
      </c>
      <c r="AA4277" t="s">
        <v>17070</v>
      </c>
      <c r="AB4277" t="s">
        <v>21333</v>
      </c>
    </row>
    <row r="4278" spans="1:28" x14ac:dyDescent="0.25">
      <c r="A4278" t="s">
        <v>4282</v>
      </c>
      <c r="B4278">
        <v>0.99876560204751996</v>
      </c>
      <c r="C4278">
        <v>0.99991197829777601</v>
      </c>
      <c r="D4278">
        <v>0.97455155217754297</v>
      </c>
      <c r="E4278">
        <v>0.88506410934031199</v>
      </c>
      <c r="F4278">
        <v>0.65642596131505704</v>
      </c>
      <c r="G4278">
        <v>0.42875353328136101</v>
      </c>
      <c r="H4278">
        <v>0.30792007324986398</v>
      </c>
      <c r="I4278">
        <v>0.24339047717687501</v>
      </c>
      <c r="J4278">
        <v>0.21661726952955099</v>
      </c>
      <c r="K4278">
        <v>0.14852781310523</v>
      </c>
      <c r="L4278">
        <v>933.27414516157205</v>
      </c>
      <c r="M4278">
        <v>17.1160154354843</v>
      </c>
      <c r="N4278">
        <v>55.8661356360697</v>
      </c>
      <c r="O4278">
        <v>53.7983898997959</v>
      </c>
      <c r="P4278">
        <v>-6.6153047131813206E-2</v>
      </c>
      <c r="Q4278">
        <v>0.16833146582731601</v>
      </c>
      <c r="R4278">
        <v>0.99615532412144403</v>
      </c>
      <c r="S4278" t="s">
        <v>8574</v>
      </c>
      <c r="T4278" t="s">
        <v>8590</v>
      </c>
      <c r="U4278" t="s">
        <v>8590</v>
      </c>
      <c r="V4278" t="s">
        <v>8590</v>
      </c>
      <c r="W4278">
        <v>13</v>
      </c>
      <c r="X4278" t="s">
        <v>12868</v>
      </c>
      <c r="Y4278">
        <v>0.5850718655883419</v>
      </c>
      <c r="Z4278" t="str">
        <f>HYPERLINK("Melting_Curves/meltCurve_tr_Q8IYN9_Q8IYN9_HUMAN_.pdf", "Melting_Curves/meltCurve_tr_Q8IYN9_Q8IYN9_HUMAN_.pdf")</f>
        <v>Melting_Curves/meltCurve_tr_Q8IYN9_Q8IYN9_HUMAN_.pdf</v>
      </c>
      <c r="AA4278" t="s">
        <v>17071</v>
      </c>
      <c r="AB4278" t="s">
        <v>21334</v>
      </c>
    </row>
    <row r="4279" spans="1:28" x14ac:dyDescent="0.25">
      <c r="A4279" t="s">
        <v>4283</v>
      </c>
      <c r="B4279">
        <v>0.99876560204751996</v>
      </c>
      <c r="C4279">
        <v>1.0556921723733701</v>
      </c>
      <c r="D4279">
        <v>1.0745169095981399</v>
      </c>
      <c r="E4279">
        <v>0.99925025290830805</v>
      </c>
      <c r="F4279">
        <v>0.80228416770088196</v>
      </c>
      <c r="G4279">
        <v>0.42594442908701102</v>
      </c>
      <c r="H4279">
        <v>0.21696702677132701</v>
      </c>
      <c r="I4279">
        <v>0.12575528750124301</v>
      </c>
      <c r="J4279">
        <v>0.113388682900062</v>
      </c>
      <c r="K4279">
        <v>9.8545237962669494E-2</v>
      </c>
      <c r="L4279">
        <v>1460.32220829567</v>
      </c>
      <c r="M4279">
        <v>26.172185165906601</v>
      </c>
      <c r="N4279">
        <v>56.297187331563201</v>
      </c>
      <c r="O4279">
        <v>55.4740344785899</v>
      </c>
      <c r="P4279">
        <v>-0.10570737989036399</v>
      </c>
      <c r="Q4279">
        <v>0.10378917976319101</v>
      </c>
      <c r="R4279">
        <v>0.99283869354366305</v>
      </c>
      <c r="S4279" t="s">
        <v>8575</v>
      </c>
      <c r="T4279" t="s">
        <v>8590</v>
      </c>
      <c r="U4279" t="s">
        <v>8590</v>
      </c>
      <c r="V4279" t="s">
        <v>8590</v>
      </c>
      <c r="W4279">
        <v>6</v>
      </c>
      <c r="X4279" t="s">
        <v>12869</v>
      </c>
      <c r="Y4279">
        <v>0.58332197200305846</v>
      </c>
      <c r="Z4279" t="str">
        <f>HYPERLINK("Melting_Curves/meltCurve_tr_Q8N749_Q8N749_HUMAN_.pdf", "Melting_Curves/meltCurve_tr_Q8N749_Q8N749_HUMAN_.pdf")</f>
        <v>Melting_Curves/meltCurve_tr_Q8N749_Q8N749_HUMAN_.pdf</v>
      </c>
      <c r="AA4279" t="s">
        <v>17072</v>
      </c>
      <c r="AB4279" t="s">
        <v>21335</v>
      </c>
    </row>
    <row r="4280" spans="1:28" x14ac:dyDescent="0.25">
      <c r="A4280" t="s">
        <v>4284</v>
      </c>
      <c r="B4280">
        <v>0.99876560204751996</v>
      </c>
      <c r="C4280">
        <v>0.95702407908728304</v>
      </c>
      <c r="D4280">
        <v>0.76358716526438797</v>
      </c>
      <c r="E4280">
        <v>0.58658965907503702</v>
      </c>
      <c r="F4280">
        <v>0.43900058267622699</v>
      </c>
      <c r="G4280">
        <v>0.32812902338523597</v>
      </c>
      <c r="H4280">
        <v>0.21246376892775701</v>
      </c>
      <c r="I4280">
        <v>0.228822248632434</v>
      </c>
      <c r="J4280">
        <v>0.19555627455949601</v>
      </c>
      <c r="K4280">
        <v>0.15519941135210599</v>
      </c>
      <c r="L4280">
        <v>651.45842698098795</v>
      </c>
      <c r="M4280">
        <v>12.9856181602966</v>
      </c>
      <c r="N4280">
        <v>51.679442226154002</v>
      </c>
      <c r="O4280">
        <v>49.022659130008599</v>
      </c>
      <c r="P4280">
        <v>-5.5767812728509301E-2</v>
      </c>
      <c r="Q4280">
        <v>0.15802191134627699</v>
      </c>
      <c r="R4280">
        <v>0.99346951119469096</v>
      </c>
      <c r="S4280" t="s">
        <v>8576</v>
      </c>
      <c r="T4280" t="s">
        <v>8590</v>
      </c>
      <c r="U4280" t="s">
        <v>8590</v>
      </c>
      <c r="V4280" t="s">
        <v>8590</v>
      </c>
      <c r="W4280">
        <v>9</v>
      </c>
      <c r="X4280" t="s">
        <v>12870</v>
      </c>
      <c r="Y4280">
        <v>0.46886172528274361</v>
      </c>
      <c r="Z4280" t="str">
        <f>HYPERLINK("Melting_Curves/meltCurve_tr_Q8NBY1_Q8NBY1_HUMAN_.pdf", "Melting_Curves/meltCurve_tr_Q8NBY1_Q8NBY1_HUMAN_.pdf")</f>
        <v>Melting_Curves/meltCurve_tr_Q8NBY1_Q8NBY1_HUMAN_.pdf</v>
      </c>
      <c r="AA4280" t="s">
        <v>17073</v>
      </c>
      <c r="AB4280" t="s">
        <v>21336</v>
      </c>
    </row>
    <row r="4281" spans="1:28" x14ac:dyDescent="0.25">
      <c r="A4281" t="s">
        <v>4285</v>
      </c>
      <c r="B4281">
        <v>0.99876560204751996</v>
      </c>
      <c r="C4281">
        <v>0.98404240087627004</v>
      </c>
      <c r="D4281">
        <v>1.0204052843275999</v>
      </c>
      <c r="E4281">
        <v>0.92477037428583797</v>
      </c>
      <c r="F4281">
        <v>0.93154771479932297</v>
      </c>
      <c r="G4281">
        <v>0.47290266970585199</v>
      </c>
      <c r="H4281">
        <v>0.37726868044143802</v>
      </c>
      <c r="I4281">
        <v>0.40630949965954799</v>
      </c>
      <c r="J4281">
        <v>0.44749323964966797</v>
      </c>
      <c r="K4281">
        <v>0.390452902461009</v>
      </c>
      <c r="L4281">
        <v>3020.2228466035999</v>
      </c>
      <c r="M4281">
        <v>55.020433175437702</v>
      </c>
      <c r="N4281">
        <v>56.597478970936798</v>
      </c>
      <c r="O4281">
        <v>54.820368950011002</v>
      </c>
      <c r="P4281">
        <v>-0.14937655803642999</v>
      </c>
      <c r="Q4281">
        <v>0.40466666509856902</v>
      </c>
      <c r="R4281">
        <v>0.98859060112953701</v>
      </c>
      <c r="S4281" t="s">
        <v>8577</v>
      </c>
      <c r="T4281" t="s">
        <v>8590</v>
      </c>
      <c r="U4281" t="s">
        <v>8590</v>
      </c>
      <c r="V4281" t="s">
        <v>8590</v>
      </c>
      <c r="W4281">
        <v>3</v>
      </c>
      <c r="X4281" t="s">
        <v>12871</v>
      </c>
      <c r="Y4281">
        <v>0.70139404392701576</v>
      </c>
      <c r="Z4281" t="str">
        <f>HYPERLINK("Melting_Curves/meltCurve_tr_Q8WVC2_Q8WVC2_HUMAN_.pdf", "Melting_Curves/meltCurve_tr_Q8WVC2_Q8WVC2_HUMAN_.pdf")</f>
        <v>Melting_Curves/meltCurve_tr_Q8WVC2_Q8WVC2_HUMAN_.pdf</v>
      </c>
      <c r="AA4281" t="s">
        <v>17074</v>
      </c>
      <c r="AB4281" t="s">
        <v>21337</v>
      </c>
    </row>
    <row r="4282" spans="1:28" x14ac:dyDescent="0.25">
      <c r="A4282" t="s">
        <v>4286</v>
      </c>
      <c r="B4282">
        <v>0.99876560204751996</v>
      </c>
      <c r="C4282">
        <v>0.94781886821697403</v>
      </c>
      <c r="D4282">
        <v>1.0222955107522</v>
      </c>
      <c r="E4282">
        <v>0.90010791815079505</v>
      </c>
      <c r="F4282">
        <v>0.75581500863925799</v>
      </c>
      <c r="G4282">
        <v>0.41248822382795203</v>
      </c>
      <c r="H4282">
        <v>0.18389017508389799</v>
      </c>
      <c r="I4282">
        <v>0.16029698579587501</v>
      </c>
      <c r="J4282">
        <v>0.120957329292883</v>
      </c>
      <c r="K4282">
        <v>0.146710081688845</v>
      </c>
      <c r="L4282">
        <v>1262.62364155095</v>
      </c>
      <c r="M4282">
        <v>22.898606074144801</v>
      </c>
      <c r="N4282">
        <v>55.801734657586202</v>
      </c>
      <c r="O4282">
        <v>54.724419351370699</v>
      </c>
      <c r="P4282">
        <v>-9.2168885521987196E-2</v>
      </c>
      <c r="Q4282">
        <v>0.118934949863993</v>
      </c>
      <c r="R4282">
        <v>0.99609807864729205</v>
      </c>
      <c r="S4282" t="s">
        <v>8578</v>
      </c>
      <c r="T4282" t="s">
        <v>8590</v>
      </c>
      <c r="U4282" t="s">
        <v>8590</v>
      </c>
      <c r="V4282" t="s">
        <v>8590</v>
      </c>
      <c r="W4282">
        <v>3</v>
      </c>
      <c r="X4282" t="s">
        <v>12872</v>
      </c>
      <c r="Y4282">
        <v>0.57302628022672952</v>
      </c>
      <c r="Z4282" t="str">
        <f>HYPERLINK("Melting_Curves/meltCurve_tr_Q8WYQ7_Q8WYQ7_HUMAN_.pdf", "Melting_Curves/meltCurve_tr_Q8WYQ7_Q8WYQ7_HUMAN_.pdf")</f>
        <v>Melting_Curves/meltCurve_tr_Q8WYQ7_Q8WYQ7_HUMAN_.pdf</v>
      </c>
      <c r="AA4282" t="s">
        <v>17075</v>
      </c>
      <c r="AB4282" t="s">
        <v>21338</v>
      </c>
    </row>
    <row r="4283" spans="1:28" x14ac:dyDescent="0.25">
      <c r="A4283" t="s">
        <v>4287</v>
      </c>
      <c r="B4283">
        <v>0.99876560204751996</v>
      </c>
      <c r="C4283">
        <v>1.0202786300645199</v>
      </c>
      <c r="D4283">
        <v>1.0504260441678399</v>
      </c>
      <c r="E4283">
        <v>0.911899178940482</v>
      </c>
      <c r="F4283">
        <v>0.833417881406738</v>
      </c>
      <c r="G4283">
        <v>0.538308247647869</v>
      </c>
      <c r="H4283">
        <v>0.43327878255753799</v>
      </c>
      <c r="I4283">
        <v>0.40438299632898</v>
      </c>
      <c r="J4283">
        <v>0.421891593284619</v>
      </c>
      <c r="K4283">
        <v>0.38999350933914501</v>
      </c>
      <c r="L4283">
        <v>1445.2091390202199</v>
      </c>
      <c r="M4283">
        <v>26.465572948323999</v>
      </c>
      <c r="N4283">
        <v>58.099166785042001</v>
      </c>
      <c r="O4283">
        <v>54.298222013827299</v>
      </c>
      <c r="P4283">
        <v>-7.3342974165931593E-2</v>
      </c>
      <c r="Q4283">
        <v>0.39810857895038898</v>
      </c>
      <c r="R4283">
        <v>0.99187983863552998</v>
      </c>
      <c r="S4283" t="s">
        <v>8579</v>
      </c>
      <c r="T4283" t="s">
        <v>8590</v>
      </c>
      <c r="U4283" t="s">
        <v>8590</v>
      </c>
      <c r="V4283" t="s">
        <v>8590</v>
      </c>
      <c r="W4283">
        <v>2</v>
      </c>
      <c r="X4283" t="s">
        <v>12873</v>
      </c>
      <c r="Y4283">
        <v>0.69620119386892898</v>
      </c>
      <c r="Z4283" t="str">
        <f>HYPERLINK("Melting_Curves/meltCurve_tr_Q96G53_Q96G53_HUMAN_.pdf", "Melting_Curves/meltCurve_tr_Q96G53_Q96G53_HUMAN_.pdf")</f>
        <v>Melting_Curves/meltCurve_tr_Q96G53_Q96G53_HUMAN_.pdf</v>
      </c>
      <c r="AA4283" t="s">
        <v>17076</v>
      </c>
      <c r="AB4283" t="s">
        <v>21339</v>
      </c>
    </row>
    <row r="4284" spans="1:28" x14ac:dyDescent="0.25">
      <c r="A4284" t="s">
        <v>4288</v>
      </c>
      <c r="B4284">
        <v>0.99876560204751996</v>
      </c>
      <c r="C4284">
        <v>1.1171666951013599</v>
      </c>
      <c r="D4284">
        <v>0.97627822831380995</v>
      </c>
      <c r="E4284">
        <v>0.64094928101057502</v>
      </c>
      <c r="F4284">
        <v>0.20056824180475899</v>
      </c>
      <c r="G4284">
        <v>0.103763116119055</v>
      </c>
      <c r="H4284">
        <v>7.8048302831538102E-2</v>
      </c>
      <c r="I4284">
        <v>8.3159007497304302E-2</v>
      </c>
      <c r="J4284">
        <v>2.76434453209576E-2</v>
      </c>
      <c r="K4284">
        <v>7.4303461274146401E-2</v>
      </c>
      <c r="L4284">
        <v>1979.69119559917</v>
      </c>
      <c r="M4284">
        <v>39.133718866352297</v>
      </c>
      <c r="N4284">
        <v>50.784177018878999</v>
      </c>
      <c r="O4284">
        <v>50.456304201666399</v>
      </c>
      <c r="P4284">
        <v>-0.180287086245844</v>
      </c>
      <c r="Q4284">
        <v>7.0203418433437498E-2</v>
      </c>
      <c r="R4284">
        <v>0.99098177441846502</v>
      </c>
      <c r="S4284" t="s">
        <v>8580</v>
      </c>
      <c r="T4284" t="s">
        <v>8590</v>
      </c>
      <c r="U4284" t="s">
        <v>8590</v>
      </c>
      <c r="V4284" t="s">
        <v>8590</v>
      </c>
      <c r="W4284">
        <v>3</v>
      </c>
      <c r="X4284" t="s">
        <v>12874</v>
      </c>
      <c r="Y4284">
        <v>0.4017536961029643</v>
      </c>
      <c r="Z4284" t="str">
        <f>HYPERLINK("Melting_Curves/meltCurve_tr_Q9H6Y6_Q9H6Y6_HUMAN_.pdf", "Melting_Curves/meltCurve_tr_Q9H6Y6_Q9H6Y6_HUMAN_.pdf")</f>
        <v>Melting_Curves/meltCurve_tr_Q9H6Y6_Q9H6Y6_HUMAN_.pdf</v>
      </c>
      <c r="AA4284" t="s">
        <v>17077</v>
      </c>
      <c r="AB4284" t="s">
        <v>21340</v>
      </c>
    </row>
    <row r="4285" spans="1:28" x14ac:dyDescent="0.25">
      <c r="A4285" t="s">
        <v>4289</v>
      </c>
      <c r="B4285">
        <v>0.99876560204751996</v>
      </c>
      <c r="C4285">
        <v>1.01753844159767</v>
      </c>
      <c r="D4285">
        <v>0.96974845692301304</v>
      </c>
      <c r="E4285">
        <v>0.806477965132682</v>
      </c>
      <c r="F4285">
        <v>0.91743905269234705</v>
      </c>
      <c r="G4285">
        <v>0.59378314219357997</v>
      </c>
      <c r="H4285">
        <v>0.55884340870846005</v>
      </c>
      <c r="I4285">
        <v>0.50456129643748904</v>
      </c>
      <c r="J4285">
        <v>0.58245367086441202</v>
      </c>
      <c r="K4285">
        <v>0.60757282526036704</v>
      </c>
      <c r="L4285">
        <v>1080.4533506407299</v>
      </c>
      <c r="M4285">
        <v>20.1602520103208</v>
      </c>
      <c r="O4285">
        <v>53.074272268778202</v>
      </c>
      <c r="P4285">
        <v>-4.3195328060858899E-2</v>
      </c>
      <c r="Q4285">
        <v>0.54514673270302605</v>
      </c>
      <c r="R4285">
        <v>0.90180367514802695</v>
      </c>
      <c r="S4285" t="s">
        <v>8581</v>
      </c>
      <c r="T4285" t="s">
        <v>8590</v>
      </c>
      <c r="U4285" t="s">
        <v>8590</v>
      </c>
      <c r="V4285" t="s">
        <v>8590</v>
      </c>
      <c r="W4285">
        <v>3</v>
      </c>
      <c r="X4285" t="s">
        <v>12875</v>
      </c>
      <c r="Y4285">
        <v>0.75738031546796114</v>
      </c>
      <c r="Z4285" t="str">
        <f>HYPERLINK("Melting_Curves/meltCurve_tr_Q9UII8_Q9UII8_HUMAN_.pdf", "Melting_Curves/meltCurve_tr_Q9UII8_Q9UII8_HUMAN_.pdf")</f>
        <v>Melting_Curves/meltCurve_tr_Q9UII8_Q9UII8_HUMAN_.pdf</v>
      </c>
      <c r="AA4285" t="s">
        <v>17078</v>
      </c>
      <c r="AB4285" t="s">
        <v>21341</v>
      </c>
    </row>
    <row r="4286" spans="1:28" x14ac:dyDescent="0.25">
      <c r="A4286" t="s">
        <v>4290</v>
      </c>
      <c r="B4286">
        <v>0.99876560204751996</v>
      </c>
      <c r="C4286">
        <v>0.85191313094247401</v>
      </c>
      <c r="D4286">
        <v>0.87061773402618203</v>
      </c>
      <c r="E4286">
        <v>0.73003333501211798</v>
      </c>
      <c r="F4286">
        <v>0.51916473774680505</v>
      </c>
      <c r="G4286">
        <v>0.13690787102625901</v>
      </c>
      <c r="H4286">
        <v>6.3660442002777304E-2</v>
      </c>
      <c r="I4286">
        <v>3.1231642492752901E-2</v>
      </c>
      <c r="J4286">
        <v>7.31648914304729E-3</v>
      </c>
      <c r="K4286">
        <v>1.1396805807057901E-2</v>
      </c>
      <c r="L4286">
        <v>942.29067040363202</v>
      </c>
      <c r="M4286">
        <v>17.9293804285523</v>
      </c>
      <c r="N4286">
        <v>52.555675842003502</v>
      </c>
      <c r="O4286">
        <v>51.914976754134102</v>
      </c>
      <c r="P4286">
        <v>-8.6344464908142002E-2</v>
      </c>
      <c r="Q4286">
        <v>0</v>
      </c>
      <c r="R4286">
        <v>0.98165192617234798</v>
      </c>
      <c r="S4286" t="s">
        <v>8582</v>
      </c>
      <c r="T4286" t="s">
        <v>8590</v>
      </c>
      <c r="U4286" t="s">
        <v>8590</v>
      </c>
      <c r="V4286" t="s">
        <v>8590</v>
      </c>
      <c r="W4286">
        <v>2</v>
      </c>
      <c r="X4286" t="s">
        <v>12876</v>
      </c>
      <c r="Y4286">
        <v>0.43513256150189872</v>
      </c>
      <c r="Z4286" t="str">
        <f>HYPERLINK("Melting_Curves/meltCurve_tr_Q9UQL0_Q9UQL0_HUMAN_.pdf", "Melting_Curves/meltCurve_tr_Q9UQL0_Q9UQL0_HUMAN_.pdf")</f>
        <v>Melting_Curves/meltCurve_tr_Q9UQL0_Q9UQL0_HUMAN_.pdf</v>
      </c>
      <c r="AA4286" t="s">
        <v>17079</v>
      </c>
      <c r="AB4286" t="s">
        <v>21342</v>
      </c>
    </row>
    <row r="4287" spans="1:28" x14ac:dyDescent="0.25">
      <c r="A4287" t="s">
        <v>4291</v>
      </c>
      <c r="B4287">
        <v>0.99876560204751996</v>
      </c>
      <c r="C4287">
        <v>0.94846867347285002</v>
      </c>
      <c r="D4287">
        <v>0.72929075162798296</v>
      </c>
      <c r="E4287">
        <v>0.435706980150108</v>
      </c>
      <c r="F4287">
        <v>0.196306670243796</v>
      </c>
      <c r="G4287">
        <v>0.125533894850068</v>
      </c>
      <c r="H4287">
        <v>5.7657710945367098E-2</v>
      </c>
      <c r="I4287">
        <v>5.2424580767194501E-2</v>
      </c>
      <c r="J4287">
        <v>4.6843518981496801E-2</v>
      </c>
      <c r="K4287">
        <v>4.1233885250502401E-2</v>
      </c>
      <c r="L4287">
        <v>884.17073848252403</v>
      </c>
      <c r="M4287">
        <v>18.143541341281601</v>
      </c>
      <c r="N4287">
        <v>48.957845244570102</v>
      </c>
      <c r="O4287">
        <v>48.151551397454597</v>
      </c>
      <c r="P4287">
        <v>-9.0422550186191206E-2</v>
      </c>
      <c r="Q4287">
        <v>4.0148109966505002E-2</v>
      </c>
      <c r="R4287">
        <v>0.99762350548288703</v>
      </c>
      <c r="S4287" t="s">
        <v>8583</v>
      </c>
      <c r="T4287" t="s">
        <v>8590</v>
      </c>
      <c r="U4287" t="s">
        <v>8590</v>
      </c>
      <c r="V4287" t="s">
        <v>8590</v>
      </c>
      <c r="W4287">
        <v>5</v>
      </c>
      <c r="X4287" t="s">
        <v>12877</v>
      </c>
      <c r="Y4287">
        <v>0.33597721140579412</v>
      </c>
      <c r="Z4287" t="str">
        <f>HYPERLINK("Melting_Curves/meltCurve_tr_R4GMR5_R4GMR5_HUMAN_.pdf", "Melting_Curves/meltCurve_tr_R4GMR5_R4GMR5_HUMAN_.pdf")</f>
        <v>Melting_Curves/meltCurve_tr_R4GMR5_R4GMR5_HUMAN_.pdf</v>
      </c>
      <c r="AA4287" t="s">
        <v>17080</v>
      </c>
      <c r="AB4287" t="s">
        <v>21343</v>
      </c>
    </row>
    <row r="4288" spans="1:28" x14ac:dyDescent="0.25">
      <c r="A4288" t="s">
        <v>4292</v>
      </c>
      <c r="B4288">
        <v>0.99876560204751996</v>
      </c>
      <c r="C4288">
        <v>1.0543949420152501</v>
      </c>
      <c r="D4288">
        <v>0.97228915185530895</v>
      </c>
      <c r="E4288">
        <v>1.02573521036328</v>
      </c>
      <c r="F4288">
        <v>0.94304468756785698</v>
      </c>
      <c r="G4288">
        <v>0.64596832852868202</v>
      </c>
      <c r="H4288">
        <v>0.41352679761898697</v>
      </c>
      <c r="I4288">
        <v>0.38148653263208498</v>
      </c>
      <c r="J4288">
        <v>0.38048663628573098</v>
      </c>
      <c r="K4288">
        <v>0.34345224919642803</v>
      </c>
      <c r="L4288">
        <v>1967.87904482107</v>
      </c>
      <c r="M4288">
        <v>34.7429118523591</v>
      </c>
      <c r="N4288">
        <v>58.839195627837299</v>
      </c>
      <c r="O4288">
        <v>56.454501417508403</v>
      </c>
      <c r="P4288">
        <v>-9.7936747518142894E-2</v>
      </c>
      <c r="Q4288">
        <v>0.36344427451429501</v>
      </c>
      <c r="R4288">
        <v>0.99373973533762905</v>
      </c>
      <c r="S4288" t="s">
        <v>8584</v>
      </c>
      <c r="T4288" t="s">
        <v>8590</v>
      </c>
      <c r="U4288" t="s">
        <v>8590</v>
      </c>
      <c r="V4288" t="s">
        <v>8590</v>
      </c>
      <c r="W4288">
        <v>2</v>
      </c>
      <c r="X4288" t="s">
        <v>12878</v>
      </c>
      <c r="Y4288">
        <v>0.71978414636627941</v>
      </c>
      <c r="Z4288" t="str">
        <f>HYPERLINK("Melting_Curves/meltCurve_tr_R4GMU8_R4GMU8_HUMAN_.pdf", "Melting_Curves/meltCurve_tr_R4GMU8_R4GMU8_HUMAN_.pdf")</f>
        <v>Melting_Curves/meltCurve_tr_R4GMU8_R4GMU8_HUMAN_.pdf</v>
      </c>
      <c r="AA4288" t="s">
        <v>17081</v>
      </c>
      <c r="AB4288" t="s">
        <v>21344</v>
      </c>
    </row>
    <row r="4289" spans="1:28" x14ac:dyDescent="0.25">
      <c r="A4289" t="s">
        <v>4293</v>
      </c>
      <c r="B4289">
        <v>0.99876560204751996</v>
      </c>
      <c r="C4289">
        <v>1.02454933563408</v>
      </c>
      <c r="D4289">
        <v>0.97164760508923897</v>
      </c>
      <c r="E4289">
        <v>0.81380632764733596</v>
      </c>
      <c r="F4289">
        <v>0.44967235890588703</v>
      </c>
      <c r="G4289">
        <v>0.23550187904609801</v>
      </c>
      <c r="H4289">
        <v>0.17562544992926901</v>
      </c>
      <c r="I4289">
        <v>0.107576297492775</v>
      </c>
      <c r="J4289">
        <v>0.101970116256314</v>
      </c>
      <c r="K4289">
        <v>6.7800015127261803E-2</v>
      </c>
      <c r="L4289">
        <v>1297.3845841314201</v>
      </c>
      <c r="M4289">
        <v>24.781801996034901</v>
      </c>
      <c r="N4289">
        <v>52.854239400672697</v>
      </c>
      <c r="O4289">
        <v>52.014985291951099</v>
      </c>
      <c r="P4289">
        <v>-0.106622419305481</v>
      </c>
      <c r="Q4289">
        <v>0.10484534917590201</v>
      </c>
      <c r="R4289">
        <v>0.99536778123818503</v>
      </c>
      <c r="S4289" t="s">
        <v>8585</v>
      </c>
      <c r="T4289" t="s">
        <v>8590</v>
      </c>
      <c r="U4289" t="s">
        <v>8590</v>
      </c>
      <c r="V4289" t="s">
        <v>8590</v>
      </c>
      <c r="W4289">
        <v>8</v>
      </c>
      <c r="X4289" t="s">
        <v>12879</v>
      </c>
      <c r="Y4289">
        <v>0.48175672953482729</v>
      </c>
      <c r="Z4289" t="str">
        <f>HYPERLINK("Melting_Curves/meltCurve_tr_R4GMX3_R4GMX3_HUMAN_.pdf", "Melting_Curves/meltCurve_tr_R4GMX3_R4GMX3_HUMAN_.pdf")</f>
        <v>Melting_Curves/meltCurve_tr_R4GMX3_R4GMX3_HUMAN_.pdf</v>
      </c>
      <c r="AA4289" t="s">
        <v>17082</v>
      </c>
      <c r="AB4289" t="s">
        <v>21345</v>
      </c>
    </row>
    <row r="4290" spans="1:28" x14ac:dyDescent="0.25">
      <c r="A4290" t="s">
        <v>4294</v>
      </c>
      <c r="B4290">
        <v>0.99876560204751996</v>
      </c>
      <c r="C4290">
        <v>0.93449525074742601</v>
      </c>
      <c r="D4290">
        <v>0.99479492827193905</v>
      </c>
      <c r="E4290">
        <v>0.79650769144750799</v>
      </c>
      <c r="F4290">
        <v>0.640611841511594</v>
      </c>
      <c r="G4290">
        <v>0.28693303450741098</v>
      </c>
      <c r="H4290">
        <v>0.19828426955828399</v>
      </c>
      <c r="I4290">
        <v>0.166649242311599</v>
      </c>
      <c r="J4290">
        <v>0.233565735499801</v>
      </c>
      <c r="K4290">
        <v>0.17580234732059599</v>
      </c>
      <c r="L4290">
        <v>1216.9957452418</v>
      </c>
      <c r="M4290">
        <v>22.9245879999186</v>
      </c>
      <c r="N4290">
        <v>54.100893293289303</v>
      </c>
      <c r="O4290">
        <v>52.687912804109303</v>
      </c>
      <c r="P4290">
        <v>-8.97811300141204E-2</v>
      </c>
      <c r="Q4290">
        <v>0.174634572965505</v>
      </c>
      <c r="R4290">
        <v>0.98958560918349403</v>
      </c>
      <c r="S4290" t="s">
        <v>8586</v>
      </c>
      <c r="T4290" t="s">
        <v>8590</v>
      </c>
      <c r="U4290" t="s">
        <v>8590</v>
      </c>
      <c r="V4290" t="s">
        <v>8590</v>
      </c>
      <c r="W4290">
        <v>9</v>
      </c>
      <c r="X4290" t="s">
        <v>12880</v>
      </c>
      <c r="Y4290">
        <v>0.54360644987066986</v>
      </c>
      <c r="Z4290" t="str">
        <f>HYPERLINK("Melting_Curves/meltCurve_tr_R4GN55_R4GN55_HUMAN_.pdf", "Melting_Curves/meltCurve_tr_R4GN55_R4GN55_HUMAN_.pdf")</f>
        <v>Melting_Curves/meltCurve_tr_R4GN55_R4GN55_HUMAN_.pdf</v>
      </c>
      <c r="AA4290" t="s">
        <v>17083</v>
      </c>
      <c r="AB4290" t="s">
        <v>21346</v>
      </c>
    </row>
    <row r="4291" spans="1:28" x14ac:dyDescent="0.25">
      <c r="A4291" t="s">
        <v>4295</v>
      </c>
      <c r="B4291">
        <v>0.99876560204751996</v>
      </c>
      <c r="C4291">
        <v>0.94020791963980499</v>
      </c>
      <c r="D4291">
        <v>1.02988752195737</v>
      </c>
      <c r="E4291">
        <v>0.83197758349538298</v>
      </c>
      <c r="F4291">
        <v>0.969088907949061</v>
      </c>
      <c r="G4291">
        <v>0.65498684014498998</v>
      </c>
      <c r="H4291">
        <v>0.52873216551913005</v>
      </c>
      <c r="I4291">
        <v>0.53665409009982801</v>
      </c>
      <c r="J4291">
        <v>0.67003218261234498</v>
      </c>
      <c r="K4291">
        <v>0.67357842071903595</v>
      </c>
      <c r="L4291">
        <v>3132.09856519202</v>
      </c>
      <c r="M4291">
        <v>56.861928398506997</v>
      </c>
      <c r="O4291">
        <v>55.014521552528997</v>
      </c>
      <c r="P4291">
        <v>-0.102769060051523</v>
      </c>
      <c r="Q4291">
        <v>0.60227956981673203</v>
      </c>
      <c r="R4291">
        <v>0.84512115721690595</v>
      </c>
      <c r="S4291" t="s">
        <v>8587</v>
      </c>
      <c r="T4291" t="s">
        <v>8590</v>
      </c>
      <c r="U4291" t="s">
        <v>8590</v>
      </c>
      <c r="V4291" t="s">
        <v>8590</v>
      </c>
      <c r="W4291">
        <v>3</v>
      </c>
      <c r="X4291" t="s">
        <v>12881</v>
      </c>
      <c r="Y4291">
        <v>0.80297995804598976</v>
      </c>
      <c r="Z4291" t="str">
        <f>HYPERLINK("Melting_Curves/meltCurve_tr_R4GN98_R4GN98_HUMAN_.pdf", "Melting_Curves/meltCurve_tr_R4GN98_R4GN98_HUMAN_.pdf")</f>
        <v>Melting_Curves/meltCurve_tr_R4GN98_R4GN98_HUMAN_.pdf</v>
      </c>
      <c r="AA4291" t="s">
        <v>17084</v>
      </c>
      <c r="AB4291" t="s">
        <v>21347</v>
      </c>
    </row>
    <row r="4292" spans="1:28" x14ac:dyDescent="0.25">
      <c r="A4292" t="s">
        <v>4296</v>
      </c>
      <c r="B4292">
        <v>0.99876560204751996</v>
      </c>
      <c r="C4292">
        <v>0.99141377630119798</v>
      </c>
      <c r="D4292">
        <v>0.91898012748530999</v>
      </c>
      <c r="E4292">
        <v>0.80764491097693902</v>
      </c>
      <c r="F4292">
        <v>0.610789369916794</v>
      </c>
      <c r="G4292">
        <v>0.36881190159271399</v>
      </c>
      <c r="H4292">
        <v>0.24366241130053401</v>
      </c>
      <c r="I4292">
        <v>0.19266931975736701</v>
      </c>
      <c r="J4292">
        <v>0.15840463642299599</v>
      </c>
      <c r="K4292">
        <v>0.21600115702502501</v>
      </c>
      <c r="L4292">
        <v>924.98831696010802</v>
      </c>
      <c r="M4292">
        <v>17.3396378915937</v>
      </c>
      <c r="N4292">
        <v>54.577011697578001</v>
      </c>
      <c r="O4292">
        <v>52.650949083776801</v>
      </c>
      <c r="P4292">
        <v>-6.90056984413564E-2</v>
      </c>
      <c r="Q4292">
        <v>0.16191838929588601</v>
      </c>
      <c r="R4292">
        <v>0.99669401729749496</v>
      </c>
      <c r="S4292" t="s">
        <v>8588</v>
      </c>
      <c r="T4292" t="s">
        <v>8590</v>
      </c>
      <c r="U4292" t="s">
        <v>8590</v>
      </c>
      <c r="V4292" t="s">
        <v>8590</v>
      </c>
      <c r="W4292">
        <v>8</v>
      </c>
      <c r="X4292" t="s">
        <v>12882</v>
      </c>
      <c r="Y4292">
        <v>0.54916812909554202</v>
      </c>
      <c r="Z4292" t="str">
        <f>HYPERLINK("Melting_Curves/meltCurve_tr_R4GNB2_R4GNB2_HUMAN_.pdf", "Melting_Curves/meltCurve_tr_R4GNB2_R4GNB2_HUMAN_.pdf")</f>
        <v>Melting_Curves/meltCurve_tr_R4GNB2_R4GNB2_HUMAN_.pdf</v>
      </c>
      <c r="AA4292" t="s">
        <v>17085</v>
      </c>
      <c r="AB4292" t="s">
        <v>21348</v>
      </c>
    </row>
    <row r="4293" spans="1:28" x14ac:dyDescent="0.25">
      <c r="A4293" t="s">
        <v>4297</v>
      </c>
      <c r="B4293">
        <v>0.99876560204751996</v>
      </c>
      <c r="C4293">
        <v>0.90188499863212901</v>
      </c>
      <c r="D4293">
        <v>0.69722305819049701</v>
      </c>
      <c r="E4293">
        <v>0.44045971251087102</v>
      </c>
      <c r="F4293">
        <v>0.22807960914752901</v>
      </c>
      <c r="G4293">
        <v>9.5633359215068298E-2</v>
      </c>
      <c r="H4293">
        <v>4.7288277214593097E-2</v>
      </c>
      <c r="I4293">
        <v>3.6772902813330302E-2</v>
      </c>
      <c r="J4293">
        <v>3.3079816368099403E-2</v>
      </c>
      <c r="K4293">
        <v>2.6556391396873099E-2</v>
      </c>
      <c r="L4293">
        <v>763.83127476338598</v>
      </c>
      <c r="M4293">
        <v>15.6545331921405</v>
      </c>
      <c r="N4293">
        <v>48.874529302378399</v>
      </c>
      <c r="O4293">
        <v>48.017574520587097</v>
      </c>
      <c r="P4293">
        <v>-8.0460343967232201E-2</v>
      </c>
      <c r="Q4293">
        <v>1.28915622004233E-2</v>
      </c>
      <c r="R4293">
        <v>0.99803964930859301</v>
      </c>
      <c r="S4293" t="s">
        <v>8589</v>
      </c>
      <c r="T4293" t="s">
        <v>8590</v>
      </c>
      <c r="U4293" t="s">
        <v>8590</v>
      </c>
      <c r="V4293" t="s">
        <v>8590</v>
      </c>
      <c r="W4293">
        <v>13</v>
      </c>
      <c r="X4293" t="s">
        <v>12883</v>
      </c>
      <c r="Y4293">
        <v>0.32483569256871991</v>
      </c>
      <c r="Z4293" t="str">
        <f>HYPERLINK("Melting_Curves/meltCurve_tr_R4GNH3_R4GNH3_HUMAN_.pdf", "Melting_Curves/meltCurve_tr_R4GNH3_R4GNH3_HUMAN_.pdf")</f>
        <v>Melting_Curves/meltCurve_tr_R4GNH3_R4GNH3_HUMAN_.pdf</v>
      </c>
      <c r="AA4293" t="s">
        <v>17086</v>
      </c>
      <c r="AB4293" t="s">
        <v>21349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2017-09-28T11:26:41Z</dcterms:created>
  <dcterms:modified xsi:type="dcterms:W3CDTF">2018-08-21T09:04:38Z</dcterms:modified>
</cp:coreProperties>
</file>